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91bf4d"/>
        <bgColor rgb="0091bf4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0" fillId="2" borderId="0" pivotButton="0" quotePrefix="0" xfId="0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canonicalUrl</t>
        </is>
      </c>
      <c r="C1" s="1" t="inlineStr">
        <is>
          <t>name</t>
        </is>
      </c>
      <c r="D1" s="1" t="inlineStr">
        <is>
          <t>Amazon Product Title</t>
        </is>
      </c>
      <c r="E1" s="1" t="inlineStr">
        <is>
          <t>Amazon Product URL</t>
        </is>
      </c>
      <c r="F1" s="1" t="inlineStr">
        <is>
          <t>ASIN</t>
        </is>
      </c>
      <c r="G1" s="1" t="inlineStr">
        <is>
          <t>Source Image</t>
        </is>
      </c>
      <c r="H1" s="1" t="inlineStr">
        <is>
          <t>Amazon Image</t>
        </is>
      </c>
      <c r="I1" s="1" t="inlineStr">
        <is>
          <t>offers/0/price</t>
        </is>
      </c>
      <c r="J1" s="1" t="inlineStr">
        <is>
          <t>Amazon Price</t>
        </is>
      </c>
      <c r="K1" s="1" t="inlineStr">
        <is>
          <t>ROI</t>
        </is>
      </c>
      <c r="L1" s="1" t="inlineStr">
        <is>
          <t>Rating</t>
        </is>
      </c>
      <c r="M1" s="1" t="inlineStr">
        <is>
          <t>ReviewCount</t>
        </is>
      </c>
      <c r="N1" s="1" t="inlineStr">
        <is>
          <t>offerCount</t>
        </is>
      </c>
      <c r="O1" s="1" t="inlineStr">
        <is>
          <t>offers/0/availability</t>
        </is>
      </c>
      <c r="P1" s="1" t="inlineStr">
        <is>
          <t>offers/0/regularPrice</t>
        </is>
      </c>
      <c r="Q1" s="1" t="inlineStr">
        <is>
          <t>sku</t>
        </is>
      </c>
      <c r="R1" s="1" t="inlineStr">
        <is>
          <t>Match?</t>
        </is>
      </c>
      <c r="S1" s="1" t="inlineStr">
        <is>
          <t>Qualified?</t>
        </is>
      </c>
      <c r="T1" s="1" t="inlineStr">
        <is>
          <t>Approved</t>
        </is>
      </c>
      <c r="U1" s="1" t="inlineStr">
        <is>
          <t>Notes</t>
        </is>
      </c>
    </row>
    <row r="2">
      <c r="A2" s="2">
        <f>HYPERLINK("https://heavenlyouthouse.com/products/vanilla-mint-soap", "https://heavenlyouthouse.com/products/vanilla-mint-soap")</f>
        <v/>
      </c>
      <c r="B2" s="2">
        <f>HYPERLINK("https://heavenlyouthouse.com/products/vanilla-mint-soap", "https://heavenlyouthouse.com/products/vanilla-mint-soap")</f>
        <v/>
      </c>
      <c r="C2" t="inlineStr">
        <is>
          <t>Vanilla Mint Soap</t>
        </is>
      </c>
      <c r="D2" t="inlineStr">
        <is>
          <t>Alaffia EveryDay Shea Foaming Hand Soap - For Sensitive Skin, Gently Helps Clean, Moisturize, and Soften Hands with Shea Butter, Neem, and Coconut Oil, Fair Trade, Vanilla Mint, 18 Ounces</t>
        </is>
      </c>
      <c r="E2" s="2">
        <f>HYPERLINK("https://www.amazon.com/Alaffia-Everyday-Foaming-Moisturize-Spearmint/dp/B0073T0XEY/ref=sr_1_7?keywords=Vanilla+Mint+Soap&amp;qid=1695258809&amp;sr=8-7", "https://www.amazon.com/Alaffia-Everyday-Foaming-Moisturize-Spearmint/dp/B0073T0XEY/ref=sr_1_7?keywords=Vanilla+Mint+Soap&amp;qid=1695258809&amp;sr=8-7")</f>
        <v/>
      </c>
      <c r="F2" t="inlineStr">
        <is>
          <t>B0073T0XEY</t>
        </is>
      </c>
      <c r="G2">
        <f>IMAGE("https://heavenlyouthouse.com/cdn/shop/products/Vanilla-Mint_Bar-Soap_2048_2000x_c3d10c41-aab8-4a3b-a583-b2f1e6d28e24.jpg?v=1586805660")</f>
        <v/>
      </c>
      <c r="H2">
        <f>IMAGE("https://m.media-amazon.com/images/I/61+hSYUdraL._AC_UL320_.jpg")</f>
        <v/>
      </c>
      <c r="I2" t="inlineStr">
        <is>
          <t>7.95</t>
        </is>
      </c>
      <c r="J2" t="n">
        <v>25.99</v>
      </c>
      <c r="K2" s="3" t="inlineStr">
        <is>
          <t>226.92%</t>
        </is>
      </c>
      <c r="L2" t="n">
        <v>4.5</v>
      </c>
      <c r="M2" t="n">
        <v>351</v>
      </c>
      <c r="O2" t="inlineStr">
        <is>
          <t>InStock</t>
        </is>
      </c>
      <c r="P2" t="inlineStr">
        <is>
          <t>7.95</t>
        </is>
      </c>
      <c r="Q2" t="inlineStr">
        <is>
          <t>4548356571225</t>
        </is>
      </c>
    </row>
    <row r="3">
      <c r="A3" s="2">
        <f>HYPERLINK("https://heavenlyouthouse.com/products/thymes-washed-linen-fragrance-reed-diffuser", "https://heavenlyouthouse.com/products/thymes-washed-linen-fragrance-reed-diffuser")</f>
        <v/>
      </c>
      <c r="B3" s="2">
        <f>HYPERLINK("https://heavenlyouthouse.com/products/thymes-washed-linen-fragrance-reed-diffuser", "https://heavenlyouthouse.com/products/thymes-washed-linen-fragrance-reed-diffuser")</f>
        <v/>
      </c>
      <c r="C3" t="inlineStr">
        <is>
          <t>Thymes Washed Linen Fragrance Reed Diffuser</t>
        </is>
      </c>
      <c r="D3" t="inlineStr">
        <is>
          <t>Thymes Washed Linen Petite Reed Diffusers - Home Fragrance Diffuser Set Includes Reed Diffuser Sticks, Fragrance Oil, and Glass Bottle Oil Diffuser - Aromatherapy Diffuser (4.0 fl oz)</t>
        </is>
      </c>
      <c r="E3" s="2">
        <f>HYPERLINK("https://www.amazon.com/Thymes-Petite-Reed-Diffuser-Washed/dp/B084C4KQX7/ref=sr_1_1?keywords=Thymes+Washed+Linen+Fragrance+Reed+Diffuser&amp;qid=1695258793&amp;sr=8-1", "https://www.amazon.com/Thymes-Petite-Reed-Diffuser-Washed/dp/B084C4KQX7/ref=sr_1_1?keywords=Thymes+Washed+Linen+Fragrance+Reed+Diffuser&amp;qid=1695258793&amp;sr=8-1")</f>
        <v/>
      </c>
      <c r="F3" t="inlineStr">
        <is>
          <t>B084C4KQX7</t>
        </is>
      </c>
      <c r="G3">
        <f>IMAGE("https://heavenlyouthouse.com/cdn/shop/products/ThymesWashedLinenfragrancereeddiffuser.jpg?v=1613173431")</f>
        <v/>
      </c>
      <c r="H3">
        <f>IMAGE("https://m.media-amazon.com/images/I/71AO0IPM4lL._AC_UL320_.jpg")</f>
        <v/>
      </c>
      <c r="I3" t="inlineStr">
        <is>
          <t>24.95</t>
        </is>
      </c>
      <c r="J3" t="n">
        <v>46</v>
      </c>
      <c r="K3" s="3" t="inlineStr">
        <is>
          <t>84.37%</t>
        </is>
      </c>
      <c r="L3" t="n">
        <v>4.3</v>
      </c>
      <c r="M3" t="n">
        <v>185</v>
      </c>
      <c r="O3" t="inlineStr">
        <is>
          <t>undefined</t>
        </is>
      </c>
      <c r="P3" t="inlineStr">
        <is>
          <t>undefined</t>
        </is>
      </c>
      <c r="Q3" t="inlineStr">
        <is>
          <t>4789679161433</t>
        </is>
      </c>
    </row>
    <row r="4">
      <c r="A4" s="2">
        <f>HYPERLINK("https://mbrstore.com/products/vital-liquid-mask/", "https://mbrstore.com/products/vital-liquid-mask/")</f>
        <v/>
      </c>
      <c r="B4" s="2">
        <f>HYPERLINK("https://mbrstore.com/products/vital-liquid-mask/", "https://mbrstore.com/products/vital-liquid-mask/")</f>
        <v/>
      </c>
      <c r="C4" t="inlineStr">
        <is>
          <t>Effects</t>
        </is>
      </c>
      <c r="D4" t="inlineStr">
        <is>
          <t>BOSS ME-90 Guitar Multi-Effects | All-In-One Guitar Processor | 11 Onboard AIRD Amp Models | 60 Effects derived from the GT-1000 | 8 Multi-Function Footswitches &amp; Redesigned Expression Pedal</t>
        </is>
      </c>
      <c r="E4" s="2">
        <f>HYPERLINK("https://www.amazon.com/BOSS-ME-90-Multi-Effects-Multi-Function-Footswitches/dp/B0CB95FW31/ref=sr_1_8?keywords=Effects&amp;qid=1695258874&amp;sr=8-8", "https://www.amazon.com/BOSS-ME-90-Multi-Effects-Multi-Function-Footswitches/dp/B0CB95FW31/ref=sr_1_8?keywords=Effects&amp;qid=1695258874&amp;sr=8-8")</f>
        <v/>
      </c>
      <c r="F4" t="inlineStr">
        <is>
          <t>B0CB95FW31</t>
        </is>
      </c>
      <c r="G4">
        <f>IMAGE("https://mbrstore.com/wp-content/uploads/2022/03/01234_VitalLiquidMask-copy-460x460.jpg")</f>
        <v/>
      </c>
      <c r="H4">
        <f>IMAGE("https://m.media-amazon.com/images/I/617SJJIeDWL._AC_UL320_.jpg")</f>
        <v/>
      </c>
      <c r="I4" t="inlineStr">
        <is>
          <t>27.0</t>
        </is>
      </c>
      <c r="J4" t="n">
        <v>347.99</v>
      </c>
      <c r="K4" s="3" t="inlineStr">
        <is>
          <t>1188.85%</t>
        </is>
      </c>
      <c r="L4" t="n">
        <v>5</v>
      </c>
      <c r="M4" t="n">
        <v>2</v>
      </c>
      <c r="O4" t="inlineStr">
        <is>
          <t>InStock</t>
        </is>
      </c>
      <c r="P4" t="inlineStr">
        <is>
          <t>undefined</t>
        </is>
      </c>
      <c r="Q4" t="inlineStr">
        <is>
          <t>01234</t>
        </is>
      </c>
    </row>
    <row r="5">
      <c r="A5" s="2">
        <f>HYPERLINK("https://mbrstore.com/products/vital-liquid-mask/", "https://mbrstore.com/products/vital-liquid-mask/")</f>
        <v/>
      </c>
      <c r="B5" s="2">
        <f>HYPERLINK("https://mbrstore.com/products/vital-liquid-mask/", "https://mbrstore.com/products/vital-liquid-mask/")</f>
        <v/>
      </c>
      <c r="C5" t="inlineStr">
        <is>
          <t>Effects</t>
        </is>
      </c>
      <c r="D5" t="inlineStr">
        <is>
          <t>Fender Mustang LT25 Guitar Amp, 25-Watt Combo Amp, 30 Preset Effects with USB Audio Interface for Recording, 12.75Hx14.5Wx8.25D Inches, Wood, Black</t>
        </is>
      </c>
      <c r="E5" s="2">
        <f>HYPERLINK("https://www.amazon.com/Fender-Mustang-LT-25-Digital-Amplifier/dp/B07N29M92M/ref=sr_1_4?keywords=Effects&amp;qid=1695258874&amp;sr=8-4", "https://www.amazon.com/Fender-Mustang-LT-25-Digital-Amplifier/dp/B07N29M92M/ref=sr_1_4?keywords=Effects&amp;qid=1695258874&amp;sr=8-4")</f>
        <v/>
      </c>
      <c r="F5" t="inlineStr">
        <is>
          <t>B07N29M92M</t>
        </is>
      </c>
      <c r="G5">
        <f>IMAGE("https://mbrstore.com/wp-content/uploads/2022/03/01234_VitalLiquidMask-copy-460x460.jpg")</f>
        <v/>
      </c>
      <c r="H5">
        <f>IMAGE("https://m.media-amazon.com/images/I/81oKmWyFJPL._AC_UL320_.jpg")</f>
        <v/>
      </c>
      <c r="I5" t="inlineStr">
        <is>
          <t>27.0</t>
        </is>
      </c>
      <c r="J5" t="n">
        <v>159.99</v>
      </c>
      <c r="K5" s="3" t="inlineStr">
        <is>
          <t>492.56%</t>
        </is>
      </c>
      <c r="L5" t="n">
        <v>4.8</v>
      </c>
      <c r="M5" t="n">
        <v>3110</v>
      </c>
      <c r="O5" t="inlineStr">
        <is>
          <t>InStock</t>
        </is>
      </c>
      <c r="P5" t="inlineStr">
        <is>
          <t>undefined</t>
        </is>
      </c>
      <c r="Q5" t="inlineStr">
        <is>
          <t>01234</t>
        </is>
      </c>
    </row>
    <row r="6">
      <c r="A6" s="2">
        <f>HYPERLINK("https://mbrstore.com/products/sensitive-liquid-mask/", "https://mbrstore.com/products/sensitive-liquid-mask/")</f>
        <v/>
      </c>
      <c r="B6" s="2">
        <f>HYPERLINK("https://mbrstore.com/products/sensitive-liquid-mask/", "https://mbrstore.com/products/sensitive-liquid-mask/")</f>
        <v/>
      </c>
      <c r="C6" t="inlineStr">
        <is>
          <t>Effects</t>
        </is>
      </c>
      <c r="D6" t="inlineStr">
        <is>
          <t>Fender Mustang LT25 Guitar Amp, 25-Watt Combo Amp, 30 Preset Effects with USB Audio Interface for Recording, 12.75Hx14.5Wx8.25D Inches, Wood, Black</t>
        </is>
      </c>
      <c r="E6" s="2">
        <f>HYPERLINK("https://www.amazon.com/Fender-Mustang-LT-25-Digital-Amplifier/dp/B07N29M92M/ref=sr_1_3?keywords=Effects&amp;qid=1695258877&amp;sr=8-3", "https://www.amazon.com/Fender-Mustang-LT-25-Digital-Amplifier/dp/B07N29M92M/ref=sr_1_3?keywords=Effects&amp;qid=1695258877&amp;sr=8-3")</f>
        <v/>
      </c>
      <c r="F6" t="inlineStr">
        <is>
          <t>B07N29M92M</t>
        </is>
      </c>
      <c r="G6">
        <f>IMAGE("https://mbrstore.com/wp-content/uploads/2022/03/01527_SensitiveLiquidMask-copy-460x460.jpg")</f>
        <v/>
      </c>
      <c r="H6">
        <f>IMAGE("https://m.media-amazon.com/images/I/81oKmWyFJPL._AC_UL320_.jpg")</f>
        <v/>
      </c>
      <c r="I6" t="inlineStr">
        <is>
          <t>32.0</t>
        </is>
      </c>
      <c r="J6" t="n">
        <v>159.99</v>
      </c>
      <c r="K6" s="3" t="inlineStr">
        <is>
          <t>399.97%</t>
        </is>
      </c>
      <c r="L6" t="n">
        <v>4.8</v>
      </c>
      <c r="M6" t="n">
        <v>3110</v>
      </c>
      <c r="O6" t="inlineStr">
        <is>
          <t>InStock</t>
        </is>
      </c>
      <c r="P6" t="inlineStr">
        <is>
          <t>undefined</t>
        </is>
      </c>
      <c r="Q6" t="inlineStr">
        <is>
          <t>01527</t>
        </is>
      </c>
    </row>
    <row r="7">
      <c r="A7" s="2">
        <f>HYPERLINK("https://mbrstore.com/products/vital-liquid-mask/", "https://mbrstore.com/products/vital-liquid-mask/")</f>
        <v/>
      </c>
      <c r="B7" s="2">
        <f>HYPERLINK("https://mbrstore.com/products/vital-liquid-mask/", "https://mbrstore.com/products/vital-liquid-mask/")</f>
        <v/>
      </c>
      <c r="C7" t="inlineStr">
        <is>
          <t>Effects</t>
        </is>
      </c>
      <c r="D7" t="inlineStr">
        <is>
          <t>Zoom G1X FOUR Guitar Multi-Effects Processor with Expression Pedal, With 70+ Built-in Effects, Amp Modeling, Looper, Rhythm Section, Tuner, Battery Powered</t>
        </is>
      </c>
      <c r="E7" s="2">
        <f>HYPERLINK("https://www.amazon.com/Zoom-Electric-Guitar-G1X-FOUR/dp/B07MZPR5GP/ref=sr_1_1?keywords=Effects&amp;qid=1695258874&amp;sr=8-1", "https://www.amazon.com/Zoom-Electric-Guitar-G1X-FOUR/dp/B07MZPR5GP/ref=sr_1_1?keywords=Effects&amp;qid=1695258874&amp;sr=8-1")</f>
        <v/>
      </c>
      <c r="F7" t="inlineStr">
        <is>
          <t>B07MZPR5GP</t>
        </is>
      </c>
      <c r="G7">
        <f>IMAGE("https://mbrstore.com/wp-content/uploads/2022/03/01234_VitalLiquidMask-copy-460x460.jpg")</f>
        <v/>
      </c>
      <c r="H7">
        <f>IMAGE("https://m.media-amazon.com/images/I/81lPUPAo-SL._AC_UL320_.jpg")</f>
        <v/>
      </c>
      <c r="I7" t="inlineStr">
        <is>
          <t>27.0</t>
        </is>
      </c>
      <c r="J7" t="n">
        <v>119.99</v>
      </c>
      <c r="K7" s="3" t="inlineStr">
        <is>
          <t>344.41%</t>
        </is>
      </c>
      <c r="L7" t="n">
        <v>4.5</v>
      </c>
      <c r="M7" t="n">
        <v>6902</v>
      </c>
      <c r="O7" t="inlineStr">
        <is>
          <t>InStock</t>
        </is>
      </c>
      <c r="P7" t="inlineStr">
        <is>
          <t>undefined</t>
        </is>
      </c>
      <c r="Q7" t="inlineStr">
        <is>
          <t>01234</t>
        </is>
      </c>
    </row>
    <row r="8">
      <c r="A8" s="2">
        <f>HYPERLINK("https://mbrstore.com/products/sensitive-liquid-mask/", "https://mbrstore.com/products/sensitive-liquid-mask/")</f>
        <v/>
      </c>
      <c r="B8" s="2">
        <f>HYPERLINK("https://mbrstore.com/products/sensitive-liquid-mask/", "https://mbrstore.com/products/sensitive-liquid-mask/")</f>
        <v/>
      </c>
      <c r="C8" t="inlineStr">
        <is>
          <t>Effects</t>
        </is>
      </c>
      <c r="D8" t="inlineStr">
        <is>
          <t>Zoom G1X FOUR Guitar Multi-Effects Processor with Expression Pedal, With 70+ Built-in Effects, Amp Modeling, Looper, Rhythm Section, Tuner, Battery Powered</t>
        </is>
      </c>
      <c r="E8" s="2">
        <f>HYPERLINK("https://www.amazon.com/Zoom-Electric-Guitar-G1X-FOUR/dp/B07MZPR5GP/ref=sr_1_1?keywords=Effects&amp;qid=1695258877&amp;sr=8-1", "https://www.amazon.com/Zoom-Electric-Guitar-G1X-FOUR/dp/B07MZPR5GP/ref=sr_1_1?keywords=Effects&amp;qid=1695258877&amp;sr=8-1")</f>
        <v/>
      </c>
      <c r="F8" t="inlineStr">
        <is>
          <t>B07MZPR5GP</t>
        </is>
      </c>
      <c r="G8">
        <f>IMAGE("https://mbrstore.com/wp-content/uploads/2022/03/01527_SensitiveLiquidMask-copy-460x460.jpg")</f>
        <v/>
      </c>
      <c r="H8">
        <f>IMAGE("https://m.media-amazon.com/images/I/81lPUPAo-SL._AC_UL320_.jpg")</f>
        <v/>
      </c>
      <c r="I8" t="inlineStr">
        <is>
          <t>32.0</t>
        </is>
      </c>
      <c r="J8" t="n">
        <v>119.99</v>
      </c>
      <c r="K8" s="3" t="inlineStr">
        <is>
          <t>274.97%</t>
        </is>
      </c>
      <c r="L8" t="n">
        <v>4.5</v>
      </c>
      <c r="M8" t="n">
        <v>6902</v>
      </c>
      <c r="O8" t="inlineStr">
        <is>
          <t>InStock</t>
        </is>
      </c>
      <c r="P8" t="inlineStr">
        <is>
          <t>undefined</t>
        </is>
      </c>
      <c r="Q8" t="inlineStr">
        <is>
          <t>01527</t>
        </is>
      </c>
    </row>
    <row r="9">
      <c r="A9" s="2">
        <f>HYPERLINK("https://mbrstore.com/products/perfect-liquid-mask/", "https://mbrstore.com/products/perfect-liquid-mask/")</f>
        <v/>
      </c>
      <c r="B9" s="2">
        <f>HYPERLINK("https://mbrstore.com/products/perfect-liquid-mask/", "https://mbrstore.com/products/perfect-liquid-mask/")</f>
        <v/>
      </c>
      <c r="C9" t="inlineStr">
        <is>
          <t>Effects</t>
        </is>
      </c>
      <c r="D9" t="inlineStr">
        <is>
          <t>Fender Mustang LT25 Guitar Amp, 25-Watt Combo Amp, 30 Preset Effects with USB Audio Interface for Recording, 12.75Hx14.5Wx8.25D Inches, Wood, Black</t>
        </is>
      </c>
      <c r="E9" s="2">
        <f>HYPERLINK("https://www.amazon.com/Fender-Mustang-LT-25-Digital-Amplifier/dp/B07N29M92M/ref=sr_1_7?keywords=Effects&amp;qid=1695258875&amp;sr=8-7", "https://www.amazon.com/Fender-Mustang-LT-25-Digital-Amplifier/dp/B07N29M92M/ref=sr_1_7?keywords=Effects&amp;qid=1695258875&amp;sr=8-7")</f>
        <v/>
      </c>
      <c r="F9" t="inlineStr">
        <is>
          <t>B07N29M92M</t>
        </is>
      </c>
      <c r="G9">
        <f>IMAGE("https://mbrstore.com/wp-content/uploads/2022/03/01456_PerfectLiquidMask-copy-460x460.jpg")</f>
        <v/>
      </c>
      <c r="H9">
        <f>IMAGE("https://m.media-amazon.com/images/I/81oKmWyFJPL._AC_UL320_.jpg")</f>
        <v/>
      </c>
      <c r="I9" t="inlineStr">
        <is>
          <t>44.0</t>
        </is>
      </c>
      <c r="J9" t="n">
        <v>159.99</v>
      </c>
      <c r="K9" s="3" t="inlineStr">
        <is>
          <t>263.61%</t>
        </is>
      </c>
      <c r="L9" t="n">
        <v>4.8</v>
      </c>
      <c r="M9" t="n">
        <v>3110</v>
      </c>
      <c r="O9" t="inlineStr">
        <is>
          <t>InStock</t>
        </is>
      </c>
      <c r="P9" t="inlineStr">
        <is>
          <t>undefined</t>
        </is>
      </c>
      <c r="Q9" t="inlineStr">
        <is>
          <t>01465</t>
        </is>
      </c>
    </row>
    <row r="10">
      <c r="A10" s="2">
        <f>HYPERLINK("https://mbrstore.com/products/perfect-liquid-mask/", "https://mbrstore.com/products/perfect-liquid-mask/")</f>
        <v/>
      </c>
      <c r="B10" s="2">
        <f>HYPERLINK("https://mbrstore.com/products/perfect-liquid-mask/", "https://mbrstore.com/products/perfect-liquid-mask/")</f>
        <v/>
      </c>
      <c r="C10" t="inlineStr">
        <is>
          <t>Effects</t>
        </is>
      </c>
      <c r="D10" t="inlineStr">
        <is>
          <t>Zoom G1X FOUR Guitar Multi-Effects Processor with Expression Pedal, With 70+ Built-in Effects, Amp Modeling, Looper, Rhythm Section, Tuner, Battery Powered</t>
        </is>
      </c>
      <c r="E10" s="2">
        <f>HYPERLINK("https://www.amazon.com/Zoom-Electric-Guitar-G1X-FOUR/dp/B07MZPR5GP/ref=sr_1_5?keywords=Effects&amp;qid=1695258875&amp;sr=8-5", "https://www.amazon.com/Zoom-Electric-Guitar-G1X-FOUR/dp/B07MZPR5GP/ref=sr_1_5?keywords=Effects&amp;qid=1695258875&amp;sr=8-5")</f>
        <v/>
      </c>
      <c r="F10" t="inlineStr">
        <is>
          <t>B07MZPR5GP</t>
        </is>
      </c>
      <c r="G10">
        <f>IMAGE("https://mbrstore.com/wp-content/uploads/2022/03/01456_PerfectLiquidMask-copy-460x460.jpg")</f>
        <v/>
      </c>
      <c r="H10">
        <f>IMAGE("https://m.media-amazon.com/images/I/81lPUPAo-SL._AC_UL320_.jpg")</f>
        <v/>
      </c>
      <c r="I10" t="inlineStr">
        <is>
          <t>44.0</t>
        </is>
      </c>
      <c r="J10" t="n">
        <v>119.99</v>
      </c>
      <c r="K10" s="3" t="inlineStr">
        <is>
          <t>172.70%</t>
        </is>
      </c>
      <c r="L10" t="n">
        <v>4.5</v>
      </c>
      <c r="M10" t="n">
        <v>6902</v>
      </c>
      <c r="O10" t="inlineStr">
        <is>
          <t>InStock</t>
        </is>
      </c>
      <c r="P10" t="inlineStr">
        <is>
          <t>undefined</t>
        </is>
      </c>
      <c r="Q10" t="inlineStr">
        <is>
          <t>01465</t>
        </is>
      </c>
    </row>
    <row r="11">
      <c r="A11" s="2">
        <f>HYPERLINK("https://mbrstore.com/products/shower-care/", "https://mbrstore.com/products/shower-care/")</f>
        <v/>
      </c>
      <c r="B11" s="2">
        <f>HYPERLINK("https://mbrstore.com/products/shower-care/", "https://mbrstore.com/products/shower-care/")</f>
        <v/>
      </c>
      <c r="C11" t="inlineStr">
        <is>
          <t>Effects</t>
        </is>
      </c>
      <c r="D11" t="inlineStr">
        <is>
          <t>Fender Mustang LT25 Guitar Amp, 25-Watt Combo Amp, 30 Preset Effects with USB Audio Interface for Recording, 12.75Hx14.5Wx8.25D Inches, Wood, Black</t>
        </is>
      </c>
      <c r="E11" s="2">
        <f>HYPERLINK("https://www.amazon.com/Fender-Mustang-LT-25-Digital-Amplifier/dp/B07N29M92M/ref=sr_1_8?keywords=Effects&amp;qid=1695258887&amp;sr=8-8", "https://www.amazon.com/Fender-Mustang-LT-25-Digital-Amplifier/dp/B07N29M92M/ref=sr_1_8?keywords=Effects&amp;qid=1695258887&amp;sr=8-8")</f>
        <v/>
      </c>
      <c r="F11" t="inlineStr">
        <is>
          <t>B07N29M92M</t>
        </is>
      </c>
      <c r="G11">
        <f>IMAGE("https://mbrstore.com/wp-content/uploads/2022/06/01712_ShowerCare_200ml-copy-460x460.jpg")</f>
        <v/>
      </c>
      <c r="H11">
        <f>IMAGE("https://m.media-amazon.com/images/I/81oKmWyFJPL._AC_UL320_.jpg")</f>
        <v/>
      </c>
      <c r="I11" t="inlineStr">
        <is>
          <t>60.0</t>
        </is>
      </c>
      <c r="J11" t="n">
        <v>159.99</v>
      </c>
      <c r="K11" s="3" t="inlineStr">
        <is>
          <t>166.65%</t>
        </is>
      </c>
      <c r="L11" t="n">
        <v>4.8</v>
      </c>
      <c r="M11" t="n">
        <v>3110</v>
      </c>
      <c r="O11" t="inlineStr">
        <is>
          <t>InStock</t>
        </is>
      </c>
      <c r="P11" t="inlineStr">
        <is>
          <t>undefined</t>
        </is>
      </c>
      <c r="Q11" t="inlineStr">
        <is>
          <t>01712</t>
        </is>
      </c>
    </row>
    <row r="12">
      <c r="A12" s="2">
        <f>HYPERLINK("https://mbrstore.com/products/mild-deo-cream/", "https://mbrstore.com/products/mild-deo-cream/")</f>
        <v/>
      </c>
      <c r="B12" s="2">
        <f>HYPERLINK("https://mbrstore.com/products/mild-deo-cream/", "https://mbrstore.com/products/mild-deo-cream/")</f>
        <v/>
      </c>
      <c r="C12" t="inlineStr">
        <is>
          <t>Effects</t>
        </is>
      </c>
      <c r="D12" t="inlineStr">
        <is>
          <t>Fender Mustang LT25 Guitar Amp, 25-Watt Combo Amp, 30 Preset Effects with USB Audio Interface for Recording, 12.75Hx14.5Wx8.25D Inches, Wood, Black</t>
        </is>
      </c>
      <c r="E12" s="2">
        <f>HYPERLINK("https://www.amazon.com/Fender-Mustang-LT-25-Digital-Amplifier/dp/B07N29M92M/ref=sr_1_6?keywords=Effects&amp;qid=1695258890&amp;sr=8-6", "https://www.amazon.com/Fender-Mustang-LT-25-Digital-Amplifier/dp/B07N29M92M/ref=sr_1_6?keywords=Effects&amp;qid=1695258890&amp;sr=8-6")</f>
        <v/>
      </c>
      <c r="F12" t="inlineStr">
        <is>
          <t>B07N29M92M</t>
        </is>
      </c>
      <c r="G12">
        <f>IMAGE("https://mbrstore.com/wp-content/uploads/2022/06/01713_MildDeoCream_50ml-copy-460x460.jpg")</f>
        <v/>
      </c>
      <c r="H12">
        <f>IMAGE("https://m.media-amazon.com/images/I/81oKmWyFJPL._AC_UL320_.jpg")</f>
        <v/>
      </c>
      <c r="I12" t="inlineStr">
        <is>
          <t>66.0</t>
        </is>
      </c>
      <c r="J12" t="n">
        <v>159.99</v>
      </c>
      <c r="K12" s="3" t="inlineStr">
        <is>
          <t>142.41%</t>
        </is>
      </c>
      <c r="L12" t="n">
        <v>4.8</v>
      </c>
      <c r="M12" t="n">
        <v>3110</v>
      </c>
      <c r="O12" t="inlineStr">
        <is>
          <t>InStock</t>
        </is>
      </c>
      <c r="P12" t="inlineStr">
        <is>
          <t>undefined</t>
        </is>
      </c>
      <c r="Q12" t="inlineStr">
        <is>
          <t>01713</t>
        </is>
      </c>
    </row>
    <row r="13">
      <c r="A13" s="2">
        <f>HYPERLINK("https://mbrstore.com/products/cell-power-cream-deodorant/", "https://mbrstore.com/products/cell-power-cream-deodorant/")</f>
        <v/>
      </c>
      <c r="B13" s="2">
        <f>HYPERLINK("https://mbrstore.com/products/cell-power-cream-deodorant/", "https://mbrstore.com/products/cell-power-cream-deodorant/")</f>
        <v/>
      </c>
      <c r="C13" t="inlineStr">
        <is>
          <t>Effects</t>
        </is>
      </c>
      <c r="D13" t="inlineStr">
        <is>
          <t>Fender Mustang LT25 Guitar Amp, 25-Watt Combo Amp, 30 Preset Effects with USB Audio Interface for Recording, 12.75Hx14.5Wx8.25D Inches, Wood, Black</t>
        </is>
      </c>
      <c r="E13" s="2">
        <f>HYPERLINK("https://www.amazon.com/Fender-Mustang-LT-25-Digital-Amplifier/dp/B07N29M92M/ref=sr_1_3?keywords=Effects&amp;qid=1695258895&amp;sr=8-3", "https://www.amazon.com/Fender-Mustang-LT-25-Digital-Amplifier/dp/B07N29M92M/ref=sr_1_3?keywords=Effects&amp;qid=1695258895&amp;sr=8-3")</f>
        <v/>
      </c>
      <c r="F13" t="inlineStr">
        <is>
          <t>B07N29M92M</t>
        </is>
      </c>
      <c r="G13">
        <f>IMAGE("https://mbrstore.com/wp-content/uploads/2022/03/01607_CreamDeodorant_50ml-copy-460x460.jpg")</f>
        <v/>
      </c>
      <c r="H13">
        <f>IMAGE("https://m.media-amazon.com/images/I/81oKmWyFJPL._AC_UL320_.jpg")</f>
        <v/>
      </c>
      <c r="I13" t="inlineStr">
        <is>
          <t>74.0</t>
        </is>
      </c>
      <c r="J13" t="n">
        <v>159.99</v>
      </c>
      <c r="K13" s="3" t="inlineStr">
        <is>
          <t>116.20%</t>
        </is>
      </c>
      <c r="L13" t="n">
        <v>4.8</v>
      </c>
      <c r="M13" t="n">
        <v>3110</v>
      </c>
      <c r="O13" t="inlineStr">
        <is>
          <t>InStock</t>
        </is>
      </c>
      <c r="P13" t="inlineStr">
        <is>
          <t>undefined</t>
        </is>
      </c>
      <c r="Q13" t="inlineStr">
        <is>
          <t>01607</t>
        </is>
      </c>
    </row>
    <row r="14">
      <c r="A14" s="2">
        <f>HYPERLINK("https://mbrstore.com/products/hair-care/", "https://mbrstore.com/products/hair-care/")</f>
        <v/>
      </c>
      <c r="B14" s="2">
        <f>HYPERLINK("https://mbrstore.com/products/hair-care/", "https://mbrstore.com/products/hair-care/")</f>
        <v/>
      </c>
      <c r="C14" t="inlineStr">
        <is>
          <t>Effects</t>
        </is>
      </c>
      <c r="D14" t="inlineStr">
        <is>
          <t>Fender Mustang LT25 Guitar Amp, 25-Watt Combo Amp, 30 Preset Effects with USB Audio Interface for Recording, 12.75Hx14.5Wx8.25D Inches, Wood, Black</t>
        </is>
      </c>
      <c r="E14" s="2">
        <f>HYPERLINK("https://www.amazon.com/Fender-Mustang-LT-25-Digital-Amplifier/dp/B07N29M92M/ref=sr_1_8?keywords=Effects&amp;qid=1695258881&amp;sr=8-8", "https://www.amazon.com/Fender-Mustang-LT-25-Digital-Amplifier/dp/B07N29M92M/ref=sr_1_8?keywords=Effects&amp;qid=1695258881&amp;sr=8-8")</f>
        <v/>
      </c>
      <c r="F14" t="inlineStr">
        <is>
          <t>B07N29M92M</t>
        </is>
      </c>
      <c r="G14">
        <f>IMAGE("https://mbrstore.com/wp-content/uploads/2022/06/01715_HairCare_200ml-copy-460x460.jpg")</f>
        <v/>
      </c>
      <c r="H14">
        <f>IMAGE("https://m.media-amazon.com/images/I/81oKmWyFJPL._AC_UL320_.jpg")</f>
        <v/>
      </c>
      <c r="I14" t="inlineStr">
        <is>
          <t>74.0</t>
        </is>
      </c>
      <c r="J14" t="n">
        <v>159.99</v>
      </c>
      <c r="K14" s="3" t="inlineStr">
        <is>
          <t>116.20%</t>
        </is>
      </c>
      <c r="L14" t="n">
        <v>4.8</v>
      </c>
      <c r="M14" t="n">
        <v>3110</v>
      </c>
      <c r="O14" t="inlineStr">
        <is>
          <t>InStock</t>
        </is>
      </c>
      <c r="P14" t="inlineStr">
        <is>
          <t>undefined</t>
        </is>
      </c>
      <c r="Q14" t="inlineStr">
        <is>
          <t>01715</t>
        </is>
      </c>
    </row>
    <row r="15">
      <c r="A15" s="2">
        <f>HYPERLINK("https://mbrstore.com/products/basic-lip-id/", "https://mbrstore.com/products/basic-lip-id/")</f>
        <v/>
      </c>
      <c r="B15" s="2">
        <f>HYPERLINK("https://mbrstore.com/products/basic-lip-id/", "https://mbrstore.com/products/basic-lip-id/")</f>
        <v/>
      </c>
      <c r="C15" t="inlineStr">
        <is>
          <t>Effects</t>
        </is>
      </c>
      <c r="D15" t="inlineStr">
        <is>
          <t>Fender Mustang LT25 Guitar Amp, 25-Watt Combo Amp, 30 Preset Effects with USB Audio Interface for Recording, 12.75Hx14.5Wx8.25D Inches, Wood, Black</t>
        </is>
      </c>
      <c r="E15" s="2">
        <f>HYPERLINK("https://www.amazon.com/Fender-Mustang-LT-25-Digital-Amplifier/dp/B07N29M92M/ref=sr_1_4?keywords=Effects&amp;qid=1695258872&amp;sr=8-4", "https://www.amazon.com/Fender-Mustang-LT-25-Digital-Amplifier/dp/B07N29M92M/ref=sr_1_4?keywords=Effects&amp;qid=1695258872&amp;sr=8-4")</f>
        <v/>
      </c>
      <c r="F15" t="inlineStr">
        <is>
          <t>B07N29M92M</t>
        </is>
      </c>
      <c r="G15">
        <f>IMAGE("https://mbrstore.com/wp-content/uploads/2022/03/01228_BasicLipID_7-5ml-copy-460x460.jpg")</f>
        <v/>
      </c>
      <c r="H15">
        <f>IMAGE("https://m.media-amazon.com/images/I/81oKmWyFJPL._AC_UL320_.jpg")</f>
        <v/>
      </c>
      <c r="I15" t="inlineStr">
        <is>
          <t>75.0</t>
        </is>
      </c>
      <c r="J15" t="n">
        <v>159.99</v>
      </c>
      <c r="K15" s="3" t="inlineStr">
        <is>
          <t>113.32%</t>
        </is>
      </c>
      <c r="L15" t="n">
        <v>4.8</v>
      </c>
      <c r="M15" t="n">
        <v>3110</v>
      </c>
      <c r="O15" t="inlineStr">
        <is>
          <t>InStock</t>
        </is>
      </c>
      <c r="P15" t="inlineStr">
        <is>
          <t>undefined</t>
        </is>
      </c>
      <c r="Q15" t="inlineStr">
        <is>
          <t>01228</t>
        </is>
      </c>
    </row>
    <row r="16">
      <c r="A16" s="2">
        <f>HYPERLINK("https://mbrstore.com/products/continueline-enzyme-specialist/", "https://mbrstore.com/products/continueline-enzyme-specialist/")</f>
        <v/>
      </c>
      <c r="B16" s="2">
        <f>HYPERLINK("https://mbrstore.com/products/continueline-enzyme-specialist/", "https://mbrstore.com/products/continueline-enzyme-specialist/")</f>
        <v/>
      </c>
      <c r="C16" t="inlineStr">
        <is>
          <t>Effects</t>
        </is>
      </c>
      <c r="D16" t="inlineStr">
        <is>
          <t>BOSS ME-90 Guitar Multi-Effects | All-In-One Guitar Processor | 11 Onboard AIRD Amp Models | 60 Effects derived from the GT-1000 | 8 Multi-Function Footswitches &amp; Redesigned Expression Pedal</t>
        </is>
      </c>
      <c r="E16" s="2">
        <f>HYPERLINK("https://www.amazon.com/BOSS-ME-90-Multi-Effects-Multi-Function-Footswitches/dp/B0CB95FW31/ref=sr_1_8?keywords=Effects&amp;qid=1695258878&amp;sr=8-8", "https://www.amazon.com/BOSS-ME-90-Multi-Effects-Multi-Function-Footswitches/dp/B0CB95FW31/ref=sr_1_8?keywords=Effects&amp;qid=1695258878&amp;sr=8-8")</f>
        <v/>
      </c>
      <c r="F16" t="inlineStr">
        <is>
          <t>B0CB95FW31</t>
        </is>
      </c>
      <c r="G16">
        <f>IMAGE("https://mbrstore.com/wp-content/uploads/2022/03/01512_EnzymeSpecialist_50ml-copy-460x460.jpg")</f>
        <v/>
      </c>
      <c r="H16">
        <f>IMAGE("https://m.media-amazon.com/images/I/617SJJIeDWL._AC_UL320_.jpg")</f>
        <v/>
      </c>
      <c r="I16" t="inlineStr">
        <is>
          <t>170.0</t>
        </is>
      </c>
      <c r="J16" t="n">
        <v>347.99</v>
      </c>
      <c r="K16" s="3" t="inlineStr">
        <is>
          <t>104.70%</t>
        </is>
      </c>
      <c r="L16" t="n">
        <v>5</v>
      </c>
      <c r="M16" t="n">
        <v>2</v>
      </c>
      <c r="O16" t="inlineStr">
        <is>
          <t>InStock</t>
        </is>
      </c>
      <c r="P16" t="inlineStr">
        <is>
          <t>254.0</t>
        </is>
      </c>
      <c r="Q16" t="inlineStr">
        <is>
          <t>01512</t>
        </is>
      </c>
    </row>
    <row r="17">
      <c r="A17" s="2">
        <f>HYPERLINK("https://mbrstore.com/products/shower-care/", "https://mbrstore.com/products/shower-care/")</f>
        <v/>
      </c>
      <c r="B17" s="2">
        <f>HYPERLINK("https://mbrstore.com/products/shower-care/", "https://mbrstore.com/products/shower-care/")</f>
        <v/>
      </c>
      <c r="C17" t="inlineStr">
        <is>
          <t>Effects</t>
        </is>
      </c>
      <c r="D17" t="inlineStr">
        <is>
          <t>Zoom G1X FOUR Guitar Multi-Effects Processor with Expression Pedal, With 70+ Built-in Effects, Amp Modeling, Looper, Rhythm Section, Tuner, Battery Powered</t>
        </is>
      </c>
      <c r="E17" s="2">
        <f>HYPERLINK("https://www.amazon.com/Zoom-Electric-Guitar-G1X-FOUR/dp/B07MZPR5GP/ref=sr_1_1?keywords=Effects&amp;qid=1695258887&amp;sr=8-1", "https://www.amazon.com/Zoom-Electric-Guitar-G1X-FOUR/dp/B07MZPR5GP/ref=sr_1_1?keywords=Effects&amp;qid=1695258887&amp;sr=8-1")</f>
        <v/>
      </c>
      <c r="F17" t="inlineStr">
        <is>
          <t>B07MZPR5GP</t>
        </is>
      </c>
      <c r="G17">
        <f>IMAGE("https://mbrstore.com/wp-content/uploads/2022/06/01712_ShowerCare_200ml-copy-460x460.jpg")</f>
        <v/>
      </c>
      <c r="H17">
        <f>IMAGE("https://m.media-amazon.com/images/I/81lPUPAo-SL._AC_UL320_.jpg")</f>
        <v/>
      </c>
      <c r="I17" t="inlineStr">
        <is>
          <t>60.0</t>
        </is>
      </c>
      <c r="J17" t="n">
        <v>119.99</v>
      </c>
      <c r="K17" s="3" t="inlineStr">
        <is>
          <t>99.98%</t>
        </is>
      </c>
      <c r="L17" t="n">
        <v>4.5</v>
      </c>
      <c r="M17" t="n">
        <v>6902</v>
      </c>
      <c r="O17" t="inlineStr">
        <is>
          <t>InStock</t>
        </is>
      </c>
      <c r="P17" t="inlineStr">
        <is>
          <t>undefined</t>
        </is>
      </c>
      <c r="Q17" t="inlineStr">
        <is>
          <t>01712</t>
        </is>
      </c>
    </row>
    <row r="18">
      <c r="A18" s="2">
        <f>HYPERLINK("https://mbrstore.com/products/continueline-soft-tonic/", "https://mbrstore.com/products/continueline-soft-tonic/")</f>
        <v/>
      </c>
      <c r="B18" s="2">
        <f>HYPERLINK("https://mbrstore.com/products/continueline-soft-tonic/", "https://mbrstore.com/products/continueline-soft-tonic/")</f>
        <v/>
      </c>
      <c r="C18" t="inlineStr">
        <is>
          <t>Effects</t>
        </is>
      </c>
      <c r="D18" t="inlineStr">
        <is>
          <t>Donner Multi Effects Pedal, Arena 2000 Multieffects Processors Guitar Pedals with 278 Effects, 100 IRs, Looper, Drum Machine, Amp Modeling, Support XLR, MIDI IN</t>
        </is>
      </c>
      <c r="F18" t="inlineStr">
        <is>
          <t>B09XQRVFC3</t>
        </is>
      </c>
      <c r="G18">
        <f>IMAGE("https://mbrstore.com/wp-content/uploads/2022/03/01514_SoftTonic_150ml-copy-460x460.jpg")</f>
        <v/>
      </c>
      <c r="H18">
        <f>IMAGE("https://m.media-amazon.com/images/I/71n53VVee0L._AC_UL320_.jpg")</f>
        <v/>
      </c>
      <c r="I18" t="inlineStr">
        <is>
          <t>115.0</t>
        </is>
      </c>
      <c r="J18" t="n">
        <v>215.99</v>
      </c>
      <c r="K18" s="3" t="inlineStr">
        <is>
          <t>87.82%</t>
        </is>
      </c>
      <c r="L18" t="n">
        <v>4.3</v>
      </c>
      <c r="M18" t="n">
        <v>130</v>
      </c>
      <c r="O18" t="inlineStr">
        <is>
          <t>InStock</t>
        </is>
      </c>
      <c r="P18" t="inlineStr">
        <is>
          <t>undefined</t>
        </is>
      </c>
      <c r="Q18" t="inlineStr">
        <is>
          <t>01514</t>
        </is>
      </c>
    </row>
    <row r="19">
      <c r="A19" s="2">
        <f>HYPERLINK("https://mbrstore.com/products/mild-deo-cream/", "https://mbrstore.com/products/mild-deo-cream/")</f>
        <v/>
      </c>
      <c r="B19" s="2">
        <f>HYPERLINK("https://mbrstore.com/products/mild-deo-cream/", "https://mbrstore.com/products/mild-deo-cream/")</f>
        <v/>
      </c>
      <c r="C19" t="inlineStr">
        <is>
          <t>Effects</t>
        </is>
      </c>
      <c r="D19" t="inlineStr">
        <is>
          <t>Zoom G1X FOUR Guitar Multi-Effects Processor with Expression Pedal, With 70+ Built-in Effects, Amp Modeling, Looper, Rhythm Section, Tuner, Battery Powered</t>
        </is>
      </c>
      <c r="E19" s="2">
        <f>HYPERLINK("https://www.amazon.com/Zoom-Electric-Guitar-G1X-FOUR/dp/B07MZPR5GP/ref=sr_1_1?keywords=Effects&amp;qid=1695258890&amp;sr=8-1", "https://www.amazon.com/Zoom-Electric-Guitar-G1X-FOUR/dp/B07MZPR5GP/ref=sr_1_1?keywords=Effects&amp;qid=1695258890&amp;sr=8-1")</f>
        <v/>
      </c>
      <c r="F19" t="inlineStr">
        <is>
          <t>B07MZPR5GP</t>
        </is>
      </c>
      <c r="G19">
        <f>IMAGE("https://mbrstore.com/wp-content/uploads/2022/06/01713_MildDeoCream_50ml-copy-460x460.jpg")</f>
        <v/>
      </c>
      <c r="H19">
        <f>IMAGE("https://m.media-amazon.com/images/I/81lPUPAo-SL._AC_UL320_.jpg")</f>
        <v/>
      </c>
      <c r="I19" t="inlineStr">
        <is>
          <t>66.0</t>
        </is>
      </c>
      <c r="J19" t="n">
        <v>119.99</v>
      </c>
      <c r="K19" s="3" t="inlineStr">
        <is>
          <t>81.80%</t>
        </is>
      </c>
      <c r="L19" t="n">
        <v>4.5</v>
      </c>
      <c r="M19" t="n">
        <v>6902</v>
      </c>
      <c r="O19" t="inlineStr">
        <is>
          <t>InStock</t>
        </is>
      </c>
      <c r="P19" t="inlineStr">
        <is>
          <t>undefined</t>
        </is>
      </c>
      <c r="Q19" t="inlineStr">
        <is>
          <t>01713</t>
        </is>
      </c>
    </row>
    <row r="20">
      <c r="A20" s="2">
        <f>HYPERLINK("https://mbrstore.com/products/mild-deo-cream/", "https://mbrstore.com/products/mild-deo-cream/")</f>
        <v/>
      </c>
      <c r="B20" s="2">
        <f>HYPERLINK("https://mbrstore.com/products/mild-deo-cream/", "https://mbrstore.com/products/mild-deo-cream/")</f>
        <v/>
      </c>
      <c r="C20" t="inlineStr">
        <is>
          <t>Effects</t>
        </is>
      </c>
      <c r="D20" t="inlineStr">
        <is>
          <t>Zoom B1X FOUR Bass Multi-Effects Processor with Expression Pedal, With 70+ Built-in Effects, Amp Modeling, Looper, Rhythm Section, Tuner, Battery Powered</t>
        </is>
      </c>
      <c r="E20" s="2">
        <f>HYPERLINK("https://www.amazon.com/Zoom-Multi-Effects-Pedal-B1X-FOUR/dp/B07MZQNKYQ/ref=sr_1_10?keywords=Effects&amp;qid=1695258890&amp;sr=8-10", "https://www.amazon.com/Zoom-Multi-Effects-Pedal-B1X-FOUR/dp/B07MZQNKYQ/ref=sr_1_10?keywords=Effects&amp;qid=1695258890&amp;sr=8-10")</f>
        <v/>
      </c>
      <c r="F20" t="inlineStr">
        <is>
          <t>B07MZQNKYQ</t>
        </is>
      </c>
      <c r="G20">
        <f>IMAGE("https://mbrstore.com/wp-content/uploads/2022/06/01713_MildDeoCream_50ml-copy-460x460.jpg")</f>
        <v/>
      </c>
      <c r="H20">
        <f>IMAGE("https://m.media-amazon.com/images/I/81cA-alqJnL._AC_UL320_.jpg")</f>
        <v/>
      </c>
      <c r="I20" t="inlineStr">
        <is>
          <t>66.0</t>
        </is>
      </c>
      <c r="J20" t="n">
        <v>119.99</v>
      </c>
      <c r="K20" s="3" t="inlineStr">
        <is>
          <t>81.80%</t>
        </is>
      </c>
      <c r="L20" t="n">
        <v>4.6</v>
      </c>
      <c r="M20" t="n">
        <v>1484</v>
      </c>
      <c r="O20" t="inlineStr">
        <is>
          <t>InStock</t>
        </is>
      </c>
      <c r="P20" t="inlineStr">
        <is>
          <t>undefined</t>
        </is>
      </c>
      <c r="Q20" t="inlineStr">
        <is>
          <t>01713</t>
        </is>
      </c>
    </row>
    <row r="21">
      <c r="A21" s="2">
        <f>HYPERLINK("https://mbrstore.com/products/cell-power-lipo-peel/", "https://mbrstore.com/products/cell-power-lipo-peel/")</f>
        <v/>
      </c>
      <c r="B21" s="2">
        <f>HYPERLINK("https://mbrstore.com/products/cell-power-lipo-peel/", "https://mbrstore.com/products/cell-power-lipo-peel/")</f>
        <v/>
      </c>
      <c r="C21" t="inlineStr">
        <is>
          <t>Effects</t>
        </is>
      </c>
      <c r="D21" t="inlineStr">
        <is>
          <t>Fender Mustang LT25 Guitar Amp, 25-Watt Combo Amp, 30 Preset Effects with USB Audio Interface for Recording, 12.75Hx14.5Wx8.25D Inches, Wood, Black</t>
        </is>
      </c>
      <c r="E21" s="2">
        <f>HYPERLINK("https://www.amazon.com/Fender-Mustang-LT-25-Digital-Amplifier/dp/B07N29M92M/ref=sr_1_8?keywords=Effects&amp;qid=1695258869&amp;sr=8-8", "https://www.amazon.com/Fender-Mustang-LT-25-Digital-Amplifier/dp/B07N29M92M/ref=sr_1_8?keywords=Effects&amp;qid=1695258869&amp;sr=8-8")</f>
        <v/>
      </c>
      <c r="F21" t="inlineStr">
        <is>
          <t>B07N29M92M</t>
        </is>
      </c>
      <c r="G21">
        <f>IMAGE("https://mbrstore.com/wp-content/uploads/2022/03/01614_LipoPeel_200ml-copy-460x460.jpg")</f>
        <v/>
      </c>
      <c r="H21">
        <f>IMAGE("https://m.media-amazon.com/images/I/81oKmWyFJPL._AC_UL320_.jpg")</f>
        <v/>
      </c>
      <c r="I21" t="inlineStr">
        <is>
          <t>92.0</t>
        </is>
      </c>
      <c r="J21" t="n">
        <v>159.99</v>
      </c>
      <c r="K21" s="3" t="inlineStr">
        <is>
          <t>73.90%</t>
        </is>
      </c>
      <c r="L21" t="n">
        <v>4.8</v>
      </c>
      <c r="M21" t="n">
        <v>3110</v>
      </c>
      <c r="O21" t="inlineStr">
        <is>
          <t>InStock</t>
        </is>
      </c>
      <c r="P21" t="inlineStr">
        <is>
          <t>undefined</t>
        </is>
      </c>
      <c r="Q21" t="inlineStr">
        <is>
          <t>01614</t>
        </is>
      </c>
    </row>
    <row r="22">
      <c r="A22" s="2">
        <f>HYPERLINK("https://mbrstore.com/products/beta-enzyme/", "https://mbrstore.com/products/beta-enzyme/")</f>
        <v/>
      </c>
      <c r="B22" s="2">
        <f>HYPERLINK("https://mbrstore.com/products/beta-enzyme/", "https://mbrstore.com/products/beta-enzyme/")</f>
        <v/>
      </c>
      <c r="C22" t="inlineStr">
        <is>
          <t>Effects</t>
        </is>
      </c>
      <c r="D22" t="inlineStr">
        <is>
          <t>Fender Mustang LT25 Guitar Amp, 25-Watt Combo Amp, 30 Preset Effects with USB Audio Interface for Recording, 12.75Hx14.5Wx8.25D Inches, Wood, Black</t>
        </is>
      </c>
      <c r="E22" s="2">
        <f>HYPERLINK("https://www.amazon.com/Fender-Mustang-LT-25-Digital-Amplifier/dp/B07N29M92M/ref=sr_1_8?keywords=Effects&amp;qid=1695258869&amp;sr=8-8", "https://www.amazon.com/Fender-Mustang-LT-25-Digital-Amplifier/dp/B07N29M92M/ref=sr_1_8?keywords=Effects&amp;qid=1695258869&amp;sr=8-8")</f>
        <v/>
      </c>
      <c r="F22" t="inlineStr">
        <is>
          <t>B07N29M92M</t>
        </is>
      </c>
      <c r="G22">
        <f>IMAGE("https://mbrstore.com/wp-content/uploads/2022/03/01121_BetaEnzyme_30ml-copy-460x460.jpg")</f>
        <v/>
      </c>
      <c r="H22">
        <f>IMAGE("https://m.media-amazon.com/images/I/81oKmWyFJPL._AC_UL320_.jpg")</f>
        <v/>
      </c>
      <c r="I22" t="inlineStr">
        <is>
          <t>95.0</t>
        </is>
      </c>
      <c r="J22" t="n">
        <v>159.99</v>
      </c>
      <c r="K22" s="3" t="inlineStr">
        <is>
          <t>68.41%</t>
        </is>
      </c>
      <c r="L22" t="n">
        <v>4.8</v>
      </c>
      <c r="M22" t="n">
        <v>3110</v>
      </c>
      <c r="O22" t="inlineStr">
        <is>
          <t>InStock</t>
        </is>
      </c>
      <c r="P22" t="inlineStr">
        <is>
          <t>undefined</t>
        </is>
      </c>
      <c r="Q22" t="inlineStr">
        <is>
          <t>01121</t>
        </is>
      </c>
    </row>
    <row r="23">
      <c r="A23" s="2">
        <f>HYPERLINK("https://megababebeauty.com/collections/all-products/products/night-rescue", "https://megababebeauty.com/collections/all-products/products/night-rescue")</f>
        <v/>
      </c>
      <c r="B23" s="2">
        <f>HYPERLINK("https://megababebeauty.com/products/night-rescue", "https://megababebeauty.com/products/night-rescue")</f>
        <v/>
      </c>
      <c r="C23" t="inlineStr">
        <is>
          <t>Night Rescue</t>
        </is>
      </c>
      <c r="D23" t="inlineStr">
        <is>
          <t>Clark's Botanicals Retinol Rescue Overnight Cream: Night Cream with Hyaluronic Acid &amp; Vitamin C for All Skin Types, Patented Time-Release Retinol, Targets Fine Lines, Wrinkles, and Dryness, 60ml | 2oz</t>
        </is>
      </c>
      <c r="E23" s="2">
        <f>HYPERLINK("https://www.amazon.com/Clarks-Botanicals-Retinol-Rescue-Overnight/dp/B0BZQFD2J2/ref=sr_1_8?keywords=Night+Rescue&amp;qid=1695258962&amp;sr=8-8", "https://www.amazon.com/Clarks-Botanicals-Retinol-Rescue-Overnight/dp/B0BZQFD2J2/ref=sr_1_8?keywords=Night+Rescue&amp;qid=1695258962&amp;sr=8-8")</f>
        <v/>
      </c>
      <c r="F23" t="inlineStr">
        <is>
          <t>B0BZQFD2J2</t>
        </is>
      </c>
      <c r="G23">
        <f>IMAGE("https://megababebeauty.com/cdn/shop/files/NightRescueBEST2023Button_1080x.png?v=1689860537")</f>
        <v/>
      </c>
      <c r="H23">
        <f>IMAGE("https://m.media-amazon.com/images/I/61NVGZ1rYRL._AC_UY218_.jpg")</f>
        <v/>
      </c>
      <c r="I23" t="inlineStr">
        <is>
          <t>16.0</t>
        </is>
      </c>
      <c r="J23" t="n">
        <v>150</v>
      </c>
      <c r="K23" s="3" t="inlineStr">
        <is>
          <t>837.50%</t>
        </is>
      </c>
      <c r="L23" t="n">
        <v>4.3</v>
      </c>
      <c r="M23" t="n">
        <v>141</v>
      </c>
      <c r="O23" t="inlineStr">
        <is>
          <t>InStock</t>
        </is>
      </c>
      <c r="P23" t="inlineStr">
        <is>
          <t>undefined</t>
        </is>
      </c>
      <c r="Q23" t="inlineStr">
        <is>
          <t>7852153929896</t>
        </is>
      </c>
    </row>
    <row r="24">
      <c r="A24" s="2">
        <f>HYPERLINK("https://megababebeauty.com/collections/all-products/products/night-rescue", "https://megababebeauty.com/collections/all-products/products/night-rescue")</f>
        <v/>
      </c>
      <c r="B24" s="2">
        <f>HYPERLINK("https://megababebeauty.com/products/night-rescue", "https://megababebeauty.com/products/night-rescue")</f>
        <v/>
      </c>
      <c r="C24" t="inlineStr">
        <is>
          <t>Night Rescue</t>
        </is>
      </c>
      <c r="D24" t="inlineStr">
        <is>
          <t>Charlotte Tilbury Magic Night Rescue Cream 50Ml</t>
        </is>
      </c>
      <c r="E24" s="2">
        <f>HYPERLINK("https://www.amazon.com/Charlotte-Tilbury-Magic-Night-Rescue/dp/B01N6PX1K6/ref=sr_1_9?keywords=Night+Rescue&amp;qid=1695258962&amp;sr=8-9", "https://www.amazon.com/Charlotte-Tilbury-Magic-Night-Rescue/dp/B01N6PX1K6/ref=sr_1_9?keywords=Night+Rescue&amp;qid=1695258962&amp;sr=8-9")</f>
        <v/>
      </c>
      <c r="F24" t="inlineStr">
        <is>
          <t>B01N6PX1K6</t>
        </is>
      </c>
      <c r="G24">
        <f>IMAGE("https://megababebeauty.com/cdn/shop/files/NightRescueBEST2023Button_1080x.png?v=1689860537")</f>
        <v/>
      </c>
      <c r="H24">
        <f>IMAGE("https://m.media-amazon.com/images/I/31emOz0YGOL._AC_UY218_.jpg")</f>
        <v/>
      </c>
      <c r="I24" t="inlineStr">
        <is>
          <t>16.0</t>
        </is>
      </c>
      <c r="J24" t="n">
        <v>135.99</v>
      </c>
      <c r="K24" s="3" t="inlineStr">
        <is>
          <t>749.94%</t>
        </is>
      </c>
      <c r="L24" t="n">
        <v>4.4</v>
      </c>
      <c r="M24" t="n">
        <v>72</v>
      </c>
      <c r="O24" t="inlineStr">
        <is>
          <t>InStock</t>
        </is>
      </c>
      <c r="P24" t="inlineStr">
        <is>
          <t>undefined</t>
        </is>
      </c>
      <c r="Q24" t="inlineStr">
        <is>
          <t>7852153929896</t>
        </is>
      </c>
    </row>
    <row r="25">
      <c r="A25" s="2">
        <f>HYPERLINK("https://megababebeauty.com/collections/all-products/products/space-bar", "https://megababebeauty.com/collections/all-products/products/space-bar")</f>
        <v/>
      </c>
      <c r="B25" s="2">
        <f>HYPERLINK("https://megababebeauty.com/products/space-bar", "https://megababebeauty.com/products/space-bar")</f>
        <v/>
      </c>
      <c r="C25" t="inlineStr">
        <is>
          <t>Space Bar Underarm Soap</t>
        </is>
      </c>
      <c r="D25" t="inlineStr">
        <is>
          <t>Megababe Ultimate Underarm 3-Piece Bundle - Geo Deo Daily Deodorant 2.6 oz, Space Bar Detox Soap 3.5 oz &amp; Happy Pits Underarm Mask 3 fl oz | Odor Protection, Aluminum Free</t>
        </is>
      </c>
      <c r="E25" s="2">
        <f>HYPERLINK("https://www.amazon.com/Megababe-Ultimate-Underarm-3-Piece-Bundle/dp/B0BYF9RYV9/ref=sr_1_4?keywords=Space+Bar+Underarm+Soap&amp;qid=1695258962&amp;sr=8-4", "https://www.amazon.com/Megababe-Ultimate-Underarm-3-Piece-Bundle/dp/B0BYF9RYV9/ref=sr_1_4?keywords=Space+Bar+Underarm+Soap&amp;qid=1695258962&amp;sr=8-4")</f>
        <v/>
      </c>
      <c r="F25" t="inlineStr">
        <is>
          <t>B0BYF9RYV9</t>
        </is>
      </c>
      <c r="G25">
        <f>IMAGE("https://megababebeauty.com/cdn/shop/products/SpaceBarShapeButtonWhite-01_1080x.png?v=1625153428")</f>
        <v/>
      </c>
      <c r="H25">
        <f>IMAGE("https://m.media-amazon.com/images/I/81aBWNIO9dL._AC_UL320_.jpg")</f>
        <v/>
      </c>
      <c r="I25" t="inlineStr">
        <is>
          <t>8.0</t>
        </is>
      </c>
      <c r="J25" t="n">
        <v>36.99</v>
      </c>
      <c r="K25" s="3" t="inlineStr">
        <is>
          <t>362.38%</t>
        </is>
      </c>
      <c r="L25" t="n">
        <v>4.5</v>
      </c>
      <c r="M25" t="n">
        <v>2</v>
      </c>
      <c r="O25" t="inlineStr">
        <is>
          <t>InStock</t>
        </is>
      </c>
      <c r="P25" t="inlineStr">
        <is>
          <t>undefined</t>
        </is>
      </c>
      <c r="Q25" t="inlineStr">
        <is>
          <t>6135666442408</t>
        </is>
      </c>
    </row>
    <row r="26">
      <c r="A26" s="2">
        <f>HYPERLINK("https://megababebeauty.com/collections/all-products/products/space-bar", "https://megababebeauty.com/collections/all-products/products/space-bar")</f>
        <v/>
      </c>
      <c r="B26" s="2">
        <f>HYPERLINK("https://megababebeauty.com/products/space-bar", "https://megababebeauty.com/products/space-bar")</f>
        <v/>
      </c>
      <c r="C26" t="inlineStr">
        <is>
          <t>Space Bar Underarm Soap</t>
        </is>
      </c>
      <c r="D26" t="inlineStr">
        <is>
          <t>Megababe Ultimate Underarm 3-Piece Bundle - Smoothie Deo Daily Deodorant 2.6 oz, Space Bar Detox Soap 3.5 oz &amp; Happy Pits Underarm Mask 3 fl oz | Odor Protection, Aluminum Free</t>
        </is>
      </c>
      <c r="E26" s="2">
        <f>HYPERLINK("https://www.amazon.com/Megababe-Ultimate-Underarm-3-Piece-Bundle/dp/B0BYFD8H7H/ref=sr_1_5?keywords=Space+Bar+Underarm+Soap&amp;qid=1695258962&amp;sr=8-5", "https://www.amazon.com/Megababe-Ultimate-Underarm-3-Piece-Bundle/dp/B0BYFD8H7H/ref=sr_1_5?keywords=Space+Bar+Underarm+Soap&amp;qid=1695258962&amp;sr=8-5")</f>
        <v/>
      </c>
      <c r="F26" t="inlineStr">
        <is>
          <t>B0BYFD8H7H</t>
        </is>
      </c>
      <c r="G26">
        <f>IMAGE("https://megababebeauty.com/cdn/shop/products/SpaceBarShapeButtonWhite-01_1080x.png?v=1625153428")</f>
        <v/>
      </c>
      <c r="H26">
        <f>IMAGE("https://m.media-amazon.com/images/I/819I4qpWACL._AC_UL320_.jpg")</f>
        <v/>
      </c>
      <c r="I26" t="inlineStr">
        <is>
          <t>8.0</t>
        </is>
      </c>
      <c r="J26" t="n">
        <v>36.99</v>
      </c>
      <c r="K26" s="3" t="inlineStr">
        <is>
          <t>362.38%</t>
        </is>
      </c>
      <c r="L26" t="n">
        <v>5</v>
      </c>
      <c r="M26" t="n">
        <v>3</v>
      </c>
      <c r="O26" t="inlineStr">
        <is>
          <t>InStock</t>
        </is>
      </c>
      <c r="P26" t="inlineStr">
        <is>
          <t>undefined</t>
        </is>
      </c>
      <c r="Q26" t="inlineStr">
        <is>
          <t>6135666442408</t>
        </is>
      </c>
    </row>
    <row r="27">
      <c r="A27" s="2">
        <f>HYPERLINK("https://megababebeauty.com/collections/all-products/products/space-bar", "https://megababebeauty.com/collections/all-products/products/space-bar")</f>
        <v/>
      </c>
      <c r="B27" s="2">
        <f>HYPERLINK("https://megababebeauty.com/products/space-bar", "https://megababebeauty.com/products/space-bar")</f>
        <v/>
      </c>
      <c r="C27" t="inlineStr">
        <is>
          <t>Space Bar Underarm Soap</t>
        </is>
      </c>
      <c r="D27" t="inlineStr">
        <is>
          <t>Megababe Ultimate Underarm 3-Piece Bundle - Rosy Pits Daily Deodorant 2.6 oz, Space Bar Detox Soap 3.5 oz &amp; Happy Pits Underarm Mask 3 fl oz | Odor Protection, Aluminum Free</t>
        </is>
      </c>
      <c r="E27" s="2">
        <f>HYPERLINK("https://www.amazon.com/Megababe-Ultimate-Underarm-3-Piece-Bundle/dp/B0BYF9R4WL/ref=sr_1_10?keywords=Space+Bar+Underarm+Soap&amp;qid=1695258962&amp;sr=8-10", "https://www.amazon.com/Megababe-Ultimate-Underarm-3-Piece-Bundle/dp/B0BYF9R4WL/ref=sr_1_10?keywords=Space+Bar+Underarm+Soap&amp;qid=1695258962&amp;sr=8-10")</f>
        <v/>
      </c>
      <c r="F27" t="inlineStr">
        <is>
          <t>B0BYF9R4WL</t>
        </is>
      </c>
      <c r="G27">
        <f>IMAGE("https://megababebeauty.com/cdn/shop/products/SpaceBarShapeButtonWhite-01_1080x.png?v=1625153428")</f>
        <v/>
      </c>
      <c r="H27">
        <f>IMAGE("https://m.media-amazon.com/images/I/81rchDtU9jL._AC_UL320_.jpg")</f>
        <v/>
      </c>
      <c r="I27" t="inlineStr">
        <is>
          <t>8.0</t>
        </is>
      </c>
      <c r="J27" t="n">
        <v>36.99</v>
      </c>
      <c r="K27" s="3" t="inlineStr">
        <is>
          <t>362.38%</t>
        </is>
      </c>
      <c r="L27" t="n">
        <v>4</v>
      </c>
      <c r="M27" t="n">
        <v>3</v>
      </c>
      <c r="O27" t="inlineStr">
        <is>
          <t>InStock</t>
        </is>
      </c>
      <c r="P27" t="inlineStr">
        <is>
          <t>undefined</t>
        </is>
      </c>
      <c r="Q27" t="inlineStr">
        <is>
          <t>6135666442408</t>
        </is>
      </c>
    </row>
    <row r="28">
      <c r="A28" s="2">
        <f>HYPERLINK("https://megababebeauty.com/collections/all-products/products/night-rescue", "https://megababebeauty.com/collections/all-products/products/night-rescue")</f>
        <v/>
      </c>
      <c r="B28" s="2">
        <f>HYPERLINK("https://megababebeauty.com/products/night-rescue", "https://megababebeauty.com/products/night-rescue")</f>
        <v/>
      </c>
      <c r="C28" t="inlineStr">
        <is>
          <t>Night Rescue</t>
        </is>
      </c>
      <c r="D28" t="inlineStr">
        <is>
          <t>Nioxin Night Density Rescue, Overnight Leave-in Treatment, Antioxidant Serum for Hair Density and Thickness, 2.4 fl oz</t>
        </is>
      </c>
      <c r="E28" s="2">
        <f>HYPERLINK("https://www.amazon.com/Nioxin-Overnight-Treatment-Antioxidant-Thickness/dp/B087KG95BK/ref=sr_1_5?keywords=Night+Rescue&amp;qid=1695258962&amp;sr=8-5", "https://www.amazon.com/Nioxin-Overnight-Treatment-Antioxidant-Thickness/dp/B087KG95BK/ref=sr_1_5?keywords=Night+Rescue&amp;qid=1695258962&amp;sr=8-5")</f>
        <v/>
      </c>
      <c r="F28" t="inlineStr">
        <is>
          <t>B087KG95BK</t>
        </is>
      </c>
      <c r="G28">
        <f>IMAGE("https://megababebeauty.com/cdn/shop/files/NightRescueBEST2023Button_1080x.png?v=1689860537")</f>
        <v/>
      </c>
      <c r="H28">
        <f>IMAGE("https://m.media-amazon.com/images/I/61JzJnvxDrL._AC_UY218_.jpg")</f>
        <v/>
      </c>
      <c r="I28" t="inlineStr">
        <is>
          <t>16.0</t>
        </is>
      </c>
      <c r="J28" t="n">
        <v>50</v>
      </c>
      <c r="K28" s="3" t="inlineStr">
        <is>
          <t>212.50%</t>
        </is>
      </c>
      <c r="L28" t="n">
        <v>4.4</v>
      </c>
      <c r="M28" t="n">
        <v>920</v>
      </c>
      <c r="O28" t="inlineStr">
        <is>
          <t>InStock</t>
        </is>
      </c>
      <c r="P28" t="inlineStr">
        <is>
          <t>undefined</t>
        </is>
      </c>
      <c r="Q28" t="inlineStr">
        <is>
          <t>7852153929896</t>
        </is>
      </c>
    </row>
    <row r="29">
      <c r="A29" s="2">
        <f>HYPERLINK("https://megababebeauty.com/collections/all-products/products/rosy-pits", "https://megababebeauty.com/collections/all-products/products/rosy-pits")</f>
        <v/>
      </c>
      <c r="B29" s="2">
        <f>HYPERLINK("https://megababebeauty.com/products/rosy-pits", "https://megababebeauty.com/products/rosy-pits")</f>
        <v/>
      </c>
      <c r="C29" t="inlineStr">
        <is>
          <t>Rosy Pits</t>
        </is>
      </c>
      <c r="D29" t="inlineStr">
        <is>
          <t>Megababe Ultimate Underarm 3-Piece Bundle - Rosy Pits Daily Deodorant 2.6 oz, Space Bar Detox Soap 3.5 oz &amp; Happy Pits Underarm Mask 3 fl oz | Odor Protection, Aluminum Free</t>
        </is>
      </c>
      <c r="E29" s="2">
        <f>HYPERLINK("https://www.amazon.com/Megababe-Ultimate-Underarm-3-Piece-Bundle/dp/B0BYF9R4WL/ref=sr_1_2?keywords=Rosy+Pits&amp;qid=1695258962&amp;sr=8-2", "https://www.amazon.com/Megababe-Ultimate-Underarm-3-Piece-Bundle/dp/B0BYF9R4WL/ref=sr_1_2?keywords=Rosy+Pits&amp;qid=1695258962&amp;sr=8-2")</f>
        <v/>
      </c>
      <c r="F29" t="inlineStr">
        <is>
          <t>B0BYF9R4WL</t>
        </is>
      </c>
      <c r="G29">
        <f>IMAGE("https://megababebeauty.com/cdn/shop/products/RosyproductPage_1_1080x.png?v=1649717895")</f>
        <v/>
      </c>
      <c r="H29">
        <f>IMAGE("https://m.media-amazon.com/images/I/81rchDtU9jL._AC_UL320_.jpg")</f>
        <v/>
      </c>
      <c r="I29" t="inlineStr">
        <is>
          <t>14.0</t>
        </is>
      </c>
      <c r="J29" t="n">
        <v>36.99</v>
      </c>
      <c r="K29" s="3" t="inlineStr">
        <is>
          <t>164.21%</t>
        </is>
      </c>
      <c r="L29" t="n">
        <v>4</v>
      </c>
      <c r="M29" t="n">
        <v>3</v>
      </c>
      <c r="O29" t="inlineStr">
        <is>
          <t>InStock</t>
        </is>
      </c>
      <c r="P29" t="inlineStr">
        <is>
          <t>undefined</t>
        </is>
      </c>
      <c r="Q29" t="inlineStr">
        <is>
          <t>9587835922</t>
        </is>
      </c>
    </row>
    <row r="30">
      <c r="A30" s="2">
        <f>HYPERLINK("https://megababebeauty.com/collections/all-products/products/space-bar", "https://megababebeauty.com/collections/all-products/products/space-bar")</f>
        <v/>
      </c>
      <c r="B30" s="2">
        <f>HYPERLINK("https://megababebeauty.com/products/space-bar", "https://megababebeauty.com/products/space-bar")</f>
        <v/>
      </c>
      <c r="C30" t="inlineStr">
        <is>
          <t>Space Bar Underarm Soap</t>
        </is>
      </c>
      <c r="D30" t="inlineStr">
        <is>
          <t>Megababe Underarm 2-Piece Bundle - Smoothie Deo Daily Deodorant 2.6 oz &amp; Space Bar Detox Soap 3.5 oz | Odor Protection, Aluminum Free</t>
        </is>
      </c>
      <c r="E30" s="2">
        <f>HYPERLINK("https://www.amazon.com/Megababe-Underarm-2-Piece-Bundle-Protection/dp/B0BYF9W57D/ref=sr_1_7?keywords=Space+Bar+Underarm+Soap&amp;qid=1695258962&amp;sr=8-7", "https://www.amazon.com/Megababe-Underarm-2-Piece-Bundle-Protection/dp/B0BYF9W57D/ref=sr_1_7?keywords=Space+Bar+Underarm+Soap&amp;qid=1695258962&amp;sr=8-7")</f>
        <v/>
      </c>
      <c r="F30" t="inlineStr">
        <is>
          <t>B0BYF9W57D</t>
        </is>
      </c>
      <c r="G30">
        <f>IMAGE("https://megababebeauty.com/cdn/shop/products/SpaceBarShapeButtonWhite-01_1080x.png?v=1625153428")</f>
        <v/>
      </c>
      <c r="H30">
        <f>IMAGE("https://m.media-amazon.com/images/I/81ZVbaknWsL._AC_UL320_.jpg")</f>
        <v/>
      </c>
      <c r="I30" t="inlineStr">
        <is>
          <t>8.0</t>
        </is>
      </c>
      <c r="J30" t="n">
        <v>20.99</v>
      </c>
      <c r="K30" s="3" t="inlineStr">
        <is>
          <t>162.37%</t>
        </is>
      </c>
      <c r="L30" t="n">
        <v>4.8</v>
      </c>
      <c r="M30" t="n">
        <v>12</v>
      </c>
      <c r="O30" t="inlineStr">
        <is>
          <t>InStock</t>
        </is>
      </c>
      <c r="P30" t="inlineStr">
        <is>
          <t>undefined</t>
        </is>
      </c>
      <c r="Q30" t="inlineStr">
        <is>
          <t>6135666442408</t>
        </is>
      </c>
    </row>
    <row r="31">
      <c r="A31" s="2">
        <f>HYPERLINK("https://megababebeauty.com/collections/all-products/products/space-bar", "https://megababebeauty.com/collections/all-products/products/space-bar")</f>
        <v/>
      </c>
      <c r="B31" s="2">
        <f>HYPERLINK("https://megababebeauty.com/products/space-bar", "https://megababebeauty.com/products/space-bar")</f>
        <v/>
      </c>
      <c r="C31" t="inlineStr">
        <is>
          <t>Space Bar Underarm Soap</t>
        </is>
      </c>
      <c r="D31" t="inlineStr">
        <is>
          <t>Megababe Underarm 2-Piece Bundle - Rosy Pits Daily Deodorant 2.6 oz &amp; Space Bar Detox Soap 3.5 oz | Odor Protection, Aluminum Free</t>
        </is>
      </c>
      <c r="E31" s="2">
        <f>HYPERLINK("https://www.amazon.com/Megababe-Underarm-2-Piece-Bundle-Protection/dp/B0BYF7Z36F/ref=sr_1_3?keywords=Space+Bar+Underarm+Soap&amp;qid=1695258962&amp;sr=8-3", "https://www.amazon.com/Megababe-Underarm-2-Piece-Bundle-Protection/dp/B0BYF7Z36F/ref=sr_1_3?keywords=Space+Bar+Underarm+Soap&amp;qid=1695258962&amp;sr=8-3")</f>
        <v/>
      </c>
      <c r="F31" t="inlineStr">
        <is>
          <t>B0BYF7Z36F</t>
        </is>
      </c>
      <c r="G31">
        <f>IMAGE("https://megababebeauty.com/cdn/shop/products/SpaceBarShapeButtonWhite-01_1080x.png?v=1625153428")</f>
        <v/>
      </c>
      <c r="H31">
        <f>IMAGE("https://m.media-amazon.com/images/I/81t22AGQCeL._AC_UL320_.jpg")</f>
        <v/>
      </c>
      <c r="I31" t="inlineStr">
        <is>
          <t>8.0</t>
        </is>
      </c>
      <c r="J31" t="n">
        <v>20.99</v>
      </c>
      <c r="K31" s="3" t="inlineStr">
        <is>
          <t>162.37%</t>
        </is>
      </c>
      <c r="L31" t="n">
        <v>4.1</v>
      </c>
      <c r="M31" t="n">
        <v>5</v>
      </c>
      <c r="O31" t="inlineStr">
        <is>
          <t>InStock</t>
        </is>
      </c>
      <c r="P31" t="inlineStr">
        <is>
          <t>undefined</t>
        </is>
      </c>
      <c r="Q31" t="inlineStr">
        <is>
          <t>6135666442408</t>
        </is>
      </c>
    </row>
    <row r="32">
      <c r="A32" s="2">
        <f>HYPERLINK("https://megababebeauty.com/collections/all-products/products/happy-pits-underarm-mask", "https://megababebeauty.com/collections/all-products/products/happy-pits-underarm-mask")</f>
        <v/>
      </c>
      <c r="B32" s="2">
        <f>HYPERLINK("https://megababebeauty.com/products/happy-pits-underarm-mask", "https://megababebeauty.com/products/happy-pits-underarm-mask")</f>
        <v/>
      </c>
      <c r="C32" t="inlineStr">
        <is>
          <t>Happy Pits Underarm Mask</t>
        </is>
      </c>
      <c r="D32" t="inlineStr">
        <is>
          <t>Megababe Ultimate Underarm 3-Piece Bundle - Geo Deo Daily Deodorant 2.6 oz, Space Bar Detox Soap 3.5 oz &amp; Happy Pits Underarm Mask 3 fl oz | Odor Protection, Aluminum Free</t>
        </is>
      </c>
      <c r="E32" s="2">
        <f>HYPERLINK("https://www.amazon.com/Megababe-Ultimate-Underarm-3-Piece-Bundle/dp/B0BYF9RYV9/ref=sr_1_10?keywords=Happy+Pits+Underarm+Mask&amp;qid=1695258966&amp;sr=8-10", "https://www.amazon.com/Megababe-Ultimate-Underarm-3-Piece-Bundle/dp/B0BYF9RYV9/ref=sr_1_10?keywords=Happy+Pits+Underarm+Mask&amp;qid=1695258966&amp;sr=8-10")</f>
        <v/>
      </c>
      <c r="F32" t="inlineStr">
        <is>
          <t>B0BYF9RYV9</t>
        </is>
      </c>
      <c r="G32">
        <f>IMAGE("https://megababebeauty.com/cdn/shop/products/HappyPits_1080x.png?v=1649284211")</f>
        <v/>
      </c>
      <c r="H32">
        <f>IMAGE("https://m.media-amazon.com/images/I/81aBWNIO9dL._AC_UL320_.jpg")</f>
        <v/>
      </c>
      <c r="I32" t="inlineStr">
        <is>
          <t>16.0</t>
        </is>
      </c>
      <c r="J32" t="n">
        <v>36.99</v>
      </c>
      <c r="K32" s="3" t="inlineStr">
        <is>
          <t>131.19%</t>
        </is>
      </c>
      <c r="L32" t="n">
        <v>4.5</v>
      </c>
      <c r="M32" t="n">
        <v>2</v>
      </c>
      <c r="O32" t="inlineStr">
        <is>
          <t>InStock</t>
        </is>
      </c>
      <c r="P32" t="inlineStr">
        <is>
          <t>undefined</t>
        </is>
      </c>
      <c r="Q32" t="inlineStr">
        <is>
          <t>4186523304075</t>
        </is>
      </c>
    </row>
    <row r="33">
      <c r="A33" s="2">
        <f>HYPERLINK("https://megababebeauty.com/collections/all-products/products/happy-pits-underarm-mask", "https://megababebeauty.com/collections/all-products/products/happy-pits-underarm-mask")</f>
        <v/>
      </c>
      <c r="B33" s="2">
        <f>HYPERLINK("https://megababebeauty.com/products/happy-pits-underarm-mask", "https://megababebeauty.com/products/happy-pits-underarm-mask")</f>
        <v/>
      </c>
      <c r="C33" t="inlineStr">
        <is>
          <t>Happy Pits Underarm Mask</t>
        </is>
      </c>
      <c r="D33" t="inlineStr">
        <is>
          <t>Megababe Ultimate Underarm 3-Piece Bundle - Smoothie Deo Daily Deodorant 2.6 oz, Space Bar Detox Soap 3.5 oz &amp; Happy Pits Underarm Mask 3 fl oz | Odor Protection, Aluminum Free</t>
        </is>
      </c>
      <c r="E33" s="2">
        <f>HYPERLINK("https://www.amazon.com/Megababe-Ultimate-Underarm-3-Piece-Bundle/dp/B0BYFD8H7H/ref=sr_1_6?keywords=Happy+Pits+Underarm+Mask&amp;qid=1695258966&amp;sr=8-6", "https://www.amazon.com/Megababe-Ultimate-Underarm-3-Piece-Bundle/dp/B0BYFD8H7H/ref=sr_1_6?keywords=Happy+Pits+Underarm+Mask&amp;qid=1695258966&amp;sr=8-6")</f>
        <v/>
      </c>
      <c r="F33" t="inlineStr">
        <is>
          <t>B0BYFD8H7H</t>
        </is>
      </c>
      <c r="G33">
        <f>IMAGE("https://megababebeauty.com/cdn/shop/products/HappyPits_1080x.png?v=1649284211")</f>
        <v/>
      </c>
      <c r="H33">
        <f>IMAGE("https://m.media-amazon.com/images/I/819I4qpWACL._AC_UL320_.jpg")</f>
        <v/>
      </c>
      <c r="I33" t="inlineStr">
        <is>
          <t>16.0</t>
        </is>
      </c>
      <c r="J33" t="n">
        <v>36.99</v>
      </c>
      <c r="K33" s="3" t="inlineStr">
        <is>
          <t>131.19%</t>
        </is>
      </c>
      <c r="L33" t="n">
        <v>5</v>
      </c>
      <c r="M33" t="n">
        <v>3</v>
      </c>
      <c r="O33" t="inlineStr">
        <is>
          <t>InStock</t>
        </is>
      </c>
      <c r="P33" t="inlineStr">
        <is>
          <t>undefined</t>
        </is>
      </c>
      <c r="Q33" t="inlineStr">
        <is>
          <t>4186523304075</t>
        </is>
      </c>
    </row>
    <row r="34">
      <c r="A34" s="2">
        <f>HYPERLINK("https://megababebeauty.com/collections/all-products/products/happy-pits-underarm-mask", "https://megababebeauty.com/collections/all-products/products/happy-pits-underarm-mask")</f>
        <v/>
      </c>
      <c r="B34" s="2">
        <f>HYPERLINK("https://megababebeauty.com/products/happy-pits-underarm-mask", "https://megababebeauty.com/products/happy-pits-underarm-mask")</f>
        <v/>
      </c>
      <c r="C34" t="inlineStr">
        <is>
          <t>Happy Pits Underarm Mask</t>
        </is>
      </c>
      <c r="D34" t="inlineStr">
        <is>
          <t>Megababe Ultimate Underarm 3-Piece Bundle - Rosy Pits Daily Deodorant 2.6 oz, Space Bar Detox Soap 3.5 oz &amp; Happy Pits Underarm Mask 3 fl oz | Odor Protection, Aluminum Free</t>
        </is>
      </c>
      <c r="E34" s="2">
        <f>HYPERLINK("https://www.amazon.com/Megababe-Ultimate-Underarm-3-Piece-Bundle/dp/B0BYF9R4WL/ref=sr_1_8?keywords=Happy+Pits+Underarm+Mask&amp;qid=1695258966&amp;sr=8-8", "https://www.amazon.com/Megababe-Ultimate-Underarm-3-Piece-Bundle/dp/B0BYF9R4WL/ref=sr_1_8?keywords=Happy+Pits+Underarm+Mask&amp;qid=1695258966&amp;sr=8-8")</f>
        <v/>
      </c>
      <c r="F34" t="inlineStr">
        <is>
          <t>B0BYF9R4WL</t>
        </is>
      </c>
      <c r="G34">
        <f>IMAGE("https://megababebeauty.com/cdn/shop/products/HappyPits_1080x.png?v=1649284211")</f>
        <v/>
      </c>
      <c r="H34">
        <f>IMAGE("https://m.media-amazon.com/images/I/81rchDtU9jL._AC_UL320_.jpg")</f>
        <v/>
      </c>
      <c r="I34" t="inlineStr">
        <is>
          <t>16.0</t>
        </is>
      </c>
      <c r="J34" t="n">
        <v>36.99</v>
      </c>
      <c r="K34" s="3" t="inlineStr">
        <is>
          <t>131.19%</t>
        </is>
      </c>
      <c r="L34" t="n">
        <v>4</v>
      </c>
      <c r="M34" t="n">
        <v>3</v>
      </c>
      <c r="O34" t="inlineStr">
        <is>
          <t>InStock</t>
        </is>
      </c>
      <c r="P34" t="inlineStr">
        <is>
          <t>undefined</t>
        </is>
      </c>
      <c r="Q34" t="inlineStr">
        <is>
          <t>4186523304075</t>
        </is>
      </c>
    </row>
    <row r="35">
      <c r="A35" s="2">
        <f>HYPERLINK("https://megababebeauty.com/collections/all-products/products/magic-powder", "https://megababebeauty.com/collections/all-products/products/magic-powder")</f>
        <v/>
      </c>
      <c r="B35" s="2">
        <f>HYPERLINK("https://megababebeauty.com/products/magic-powder", "https://megababebeauty.com/products/magic-powder")</f>
        <v/>
      </c>
      <c r="C35" t="inlineStr">
        <is>
          <t>Magic Powder</t>
        </is>
      </c>
      <c r="D35" t="inlineStr">
        <is>
          <t>Herbs of Honor - Magic Powder Immune Support - Andrographis, Woad, Echinacea, Dandelion (120 Capsules)</t>
        </is>
      </c>
      <c r="E35" s="2">
        <f>HYPERLINK("https://www.amazon.com/Herbs-Honor-Andrographis-Echinacea-Dandelion/dp/B09RKLFZG2/ref=sr_1_5?keywords=Magic+Powder&amp;qid=1695258963&amp;sr=8-5", "https://www.amazon.com/Herbs-Honor-Andrographis-Echinacea-Dandelion/dp/B09RKLFZG2/ref=sr_1_5?keywords=Magic+Powder&amp;qid=1695258963&amp;sr=8-5")</f>
        <v/>
      </c>
      <c r="F35" t="inlineStr">
        <is>
          <t>B09RKLFZG2</t>
        </is>
      </c>
      <c r="G35">
        <f>IMAGE("https://megababebeauty.com/cdn/shop/products/MagicPowderfront_1_1080x.png?v=1655155548")</f>
        <v/>
      </c>
      <c r="H35">
        <f>IMAGE("https://m.media-amazon.com/images/I/61Dswg9NgWL._AC_UL320_.jpg")</f>
        <v/>
      </c>
      <c r="I35" t="inlineStr">
        <is>
          <t>16.0</t>
        </is>
      </c>
      <c r="J35" t="n">
        <v>35</v>
      </c>
      <c r="K35" s="3" t="inlineStr">
        <is>
          <t>118.75%</t>
        </is>
      </c>
      <c r="L35" t="n">
        <v>5</v>
      </c>
      <c r="M35" t="n">
        <v>15</v>
      </c>
      <c r="O35" t="inlineStr">
        <is>
          <t>InStock</t>
        </is>
      </c>
      <c r="P35" t="inlineStr">
        <is>
          <t>undefined</t>
        </is>
      </c>
      <c r="Q35" t="inlineStr">
        <is>
          <t>6570918576296</t>
        </is>
      </c>
    </row>
    <row r="36">
      <c r="A36" s="2">
        <f>HYPERLINK("https://megababebeauty.com/collections/all-products/products/rosy-pits", "https://megababebeauty.com/collections/all-products/products/rosy-pits")</f>
        <v/>
      </c>
      <c r="B36" s="2">
        <f>HYPERLINK("https://megababebeauty.com/products/rosy-pits", "https://megababebeauty.com/products/rosy-pits")</f>
        <v/>
      </c>
      <c r="C36" t="inlineStr">
        <is>
          <t>Rosy Pits</t>
        </is>
      </c>
      <c r="D36" t="inlineStr">
        <is>
          <t>Megababe Underarm 2-Piece Bundle - Rosy Pits Daily Deodorant 2.6 oz &amp; Happy Pits Underarm Mask 3 fl oz | Odor Protection, Aluminum Free</t>
        </is>
      </c>
      <c r="E36" s="2">
        <f>HYPERLINK("https://www.amazon.com/Megababe-Underarm-2-Piece-Bundle-Protection/dp/B0BWHKSRW9/ref=sr_1_5?keywords=Rosy+Pits&amp;qid=1695258962&amp;sr=8-5", "https://www.amazon.com/Megababe-Underarm-2-Piece-Bundle-Protection/dp/B0BWHKSRW9/ref=sr_1_5?keywords=Rosy+Pits&amp;qid=1695258962&amp;sr=8-5")</f>
        <v/>
      </c>
      <c r="F36" t="inlineStr">
        <is>
          <t>B0BWHKSRW9</t>
        </is>
      </c>
      <c r="G36">
        <f>IMAGE("https://megababebeauty.com/cdn/shop/products/RosyproductPage_1_1080x.png?v=1649717895")</f>
        <v/>
      </c>
      <c r="H36">
        <f>IMAGE("https://m.media-amazon.com/images/I/715+NDiU6xL._AC_UL320_.jpg")</f>
        <v/>
      </c>
      <c r="I36" t="inlineStr">
        <is>
          <t>14.0</t>
        </is>
      </c>
      <c r="J36" t="n">
        <v>28.99</v>
      </c>
      <c r="K36" s="3" t="inlineStr">
        <is>
          <t>107.07%</t>
        </is>
      </c>
      <c r="L36" t="n">
        <v>4.5</v>
      </c>
      <c r="M36" t="n">
        <v>2</v>
      </c>
      <c r="O36" t="inlineStr">
        <is>
          <t>InStock</t>
        </is>
      </c>
      <c r="P36" t="inlineStr">
        <is>
          <t>undefined</t>
        </is>
      </c>
      <c r="Q36" t="inlineStr">
        <is>
          <t>9587835922</t>
        </is>
      </c>
    </row>
    <row r="37">
      <c r="A37" s="2">
        <f>HYPERLINK("https://megababebeauty.com/collections/all-products/products/night-rescue", "https://megababebeauty.com/collections/all-products/products/night-rescue")</f>
        <v/>
      </c>
      <c r="B37" s="2">
        <f>HYPERLINK("https://megababebeauty.com/products/night-rescue", "https://megababebeauty.com/products/night-rescue")</f>
        <v/>
      </c>
      <c r="C37" t="inlineStr">
        <is>
          <t>Night Rescue</t>
        </is>
      </c>
      <c r="D37" t="inlineStr">
        <is>
          <t>Rescue Remedy Rescue Night Spray, 20 ML</t>
        </is>
      </c>
      <c r="E37" s="2">
        <f>HYPERLINK("https://www.amazon.com/Rescue-Night-Bach-Spray-20/dp/B001EIQ5FQ/ref=sr_1_7?keywords=Night+Rescue&amp;qid=1695258962&amp;sr=8-7", "https://www.amazon.com/Rescue-Night-Bach-Spray-20/dp/B001EIQ5FQ/ref=sr_1_7?keywords=Night+Rescue&amp;qid=1695258962&amp;sr=8-7")</f>
        <v/>
      </c>
      <c r="F37" t="inlineStr">
        <is>
          <t>B001EIQ5FQ</t>
        </is>
      </c>
      <c r="G37">
        <f>IMAGE("https://megababebeauty.com/cdn/shop/files/NightRescueBEST2023Button_1080x.png?v=1689860537")</f>
        <v/>
      </c>
      <c r="H37">
        <f>IMAGE("https://m.media-amazon.com/images/I/41PLS5R-y5L._AC_UY218_.jpg")</f>
        <v/>
      </c>
      <c r="I37" t="inlineStr">
        <is>
          <t>16.0</t>
        </is>
      </c>
      <c r="J37" t="n">
        <v>32.24</v>
      </c>
      <c r="K37" s="3" t="inlineStr">
        <is>
          <t>101.50%</t>
        </is>
      </c>
      <c r="L37" t="n">
        <v>4</v>
      </c>
      <c r="M37" t="n">
        <v>44</v>
      </c>
      <c r="O37" t="inlineStr">
        <is>
          <t>InStock</t>
        </is>
      </c>
      <c r="P37" t="inlineStr">
        <is>
          <t>undefined</t>
        </is>
      </c>
      <c r="Q37" t="inlineStr">
        <is>
          <t>7852153929896</t>
        </is>
      </c>
    </row>
    <row r="38">
      <c r="A38" s="2">
        <f>HYPERLINK("https://megababebeauty.com/collections/all-products/products/happy-pits-underarm-mask", "https://megababebeauty.com/collections/all-products/products/happy-pits-underarm-mask")</f>
        <v/>
      </c>
      <c r="B38" s="2">
        <f>HYPERLINK("https://megababebeauty.com/products/happy-pits-underarm-mask", "https://megababebeauty.com/products/happy-pits-underarm-mask")</f>
        <v/>
      </c>
      <c r="C38" t="inlineStr">
        <is>
          <t>Happy Pits Underarm Mask</t>
        </is>
      </c>
      <c r="D38" t="inlineStr">
        <is>
          <t>Megababe Underarm 2-Piece Bundle - Rosy Pits Daily Deodorant 2.6 oz &amp; Happy Pits Underarm Mask 3 fl oz | Odor Protection, Aluminum Free</t>
        </is>
      </c>
      <c r="E38" s="2">
        <f>HYPERLINK("https://www.amazon.com/Megababe-Underarm-2-Piece-Bundle-Protection/dp/B0BWHKSRW9/ref=sr_1_9?keywords=Happy+Pits+Underarm+Mask&amp;qid=1695258966&amp;sr=8-9", "https://www.amazon.com/Megababe-Underarm-2-Piece-Bundle-Protection/dp/B0BWHKSRW9/ref=sr_1_9?keywords=Happy+Pits+Underarm+Mask&amp;qid=1695258966&amp;sr=8-9")</f>
        <v/>
      </c>
      <c r="F38" t="inlineStr">
        <is>
          <t>B0BWHKSRW9</t>
        </is>
      </c>
      <c r="G38">
        <f>IMAGE("https://megababebeauty.com/cdn/shop/products/HappyPits_1080x.png?v=1649284211")</f>
        <v/>
      </c>
      <c r="H38">
        <f>IMAGE("https://m.media-amazon.com/images/I/715+NDiU6xL._AC_UL320_.jpg")</f>
        <v/>
      </c>
      <c r="I38" t="inlineStr">
        <is>
          <t>16.0</t>
        </is>
      </c>
      <c r="J38" t="n">
        <v>28.99</v>
      </c>
      <c r="K38" s="3" t="inlineStr">
        <is>
          <t>81.19%</t>
        </is>
      </c>
      <c r="L38" t="n">
        <v>4.5</v>
      </c>
      <c r="M38" t="n">
        <v>2</v>
      </c>
      <c r="O38" t="inlineStr">
        <is>
          <t>InStock</t>
        </is>
      </c>
      <c r="P38" t="inlineStr">
        <is>
          <t>undefined</t>
        </is>
      </c>
      <c r="Q38" t="inlineStr">
        <is>
          <t>4186523304075</t>
        </is>
      </c>
    </row>
    <row r="39">
      <c r="A39" s="2">
        <f>HYPERLINK("https://mineralandmatter.com/collections/home-goods/products/our-dining-table-large-contemporary-geometry-design-iridescent", "https://mineralandmatter.com/collections/home-goods/products/our-dining-table-large-contemporary-geometry-design-iridescent")</f>
        <v/>
      </c>
      <c r="B39" s="2">
        <f>HYPERLINK("https://mineralandmatter.com/products/our-dining-table-large-contemporary-geometry-design-iridescent", "https://mineralandmatter.com/products/our-dining-table-large-contemporary-geometry-design-iridescent")</f>
        <v/>
      </c>
      <c r="C39" t="inlineStr">
        <is>
          <t>Our Dining Table Contemporary Geometry Design Glass</t>
        </is>
      </c>
      <c r="D39" t="inlineStr">
        <is>
          <t>Signature Design by Ashley Barchoni Contemporary Round 39.5" Dining Room Table with A Marble Print Glass Top, White &amp; Goldtone Finish</t>
        </is>
      </c>
      <c r="E39" s="2">
        <f>HYPERLINK("https://www.amazon.com/Signature-Design-Ashley-Barchoni-Contemporary/dp/B0BV7XW1VM/ref=sr_1_7?keywords=Our+Dining+Table+Contemporary+Geometry+Design+Glass&amp;qid=1695259049&amp;sr=8-7", "https://www.amazon.com/Signature-Design-Ashley-Barchoni-Contemporary/dp/B0BV7XW1VM/ref=sr_1_7?keywords=Our+Dining+Table+Contemporary+Geometry+Design+Glass&amp;qid=1695259049&amp;sr=8-7")</f>
        <v/>
      </c>
      <c r="F39" t="inlineStr">
        <is>
          <t>B0BV7XW1VM</t>
        </is>
      </c>
      <c r="G39">
        <f>IMAGE("https://mineralandmatter.com/cdn/shop/products/b64502bb74b1f16eeec5eadd1fa103e9c1ec7d2b4522418b16f1019c31542c47_1080x.jpg?v=1683754835")</f>
        <v/>
      </c>
      <c r="H39">
        <f>IMAGE("https://m.media-amazon.com/images/I/51bH2OvqS-L._AC_UL320_.jpg")</f>
        <v/>
      </c>
      <c r="I39" t="inlineStr">
        <is>
          <t>24.99</t>
        </is>
      </c>
      <c r="J39" t="n">
        <v>349.99</v>
      </c>
      <c r="K39" s="3" t="inlineStr">
        <is>
          <t>1300.52%</t>
        </is>
      </c>
      <c r="L39" t="n">
        <v>5</v>
      </c>
      <c r="M39" t="n">
        <v>2</v>
      </c>
      <c r="O39" t="inlineStr">
        <is>
          <t>InStock</t>
        </is>
      </c>
      <c r="P39" t="inlineStr">
        <is>
          <t>undefined</t>
        </is>
      </c>
      <c r="Q39" t="inlineStr">
        <is>
          <t>8047252046059</t>
        </is>
      </c>
    </row>
    <row r="40">
      <c r="A40" s="2">
        <f>HYPERLINK("https://mineralandmatter.com/collections/home-goods/products/jk-rose-quartz-candle", "https://mineralandmatter.com/collections/home-goods/products/jk-rose-quartz-candle")</f>
        <v/>
      </c>
      <c r="B40" s="2">
        <f>HYPERLINK("https://mineralandmatter.com/products/jk-rose-quartz-candle", "https://mineralandmatter.com/products/jk-rose-quartz-candle")</f>
        <v/>
      </c>
      <c r="C40" t="inlineStr">
        <is>
          <t>JaxKelly Rose Quartz Candle</t>
        </is>
      </c>
      <c r="D40" t="inlineStr">
        <is>
          <t>Crystal Manifestation Candle to Attract Love and Abundance | Rose Quartz | Clear Quartz | Obsidian | 3-Wick Meditation Candle | Healing Crystal Candle | Candles with Crystals Inside</t>
        </is>
      </c>
      <c r="E40" s="2">
        <f>HYPERLINK("https://www.amazon.com/Manifestation-Abundance-Obsidian-Meditation-Crystals/dp/B0C4C2R2MR/ref=sr_1_8?keywords=JaxKelly+Rose+Quartz+Candle&amp;qid=1695259020&amp;sr=8-8", "https://www.amazon.com/Manifestation-Abundance-Obsidian-Meditation-Crystals/dp/B0C4C2R2MR/ref=sr_1_8?keywords=JaxKelly+Rose+Quartz+Candle&amp;qid=1695259020&amp;sr=8-8")</f>
        <v/>
      </c>
      <c r="F40" t="inlineStr">
        <is>
          <t>B0C4C2R2MR</t>
        </is>
      </c>
      <c r="G40">
        <f>IMAGE("http://mineralandmatter.com/cdn/shop/products/JXCandle.Rose_1200x1200.gif?v=1584995440")</f>
        <v/>
      </c>
      <c r="H40">
        <f>IMAGE("https://m.media-amazon.com/images/I/61la3K1pjQL._AC_UL320_.jpg")</f>
        <v/>
      </c>
      <c r="I40" t="inlineStr">
        <is>
          <t>13.99</t>
        </is>
      </c>
      <c r="J40" t="n">
        <v>29.95</v>
      </c>
      <c r="K40" s="3" t="inlineStr">
        <is>
          <t>114.08%</t>
        </is>
      </c>
      <c r="L40" t="n">
        <v>5</v>
      </c>
      <c r="M40" t="n">
        <v>25</v>
      </c>
      <c r="O40" t="inlineStr">
        <is>
          <t>OutOfStock</t>
        </is>
      </c>
      <c r="P40" t="inlineStr">
        <is>
          <t>27.99</t>
        </is>
      </c>
      <c r="Q40" t="inlineStr">
        <is>
          <t>4594636816477</t>
        </is>
      </c>
    </row>
    <row r="41">
      <c r="A41" s="2">
        <f>HYPERLINK("https://mineralandmatter.com/collections/home-goods/products/jk-rose-quartz-candle", "https://mineralandmatter.com/collections/home-goods/products/jk-rose-quartz-candle")</f>
        <v/>
      </c>
      <c r="B41" s="2">
        <f>HYPERLINK("https://mineralandmatter.com/products/jk-rose-quartz-candle", "https://mineralandmatter.com/products/jk-rose-quartz-candle")</f>
        <v/>
      </c>
      <c r="C41" t="inlineStr">
        <is>
          <t>JaxKelly Rose Quartz Candle</t>
        </is>
      </c>
      <c r="D41" t="inlineStr">
        <is>
          <t>ORCHID AURA Soy Candles with Healing Crystals. Citrine, Rose Quartz, Amethyst Crystal. Eucalyptus + Lemongrass, Jasmine + Sandalwood, Clary Sage + Lavender. 3PC Scented Candle Set, 2.47oz Each</t>
        </is>
      </c>
      <c r="E41" s="2">
        <f>HYPERLINK("https://www.amazon.com/ORCHID-AURA-Eucalyptus-Lemongrass-Sandalwood/dp/B08DZ8QWSN/ref=sr_1_5?keywords=JaxKelly+Rose+Quartz+Candle&amp;qid=1695259020&amp;sr=8-5", "https://www.amazon.com/ORCHID-AURA-Eucalyptus-Lemongrass-Sandalwood/dp/B08DZ8QWSN/ref=sr_1_5?keywords=JaxKelly+Rose+Quartz+Candle&amp;qid=1695259020&amp;sr=8-5")</f>
        <v/>
      </c>
      <c r="F41" t="inlineStr">
        <is>
          <t>B08DZ8QWSN</t>
        </is>
      </c>
      <c r="G41">
        <f>IMAGE("http://mineralandmatter.com/cdn/shop/products/JXCandle.Rose_1200x1200.gif?v=1584995440")</f>
        <v/>
      </c>
      <c r="H41">
        <f>IMAGE("https://m.media-amazon.com/images/I/71YoUbwOKsL._AC_UL320_.jpg")</f>
        <v/>
      </c>
      <c r="I41" t="inlineStr">
        <is>
          <t>13.99</t>
        </is>
      </c>
      <c r="J41" t="n">
        <v>24.97</v>
      </c>
      <c r="K41" s="3" t="inlineStr">
        <is>
          <t>78.48%</t>
        </is>
      </c>
      <c r="L41" t="n">
        <v>4.6</v>
      </c>
      <c r="M41" t="n">
        <v>1262</v>
      </c>
      <c r="O41" t="inlineStr">
        <is>
          <t>OutOfStock</t>
        </is>
      </c>
      <c r="P41" t="inlineStr">
        <is>
          <t>27.99</t>
        </is>
      </c>
      <c r="Q41" t="inlineStr">
        <is>
          <t>4594636816477</t>
        </is>
      </c>
    </row>
    <row r="42">
      <c r="A42" s="2">
        <f>HYPERLINK("https://mineralandmatter.com/collections/home-goods/products/jk-rose-quartz-candle", "https://mineralandmatter.com/collections/home-goods/products/jk-rose-quartz-candle")</f>
        <v/>
      </c>
      <c r="B42" s="2">
        <f>HYPERLINK("https://mineralandmatter.com/products/jk-rose-quartz-candle", "https://mineralandmatter.com/products/jk-rose-quartz-candle")</f>
        <v/>
      </c>
      <c r="C42" t="inlineStr">
        <is>
          <t>JaxKelly Rose Quartz Candle</t>
        </is>
      </c>
      <c r="D42" t="inlineStr">
        <is>
          <t>Healing Crystal Candle, French Vanilla Scented Rose Quartz Candle in 10 oz Jar - Natural Crystal for Love and Healing - Elegant Home Decor and Gift Idea</t>
        </is>
      </c>
      <c r="E42" s="2">
        <f>HYPERLINK("https://www.amazon.com/Healing-Crystal-Candle-Vanilla-Scented/dp/B0C4SG7CLH/ref=sr_1_2?keywords=JaxKelly+Rose+Quartz+Candle&amp;qid=1695259020&amp;sr=8-2", "https://www.amazon.com/Healing-Crystal-Candle-Vanilla-Scented/dp/B0C4SG7CLH/ref=sr_1_2?keywords=JaxKelly+Rose+Quartz+Candle&amp;qid=1695259020&amp;sr=8-2")</f>
        <v/>
      </c>
      <c r="F42" t="inlineStr">
        <is>
          <t>B0C4SG7CLH</t>
        </is>
      </c>
      <c r="G42">
        <f>IMAGE("http://mineralandmatter.com/cdn/shop/products/JXCandle.Rose_1200x1200.gif?v=1584995440")</f>
        <v/>
      </c>
      <c r="H42">
        <f>IMAGE("https://m.media-amazon.com/images/I/51mgudcmshL._AC_UL320_.jpg")</f>
        <v/>
      </c>
      <c r="I42" t="inlineStr">
        <is>
          <t>13.99</t>
        </is>
      </c>
      <c r="J42" t="n">
        <v>24.95</v>
      </c>
      <c r="K42" s="3" t="inlineStr">
        <is>
          <t>78.34%</t>
        </is>
      </c>
      <c r="L42" t="n">
        <v>4.4</v>
      </c>
      <c r="M42" t="n">
        <v>45</v>
      </c>
      <c r="O42" t="inlineStr">
        <is>
          <t>OutOfStock</t>
        </is>
      </c>
      <c r="P42" t="inlineStr">
        <is>
          <t>27.99</t>
        </is>
      </c>
      <c r="Q42" t="inlineStr">
        <is>
          <t>4594636816477</t>
        </is>
      </c>
    </row>
    <row r="43">
      <c r="A43" s="2">
        <f>HYPERLINK("https://mineralandmatter.com/collections/home-goods/products/jk-rose-quartz-candle", "https://mineralandmatter.com/collections/home-goods/products/jk-rose-quartz-candle")</f>
        <v/>
      </c>
      <c r="B43" s="2">
        <f>HYPERLINK("https://mineralandmatter.com/products/jk-rose-quartz-candle", "https://mineralandmatter.com/products/jk-rose-quartz-candle")</f>
        <v/>
      </c>
      <c r="C43" t="inlineStr">
        <is>
          <t>JaxKelly Rose Quartz Candle</t>
        </is>
      </c>
      <c r="D43" t="inlineStr">
        <is>
          <t>Healing Crystal Candle - Lavender Scented Healing Candles with Rose Quartz Crystals - Meditation Candle with Crystals Inside for Aromatherapy Manifestation</t>
        </is>
      </c>
      <c r="E43" s="2">
        <f>HYPERLINK("https://www.amazon.com/Healing-Crystal-Candle-meditation-Aromatherapy/dp/B09DB4D8MR/ref=sr_1_6?keywords=JaxKelly+Rose+Quartz+Candle&amp;qid=1695259020&amp;sr=8-6", "https://www.amazon.com/Healing-Crystal-Candle-meditation-Aromatherapy/dp/B09DB4D8MR/ref=sr_1_6?keywords=JaxKelly+Rose+Quartz+Candle&amp;qid=1695259020&amp;sr=8-6")</f>
        <v/>
      </c>
      <c r="F43" t="inlineStr">
        <is>
          <t>B09DB4D8MR</t>
        </is>
      </c>
      <c r="G43">
        <f>IMAGE("http://mineralandmatter.com/cdn/shop/products/JXCandle.Rose_1200x1200.gif?v=1584995440")</f>
        <v/>
      </c>
      <c r="H43">
        <f>IMAGE("https://m.media-amazon.com/images/I/41o0MDbM2VL._AC_UL320_.jpg")</f>
        <v/>
      </c>
      <c r="I43" t="inlineStr">
        <is>
          <t>13.99</t>
        </is>
      </c>
      <c r="J43" t="n">
        <v>22.99</v>
      </c>
      <c r="K43" s="3" t="inlineStr">
        <is>
          <t>64.33%</t>
        </is>
      </c>
      <c r="L43" t="n">
        <v>3.9</v>
      </c>
      <c r="M43" t="n">
        <v>208</v>
      </c>
      <c r="O43" t="inlineStr">
        <is>
          <t>OutOfStock</t>
        </is>
      </c>
      <c r="P43" t="inlineStr">
        <is>
          <t>27.99</t>
        </is>
      </c>
      <c r="Q43" t="inlineStr">
        <is>
          <t>4594636816477</t>
        </is>
      </c>
    </row>
    <row r="44">
      <c r="A44" s="2">
        <f>HYPERLINK("https://orlandohairsalon.myshopify.com/collections/frontpage/products/olaplex-no-5-bond-maintenance-conditioner", "https://orlandohairsalon.myshopify.com/collections/frontpage/products/olaplex-no-5-bond-maintenance-conditioner")</f>
        <v/>
      </c>
      <c r="B44" s="2">
        <f>HYPERLINK("https://orlandohairsalon.myshopify.com/products/olaplex-no-5-bond-maintenance-conditioner", "https://orlandohairsalon.myshopify.com/products/olaplex-no-5-bond-maintenance-conditioner")</f>
        <v/>
      </c>
      <c r="C44" t="inlineStr">
        <is>
          <t>Olaplex No. 5 Bond Maintenance Conditioner</t>
        </is>
      </c>
      <c r="D44" t="inlineStr">
        <is>
          <t>Olaplex No. 5 Bond Maintenance Conditioner, 1L</t>
        </is>
      </c>
      <c r="E44" s="2">
        <f>HYPERLINK("https://www.amazon.com/Olaplex-No-Bond-Maintenance-Conditioner/dp/B0BDBRK1B6/ref=sr_1_2?keywords=Olaplex+No.+5+Bond+Maintenance+Conditioner&amp;qid=1695259107&amp;sr=8-2", "https://www.amazon.com/Olaplex-No-Bond-Maintenance-Conditioner/dp/B0BDBRK1B6/ref=sr_1_2?keywords=Olaplex+No.+5+Bond+Maintenance+Conditioner&amp;qid=1695259107&amp;sr=8-2")</f>
        <v/>
      </c>
      <c r="F44" t="inlineStr">
        <is>
          <t>B0BDBRK1B6</t>
        </is>
      </c>
      <c r="G44">
        <f>IMAGE("https://orlandohairsalon.myshopify.com/cdn/shop/products/ola003_no5bondmaintenanceconditioner_1560x1960-gj9tz.jpg?v=1594422767")</f>
        <v/>
      </c>
      <c r="H44">
        <f>IMAGE("https://m.media-amazon.com/images/I/51yw7TTijcL._AC_UL320_.jpg")</f>
        <v/>
      </c>
      <c r="I44" t="inlineStr">
        <is>
          <t>23.99</t>
        </is>
      </c>
      <c r="J44" t="n">
        <v>76.8</v>
      </c>
      <c r="K44" s="3" t="inlineStr">
        <is>
          <t>220.13%</t>
        </is>
      </c>
      <c r="L44" t="n">
        <v>4.8</v>
      </c>
      <c r="M44" t="n">
        <v>541</v>
      </c>
      <c r="O44" t="inlineStr">
        <is>
          <t>InStock</t>
        </is>
      </c>
      <c r="P44" t="inlineStr">
        <is>
          <t>28.0</t>
        </is>
      </c>
      <c r="Q44" t="inlineStr">
        <is>
          <t>5364874084503</t>
        </is>
      </c>
    </row>
    <row r="45">
      <c r="A45" s="2">
        <f>HYPERLINK("https://orlandohairsalon.myshopify.com/collections/frontpage/products/olaplex-no-4-shampoo-8-5fl-oz", "https://orlandohairsalon.myshopify.com/collections/frontpage/products/olaplex-no-4-shampoo-8-5fl-oz")</f>
        <v/>
      </c>
      <c r="B45" s="2">
        <f>HYPERLINK("https://orlandohairsalon.myshopify.com/products/olaplex-no-4-shampoo-8-5fl-oz", "https://orlandohairsalon.myshopify.com/products/olaplex-no-4-shampoo-8-5fl-oz")</f>
        <v/>
      </c>
      <c r="C45" t="inlineStr">
        <is>
          <t>Olaplex No 4 Shampoo</t>
        </is>
      </c>
      <c r="D45" t="inlineStr">
        <is>
          <t>Olaplex No. 4 Bond Maintenance Shampoo, 1L</t>
        </is>
      </c>
      <c r="E45" s="2">
        <f>HYPERLINK("https://www.amazon.com/Olaplex-No-Bond-Maintenance-Shampoo/dp/B0BDBL9LVF/ref=sr_1_6?keywords=Olaplex+No+4+Shampoo&amp;qid=1695259114&amp;sr=8-6", "https://www.amazon.com/Olaplex-No-Bond-Maintenance-Shampoo/dp/B0BDBL9LVF/ref=sr_1_6?keywords=Olaplex+No+4+Shampoo&amp;qid=1695259114&amp;sr=8-6")</f>
        <v/>
      </c>
      <c r="F45" t="inlineStr">
        <is>
          <t>B0BDBL9LVF</t>
        </is>
      </c>
      <c r="G45">
        <f>IMAGE("https://orlandohairsalon.myshopify.com/cdn/shop/products/ola4.jpg?v=1594421016")</f>
        <v/>
      </c>
      <c r="H45">
        <f>IMAGE("https://m.media-amazon.com/images/I/51DSR2tISmL._AC_UL320_.jpg")</f>
        <v/>
      </c>
      <c r="I45" t="inlineStr">
        <is>
          <t>24.99</t>
        </is>
      </c>
      <c r="J45" t="n">
        <v>76.8</v>
      </c>
      <c r="K45" s="3" t="inlineStr">
        <is>
          <t>207.32%</t>
        </is>
      </c>
      <c r="L45" t="n">
        <v>4.8</v>
      </c>
      <c r="M45" t="n">
        <v>621</v>
      </c>
      <c r="O45" t="inlineStr">
        <is>
          <t>InStock</t>
        </is>
      </c>
      <c r="P45" t="inlineStr">
        <is>
          <t>28.0</t>
        </is>
      </c>
      <c r="Q45" t="inlineStr">
        <is>
          <t>5364830699671</t>
        </is>
      </c>
    </row>
    <row r="46">
      <c r="A46" s="2">
        <f>HYPERLINK("https://professionalsolutions.net/products/bright-beauty-peeling-pads", "https://professionalsolutions.net/products/bright-beauty-peeling-pads")</f>
        <v/>
      </c>
      <c r="B46" s="2">
        <f>HYPERLINK("https://professionalsolutions.net/products/bright-beauty-peeling-pads", "https://professionalsolutions.net/products/bright-beauty-peeling-pads")</f>
        <v/>
      </c>
      <c r="C46" t="inlineStr">
        <is>
          <t>Bright Beauty Peeling Pads</t>
        </is>
      </c>
      <c r="D46" t="inlineStr">
        <is>
          <t>Bella Schneider Beauty Facial Cleanser Peel Pads, Culmine Extra Strength Exfoliating Skin Pads for Healthy, Clean &amp; Brighter Skin, Salicylic and Glycolic Acid Pads for Face Cleanser</t>
        </is>
      </c>
      <c r="E46" s="2">
        <f>HYPERLINK("https://www.amazon.com/Bella-Schneider-Beauty-Exfoliating-Salicylic/dp/B00DGKH5VS/ref=sr_1_4?keywords=Bright+Beauty+Peeling+Pads&amp;qid=1695259183&amp;sr=8-4", "https://www.amazon.com/Bella-Schneider-Beauty-Exfoliating-Salicylic/dp/B00DGKH5VS/ref=sr_1_4?keywords=Bright+Beauty+Peeling+Pads&amp;qid=1695259183&amp;sr=8-4")</f>
        <v/>
      </c>
      <c r="F46" t="inlineStr">
        <is>
          <t>B00DGKH5VS</t>
        </is>
      </c>
      <c r="G46">
        <f>IMAGE("https://professionalsolutions.net/cdn/shop/products/bright-beauty-peeling-pads.png?v=1580232089")</f>
        <v/>
      </c>
      <c r="H46">
        <f>IMAGE("https://m.media-amazon.com/images/I/51EhfGvq3SL._AC_UL320_.jpg")</f>
        <v/>
      </c>
      <c r="I46" t="inlineStr">
        <is>
          <t>33.0</t>
        </is>
      </c>
      <c r="J46" t="n">
        <v>68</v>
      </c>
      <c r="K46" s="3" t="inlineStr">
        <is>
          <t>106.06%</t>
        </is>
      </c>
      <c r="L46" t="n">
        <v>4.6</v>
      </c>
      <c r="M46" t="n">
        <v>14</v>
      </c>
      <c r="O46" t="inlineStr">
        <is>
          <t>InStock</t>
        </is>
      </c>
      <c r="P46" t="inlineStr">
        <is>
          <t>undefined</t>
        </is>
      </c>
      <c r="Q46" t="inlineStr">
        <is>
          <t>4383439749193</t>
        </is>
      </c>
    </row>
    <row r="47">
      <c r="A47" s="2">
        <f>HYPERLINK("https://professionalsolutions.net/products/professional-skin-care-cucumber-eye-cream", "https://professionalsolutions.net/products/professional-skin-care-cucumber-eye-cream")</f>
        <v/>
      </c>
      <c r="B47" s="2">
        <f>HYPERLINK("https://professionalsolutions.net/products/professional-skin-care-cucumber-eye-cream", "https://professionalsolutions.net/products/professional-skin-care-cucumber-eye-cream")</f>
        <v/>
      </c>
      <c r="C47" t="inlineStr">
        <is>
          <t>Cucumber Eye Cream</t>
        </is>
      </c>
      <c r="D47" t="inlineStr">
        <is>
          <t>Shir-Organic Pure Cucumber Eye Cream For Dark Circles Eye Puffiness Wrinkles Instant Hydration Anti Aging Eye Cream for All Skin Type (15 ML)</t>
        </is>
      </c>
      <c r="E47" s="2">
        <f>HYPERLINK("https://www.amazon.com/Shir-Organic-Cucumber-Circles-Puffiness-Wrinkles/dp/B08JM46G9W/ref=sr_1_3?keywords=Cucumber+Eye+Cream&amp;qid=1695259182&amp;sr=8-3", "https://www.amazon.com/Shir-Organic-Cucumber-Circles-Puffiness-Wrinkles/dp/B08JM46G9W/ref=sr_1_3?keywords=Cucumber+Eye+Cream&amp;qid=1695259182&amp;sr=8-3")</f>
        <v/>
      </c>
      <c r="F47" t="inlineStr">
        <is>
          <t>B08JM46G9W</t>
        </is>
      </c>
      <c r="G47">
        <f>IMAGE("https://professionalsolutions.net/cdn/shop/products/cucumber-eye-cream.png?v=1526497045")</f>
        <v/>
      </c>
      <c r="H47">
        <f>IMAGE("https://m.media-amazon.com/images/I/71Mv0EDInML._AC_UL320_.jpg")</f>
        <v/>
      </c>
      <c r="I47" t="inlineStr">
        <is>
          <t>22.0</t>
        </is>
      </c>
      <c r="J47" t="n">
        <v>39</v>
      </c>
      <c r="K47" s="3" t="inlineStr">
        <is>
          <t>77.27%</t>
        </is>
      </c>
      <c r="L47" t="n">
        <v>3.9</v>
      </c>
      <c r="M47" t="n">
        <v>29</v>
      </c>
      <c r="O47" t="inlineStr">
        <is>
          <t>InStock</t>
        </is>
      </c>
      <c r="P47" t="inlineStr">
        <is>
          <t>undefined</t>
        </is>
      </c>
      <c r="Q47" t="inlineStr">
        <is>
          <t>661691531315</t>
        </is>
      </c>
    </row>
    <row r="48">
      <c r="A48" s="2">
        <f>HYPERLINK("https://prolisok-store.com/collections/personal-care/products/eau-du-soir-by-sisley-deodorant-spray-5-oz", "https://prolisok-store.com/collections/personal-care/products/eau-du-soir-by-sisley-deodorant-spray-5-oz")</f>
        <v/>
      </c>
      <c r="B48" s="2">
        <f>HYPERLINK("https://prolisok-store.com/products/eau-du-soir-by-sisley-deodorant-spray-5-oz", "https://prolisok-store.com/products/eau-du-soir-by-sisley-deodorant-spray-5-oz")</f>
        <v/>
      </c>
      <c r="C48" t="inlineStr">
        <is>
          <t>Eau du soir by sisley deodorant spray 5 oz</t>
        </is>
      </c>
      <c r="D48" t="inlineStr">
        <is>
          <t>Sisley Eau Du Soir Eau De Parfum Spray 3oz/ 100 Ml for Women By 3fl Oz</t>
        </is>
      </c>
      <c r="E48" s="2">
        <f>HYPERLINK("https://www.amazon.com/Sisley-Soir-Parfum-Spray-Women/dp/B00022DIO6/ref=sr_1_7?keywords=Eau+du+soir+by+sisley+deodorant+spray+5+oz&amp;qid=1695259253&amp;sr=8-7", "https://www.amazon.com/Sisley-Soir-Parfum-Spray-Women/dp/B00022DIO6/ref=sr_1_7?keywords=Eau+du+soir+by+sisley+deodorant+spray+5+oz&amp;qid=1695259253&amp;sr=8-7")</f>
        <v/>
      </c>
      <c r="F48" t="inlineStr">
        <is>
          <t>B00022DIO6</t>
        </is>
      </c>
      <c r="G48">
        <f>IMAGE("https://prolisok-store.com/cdn/shop/products/287064_300x.jpg?v=1690900587")</f>
        <v/>
      </c>
      <c r="H48">
        <f>IMAGE("https://m.media-amazon.com/images/I/61zktumd26L._AC_UL320_.jpg")</f>
        <v/>
      </c>
      <c r="I48" t="inlineStr">
        <is>
          <t>63.89</t>
        </is>
      </c>
      <c r="J48" t="n">
        <v>124.45</v>
      </c>
      <c r="K48" s="3" t="inlineStr">
        <is>
          <t>94.79%</t>
        </is>
      </c>
      <c r="L48" t="n">
        <v>4.2</v>
      </c>
      <c r="M48" t="n">
        <v>74</v>
      </c>
      <c r="O48" t="inlineStr">
        <is>
          <t>InStock</t>
        </is>
      </c>
      <c r="P48" t="inlineStr">
        <is>
          <t>undefined</t>
        </is>
      </c>
      <c r="Q48" t="inlineStr">
        <is>
          <t>6769981784136</t>
        </is>
      </c>
    </row>
    <row r="49">
      <c r="A49" s="2">
        <f>HYPERLINK("https://prolisok-store.com/collections/premium/products/atelier-cologne-oolang-infini-cologne-3-3-ounce", "https://prolisok-store.com/collections/premium/products/atelier-cologne-oolang-infini-cologne-3-3-ounce")</f>
        <v/>
      </c>
      <c r="B49" s="2">
        <f>HYPERLINK("https://prolisok-store.com/products/atelier-cologne-oolang-infini-cologne-3-3-ounce", "https://prolisok-store.com/products/atelier-cologne-oolang-infini-cologne-3-3-ounce")</f>
        <v/>
      </c>
      <c r="C49" t="inlineStr">
        <is>
          <t>Atelier Cologne Oolang Infini Cologne, 3.3 Ounce</t>
        </is>
      </c>
      <c r="D49" t="inlineStr">
        <is>
          <t>Atelier Cologne Eau de Parfum, Oolang Infini, 6.7 Ounce</t>
        </is>
      </c>
      <c r="E49" s="2">
        <f>HYPERLINK("https://www.amazon.com/Atelier-Cologne-Parfum-Oolang-Infini/dp/B007PPGZTS/ref=sr_1_2?keywords=atelier+cologne+oolong+infini+cologne%2C+3.3+ounce&amp;qid=1695259290&amp;sr=8-2", "https://www.amazon.com/Atelier-Cologne-Parfum-Oolang-Infini/dp/B007PPGZTS/ref=sr_1_2?keywords=atelier+cologne+oolong+infini+cologne%2C+3.3+ounce&amp;qid=1695259290&amp;sr=8-2")</f>
        <v/>
      </c>
      <c r="F49" t="inlineStr">
        <is>
          <t>B007PPGZTS</t>
        </is>
      </c>
      <c r="G49">
        <f>IMAGE("https://prolisok-store.com/cdn/shop/products/AtelierCologneOolangInfini-1_300x.jpg?v=1683715757")</f>
        <v/>
      </c>
      <c r="H49">
        <f>IMAGE("https://m.media-amazon.com/images/I/61TeyY+pbnL._AC_UL320_.jpg")</f>
        <v/>
      </c>
      <c r="I49" t="inlineStr">
        <is>
          <t>49.99</t>
        </is>
      </c>
      <c r="J49" t="n">
        <v>223.05</v>
      </c>
      <c r="K49" s="3" t="inlineStr">
        <is>
          <t>346.19%</t>
        </is>
      </c>
      <c r="L49" t="n">
        <v>4.3</v>
      </c>
      <c r="M49" t="n">
        <v>147</v>
      </c>
      <c r="O49" t="inlineStr">
        <is>
          <t>InStock</t>
        </is>
      </c>
      <c r="P49" t="inlineStr">
        <is>
          <t>undefined</t>
        </is>
      </c>
      <c r="Q49" t="inlineStr">
        <is>
          <t>6758114099272</t>
        </is>
      </c>
    </row>
    <row r="50">
      <c r="A50" s="2">
        <f>HYPERLINK("https://prolisok-store.com/collections/premium/products/3ce-mood-recipe-matte-lip-color-909", "https://prolisok-store.com/collections/premium/products/3ce-mood-recipe-matte-lip-color-909")</f>
        <v/>
      </c>
      <c r="B50" s="2">
        <f>HYPERLINK("https://prolisok-store.com/products/3ce-mood-recipe-matte-lip-color-909", "https://prolisok-store.com/products/3ce-mood-recipe-matte-lip-color-909")</f>
        <v/>
      </c>
      <c r="C50" t="inlineStr">
        <is>
          <t>3CE Mood Recipe Matte Lip Color, 909</t>
        </is>
      </c>
      <c r="D50" t="inlineStr">
        <is>
          <t>3CE MOOD RECIPE MATTE LIP COLOR # 222</t>
        </is>
      </c>
      <c r="E50" s="2">
        <f>HYPERLINK("https://www.amazon.com/3CE-MOOD-RECIPE-MATTE-COLOR/dp/B0777JF4PR/ref=sr_1_4?keywords=3CE+Mood+Recipe+Matte+Lip+Color%2C+909&amp;qid=1695259303&amp;sr=8-4", "https://www.amazon.com/3CE-MOOD-RECIPE-MATTE-COLOR/dp/B0777JF4PR/ref=sr_1_4?keywords=3CE+Mood+Recipe+Matte+Lip+Color%2C+909&amp;qid=1695259303&amp;sr=8-4")</f>
        <v/>
      </c>
      <c r="F50" t="inlineStr">
        <is>
          <t>B0777JF4PR</t>
        </is>
      </c>
      <c r="G50">
        <f>IMAGE("https://prolisok-store.com/cdn/shop/files/41q_eA_m8iL._SL1000_300x.jpg?v=1693221579")</f>
        <v/>
      </c>
      <c r="H50">
        <f>IMAGE("https://m.media-amazon.com/images/I/41lZN7xGY7L._AC_UL320_.jpg")</f>
        <v/>
      </c>
      <c r="I50" t="inlineStr">
        <is>
          <t>7.99</t>
        </is>
      </c>
      <c r="J50" t="n">
        <v>32</v>
      </c>
      <c r="K50" s="3" t="inlineStr">
        <is>
          <t>300.50%</t>
        </is>
      </c>
      <c r="L50" t="n">
        <v>4</v>
      </c>
      <c r="M50" t="n">
        <v>35</v>
      </c>
      <c r="O50" t="inlineStr">
        <is>
          <t>InStock</t>
        </is>
      </c>
      <c r="P50" t="inlineStr">
        <is>
          <t>undefined</t>
        </is>
      </c>
      <c r="Q50" t="inlineStr">
        <is>
          <t>6771911360584</t>
        </is>
      </c>
    </row>
    <row r="51">
      <c r="A51" s="2">
        <f>HYPERLINK("https://prolisok-store.com/collections/premium/products/3ce-mood-recipe-matte-lip-color-116", "https://prolisok-store.com/collections/premium/products/3ce-mood-recipe-matte-lip-color-116")</f>
        <v/>
      </c>
      <c r="B51" s="2">
        <f>HYPERLINK("https://prolisok-store.com/products/3ce-mood-recipe-matte-lip-color-116", "https://prolisok-store.com/products/3ce-mood-recipe-matte-lip-color-116")</f>
        <v/>
      </c>
      <c r="C51" t="inlineStr">
        <is>
          <t>3CE Mood Recipe Matte Lip Color, 116</t>
        </is>
      </c>
      <c r="D51" t="inlineStr">
        <is>
          <t>3CE MOOD RECIPE MATTE LIP COLOR #218</t>
        </is>
      </c>
      <c r="E51" s="2">
        <f>HYPERLINK("https://www.amazon.com/3CE-MOOD-RECIPE-MATTE-COLOR/dp/B0777DZC8Q/ref=sr_1_6?keywords=3CE+Mood+Recipe+Matte+Lip+Color%2C+116&amp;qid=1695259303&amp;sr=8-6", "https://www.amazon.com/3CE-MOOD-RECIPE-MATTE-COLOR/dp/B0777DZC8Q/ref=sr_1_6?keywords=3CE+Mood+Recipe+Matte+Lip+Color%2C+116&amp;qid=1695259303&amp;sr=8-6")</f>
        <v/>
      </c>
      <c r="F51" t="inlineStr">
        <is>
          <t>B0777DZC8Q</t>
        </is>
      </c>
      <c r="G51">
        <f>IMAGE("https://prolisok-store.com/cdn/shop/files/31C87n4RBaL_300x.jpg?v=1693221452")</f>
        <v/>
      </c>
      <c r="H51">
        <f>IMAGE("https://m.media-amazon.com/images/I/31TEnxtE9lL._AC_UL320_.jpg")</f>
        <v/>
      </c>
      <c r="I51" t="inlineStr">
        <is>
          <t>7.99</t>
        </is>
      </c>
      <c r="J51" t="n">
        <v>32</v>
      </c>
      <c r="K51" s="3" t="inlineStr">
        <is>
          <t>300.50%</t>
        </is>
      </c>
      <c r="L51" t="n">
        <v>5</v>
      </c>
      <c r="M51" t="n">
        <v>2</v>
      </c>
      <c r="O51" t="inlineStr">
        <is>
          <t>InStock</t>
        </is>
      </c>
      <c r="P51" t="inlineStr">
        <is>
          <t>undefined</t>
        </is>
      </c>
      <c r="Q51" t="inlineStr">
        <is>
          <t>6771911327816</t>
        </is>
      </c>
    </row>
    <row r="52">
      <c r="A52" s="2">
        <f>HYPERLINK("https://prolisok-store.com/collections/premium/products/3ce-mood-recipe-matte-lip-color-116", "https://prolisok-store.com/collections/premium/products/3ce-mood-recipe-matte-lip-color-116")</f>
        <v/>
      </c>
      <c r="B52" s="2">
        <f>HYPERLINK("https://prolisok-store.com/products/3ce-mood-recipe-matte-lip-color-116", "https://prolisok-store.com/products/3ce-mood-recipe-matte-lip-color-116")</f>
        <v/>
      </c>
      <c r="C52" t="inlineStr">
        <is>
          <t>3CE Mood Recipe Matte Lip Color, 116</t>
        </is>
      </c>
      <c r="D52" t="inlineStr">
        <is>
          <t>3CE MOOD RECIPE MATTE LIP COLOR # 222</t>
        </is>
      </c>
      <c r="E52" s="2">
        <f>HYPERLINK("https://www.amazon.com/3CE-MOOD-RECIPE-MATTE-COLOR/dp/B0777JF4PR/ref=sr_1_5?keywords=3CE+Mood+Recipe+Matte+Lip+Color%2C+116&amp;qid=1695259303&amp;sr=8-5", "https://www.amazon.com/3CE-MOOD-RECIPE-MATTE-COLOR/dp/B0777JF4PR/ref=sr_1_5?keywords=3CE+Mood+Recipe+Matte+Lip+Color%2C+116&amp;qid=1695259303&amp;sr=8-5")</f>
        <v/>
      </c>
      <c r="F52" t="inlineStr">
        <is>
          <t>B0777JF4PR</t>
        </is>
      </c>
      <c r="G52">
        <f>IMAGE("https://prolisok-store.com/cdn/shop/files/31C87n4RBaL_300x.jpg?v=1693221452")</f>
        <v/>
      </c>
      <c r="H52">
        <f>IMAGE("https://m.media-amazon.com/images/I/41lZN7xGY7L._AC_UL320_.jpg")</f>
        <v/>
      </c>
      <c r="I52" t="inlineStr">
        <is>
          <t>7.99</t>
        </is>
      </c>
      <c r="J52" t="n">
        <v>32</v>
      </c>
      <c r="K52" s="3" t="inlineStr">
        <is>
          <t>300.50%</t>
        </is>
      </c>
      <c r="L52" t="n">
        <v>4</v>
      </c>
      <c r="M52" t="n">
        <v>35</v>
      </c>
      <c r="O52" t="inlineStr">
        <is>
          <t>InStock</t>
        </is>
      </c>
      <c r="P52" t="inlineStr">
        <is>
          <t>undefined</t>
        </is>
      </c>
      <c r="Q52" t="inlineStr">
        <is>
          <t>6771911327816</t>
        </is>
      </c>
    </row>
    <row r="53">
      <c r="A53" s="2">
        <f>HYPERLINK("https://prolisok-store.com/collections/premium/products/3ce-mood-recipe-matte-lip-color-909", "https://prolisok-store.com/collections/premium/products/3ce-mood-recipe-matte-lip-color-909")</f>
        <v/>
      </c>
      <c r="B53" s="2">
        <f>HYPERLINK("https://prolisok-store.com/products/3ce-mood-recipe-matte-lip-color-909", "https://prolisok-store.com/products/3ce-mood-recipe-matte-lip-color-909")</f>
        <v/>
      </c>
      <c r="C53" t="inlineStr">
        <is>
          <t>3CE Mood Recipe Matte Lip Color, 909</t>
        </is>
      </c>
      <c r="D53" t="inlineStr">
        <is>
          <t>3CE MOOD RECIPE MATTE LIP COLOR #218</t>
        </is>
      </c>
      <c r="E53" s="2">
        <f>HYPERLINK("https://www.amazon.com/3CE-MOOD-RECIPE-MATTE-COLOR/dp/B0777DZC8Q/ref=sr_1_6?keywords=3CE+Mood+Recipe+Matte+Lip+Color%2C+909&amp;qid=1695259303&amp;sr=8-6", "https://www.amazon.com/3CE-MOOD-RECIPE-MATTE-COLOR/dp/B0777DZC8Q/ref=sr_1_6?keywords=3CE+Mood+Recipe+Matte+Lip+Color%2C+909&amp;qid=1695259303&amp;sr=8-6")</f>
        <v/>
      </c>
      <c r="F53" t="inlineStr">
        <is>
          <t>B0777DZC8Q</t>
        </is>
      </c>
      <c r="G53">
        <f>IMAGE("https://prolisok-store.com/cdn/shop/files/41q_eA_m8iL._SL1000_300x.jpg?v=1693221579")</f>
        <v/>
      </c>
      <c r="H53">
        <f>IMAGE("https://m.media-amazon.com/images/I/31TEnxtE9lL._AC_UL320_.jpg")</f>
        <v/>
      </c>
      <c r="I53" t="inlineStr">
        <is>
          <t>7.99</t>
        </is>
      </c>
      <c r="J53" t="n">
        <v>32</v>
      </c>
      <c r="K53" s="3" t="inlineStr">
        <is>
          <t>300.50%</t>
        </is>
      </c>
      <c r="L53" t="n">
        <v>5</v>
      </c>
      <c r="M53" t="n">
        <v>2</v>
      </c>
      <c r="O53" t="inlineStr">
        <is>
          <t>InStock</t>
        </is>
      </c>
      <c r="P53" t="inlineStr">
        <is>
          <t>undefined</t>
        </is>
      </c>
      <c r="Q53" t="inlineStr">
        <is>
          <t>6771911360584</t>
        </is>
      </c>
    </row>
    <row r="54">
      <c r="A54" s="2">
        <f>HYPERLINK("https://prolisok-store.com/collections/premium/products/la-mer-soft-fluid-found-sf20-120", "https://prolisok-store.com/collections/premium/products/la-mer-soft-fluid-found-sf20-120")</f>
        <v/>
      </c>
      <c r="B54" s="2">
        <f>HYPERLINK("https://prolisok-store.com/products/la-mer-soft-fluid-found-sf20-120", "https://prolisok-store.com/products/la-mer-soft-fluid-found-sf20-120")</f>
        <v/>
      </c>
      <c r="C54" t="inlineStr">
        <is>
          <t>La Mer Soft Fluid Foundation SF20 120</t>
        </is>
      </c>
      <c r="D54" t="inlineStr">
        <is>
          <t>LA MER The Soft Fluid Long Wear Foundation SPF20 30 ml.# Shell - for Light skin with Cool undertone</t>
        </is>
      </c>
      <c r="E54" s="2">
        <f>HYPERLINK("https://www.amazon.com/Soft-Fluid-Foundation-SPF20-Shell/dp/B01MG7U45H/ref=sr_1_9?keywords=La+Mer+Soft+Fluid+Foundation+SF20+120&amp;qid=1695259292&amp;sr=8-9", "https://www.amazon.com/Soft-Fluid-Foundation-SPF20-Shell/dp/B01MG7U45H/ref=sr_1_9?keywords=La+Mer+Soft+Fluid+Foundation+SF20+120&amp;qid=1695259292&amp;sr=8-9")</f>
        <v/>
      </c>
      <c r="F54" t="inlineStr">
        <is>
          <t>B01MG7U45H</t>
        </is>
      </c>
      <c r="G54">
        <f>IMAGE("https://prolisok-store.com/cdn/shop/products/41uQN86fQQL._SL1000_300x.jpg?v=1674030569")</f>
        <v/>
      </c>
      <c r="H54">
        <f>IMAGE("https://m.media-amazon.com/images/I/71101CnQpFL._AC_UL320_.jpg")</f>
        <v/>
      </c>
      <c r="I54" t="inlineStr">
        <is>
          <t>49.99</t>
        </is>
      </c>
      <c r="J54" t="n">
        <v>200</v>
      </c>
      <c r="K54" s="3" t="inlineStr">
        <is>
          <t>300.08%</t>
        </is>
      </c>
      <c r="L54" t="n">
        <v>4.1</v>
      </c>
      <c r="M54" t="n">
        <v>12</v>
      </c>
      <c r="O54" t="inlineStr">
        <is>
          <t>InStock</t>
        </is>
      </c>
      <c r="P54" t="inlineStr">
        <is>
          <t>undefined</t>
        </is>
      </c>
      <c r="Q54" t="inlineStr">
        <is>
          <t>6708763459656</t>
        </is>
      </c>
    </row>
    <row r="55">
      <c r="A55" s="2">
        <f>HYPERLINK("https://prolisok-store.com/collections/premium/products/elixir-superieur-enrich-wrinkle-cream-l-22g", "https://prolisok-store.com/collections/premium/products/elixir-superieur-enrich-wrinkle-cream-l-22g")</f>
        <v/>
      </c>
      <c r="B55" s="2">
        <f>HYPERLINK("https://prolisok-store.com/products/elixir-superieur-enrich-wrinkle-cream-l-22g", "https://prolisok-store.com/products/elixir-superieur-enrich-wrinkle-cream-l-22g")</f>
        <v/>
      </c>
      <c r="C55" t="inlineStr">
        <is>
          <t>ELIXIR SUPERIEUR Enriched Wrinkle Cream L 22g</t>
        </is>
      </c>
      <c r="D55" t="inlineStr">
        <is>
          <t>Japan Health and Beauty - Shiseido Elixir Superieur Enriched cream CB 45g csAF27</t>
        </is>
      </c>
      <c r="E55" s="2">
        <f>HYPERLINK("https://www.amazon.com/Japan-Health-Beauty-Shiseido-Superieur/dp/B016VYIAYQ/ref=sr_1_2?keywords=ELIXIR+SUPERIEUR+Enriched+Wrinkle+Cream+L+22g&amp;qid=1695259304&amp;sr=8-2", "https://www.amazon.com/Japan-Health-Beauty-Shiseido-Superieur/dp/B016VYIAYQ/ref=sr_1_2?keywords=ELIXIR+SUPERIEUR+Enriched+Wrinkle+Cream+L+22g&amp;qid=1695259304&amp;sr=8-2")</f>
        <v/>
      </c>
      <c r="F55" t="inlineStr">
        <is>
          <t>B016VYIAYQ</t>
        </is>
      </c>
      <c r="G55">
        <f>IMAGE("https://prolisok-store.com/cdn/shop/files/61mKag_0VYL._SL1500_300x.jpg?v=1692865233")</f>
        <v/>
      </c>
      <c r="H55">
        <f>IMAGE("https://m.media-amazon.com/images/I/71b6HQpuekL._AC_UL320_.jpg")</f>
        <v/>
      </c>
      <c r="I55" t="inlineStr">
        <is>
          <t>39.99</t>
        </is>
      </c>
      <c r="J55" t="n">
        <v>154.99</v>
      </c>
      <c r="K55" s="3" t="inlineStr">
        <is>
          <t>287.57%</t>
        </is>
      </c>
      <c r="L55" t="n">
        <v>4.2</v>
      </c>
      <c r="M55" t="n">
        <v>46</v>
      </c>
      <c r="O55" t="inlineStr">
        <is>
          <t>InStock</t>
        </is>
      </c>
      <c r="P55" t="inlineStr">
        <is>
          <t>undefined</t>
        </is>
      </c>
      <c r="Q55" t="inlineStr">
        <is>
          <t>6771755614280</t>
        </is>
      </c>
    </row>
    <row r="56">
      <c r="A56" s="2">
        <f>HYPERLINK("https://prolisok-store.com/collections/premium/products/3ce-mood-recipe-matte-lip-color-116", "https://prolisok-store.com/collections/premium/products/3ce-mood-recipe-matte-lip-color-116")</f>
        <v/>
      </c>
      <c r="B56" s="2">
        <f>HYPERLINK("https://prolisok-store.com/products/3ce-mood-recipe-matte-lip-color-116", "https://prolisok-store.com/products/3ce-mood-recipe-matte-lip-color-116")</f>
        <v/>
      </c>
      <c r="C56" t="inlineStr">
        <is>
          <t>3CE Mood Recipe Matte Lip Color, 116</t>
        </is>
      </c>
      <c r="D56" t="inlineStr">
        <is>
          <t>3CE (MOOD RECIPE) (MATTE LIP COLOR #222)</t>
        </is>
      </c>
      <c r="E56" s="2">
        <f>HYPERLINK("https://www.amazon.com/3CE-MOOD-RECIPE-MATTE-COLOR/dp/B078TCLM3H/ref=sr_1_10?keywords=3CE+Mood+Recipe+Matte+Lip+Color%2C+116&amp;qid=1695259303&amp;sr=8-10", "https://www.amazon.com/3CE-MOOD-RECIPE-MATTE-COLOR/dp/B078TCLM3H/ref=sr_1_10?keywords=3CE+Mood+Recipe+Matte+Lip+Color%2C+116&amp;qid=1695259303&amp;sr=8-10")</f>
        <v/>
      </c>
      <c r="F56" t="inlineStr">
        <is>
          <t>B078TCLM3H</t>
        </is>
      </c>
      <c r="G56">
        <f>IMAGE("https://prolisok-store.com/cdn/shop/files/31C87n4RBaL_300x.jpg?v=1693221452")</f>
        <v/>
      </c>
      <c r="H56">
        <f>IMAGE("https://m.media-amazon.com/images/I/41Yh+Te0AjL._AC_UL320_.jpg")</f>
        <v/>
      </c>
      <c r="I56" t="inlineStr">
        <is>
          <t>7.99</t>
        </is>
      </c>
      <c r="J56" t="n">
        <v>29.99</v>
      </c>
      <c r="K56" s="3" t="inlineStr">
        <is>
          <t>275.34%</t>
        </is>
      </c>
      <c r="L56" t="n">
        <v>4.5</v>
      </c>
      <c r="M56" t="n">
        <v>6</v>
      </c>
      <c r="O56" t="inlineStr">
        <is>
          <t>InStock</t>
        </is>
      </c>
      <c r="P56" t="inlineStr">
        <is>
          <t>undefined</t>
        </is>
      </c>
      <c r="Q56" t="inlineStr">
        <is>
          <t>6771911327816</t>
        </is>
      </c>
    </row>
    <row r="57">
      <c r="A57" s="2">
        <f>HYPERLINK("https://prolisok-store.com/collections/premium/products/drunk-elephant-lala-retro-whipped-cream-50-milliliters", "https://prolisok-store.com/collections/premium/products/drunk-elephant-lala-retro-whipped-cream-50-milliliters")</f>
        <v/>
      </c>
      <c r="B57" s="2">
        <f>HYPERLINK("https://prolisok-store.com/products/drunk-elephant-lala-retro-whipped-cream-50-milliliters", "https://prolisok-store.com/products/drunk-elephant-lala-retro-whipped-cream-50-milliliters")</f>
        <v/>
      </c>
      <c r="C57" t="inlineStr">
        <is>
          <t>Drunk Elephant Lala Retro Whipped Cream 50 Milliliters</t>
        </is>
      </c>
      <c r="D57" t="inlineStr">
        <is>
          <t>Drunk Elephant Full Sized Retro Renew Facial Duo - Skin Renewal Facial Duo. T.L.C. Sukari Babyfacial (50 mL / 1.69 Fl Oz) Lala Retro Whipped Cream Facial Moisturizer (50 mL / 1.69 Fl Oz)</t>
        </is>
      </c>
      <c r="E57" s="2">
        <f>HYPERLINK("https://www.amazon.com/Drunk-Elephant-Renewal-Babyfacial-Moisturizer/dp/B07CH6Y844/ref=sr_1_3?keywords=Drunk+Elephant+Lala+Retro+Whipped+Cream+50+Milliliters&amp;qid=1695259287&amp;sr=8-3", "https://www.amazon.com/Drunk-Elephant-Renewal-Babyfacial-Moisturizer/dp/B07CH6Y844/ref=sr_1_3?keywords=Drunk+Elephant+Lala+Retro+Whipped+Cream+50+Milliliters&amp;qid=1695259287&amp;sr=8-3")</f>
        <v/>
      </c>
      <c r="F57" t="inlineStr">
        <is>
          <t>B07CH6Y844</t>
        </is>
      </c>
      <c r="G57">
        <f>IMAGE("https://prolisok-store.com/cdn/shop/files/51ybUrn6ZWL._SL1500_300x.jpg?v=1686223860")</f>
        <v/>
      </c>
      <c r="H57">
        <f>IMAGE("https://m.media-amazon.com/images/I/51F8VPkHiXL._AC_UL320_.jpg")</f>
        <v/>
      </c>
      <c r="I57" t="inlineStr">
        <is>
          <t>34.99</t>
        </is>
      </c>
      <c r="J57" t="n">
        <v>129.99</v>
      </c>
      <c r="K57" s="3" t="inlineStr">
        <is>
          <t>271.51%</t>
        </is>
      </c>
      <c r="L57" t="n">
        <v>4.5</v>
      </c>
      <c r="M57" t="n">
        <v>97</v>
      </c>
      <c r="O57" t="inlineStr">
        <is>
          <t>InStock</t>
        </is>
      </c>
      <c r="P57" t="inlineStr">
        <is>
          <t>60.0</t>
        </is>
      </c>
      <c r="Q57" t="inlineStr">
        <is>
          <t>6762921427016</t>
        </is>
      </c>
    </row>
    <row r="58">
      <c r="A58" s="2">
        <f>HYPERLINK("https://prolisok-store.com/collections/premium/products/zo-skin-health-daily-power-defense", "https://prolisok-store.com/collections/premium/products/zo-skin-health-daily-power-defense")</f>
        <v/>
      </c>
      <c r="B58" s="2">
        <f>HYPERLINK("https://prolisok-store.com/products/zo-skin-health-daily-power-defense", "https://prolisok-store.com/products/zo-skin-health-daily-power-defense")</f>
        <v/>
      </c>
      <c r="C58" t="inlineStr">
        <is>
          <t>ZO Skin Health Daily Power Defense</t>
        </is>
      </c>
      <c r="D58" t="inlineStr">
        <is>
          <t>ZO SKIN HEALTH Daily Power Defense (50ml / 1.7 Fl Oz)</t>
        </is>
      </c>
      <c r="E58" s="2">
        <f>HYPERLINK("https://www.amazon.com/ZO-SKIN-HEALTH-Daily-Defense/dp/B0C3WFQFCD/ref=sr_1_1?keywords=ZO+Skin+Health+Daily+Power+Defense&amp;qid=1695259288&amp;sr=8-1", "https://www.amazon.com/ZO-SKIN-HEALTH-Daily-Defense/dp/B0C3WFQFCD/ref=sr_1_1?keywords=ZO+Skin+Health+Daily+Power+Defense&amp;qid=1695259288&amp;sr=8-1")</f>
        <v/>
      </c>
      <c r="F58" t="inlineStr">
        <is>
          <t>B0C3WFQFCD</t>
        </is>
      </c>
      <c r="G58">
        <f>IMAGE("https://prolisok-store.com/cdn/shop/files/dpd.mob.pdp.gbl_300x.png?v=1682669514")</f>
        <v/>
      </c>
      <c r="H58">
        <f>IMAGE("https://m.media-amazon.com/images/I/51rIjPg9UYL._AC_UL320_.jpg")</f>
        <v/>
      </c>
      <c r="I58" t="inlineStr">
        <is>
          <t>29.99</t>
        </is>
      </c>
      <c r="J58" t="n">
        <v>110.48</v>
      </c>
      <c r="K58" s="3" t="inlineStr">
        <is>
          <t>268.39%</t>
        </is>
      </c>
      <c r="L58" t="n">
        <v>4.4</v>
      </c>
      <c r="M58" t="n">
        <v>33</v>
      </c>
      <c r="O58" t="inlineStr">
        <is>
          <t>InStock</t>
        </is>
      </c>
      <c r="P58" t="inlineStr">
        <is>
          <t>undefined</t>
        </is>
      </c>
      <c r="Q58" t="inlineStr">
        <is>
          <t>6758899220552</t>
        </is>
      </c>
    </row>
    <row r="59">
      <c r="A59" s="2">
        <f>HYPERLINK("https://prolisok-store.com/collections/premium/products/3ce-mood-recipe-face-blush-rose-beige", "https://prolisok-store.com/collections/premium/products/3ce-mood-recipe-face-blush-rose-beige")</f>
        <v/>
      </c>
      <c r="B59" s="2">
        <f>HYPERLINK("https://prolisok-store.com/products/3ce-mood-recipe-face-blush-rose-beige", "https://prolisok-store.com/products/3ce-mood-recipe-face-blush-rose-beige")</f>
        <v/>
      </c>
      <c r="C59" t="inlineStr">
        <is>
          <t>3CE Mood Recipe Face Blush - #Rose Beige</t>
        </is>
      </c>
      <c r="D59" t="inlineStr">
        <is>
          <t>3CE MOOD RECIPE FACE BLUSH (# MONO PINK)</t>
        </is>
      </c>
      <c r="E59" s="2">
        <f>HYPERLINK("https://www.amazon.com/MOOD-RECIPE-FACE-BLUSH-MONO/dp/B0777NGV7S/ref=sr_1_5?keywords=3CE+Mood+Recipe+Face+Blush+-&amp;qid=1695259301&amp;sr=8-5", "https://www.amazon.com/MOOD-RECIPE-FACE-BLUSH-MONO/dp/B0777NGV7S/ref=sr_1_5?keywords=3CE+Mood+Recipe+Face+Blush+-&amp;qid=1695259301&amp;sr=8-5")</f>
        <v/>
      </c>
      <c r="F59" t="inlineStr">
        <is>
          <t>B0777NGV7S</t>
        </is>
      </c>
      <c r="G59">
        <f>IMAGE("https://prolisok-store.com/cdn/shop/files/31TTnrkqldL_300x.jpg?v=1683820558")</f>
        <v/>
      </c>
      <c r="H59">
        <f>IMAGE("https://m.media-amazon.com/images/I/31rkG9bJNoL._AC_UL320_.jpg")</f>
        <v/>
      </c>
      <c r="I59" t="inlineStr">
        <is>
          <t>7.99</t>
        </is>
      </c>
      <c r="J59" t="n">
        <v>28.79</v>
      </c>
      <c r="K59" s="3" t="inlineStr">
        <is>
          <t>260.33%</t>
        </is>
      </c>
      <c r="L59" t="n">
        <v>4.6</v>
      </c>
      <c r="M59" t="n">
        <v>22</v>
      </c>
      <c r="O59" t="inlineStr">
        <is>
          <t>InStock</t>
        </is>
      </c>
      <c r="P59" t="inlineStr">
        <is>
          <t>undefined</t>
        </is>
      </c>
      <c r="Q59" t="inlineStr">
        <is>
          <t>6761036218440</t>
        </is>
      </c>
    </row>
    <row r="60">
      <c r="A60" s="2">
        <f>HYPERLINK("https://prolisok-store.com/collections/premium/products/3ce-new-velvet-lip-tint-absorbed-love-long-lasting-matte-finish", "https://prolisok-store.com/collections/premium/products/3ce-new-velvet-lip-tint-absorbed-love-long-lasting-matte-finish")</f>
        <v/>
      </c>
      <c r="B60" s="2">
        <f>HYPERLINK("https://prolisok-store.com/products/3ce-new-velvet-lip-tint-absorbed-love-long-lasting-matte-finish", "https://prolisok-store.com/products/3ce-new-velvet-lip-tint-absorbed-love-long-lasting-matte-finish")</f>
        <v/>
      </c>
      <c r="C60" t="inlineStr">
        <is>
          <t>3CE New Velvet Lip Tint #ABSORBED Love long lasting matte finish</t>
        </is>
      </c>
      <c r="D60" t="inlineStr">
        <is>
          <t>3CE New Velvet Lip Tint #Simply Speaking long lasting matte finish</t>
        </is>
      </c>
      <c r="E60" s="2">
        <f>HYPERLINK("https://www.amazon.com/Velvet-Simply-Speaking-lasting-finish/dp/B07DJ5BL6K/ref=sr_1_3?keywords=3CE+New+Velvet+Lip+Tint&amp;qid=1695259303&amp;sr=8-3", "https://www.amazon.com/Velvet-Simply-Speaking-lasting-finish/dp/B07DJ5BL6K/ref=sr_1_3?keywords=3CE+New+Velvet+Lip+Tint&amp;qid=1695259303&amp;sr=8-3")</f>
        <v/>
      </c>
      <c r="F60" t="inlineStr">
        <is>
          <t>B07DJ5BL6K</t>
        </is>
      </c>
      <c r="G60">
        <f>IMAGE("https://prolisok-store.com/cdn/shop/files/41TsD5LcYOL_300x.jpg?v=1683818722")</f>
        <v/>
      </c>
      <c r="H60">
        <f>IMAGE("https://m.media-amazon.com/images/I/51bGwuosuVL._AC_UL320_.jpg")</f>
        <v/>
      </c>
      <c r="I60" t="inlineStr">
        <is>
          <t>7.99</t>
        </is>
      </c>
      <c r="J60" t="n">
        <v>28.5</v>
      </c>
      <c r="K60" s="3" t="inlineStr">
        <is>
          <t>256.70%</t>
        </is>
      </c>
      <c r="L60" t="n">
        <v>5</v>
      </c>
      <c r="M60" t="n">
        <v>2</v>
      </c>
      <c r="O60" t="inlineStr">
        <is>
          <t>InStock</t>
        </is>
      </c>
      <c r="P60" t="inlineStr">
        <is>
          <t>undefined</t>
        </is>
      </c>
      <c r="Q60" t="inlineStr">
        <is>
          <t>6761023963208</t>
        </is>
      </c>
    </row>
    <row r="61">
      <c r="A61" s="2">
        <f>HYPERLINK("https://prolisok-store.com/collections/premium/products/diptyque-figuier-candle", "https://prolisok-store.com/collections/premium/products/diptyque-figuier-candle")</f>
        <v/>
      </c>
      <c r="B61" s="2">
        <f>HYPERLINK("https://prolisok-store.com/products/diptyque-figuier-candle", "https://prolisok-store.com/products/diptyque-figuier-candle")</f>
        <v/>
      </c>
      <c r="C61" t="inlineStr">
        <is>
          <t>Diptyque Figuier Candle</t>
        </is>
      </c>
      <c r="D61" t="inlineStr">
        <is>
          <t>Diptyque Set of Five Scented Candles - Baies, Roses, Figuier, Fue De Bois, Narguile - Travel Size 2020 Fall Collection</t>
        </is>
      </c>
      <c r="E61" s="2">
        <f>HYPERLINK("https://www.amazon.com/Diptyque-Set-Five-Scented-Candles/dp/B08FP55867/ref=sr_1_6?keywords=Diptyque+Figuier+Candle&amp;qid=1695259309&amp;sr=8-6", "https://www.amazon.com/Diptyque-Set-Five-Scented-Candles/dp/B08FP55867/ref=sr_1_6?keywords=Diptyque+Figuier+Candle&amp;qid=1695259309&amp;sr=8-6")</f>
        <v/>
      </c>
      <c r="F61" t="inlineStr">
        <is>
          <t>B08FP55867</t>
        </is>
      </c>
      <c r="G61">
        <f>IMAGE("https://prolisok-store.com/cdn/shop/files/61-a7DkEOyL._AC_SL1024_300x.jpg?v=1693226218")</f>
        <v/>
      </c>
      <c r="H61">
        <f>IMAGE("https://m.media-amazon.com/images/I/81Lmnls3vEL._AC_UL320_.jpg")</f>
        <v/>
      </c>
      <c r="I61" t="inlineStr">
        <is>
          <t>39.99</t>
        </is>
      </c>
      <c r="J61" t="n">
        <v>137.99</v>
      </c>
      <c r="K61" s="3" t="inlineStr">
        <is>
          <t>245.06%</t>
        </is>
      </c>
      <c r="L61" t="n">
        <v>4.1</v>
      </c>
      <c r="M61" t="n">
        <v>27</v>
      </c>
      <c r="O61" t="inlineStr">
        <is>
          <t>InStock</t>
        </is>
      </c>
      <c r="P61" t="inlineStr">
        <is>
          <t>undefined</t>
        </is>
      </c>
      <c r="Q61" t="inlineStr">
        <is>
          <t>6771912573000</t>
        </is>
      </c>
    </row>
    <row r="62">
      <c r="A62" s="2">
        <f>HYPERLINK("https://prolisok-store.com/collections/premium/products/narciso-rodriguez-fleur-musc-for-women-eau-de-parfum-spray-3-4-ounce", "https://prolisok-store.com/collections/premium/products/narciso-rodriguez-fleur-musc-for-women-eau-de-parfum-spray-3-4-ounce")</f>
        <v/>
      </c>
      <c r="B62" s="2">
        <f>HYPERLINK("https://prolisok-store.com/products/narciso-rodriguez-fleur-musc-for-women-eau-de-parfum-spray-3-4-ounce", "https://prolisok-store.com/products/narciso-rodriguez-fleur-musc-for-women-eau-de-parfum-spray-3-4-ounce")</f>
        <v/>
      </c>
      <c r="C62" t="inlineStr">
        <is>
          <t>Narciso Rodriguez Fleur Musc for Women Eau de Parfum Spray, 3.4 Ounce</t>
        </is>
      </c>
      <c r="D62" t="inlineStr">
        <is>
          <t>Narciso Rodriguez Narciso Rodriguez for Her Fleur Musc Eau De Parfum Spray, 5 Ounce</t>
        </is>
      </c>
      <c r="E62" s="2">
        <f>HYPERLINK("https://www.amazon.com/Narciso-Rodriguezfor-Fleur-Musc-150Ml/dp/B07B4CBK2N/ref=sr_1_2?keywords=Narciso+Rodriguez+Fleur+Musc+for+Women+Eau+de+Parfum+Spray%2C+3.4+Ounce&amp;qid=1695259296&amp;sr=8-2", "https://www.amazon.com/Narciso-Rodriguezfor-Fleur-Musc-150Ml/dp/B07B4CBK2N/ref=sr_1_2?keywords=Narciso+Rodriguez+Fleur+Musc+for+Women+Eau+de+Parfum+Spray%2C+3.4+Ounce&amp;qid=1695259296&amp;sr=8-2")</f>
        <v/>
      </c>
      <c r="F62" t="inlineStr">
        <is>
          <t>B07B4CBK2N</t>
        </is>
      </c>
      <c r="G62">
        <f>IMAGE("https://prolisok-store.com/cdn/shop/files/41h0kt3e3BS_300x.jpg?v=1689760200")</f>
        <v/>
      </c>
      <c r="H62">
        <f>IMAGE("https://m.media-amazon.com/images/I/513Co3vj1uL._AC_UL320_.jpg")</f>
        <v/>
      </c>
      <c r="I62" t="inlineStr">
        <is>
          <t>44.99</t>
        </is>
      </c>
      <c r="J62" t="n">
        <v>151.89</v>
      </c>
      <c r="K62" s="3" t="inlineStr">
        <is>
          <t>237.61%</t>
        </is>
      </c>
      <c r="L62" t="n">
        <v>4.3</v>
      </c>
      <c r="M62" t="n">
        <v>25</v>
      </c>
      <c r="O62" t="inlineStr">
        <is>
          <t>InStock</t>
        </is>
      </c>
      <c r="P62" t="inlineStr">
        <is>
          <t>undefined</t>
        </is>
      </c>
      <c r="Q62" t="inlineStr">
        <is>
          <t>6766097367112</t>
        </is>
      </c>
    </row>
    <row r="63">
      <c r="A63" s="2">
        <f>HYPERLINK("https://prolisok-store.com/collections/premium/products/3ce-mood-recipe-matte-lip-color-116", "https://prolisok-store.com/collections/premium/products/3ce-mood-recipe-matte-lip-color-116")</f>
        <v/>
      </c>
      <c r="B63" s="2">
        <f>HYPERLINK("https://prolisok-store.com/products/3ce-mood-recipe-matte-lip-color-116", "https://prolisok-store.com/products/3ce-mood-recipe-matte-lip-color-116")</f>
        <v/>
      </c>
      <c r="C63" t="inlineStr">
        <is>
          <t>3CE Mood Recipe Matte Lip Color, 116</t>
        </is>
      </c>
      <c r="D63" t="inlineStr">
        <is>
          <t>3CE Mood Recipe Matte Lip Color, 116</t>
        </is>
      </c>
      <c r="E63" s="2">
        <f>HYPERLINK("https://www.amazon.com/3CE-Mood-Recipe-Matte-Color/dp/B079W98JCS/ref=sr_1_1?keywords=3CE+Mood+Recipe+Matte+Lip+Color%2C+116&amp;qid=1695259303&amp;sr=8-1", "https://www.amazon.com/3CE-Mood-Recipe-Matte-Color/dp/B079W98JCS/ref=sr_1_1?keywords=3CE+Mood+Recipe+Matte+Lip+Color%2C+116&amp;qid=1695259303&amp;sr=8-1")</f>
        <v/>
      </c>
      <c r="F63" t="inlineStr">
        <is>
          <t>B079W98JCS</t>
        </is>
      </c>
      <c r="G63">
        <f>IMAGE("https://prolisok-store.com/cdn/shop/files/31C87n4RBaL_300x.jpg?v=1693221452")</f>
        <v/>
      </c>
      <c r="H63">
        <f>IMAGE("https://m.media-amazon.com/images/I/31C87n4RBaL._AC_UL320_.jpg")</f>
        <v/>
      </c>
      <c r="I63" t="inlineStr">
        <is>
          <t>7.99</t>
        </is>
      </c>
      <c r="J63" t="n">
        <v>25.99</v>
      </c>
      <c r="K63" s="3" t="inlineStr">
        <is>
          <t>225.28%</t>
        </is>
      </c>
      <c r="L63" t="n">
        <v>4.2</v>
      </c>
      <c r="M63" t="n">
        <v>33</v>
      </c>
      <c r="O63" t="inlineStr">
        <is>
          <t>InStock</t>
        </is>
      </c>
      <c r="P63" t="inlineStr">
        <is>
          <t>undefined</t>
        </is>
      </c>
      <c r="Q63" t="inlineStr">
        <is>
          <t>6771911327816</t>
        </is>
      </c>
    </row>
    <row r="64">
      <c r="A64" s="2">
        <f>HYPERLINK("https://prolisok-store.com/collections/premium/products/3ce-mood-recipe-matte-lip-color-909", "https://prolisok-store.com/collections/premium/products/3ce-mood-recipe-matte-lip-color-909")</f>
        <v/>
      </c>
      <c r="B64" s="2">
        <f>HYPERLINK("https://prolisok-store.com/products/3ce-mood-recipe-matte-lip-color-909", "https://prolisok-store.com/products/3ce-mood-recipe-matte-lip-color-909")</f>
        <v/>
      </c>
      <c r="C64" t="inlineStr">
        <is>
          <t>3CE Mood Recipe Matte Lip Color, 909</t>
        </is>
      </c>
      <c r="D64" t="inlineStr">
        <is>
          <t>3CE NEW Mood Recipe Matte Lip Color (3 Concept Eyes) Season 2, 218, 219, 220, 221, 222 (218)</t>
        </is>
      </c>
      <c r="E64" s="2">
        <f>HYPERLINK("https://www.amazon.com/Recipe-Matte-Color-Concept-Season/dp/B077CLJGZG/ref=sr_1_5?keywords=3CE+Mood+Recipe+Matte+Lip+Color%2C+909&amp;qid=1695259303&amp;sr=8-5", "https://www.amazon.com/Recipe-Matte-Color-Concept-Season/dp/B077CLJGZG/ref=sr_1_5?keywords=3CE+Mood+Recipe+Matte+Lip+Color%2C+909&amp;qid=1695259303&amp;sr=8-5")</f>
        <v/>
      </c>
      <c r="F64" t="inlineStr">
        <is>
          <t>B077CLJGZG</t>
        </is>
      </c>
      <c r="G64">
        <f>IMAGE("https://prolisok-store.com/cdn/shop/files/41q_eA_m8iL._SL1000_300x.jpg?v=1693221579")</f>
        <v/>
      </c>
      <c r="H64">
        <f>IMAGE("https://m.media-amazon.com/images/I/518kiA+OAQL._AC_UL320_.jpg")</f>
        <v/>
      </c>
      <c r="I64" t="inlineStr">
        <is>
          <t>7.99</t>
        </is>
      </c>
      <c r="J64" t="n">
        <v>25.88</v>
      </c>
      <c r="K64" s="3" t="inlineStr">
        <is>
          <t>223.90%</t>
        </is>
      </c>
      <c r="L64" t="n">
        <v>4</v>
      </c>
      <c r="M64" t="n">
        <v>20</v>
      </c>
      <c r="O64" t="inlineStr">
        <is>
          <t>InStock</t>
        </is>
      </c>
      <c r="P64" t="inlineStr">
        <is>
          <t>undefined</t>
        </is>
      </c>
      <c r="Q64" t="inlineStr">
        <is>
          <t>6771911360584</t>
        </is>
      </c>
    </row>
    <row r="65">
      <c r="A65" s="2">
        <f>HYPERLINK("https://prolisok-store.com/collections/premium/products/3ce-mood-recipe-matte-lip-color-3-concept-eyes-season-2-220-hit-me-up", "https://prolisok-store.com/collections/premium/products/3ce-mood-recipe-matte-lip-color-3-concept-eyes-season-2-220-hit-me-up")</f>
        <v/>
      </c>
      <c r="B65" s="2">
        <f>HYPERLINK("https://prolisok-store.com/products/3ce-mood-recipe-matte-lip-color-3-concept-eyes-season-2-220-hit-me-up", "https://prolisok-store.com/products/3ce-mood-recipe-matte-lip-color-3-concept-eyes-season-2-220-hit-me-up")</f>
        <v/>
      </c>
      <c r="C65" t="inlineStr">
        <is>
          <t>3CE Mood Recipe Matte Lip Color 3 Concept Eyes Season 2 (#220 Hit Me Up)</t>
        </is>
      </c>
      <c r="D65" t="inlineStr">
        <is>
          <t>3CE NEW Mood Recipe Matte Lip Color (3 Concept Eyes) Season 2, 218, 219, 220, 221, 222 (218)</t>
        </is>
      </c>
      <c r="E65" s="2">
        <f>HYPERLINK("https://www.amazon.com/Recipe-Matte-Color-Concept-Season/dp/B077CLJGZG/ref=sr_1_3?keywords=3CE+Mood+Recipe+Matte+Lip+Color+3+Concept+Eyes+Season+2+%28%23220+Hit+Me+Up%29&amp;qid=1695259305&amp;sr=8-3", "https://www.amazon.com/Recipe-Matte-Color-Concept-Season/dp/B077CLJGZG/ref=sr_1_3?keywords=3CE+Mood+Recipe+Matte+Lip+Color+3+Concept+Eyes+Season+2+%28%23220+Hit+Me+Up%29&amp;qid=1695259305&amp;sr=8-3")</f>
        <v/>
      </c>
      <c r="F65" t="inlineStr">
        <is>
          <t>B077CLJGZG</t>
        </is>
      </c>
      <c r="G65">
        <f>IMAGE("https://prolisok-store.com/cdn/shop/files/41eAqvNQC-L._SL1000_300x.jpg?v=1693219330")</f>
        <v/>
      </c>
      <c r="H65">
        <f>IMAGE("https://m.media-amazon.com/images/I/518kiA+OAQL._AC_UL320_.jpg")</f>
        <v/>
      </c>
      <c r="I65" t="inlineStr">
        <is>
          <t>7.99</t>
        </is>
      </c>
      <c r="J65" t="n">
        <v>25.88</v>
      </c>
      <c r="K65" s="3" t="inlineStr">
        <is>
          <t>223.90%</t>
        </is>
      </c>
      <c r="L65" t="n">
        <v>4</v>
      </c>
      <c r="M65" t="n">
        <v>20</v>
      </c>
      <c r="O65" t="inlineStr">
        <is>
          <t>InStock</t>
        </is>
      </c>
      <c r="P65" t="inlineStr">
        <is>
          <t>undefined</t>
        </is>
      </c>
      <c r="Q65" t="inlineStr">
        <is>
          <t>6771911065672</t>
        </is>
      </c>
    </row>
    <row r="66">
      <c r="A66" s="2">
        <f>HYPERLINK("https://prolisok-store.com/collections/premium/products/3ce-mood-recipe-matte-lip-color-909", "https://prolisok-store.com/collections/premium/products/3ce-mood-recipe-matte-lip-color-909")</f>
        <v/>
      </c>
      <c r="B66" s="2">
        <f>HYPERLINK("https://prolisok-store.com/products/3ce-mood-recipe-matte-lip-color-909", "https://prolisok-store.com/products/3ce-mood-recipe-matte-lip-color-909")</f>
        <v/>
      </c>
      <c r="C66" t="inlineStr">
        <is>
          <t>3CE Mood Recipe Matte Lip Color, 909</t>
        </is>
      </c>
      <c r="D66" t="inlineStr">
        <is>
          <t>3CE Mood Recipe Matte Lip Color, 909</t>
        </is>
      </c>
      <c r="E66" s="2">
        <f>HYPERLINK("https://www.amazon.com/3CE-Mood-Recipe-Matte-Color/dp/B079W9GLQL/ref=sr_1_1?keywords=3CE+Mood+Recipe+Matte+Lip+Color%2C+909&amp;qid=1695259303&amp;sr=8-1", "https://www.amazon.com/3CE-Mood-Recipe-Matte-Color/dp/B079W9GLQL/ref=sr_1_1?keywords=3CE+Mood+Recipe+Matte+Lip+Color%2C+909&amp;qid=1695259303&amp;sr=8-1")</f>
        <v/>
      </c>
      <c r="F66" t="inlineStr">
        <is>
          <t>B079W9GLQL</t>
        </is>
      </c>
      <c r="G66">
        <f>IMAGE("https://prolisok-store.com/cdn/shop/files/41q_eA_m8iL._SL1000_300x.jpg?v=1693221579")</f>
        <v/>
      </c>
      <c r="H66">
        <f>IMAGE("https://m.media-amazon.com/images/I/41q+eA+m8iL._AC_UL320_.jpg")</f>
        <v/>
      </c>
      <c r="I66" t="inlineStr">
        <is>
          <t>7.99</t>
        </is>
      </c>
      <c r="J66" t="n">
        <v>24.99</v>
      </c>
      <c r="K66" s="3" t="inlineStr">
        <is>
          <t>212.77%</t>
        </is>
      </c>
      <c r="L66" t="n">
        <v>4.2</v>
      </c>
      <c r="M66" t="n">
        <v>33</v>
      </c>
      <c r="O66" t="inlineStr">
        <is>
          <t>InStock</t>
        </is>
      </c>
      <c r="P66" t="inlineStr">
        <is>
          <t>undefined</t>
        </is>
      </c>
      <c r="Q66" t="inlineStr">
        <is>
          <t>6771911360584</t>
        </is>
      </c>
    </row>
    <row r="67">
      <c r="A67" s="2">
        <f>HYPERLINK("https://prolisok-store.com/collections/premium/products/diptyque-philosykos-eau-de-toilette-3-4-oz", "https://prolisok-store.com/collections/premium/products/diptyque-philosykos-eau-de-toilette-3-4-oz")</f>
        <v/>
      </c>
      <c r="B67" s="2">
        <f>HYPERLINK("https://prolisok-store.com/products/diptyque-philosykos-eau-de-toilette-3-4-oz", "https://prolisok-store.com/products/diptyque-philosykos-eau-de-toilette-3-4-oz")</f>
        <v/>
      </c>
      <c r="C67" t="inlineStr">
        <is>
          <t>Diptyque Philosykos Eau de Toilette-3.4 oz</t>
        </is>
      </c>
      <c r="D67" t="inlineStr">
        <is>
          <t>Diptyque Philosykos 1.7 oz Eau de Toilette Spray</t>
        </is>
      </c>
      <c r="E67" s="2">
        <f>HYPERLINK("https://www.amazon.com/Diptyque-Philosykos-1-7-Toilette-Spray/dp/B00134T8XC/ref=sr_1_6?keywords=Diptyque+Philosykos+Eau+de+Toilette-3.4+oz&amp;qid=1695259286&amp;sr=8-6", "https://www.amazon.com/Diptyque-Philosykos-1-7-Toilette-Spray/dp/B00134T8XC/ref=sr_1_6?keywords=Diptyque+Philosykos+Eau+de+Toilette-3.4+oz&amp;qid=1695259286&amp;sr=8-6")</f>
        <v/>
      </c>
      <c r="F67" t="inlineStr">
        <is>
          <t>B00134T8XC</t>
        </is>
      </c>
      <c r="G67">
        <f>IMAGE("https://prolisok-store.com/cdn/shop/products/DiptyquePhilosykosEau-3.4oz_300x.jpg?v=1683715790")</f>
        <v/>
      </c>
      <c r="H67">
        <f>IMAGE("https://m.media-amazon.com/images/I/61y7cSIAnXL._AC_UL320_.jpg")</f>
        <v/>
      </c>
      <c r="I67" t="inlineStr">
        <is>
          <t>59.99</t>
        </is>
      </c>
      <c r="J67" t="n">
        <v>180</v>
      </c>
      <c r="K67" s="3" t="inlineStr">
        <is>
          <t>200.05%</t>
        </is>
      </c>
      <c r="L67" t="n">
        <v>4.2</v>
      </c>
      <c r="M67" t="n">
        <v>36</v>
      </c>
      <c r="O67" t="inlineStr">
        <is>
          <t>InStock</t>
        </is>
      </c>
      <c r="P67" t="inlineStr">
        <is>
          <t>undefined</t>
        </is>
      </c>
      <c r="Q67" t="inlineStr">
        <is>
          <t>6758090997832</t>
        </is>
      </c>
    </row>
    <row r="68">
      <c r="A68" s="2">
        <f>HYPERLINK("https://prolisok-store.com/collections/premium/products/estee-lauder-pure-color-envy-sculpting-lipstick-360-fierce-0-12-ounce", "https://prolisok-store.com/collections/premium/products/estee-lauder-pure-color-envy-sculpting-lipstick-360-fierce-0-12-ounce")</f>
        <v/>
      </c>
      <c r="B68" s="2">
        <f>HYPERLINK("https://prolisok-store.com/products/estee-lauder-pure-color-envy-sculpting-lipstick-360-fierce-0-12-ounce", "https://prolisok-store.com/products/estee-lauder-pure-color-envy-sculpting-lipstick-360-fierce-0-12-ounce")</f>
        <v/>
      </c>
      <c r="C68" t="inlineStr">
        <is>
          <t>Estee Lauder Pure Color Envy Sculpting Lipstick #360 Fierce, 0.12 Ounce</t>
        </is>
      </c>
      <c r="D68" t="inlineStr">
        <is>
          <t>Estee Lauder Pure Color Envy Sculpting Lipstick 122 Naked Desire 0.12 oz</t>
        </is>
      </c>
      <c r="E68" s="2">
        <f>HYPERLINK("https://www.amazon.com/Color-Sculpting-Lipstick-Naked-Desire/dp/B0711X8CQF/ref=sr_1_10?keywords=Estee+Lauder+Pure+Color+Envy+Sculpting+Lipstick&amp;qid=1695259287&amp;sr=8-10", "https://www.amazon.com/Color-Sculpting-Lipstick-Naked-Desire/dp/B0711X8CQF/ref=sr_1_10?keywords=Estee+Lauder+Pure+Color+Envy+Sculpting+Lipstick&amp;qid=1695259287&amp;sr=8-10")</f>
        <v/>
      </c>
      <c r="F68" t="inlineStr">
        <is>
          <t>B0711X8CQF</t>
        </is>
      </c>
      <c r="G68">
        <f>IMAGE("https://prolisok-store.com/cdn/shop/products/61OXcvCJbTL._SL1500_300x.jpg?v=1681307706")</f>
        <v/>
      </c>
      <c r="H68">
        <f>IMAGE("https://m.media-amazon.com/images/I/51F3zkBu40L._AC_UL320_.jpg")</f>
        <v/>
      </c>
      <c r="I68" t="inlineStr">
        <is>
          <t>14.99</t>
        </is>
      </c>
      <c r="J68" t="n">
        <v>44.97</v>
      </c>
      <c r="K68" s="3" t="inlineStr">
        <is>
          <t>200.00%</t>
        </is>
      </c>
      <c r="L68" t="n">
        <v>5</v>
      </c>
      <c r="M68" t="n">
        <v>1</v>
      </c>
      <c r="O68" t="inlineStr">
        <is>
          <t>InStock</t>
        </is>
      </c>
      <c r="P68" t="inlineStr">
        <is>
          <t>undefined</t>
        </is>
      </c>
      <c r="Q68" t="inlineStr">
        <is>
          <t>6751779815496</t>
        </is>
      </c>
    </row>
    <row r="69">
      <c r="A69" s="2">
        <f>HYPERLINK("https://prolisok-store.com/collections/premium/products/atelier-cologne-oolang-infini-cologne-3-3-ounce", "https://prolisok-store.com/collections/premium/products/atelier-cologne-oolang-infini-cologne-3-3-ounce")</f>
        <v/>
      </c>
      <c r="B69" s="2">
        <f>HYPERLINK("https://prolisok-store.com/products/atelier-cologne-oolang-infini-cologne-3-3-ounce", "https://prolisok-store.com/products/atelier-cologne-oolang-infini-cologne-3-3-ounce")</f>
        <v/>
      </c>
      <c r="C69" t="inlineStr">
        <is>
          <t>Atelier Cologne Oolang Infini Cologne, 3.3 Ounce</t>
        </is>
      </c>
      <c r="D69" t="inlineStr">
        <is>
          <t>Atelier Cologne Grand Neroli Cologne, 3.3 Ounce</t>
        </is>
      </c>
      <c r="E69" s="2">
        <f>HYPERLINK("https://www.amazon.com/Atelier-Cologne-Grand-Neroli-Ounce/dp/B009TQ0SRQ/ref=sr_1_7?keywords=atelier+cologne+oolong+infini+cologne%2C+3.3+ounce&amp;qid=1695259290&amp;sr=8-7", "https://www.amazon.com/Atelier-Cologne-Grand-Neroli-Ounce/dp/B009TQ0SRQ/ref=sr_1_7?keywords=atelier+cologne+oolong+infini+cologne%2C+3.3+ounce&amp;qid=1695259290&amp;sr=8-7")</f>
        <v/>
      </c>
      <c r="F69" t="inlineStr">
        <is>
          <t>B009TQ0SRQ</t>
        </is>
      </c>
      <c r="G69">
        <f>IMAGE("https://prolisok-store.com/cdn/shop/products/AtelierCologneOolangInfini-1_300x.jpg?v=1683715757")</f>
        <v/>
      </c>
      <c r="H69">
        <f>IMAGE("https://m.media-amazon.com/images/I/51sd6zuXV-L._AC_UL320_.jpg")</f>
        <v/>
      </c>
      <c r="I69" t="inlineStr">
        <is>
          <t>49.99</t>
        </is>
      </c>
      <c r="J69" t="n">
        <v>149</v>
      </c>
      <c r="K69" s="3" t="inlineStr">
        <is>
          <t>198.06%</t>
        </is>
      </c>
      <c r="L69" t="n">
        <v>4.1</v>
      </c>
      <c r="M69" t="n">
        <v>23</v>
      </c>
      <c r="O69" t="inlineStr">
        <is>
          <t>InStock</t>
        </is>
      </c>
      <c r="P69" t="inlineStr">
        <is>
          <t>undefined</t>
        </is>
      </c>
      <c r="Q69" t="inlineStr">
        <is>
          <t>6758114099272</t>
        </is>
      </c>
    </row>
    <row r="70">
      <c r="A70" s="2">
        <f>HYPERLINK("https://prolisok-store.com/collections/premium/products/estee-lauder-pure-color-envy-sculpting-lipstick-360-fierce-0-12-ounce", "https://prolisok-store.com/collections/premium/products/estee-lauder-pure-color-envy-sculpting-lipstick-360-fierce-0-12-ounce")</f>
        <v/>
      </c>
      <c r="B70" s="2">
        <f>HYPERLINK("https://prolisok-store.com/products/estee-lauder-pure-color-envy-sculpting-lipstick-360-fierce-0-12-ounce", "https://prolisok-store.com/products/estee-lauder-pure-color-envy-sculpting-lipstick-360-fierce-0-12-ounce")</f>
        <v/>
      </c>
      <c r="C70" t="inlineStr">
        <is>
          <t>Estee Lauder Pure Color Envy Sculpting Lipstick #360 Fierce, 0.12 Ounce</t>
        </is>
      </c>
      <c r="D70" t="inlineStr">
        <is>
          <t>Estee Lauder Pure Color Envy Sculpting Lipsticks Trio Women 3 oz, 3 x 0.12, (I0117229)</t>
        </is>
      </c>
      <c r="E70" s="2">
        <f>HYPERLINK("https://www.amazon.com/Color-Sculpting-Lipsticks-Estee-Lauder/dp/B08F5KM9RB/ref=sr_1_5?keywords=Estee+Lauder+Pure+Color+Envy+Sculpting+Lipstick&amp;qid=1695259287&amp;sr=8-5", "https://www.amazon.com/Color-Sculpting-Lipsticks-Estee-Lauder/dp/B08F5KM9RB/ref=sr_1_5?keywords=Estee+Lauder+Pure+Color+Envy+Sculpting+Lipstick&amp;qid=1695259287&amp;sr=8-5")</f>
        <v/>
      </c>
      <c r="F70" t="inlineStr">
        <is>
          <t>B08F5KM9RB</t>
        </is>
      </c>
      <c r="G70">
        <f>IMAGE("https://prolisok-store.com/cdn/shop/products/61OXcvCJbTL._SL1500_300x.jpg?v=1681307706")</f>
        <v/>
      </c>
      <c r="H70">
        <f>IMAGE("https://m.media-amazon.com/images/I/61YL-9mu3lS._AC_UL320_.jpg")</f>
        <v/>
      </c>
      <c r="I70" t="inlineStr">
        <is>
          <t>14.99</t>
        </is>
      </c>
      <c r="J70" t="n">
        <v>44.35</v>
      </c>
      <c r="K70" s="3" t="inlineStr">
        <is>
          <t>195.86%</t>
        </is>
      </c>
      <c r="L70" t="n">
        <v>4.3</v>
      </c>
      <c r="M70" t="n">
        <v>22</v>
      </c>
      <c r="O70" t="inlineStr">
        <is>
          <t>InStock</t>
        </is>
      </c>
      <c r="P70" t="inlineStr">
        <is>
          <t>undefined</t>
        </is>
      </c>
      <c r="Q70" t="inlineStr">
        <is>
          <t>6751779815496</t>
        </is>
      </c>
    </row>
    <row r="71">
      <c r="A71" s="2">
        <f>HYPERLINK("https://prolisok-store.com/collections/premium/products/3ce-new-velvet-lip-tint-absorbed-love-long-lasting-matte-finish", "https://prolisok-store.com/collections/premium/products/3ce-new-velvet-lip-tint-absorbed-love-long-lasting-matte-finish")</f>
        <v/>
      </c>
      <c r="B71" s="2">
        <f>HYPERLINK("https://prolisok-store.com/products/3ce-new-velvet-lip-tint-absorbed-love-long-lasting-matte-finish", "https://prolisok-store.com/products/3ce-new-velvet-lip-tint-absorbed-love-long-lasting-matte-finish")</f>
        <v/>
      </c>
      <c r="C71" t="inlineStr">
        <is>
          <t>3CE New Velvet Lip Tint #ABSORBED Love long lasting matte finish</t>
        </is>
      </c>
      <c r="D71" t="inlineStr">
        <is>
          <t>3CE New Velvet Lip Tint #ABSORBED Love long lasting matte finish</t>
        </is>
      </c>
      <c r="E71" s="2">
        <f>HYPERLINK("https://www.amazon.com/Velvet-ABSORBED-lasting-matte-finish/dp/B07DJ4BWFQ/ref=sr_1_2?keywords=3CE+New+Velvet+Lip+Tint&amp;qid=1695259303&amp;sr=8-2", "https://www.amazon.com/Velvet-ABSORBED-lasting-matte-finish/dp/B07DJ4BWFQ/ref=sr_1_2?keywords=3CE+New+Velvet+Lip+Tint&amp;qid=1695259303&amp;sr=8-2")</f>
        <v/>
      </c>
      <c r="F71" t="inlineStr">
        <is>
          <t>B07DJ4BWFQ</t>
        </is>
      </c>
      <c r="G71">
        <f>IMAGE("https://prolisok-store.com/cdn/shop/files/41TsD5LcYOL_300x.jpg?v=1683818722")</f>
        <v/>
      </c>
      <c r="H71">
        <f>IMAGE("https://m.media-amazon.com/images/I/41TsD5LcYOL._AC_UL320_.jpg")</f>
        <v/>
      </c>
      <c r="I71" t="inlineStr">
        <is>
          <t>7.99</t>
        </is>
      </c>
      <c r="J71" t="n">
        <v>23.38</v>
      </c>
      <c r="K71" s="3" t="inlineStr">
        <is>
          <t>192.62%</t>
        </is>
      </c>
      <c r="L71" t="n">
        <v>4.3</v>
      </c>
      <c r="M71" t="n">
        <v>8</v>
      </c>
      <c r="O71" t="inlineStr">
        <is>
          <t>InStock</t>
        </is>
      </c>
      <c r="P71" t="inlineStr">
        <is>
          <t>undefined</t>
        </is>
      </c>
      <c r="Q71" t="inlineStr">
        <is>
          <t>6761023963208</t>
        </is>
      </c>
    </row>
    <row r="72">
      <c r="A72" s="2">
        <f>HYPERLINK("https://prolisok-store.com/collections/premium/products/3ce-mood-recipe-matte-lip-color-3-concept-eyes-season-2-220-hit-me-up", "https://prolisok-store.com/collections/premium/products/3ce-mood-recipe-matte-lip-color-3-concept-eyes-season-2-220-hit-me-up")</f>
        <v/>
      </c>
      <c r="B72" s="2">
        <f>HYPERLINK("https://prolisok-store.com/products/3ce-mood-recipe-matte-lip-color-3-concept-eyes-season-2-220-hit-me-up", "https://prolisok-store.com/products/3ce-mood-recipe-matte-lip-color-3-concept-eyes-season-2-220-hit-me-up")</f>
        <v/>
      </c>
      <c r="C72" t="inlineStr">
        <is>
          <t>3CE Mood Recipe Matte Lip Color 3 Concept Eyes Season 2 (#220 Hit Me Up)</t>
        </is>
      </c>
      <c r="D72" t="inlineStr">
        <is>
          <t>3CE NEW Mood Recipe Matte Lip Color (3 Concept Eyes) Season 2, 218, 219, 220, 221, 222 (221)</t>
        </is>
      </c>
      <c r="E72" s="2">
        <f>HYPERLINK("https://www.amazon.com/Recipe-Matte-Color-Concept-Season/dp/B077CMF9NB/ref=sr_1_5?keywords=3CE+Mood+Recipe+Matte+Lip+Color+3+Concept+Eyes+Season+2+%28%23220+Hit+Me+Up%29&amp;qid=1695259305&amp;sr=8-5", "https://www.amazon.com/Recipe-Matte-Color-Concept-Season/dp/B077CMF9NB/ref=sr_1_5?keywords=3CE+Mood+Recipe+Matte+Lip+Color+3+Concept+Eyes+Season+2+%28%23220+Hit+Me+Up%29&amp;qid=1695259305&amp;sr=8-5")</f>
        <v/>
      </c>
      <c r="F72" t="inlineStr">
        <is>
          <t>B077CMF9NB</t>
        </is>
      </c>
      <c r="G72">
        <f>IMAGE("https://prolisok-store.com/cdn/shop/files/41eAqvNQC-L._SL1000_300x.jpg?v=1693219330")</f>
        <v/>
      </c>
      <c r="H72">
        <f>IMAGE("https://m.media-amazon.com/images/I/31Mkk3Fv3nL._AC_UL320_.jpg")</f>
        <v/>
      </c>
      <c r="I72" t="inlineStr">
        <is>
          <t>7.99</t>
        </is>
      </c>
      <c r="J72" t="n">
        <v>23.22</v>
      </c>
      <c r="K72" s="3" t="inlineStr">
        <is>
          <t>190.61%</t>
        </is>
      </c>
      <c r="L72" t="n">
        <v>4.1</v>
      </c>
      <c r="M72" t="n">
        <v>43</v>
      </c>
      <c r="O72" t="inlineStr">
        <is>
          <t>InStock</t>
        </is>
      </c>
      <c r="P72" t="inlineStr">
        <is>
          <t>undefined</t>
        </is>
      </c>
      <c r="Q72" t="inlineStr">
        <is>
          <t>6771911065672</t>
        </is>
      </c>
    </row>
    <row r="73">
      <c r="A73" s="2">
        <f>HYPERLINK("https://prolisok-store.com/collections/premium/products/3ce-mood-recipe-matte-lip-color-116", "https://prolisok-store.com/collections/premium/products/3ce-mood-recipe-matte-lip-color-116")</f>
        <v/>
      </c>
      <c r="B73" s="2">
        <f>HYPERLINK("https://prolisok-store.com/products/3ce-mood-recipe-matte-lip-color-116", "https://prolisok-store.com/products/3ce-mood-recipe-matte-lip-color-116")</f>
        <v/>
      </c>
      <c r="C73" t="inlineStr">
        <is>
          <t>3CE Mood Recipe Matte Lip Color, 116</t>
        </is>
      </c>
      <c r="D73" t="inlineStr">
        <is>
          <t>3CE NEW Mood Recipe Matte Lip Color (3 Concept Eyes) Season 2, 218, 219, 220, 221, 222 (221)</t>
        </is>
      </c>
      <c r="E73" s="2">
        <f>HYPERLINK("https://www.amazon.com/Recipe-Matte-Color-Concept-Season/dp/B077CMF9NB/ref=sr_1_9?keywords=3CE+Mood+Recipe+Matte+Lip+Color%2C+116&amp;qid=1695259303&amp;sr=8-9", "https://www.amazon.com/Recipe-Matte-Color-Concept-Season/dp/B077CMF9NB/ref=sr_1_9?keywords=3CE+Mood+Recipe+Matte+Lip+Color%2C+116&amp;qid=1695259303&amp;sr=8-9")</f>
        <v/>
      </c>
      <c r="F73" t="inlineStr">
        <is>
          <t>B077CMF9NB</t>
        </is>
      </c>
      <c r="G73">
        <f>IMAGE("https://prolisok-store.com/cdn/shop/files/31C87n4RBaL_300x.jpg?v=1693221452")</f>
        <v/>
      </c>
      <c r="H73">
        <f>IMAGE("https://m.media-amazon.com/images/I/31Mkk3Fv3nL._AC_UL320_.jpg")</f>
        <v/>
      </c>
      <c r="I73" t="inlineStr">
        <is>
          <t>7.99</t>
        </is>
      </c>
      <c r="J73" t="n">
        <v>23.22</v>
      </c>
      <c r="K73" s="3" t="inlineStr">
        <is>
          <t>190.61%</t>
        </is>
      </c>
      <c r="L73" t="n">
        <v>4.1</v>
      </c>
      <c r="M73" t="n">
        <v>43</v>
      </c>
      <c r="O73" t="inlineStr">
        <is>
          <t>InStock</t>
        </is>
      </c>
      <c r="P73" t="inlineStr">
        <is>
          <t>undefined</t>
        </is>
      </c>
      <c r="Q73" t="inlineStr">
        <is>
          <t>6771911327816</t>
        </is>
      </c>
    </row>
    <row r="74">
      <c r="A74" s="2">
        <f>HYPERLINK("https://prolisok-store.com/collections/premium/products/3ce-mood-recipe-face-blush-rose-beige", "https://prolisok-store.com/collections/premium/products/3ce-mood-recipe-face-blush-rose-beige")</f>
        <v/>
      </c>
      <c r="B74" s="2">
        <f>HYPERLINK("https://prolisok-store.com/products/3ce-mood-recipe-face-blush-rose-beige", "https://prolisok-store.com/products/3ce-mood-recipe-face-blush-rose-beige")</f>
        <v/>
      </c>
      <c r="C74" t="inlineStr">
        <is>
          <t>3CE Mood Recipe Face Blush - #Rose Beige</t>
        </is>
      </c>
      <c r="D74" t="inlineStr">
        <is>
          <t>3CE Mood Recipe Face Blush - #Rose Beige</t>
        </is>
      </c>
      <c r="E74" s="2">
        <f>HYPERLINK("https://www.amazon.com/3CE-Mood-Recipe-Face-Blush/dp/B0777H6BSW/ref=sr_1_2?keywords=3CE+Mood+Recipe+Face+Blush+-&amp;qid=1695259301&amp;sr=8-2", "https://www.amazon.com/3CE-Mood-Recipe-Face-Blush/dp/B0777H6BSW/ref=sr_1_2?keywords=3CE+Mood+Recipe+Face+Blush+-&amp;qid=1695259301&amp;sr=8-2")</f>
        <v/>
      </c>
      <c r="F74" t="inlineStr">
        <is>
          <t>B0777H6BSW</t>
        </is>
      </c>
      <c r="G74">
        <f>IMAGE("https://prolisok-store.com/cdn/shop/files/31TTnrkqldL_300x.jpg?v=1683820558")</f>
        <v/>
      </c>
      <c r="H74">
        <f>IMAGE("https://m.media-amazon.com/images/I/31TTnrkqldL._AC_UL320_.jpg")</f>
        <v/>
      </c>
      <c r="I74" t="inlineStr">
        <is>
          <t>7.99</t>
        </is>
      </c>
      <c r="J74" t="n">
        <v>23</v>
      </c>
      <c r="K74" s="3" t="inlineStr">
        <is>
          <t>187.86%</t>
        </is>
      </c>
      <c r="L74" t="n">
        <v>4.6</v>
      </c>
      <c r="M74" t="n">
        <v>137</v>
      </c>
      <c r="O74" t="inlineStr">
        <is>
          <t>InStock</t>
        </is>
      </c>
      <c r="P74" t="inlineStr">
        <is>
          <t>undefined</t>
        </is>
      </c>
      <c r="Q74" t="inlineStr">
        <is>
          <t>6761036218440</t>
        </is>
      </c>
    </row>
    <row r="75">
      <c r="A75" s="2">
        <f>HYPERLINK("https://prolisok-store.com/collections/premium/products/3ce-mood-recipe-matte-lip-color-3-concept-eyes-season-2-220-hit-me-up", "https://prolisok-store.com/collections/premium/products/3ce-mood-recipe-matte-lip-color-3-concept-eyes-season-2-220-hit-me-up")</f>
        <v/>
      </c>
      <c r="B75" s="2">
        <f>HYPERLINK("https://prolisok-store.com/products/3ce-mood-recipe-matte-lip-color-3-concept-eyes-season-2-220-hit-me-up", "https://prolisok-store.com/products/3ce-mood-recipe-matte-lip-color-3-concept-eyes-season-2-220-hit-me-up")</f>
        <v/>
      </c>
      <c r="C75" t="inlineStr">
        <is>
          <t>3CE Mood Recipe Matte Lip Color 3 Concept Eyes Season 2 (#220 Hit Me Up)</t>
        </is>
      </c>
      <c r="D75" t="inlineStr">
        <is>
          <t>3CE NEW Mood Recipe Matte Lip Color (3 Concept Eyes) Season 2, 218, 219, 220, 221, 222 (222)</t>
        </is>
      </c>
      <c r="E75" s="2">
        <f>HYPERLINK("https://www.amazon.com/Recipe-Matte-Color-Concept-Season/dp/B077CJX6Z5/ref=sr_1_6?keywords=3CE+Mood+Recipe+Matte+Lip+Color+3+Concept+Eyes+Season+2+%28%23220+Hit+Me+Up%29&amp;qid=1695259305&amp;sr=8-6", "https://www.amazon.com/Recipe-Matte-Color-Concept-Season/dp/B077CJX6Z5/ref=sr_1_6?keywords=3CE+Mood+Recipe+Matte+Lip+Color+3+Concept+Eyes+Season+2+%28%23220+Hit+Me+Up%29&amp;qid=1695259305&amp;sr=8-6")</f>
        <v/>
      </c>
      <c r="F75" t="inlineStr">
        <is>
          <t>B077CJX6Z5</t>
        </is>
      </c>
      <c r="G75">
        <f>IMAGE("https://prolisok-store.com/cdn/shop/files/41eAqvNQC-L._SL1000_300x.jpg?v=1693219330")</f>
        <v/>
      </c>
      <c r="H75">
        <f>IMAGE("https://m.media-amazon.com/images/I/31JumltrZnL._AC_UL320_.jpg")</f>
        <v/>
      </c>
      <c r="I75" t="inlineStr">
        <is>
          <t>7.99</t>
        </is>
      </c>
      <c r="J75" t="n">
        <v>22.96</v>
      </c>
      <c r="K75" s="3" t="inlineStr">
        <is>
          <t>187.36%</t>
        </is>
      </c>
      <c r="L75" t="n">
        <v>4.2</v>
      </c>
      <c r="M75" t="n">
        <v>32</v>
      </c>
      <c r="O75" t="inlineStr">
        <is>
          <t>InStock</t>
        </is>
      </c>
      <c r="P75" t="inlineStr">
        <is>
          <t>undefined</t>
        </is>
      </c>
      <c r="Q75" t="inlineStr">
        <is>
          <t>6771911065672</t>
        </is>
      </c>
    </row>
    <row r="76">
      <c r="A76" s="2">
        <f>HYPERLINK("https://prolisok-store.com/collections/premium/products/diptyque-philosykos-eau-de-toilette-3-4-oz", "https://prolisok-store.com/collections/premium/products/diptyque-philosykos-eau-de-toilette-3-4-oz")</f>
        <v/>
      </c>
      <c r="B76" s="2">
        <f>HYPERLINK("https://prolisok-store.com/products/diptyque-philosykos-eau-de-toilette-3-4-oz", "https://prolisok-store.com/products/diptyque-philosykos-eau-de-toilette-3-4-oz")</f>
        <v/>
      </c>
      <c r="C76" t="inlineStr">
        <is>
          <t>Diptyque Philosykos Eau de Toilette-3.4 oz</t>
        </is>
      </c>
      <c r="D76" t="inlineStr">
        <is>
          <t>Diptyque Vetyverio Eau de Toilette-3.4 oz (Model: 3700431405784)</t>
        </is>
      </c>
      <c r="E76" s="2">
        <f>HYPERLINK("https://www.amazon.com/Diptyque-Vetyverio-Eau-Toilette-3-4-oz/dp/B00992AGY0/ref=sr_1_3?keywords=Diptyque+Philosykos+Eau+de+Toilette-3.4+oz&amp;qid=1695259286&amp;sr=8-3", "https://www.amazon.com/Diptyque-Vetyverio-Eau-Toilette-3-4-oz/dp/B00992AGY0/ref=sr_1_3?keywords=Diptyque+Philosykos+Eau+de+Toilette-3.4+oz&amp;qid=1695259286&amp;sr=8-3")</f>
        <v/>
      </c>
      <c r="F76" t="inlineStr">
        <is>
          <t>B00992AGY0</t>
        </is>
      </c>
      <c r="G76">
        <f>IMAGE("https://prolisok-store.com/cdn/shop/products/DiptyquePhilosykosEau-3.4oz_300x.jpg?v=1683715790")</f>
        <v/>
      </c>
      <c r="H76">
        <f>IMAGE("https://m.media-amazon.com/images/I/71DHMzbC3xL._AC_UL320_.jpg")</f>
        <v/>
      </c>
      <c r="I76" t="inlineStr">
        <is>
          <t>59.99</t>
        </is>
      </c>
      <c r="J76" t="n">
        <v>169</v>
      </c>
      <c r="K76" s="3" t="inlineStr">
        <is>
          <t>181.71%</t>
        </is>
      </c>
      <c r="L76" t="n">
        <v>4.7</v>
      </c>
      <c r="M76" t="n">
        <v>19</v>
      </c>
      <c r="O76" t="inlineStr">
        <is>
          <t>InStock</t>
        </is>
      </c>
      <c r="P76" t="inlineStr">
        <is>
          <t>undefined</t>
        </is>
      </c>
      <c r="Q76" t="inlineStr">
        <is>
          <t>6758090997832</t>
        </is>
      </c>
    </row>
    <row r="77">
      <c r="A77" s="2">
        <f>HYPERLINK("https://prolisok-store.com/collections/premium/products/diptyque-tam-dao-eau-de-toilette-3-4-oz", "https://prolisok-store.com/collections/premium/products/diptyque-tam-dao-eau-de-toilette-3-4-oz")</f>
        <v/>
      </c>
      <c r="B77" s="2">
        <f>HYPERLINK("https://prolisok-store.com/products/diptyque-tam-dao-eau-de-toilette-3-4-oz", "https://prolisok-store.com/products/diptyque-tam-dao-eau-de-toilette-3-4-oz")</f>
        <v/>
      </c>
      <c r="C77" t="inlineStr">
        <is>
          <t>Diptyque Tam Dao Eau de Toilette-3.4 oz.</t>
        </is>
      </c>
      <c r="D77" t="inlineStr">
        <is>
          <t>Diptyque Vetyverio Eau de Toilette-3.4 oz (Model: 3700431405784)</t>
        </is>
      </c>
      <c r="E77" s="2">
        <f>HYPERLINK("https://www.amazon.com/Diptyque-Vetyverio-Eau-Toilette-3-4-oz/dp/B00992AGY0/ref=sr_1_3?keywords=Diptyque+Tam+Dao+Eau+de+Toilette-3.4+oz.&amp;qid=1695259287&amp;sr=8-3", "https://www.amazon.com/Diptyque-Vetyverio-Eau-Toilette-3-4-oz/dp/B00992AGY0/ref=sr_1_3?keywords=Diptyque+Tam+Dao+Eau+de+Toilette-3.4+oz.&amp;qid=1695259287&amp;sr=8-3")</f>
        <v/>
      </c>
      <c r="F77" t="inlineStr">
        <is>
          <t>B00992AGY0</t>
        </is>
      </c>
      <c r="G77">
        <f>IMAGE("https://prolisok-store.com/cdn/shop/products/DiptyqueTamDaoEaudeToilette-3.4oz_-1_300x.jpg?v=1683715785")</f>
        <v/>
      </c>
      <c r="H77">
        <f>IMAGE("https://m.media-amazon.com/images/I/71DHMzbC3xL._AC_UL320_.jpg")</f>
        <v/>
      </c>
      <c r="I77" t="inlineStr">
        <is>
          <t>59.99</t>
        </is>
      </c>
      <c r="J77" t="n">
        <v>169</v>
      </c>
      <c r="K77" s="3" t="inlineStr">
        <is>
          <t>181.71%</t>
        </is>
      </c>
      <c r="L77" t="n">
        <v>4.7</v>
      </c>
      <c r="M77" t="n">
        <v>19</v>
      </c>
      <c r="O77" t="inlineStr">
        <is>
          <t>InStock</t>
        </is>
      </c>
      <c r="P77" t="inlineStr">
        <is>
          <t>105.0</t>
        </is>
      </c>
      <c r="Q77" t="inlineStr">
        <is>
          <t>6758093029448</t>
        </is>
      </c>
    </row>
    <row r="78">
      <c r="A78" s="2">
        <f>HYPERLINK("https://prolisok-store.com/collections/premium/products/3ce-mood-recipe-matte-lip-color-116", "https://prolisok-store.com/collections/premium/products/3ce-mood-recipe-matte-lip-color-116")</f>
        <v/>
      </c>
      <c r="B78" s="2">
        <f>HYPERLINK("https://prolisok-store.com/products/3ce-mood-recipe-matte-lip-color-116", "https://prolisok-store.com/products/3ce-mood-recipe-matte-lip-color-116")</f>
        <v/>
      </c>
      <c r="C78" t="inlineStr">
        <is>
          <t>3CE Mood Recipe Matte Lip Color, 116</t>
        </is>
      </c>
      <c r="D78" t="inlineStr">
        <is>
          <t>3CE Mood Recipe Matte Lip Color 3 Concept Eyes Season 2 (#220 Hit Me Up)</t>
        </is>
      </c>
      <c r="E78" s="2">
        <f>HYPERLINK("https://www.amazon.com/3CE-Recipe-Matte-Concept-Season/dp/B078T8881J/ref=sr_1_8?keywords=3CE+Mood+Recipe+Matte+Lip+Color%2C+116&amp;qid=1695259303&amp;sr=8-8", "https://www.amazon.com/3CE-Recipe-Matte-Concept-Season/dp/B078T8881J/ref=sr_1_8?keywords=3CE+Mood+Recipe+Matte+Lip+Color%2C+116&amp;qid=1695259303&amp;sr=8-8")</f>
        <v/>
      </c>
      <c r="F78" t="inlineStr">
        <is>
          <t>B078T8881J</t>
        </is>
      </c>
      <c r="G78">
        <f>IMAGE("https://prolisok-store.com/cdn/shop/files/31C87n4RBaL_300x.jpg?v=1693221452")</f>
        <v/>
      </c>
      <c r="H78">
        <f>IMAGE("https://m.media-amazon.com/images/I/41eAqvNQC-L._AC_UL320_.jpg")</f>
        <v/>
      </c>
      <c r="I78" t="inlineStr">
        <is>
          <t>7.99</t>
        </is>
      </c>
      <c r="J78" t="n">
        <v>22.5</v>
      </c>
      <c r="K78" s="3" t="inlineStr">
        <is>
          <t>181.60%</t>
        </is>
      </c>
      <c r="L78" t="n">
        <v>4.3</v>
      </c>
      <c r="M78" t="n">
        <v>5</v>
      </c>
      <c r="O78" t="inlineStr">
        <is>
          <t>InStock</t>
        </is>
      </c>
      <c r="P78" t="inlineStr">
        <is>
          <t>undefined</t>
        </is>
      </c>
      <c r="Q78" t="inlineStr">
        <is>
          <t>6771911327816</t>
        </is>
      </c>
    </row>
    <row r="79">
      <c r="A79" s="2">
        <f>HYPERLINK("https://prolisok-store.com/collections/premium/products/3ce-mood-recipe-matte-lip-color-3-concept-eyes-season-2-220-hit-me-up", "https://prolisok-store.com/collections/premium/products/3ce-mood-recipe-matte-lip-color-3-concept-eyes-season-2-220-hit-me-up")</f>
        <v/>
      </c>
      <c r="B79" s="2">
        <f>HYPERLINK("https://prolisok-store.com/products/3ce-mood-recipe-matte-lip-color-3-concept-eyes-season-2-220-hit-me-up", "https://prolisok-store.com/products/3ce-mood-recipe-matte-lip-color-3-concept-eyes-season-2-220-hit-me-up")</f>
        <v/>
      </c>
      <c r="C79" t="inlineStr">
        <is>
          <t>3CE Mood Recipe Matte Lip Color 3 Concept Eyes Season 2 (#220 Hit Me Up)</t>
        </is>
      </c>
      <c r="D79" t="inlineStr">
        <is>
          <t>3CE Mood Recipe Matte Lip Color 3 Concept Eyes Season 2 (#220 Hit Me Up)</t>
        </is>
      </c>
      <c r="E79" s="2">
        <f>HYPERLINK("https://www.amazon.com/3CE-Recipe-Matte-Concept-Season/dp/B078T8881J/ref=sr_1_1?keywords=3CE+Mood+Recipe+Matte+Lip+Color+3+Concept+Eyes+Season+2+%28%23220+Hit+Me+Up%29&amp;qid=1695259305&amp;sr=8-1", "https://www.amazon.com/3CE-Recipe-Matte-Concept-Season/dp/B078T8881J/ref=sr_1_1?keywords=3CE+Mood+Recipe+Matte+Lip+Color+3+Concept+Eyes+Season+2+%28%23220+Hit+Me+Up%29&amp;qid=1695259305&amp;sr=8-1")</f>
        <v/>
      </c>
      <c r="F79" t="inlineStr">
        <is>
          <t>B078T8881J</t>
        </is>
      </c>
      <c r="G79">
        <f>IMAGE("https://prolisok-store.com/cdn/shop/files/41eAqvNQC-L._SL1000_300x.jpg?v=1693219330")</f>
        <v/>
      </c>
      <c r="H79">
        <f>IMAGE("https://m.media-amazon.com/images/I/41eAqvNQC-L._AC_UL320_.jpg")</f>
        <v/>
      </c>
      <c r="I79" t="inlineStr">
        <is>
          <t>7.99</t>
        </is>
      </c>
      <c r="J79" t="n">
        <v>22.5</v>
      </c>
      <c r="K79" s="3" t="inlineStr">
        <is>
          <t>181.60%</t>
        </is>
      </c>
      <c r="L79" t="n">
        <v>4.3</v>
      </c>
      <c r="M79" t="n">
        <v>5</v>
      </c>
      <c r="O79" t="inlineStr">
        <is>
          <t>InStock</t>
        </is>
      </c>
      <c r="P79" t="inlineStr">
        <is>
          <t>undefined</t>
        </is>
      </c>
      <c r="Q79" t="inlineStr">
        <is>
          <t>6771911065672</t>
        </is>
      </c>
    </row>
    <row r="80">
      <c r="A80" s="2">
        <f>HYPERLINK("https://prolisok-store.com/collections/premium/products/3ce-mood-recipe-matte-lip-color-909", "https://prolisok-store.com/collections/premium/products/3ce-mood-recipe-matte-lip-color-909")</f>
        <v/>
      </c>
      <c r="B80" s="2">
        <f>HYPERLINK("https://prolisok-store.com/products/3ce-mood-recipe-matte-lip-color-909", "https://prolisok-store.com/products/3ce-mood-recipe-matte-lip-color-909")</f>
        <v/>
      </c>
      <c r="C80" t="inlineStr">
        <is>
          <t>3CE Mood Recipe Matte Lip Color, 909</t>
        </is>
      </c>
      <c r="D80" t="inlineStr">
        <is>
          <t>3CE Mood Recipe Matte Lip Color 3 Concept Eyes Season 2 (#220 Hit Me Up)</t>
        </is>
      </c>
      <c r="E80" s="2">
        <f>HYPERLINK("https://www.amazon.com/3CE-Recipe-Matte-Concept-Season/dp/B078T8881J/ref=sr_1_10?keywords=3CE+Mood+Recipe+Matte+Lip+Color%2C+909&amp;qid=1695259303&amp;sr=8-10", "https://www.amazon.com/3CE-Recipe-Matte-Concept-Season/dp/B078T8881J/ref=sr_1_10?keywords=3CE+Mood+Recipe+Matte+Lip+Color%2C+909&amp;qid=1695259303&amp;sr=8-10")</f>
        <v/>
      </c>
      <c r="F80" t="inlineStr">
        <is>
          <t>B078T8881J</t>
        </is>
      </c>
      <c r="G80">
        <f>IMAGE("https://prolisok-store.com/cdn/shop/files/41q_eA_m8iL._SL1000_300x.jpg?v=1693221579")</f>
        <v/>
      </c>
      <c r="H80">
        <f>IMAGE("https://m.media-amazon.com/images/I/41eAqvNQC-L._AC_UL320_.jpg")</f>
        <v/>
      </c>
      <c r="I80" t="inlineStr">
        <is>
          <t>7.99</t>
        </is>
      </c>
      <c r="J80" t="n">
        <v>22.5</v>
      </c>
      <c r="K80" s="3" t="inlineStr">
        <is>
          <t>181.60%</t>
        </is>
      </c>
      <c r="L80" t="n">
        <v>4.3</v>
      </c>
      <c r="M80" t="n">
        <v>5</v>
      </c>
      <c r="O80" t="inlineStr">
        <is>
          <t>InStock</t>
        </is>
      </c>
      <c r="P80" t="inlineStr">
        <is>
          <t>undefined</t>
        </is>
      </c>
      <c r="Q80" t="inlineStr">
        <is>
          <t>6771911360584</t>
        </is>
      </c>
    </row>
    <row r="81">
      <c r="A81" s="2">
        <f>HYPERLINK("https://prolisok-store.com/collections/premium/products/diptyque-philosykos-eau-de-toilette-3-4-oz", "https://prolisok-store.com/collections/premium/products/diptyque-philosykos-eau-de-toilette-3-4-oz")</f>
        <v/>
      </c>
      <c r="B81" s="2">
        <f>HYPERLINK("https://prolisok-store.com/products/diptyque-philosykos-eau-de-toilette-3-4-oz", "https://prolisok-store.com/products/diptyque-philosykos-eau-de-toilette-3-4-oz")</f>
        <v/>
      </c>
      <c r="C81" t="inlineStr">
        <is>
          <t>Diptyque Philosykos Eau de Toilette-3.4 oz</t>
        </is>
      </c>
      <c r="D81" t="inlineStr">
        <is>
          <t>Diptyque Olene Eau de Toilette-3.4 oz</t>
        </is>
      </c>
      <c r="E81" s="2">
        <f>HYPERLINK("https://www.amazon.com/Diptyque-Olene-Eau-Toilette-3-4-oz/dp/B00992AF7I/ref=sr_1_4?keywords=Diptyque+Philosykos+Eau+de+Toilette-3.4+oz&amp;qid=1695259286&amp;sr=8-4", "https://www.amazon.com/Diptyque-Olene-Eau-Toilette-3-4-oz/dp/B00992AF7I/ref=sr_1_4?keywords=Diptyque+Philosykos+Eau+de+Toilette-3.4+oz&amp;qid=1695259286&amp;sr=8-4")</f>
        <v/>
      </c>
      <c r="F81" t="inlineStr">
        <is>
          <t>B00992AF7I</t>
        </is>
      </c>
      <c r="G81">
        <f>IMAGE("https://prolisok-store.com/cdn/shop/products/DiptyquePhilosykosEau-3.4oz_300x.jpg?v=1683715790")</f>
        <v/>
      </c>
      <c r="H81">
        <f>IMAGE("https://m.media-amazon.com/images/I/61y8cVJYx0L._AC_UL320_.jpg")</f>
        <v/>
      </c>
      <c r="I81" t="inlineStr">
        <is>
          <t>59.99</t>
        </is>
      </c>
      <c r="J81" t="n">
        <v>168.71</v>
      </c>
      <c r="K81" s="3" t="inlineStr">
        <is>
          <t>181.23%</t>
        </is>
      </c>
      <c r="L81" t="n">
        <v>4</v>
      </c>
      <c r="M81" t="n">
        <v>28</v>
      </c>
      <c r="O81" t="inlineStr">
        <is>
          <t>InStock</t>
        </is>
      </c>
      <c r="P81" t="inlineStr">
        <is>
          <t>undefined</t>
        </is>
      </c>
      <c r="Q81" t="inlineStr">
        <is>
          <t>6758090997832</t>
        </is>
      </c>
    </row>
    <row r="82">
      <c r="A82" s="2">
        <f>HYPERLINK("https://prolisok-store.com/collections/premium/products/3ce-velvet-lip-tint-4g-stylenanda-private", "https://prolisok-store.com/collections/premium/products/3ce-velvet-lip-tint-4g-stylenanda-private")</f>
        <v/>
      </c>
      <c r="B82" s="2">
        <f>HYPERLINK("https://prolisok-store.com/products/3ce-velvet-lip-tint-4g-stylenanda-private", "https://prolisok-store.com/products/3ce-velvet-lip-tint-4g-stylenanda-private")</f>
        <v/>
      </c>
      <c r="C82" t="inlineStr">
        <is>
          <t>3CE Velvet Lip Tint (4g) Stylenanda (Private)</t>
        </is>
      </c>
      <c r="D82" t="inlineStr">
        <is>
          <t>3CE (Velvet Lip) (VELVET LIP TINT #PRIVATE)</t>
        </is>
      </c>
      <c r="E82" s="2">
        <f>HYPERLINK("https://www.amazon.com/3CE-Velvet-VELVET-TINT-PRIVATE/dp/B0795FH4GQ/ref=sr_1_6?keywords=3CE+Velvet+Lip+Tint+%284g%29+Stylenanda+%28Private%29&amp;qid=1695259303&amp;sr=8-6", "https://www.amazon.com/3CE-Velvet-VELVET-TINT-PRIVATE/dp/B0795FH4GQ/ref=sr_1_6?keywords=3CE+Velvet+Lip+Tint+%284g%29+Stylenanda+%28Private%29&amp;qid=1695259303&amp;sr=8-6")</f>
        <v/>
      </c>
      <c r="F82" t="inlineStr">
        <is>
          <t>B0795FH4GQ</t>
        </is>
      </c>
      <c r="G82">
        <f>IMAGE("https://prolisok-store.com/cdn/shop/files/51lsOgwPjWL._SL1000_300x.jpg?v=1683819884")</f>
        <v/>
      </c>
      <c r="H82">
        <f>IMAGE("https://m.media-amazon.com/images/I/31y0jY7-a6L._AC_UL320_.jpg")</f>
        <v/>
      </c>
      <c r="I82" t="inlineStr">
        <is>
          <t>7.99</t>
        </is>
      </c>
      <c r="J82" t="n">
        <v>22.44</v>
      </c>
      <c r="K82" s="3" t="inlineStr">
        <is>
          <t>180.85%</t>
        </is>
      </c>
      <c r="L82" t="n">
        <v>4.2</v>
      </c>
      <c r="M82" t="n">
        <v>20</v>
      </c>
      <c r="O82" t="inlineStr">
        <is>
          <t>InStock</t>
        </is>
      </c>
      <c r="P82" t="inlineStr">
        <is>
          <t>undefined</t>
        </is>
      </c>
      <c r="Q82" t="inlineStr">
        <is>
          <t>6761027764296</t>
        </is>
      </c>
    </row>
    <row r="83">
      <c r="A83" s="2">
        <f>HYPERLINK("https://prolisok-store.com/collections/premium/products/the-soft-fluid-foundation-spf-20-1-oz-porcelain", "https://prolisok-store.com/collections/premium/products/the-soft-fluid-foundation-spf-20-1-oz-porcelain")</f>
        <v/>
      </c>
      <c r="B83" s="2">
        <f>HYPERLINK("https://prolisok-store.com/products/the-soft-fluid-foundation-spf-20-1-oz-porcelain", "https://prolisok-store.com/products/the-soft-fluid-foundation-spf-20-1-oz-porcelain")</f>
        <v/>
      </c>
      <c r="C83" t="inlineStr">
        <is>
          <t>La Mer The Soft Fluid Foundation SPF 20-1 oz. Porcelain</t>
        </is>
      </c>
      <c r="D83" t="inlineStr">
        <is>
          <t>La Mer The Soft Fluid Long Wear Foundation SPF 20 - # 22 Neutral 30ml/1oz</t>
        </is>
      </c>
      <c r="E83" s="2">
        <f>HYPERLINK("https://www.amazon.com/Mer-Soft-Fluid-Long-Foundation/dp/B01MG45I4H/ref=sr_1_8?keywords=La+Mer+The+Soft+Fluid+Foundation+SPF+20-1+oz.+Porcelain&amp;qid=1695259298&amp;sr=8-8", "https://www.amazon.com/Mer-Soft-Fluid-Long-Foundation/dp/B01MG45I4H/ref=sr_1_8?keywords=La+Mer+The+Soft+Fluid+Foundation+SPF+20-1+oz.+Porcelain&amp;qid=1695259298&amp;sr=8-8")</f>
        <v/>
      </c>
      <c r="F83" t="inlineStr">
        <is>
          <t>B01MG45I4H</t>
        </is>
      </c>
      <c r="G83">
        <f>IMAGE("https://prolisok-store.com/cdn/shop/products/41wgXKYLRyL._SL1000_300x.jpg?v=1674109756")</f>
        <v/>
      </c>
      <c r="H83">
        <f>IMAGE("https://m.media-amazon.com/images/I/51oqFtChOJL._AC_UL320_.jpg")</f>
        <v/>
      </c>
      <c r="I83" t="inlineStr">
        <is>
          <t>49.99</t>
        </is>
      </c>
      <c r="J83" t="n">
        <v>140</v>
      </c>
      <c r="K83" s="3" t="inlineStr">
        <is>
          <t>180.06%</t>
        </is>
      </c>
      <c r="L83" t="n">
        <v>4.7</v>
      </c>
      <c r="M83" t="n">
        <v>29</v>
      </c>
      <c r="O83" t="inlineStr">
        <is>
          <t>InStock</t>
        </is>
      </c>
      <c r="P83" t="inlineStr">
        <is>
          <t>95.0</t>
        </is>
      </c>
      <c r="Q83" t="inlineStr">
        <is>
          <t>6709197045832</t>
        </is>
      </c>
    </row>
    <row r="84">
      <c r="A84" s="2">
        <f>HYPERLINK("https://prolisok-store.com/collections/premium/products/la-mer-the-moisturizing-soft-lotion", "https://prolisok-store.com/collections/premium/products/la-mer-the-moisturizing-soft-lotion")</f>
        <v/>
      </c>
      <c r="B84" s="2">
        <f>HYPERLINK("https://prolisok-store.com/products/la-mer-the-moisturizing-soft-lotion", "https://prolisok-store.com/products/la-mer-the-moisturizing-soft-lotion")</f>
        <v/>
      </c>
      <c r="C84" t="inlineStr">
        <is>
          <t>La Mer The Moisturizing Soft Lotion</t>
        </is>
      </c>
      <c r="D84" t="inlineStr">
        <is>
          <t>La Mer The Moisturizing Soft Cream for Unisex, 2 Oz</t>
        </is>
      </c>
      <c r="E84" s="2">
        <f>HYPERLINK("https://www.amazon.com/Mer-Moisturizing-Cream-Unisex-Ounce/dp/B009AWTPE6/ref=sr_1_8?keywords=La+Mer+The+Moisturizing+Soft+Lotion&amp;qid=1695259290&amp;sr=8-8", "https://www.amazon.com/Mer-Moisturizing-Cream-Unisex-Ounce/dp/B009AWTPE6/ref=sr_1_8?keywords=La+Mer+The+Moisturizing+Soft+Lotion&amp;qid=1695259290&amp;sr=8-8")</f>
        <v/>
      </c>
      <c r="F84" t="inlineStr">
        <is>
          <t>B009AWTPE6</t>
        </is>
      </c>
      <c r="G84">
        <f>IMAGE("https://prolisok-store.com/cdn/shop/products/61uLYCnMy9L._SL1500_300x.jpg?v=1667997816")</f>
        <v/>
      </c>
      <c r="H84">
        <f>IMAGE("https://m.media-amazon.com/images/I/71NAMlm8B1L._AC_UL320_.jpg")</f>
        <v/>
      </c>
      <c r="I84" t="inlineStr">
        <is>
          <t>69.99</t>
        </is>
      </c>
      <c r="J84" t="n">
        <v>188.27</v>
      </c>
      <c r="K84" s="3" t="inlineStr">
        <is>
          <t>169.00%</t>
        </is>
      </c>
      <c r="L84" t="n">
        <v>4</v>
      </c>
      <c r="M84" t="n">
        <v>166</v>
      </c>
      <c r="O84" t="inlineStr">
        <is>
          <t>InStock</t>
        </is>
      </c>
      <c r="P84" t="inlineStr">
        <is>
          <t>undefined</t>
        </is>
      </c>
      <c r="Q84" t="inlineStr">
        <is>
          <t>6674655084616</t>
        </is>
      </c>
    </row>
    <row r="85">
      <c r="A85" s="2">
        <f>HYPERLINK("https://prolisok-store.com/collections/premium/products/diptyque-lombre-dans-leau-eau-de-toilette-spray-for-women-100ml-3-4-fl-oz", "https://prolisok-store.com/collections/premium/products/diptyque-lombre-dans-leau-eau-de-toilette-spray-for-women-100ml-3-4-fl-oz")</f>
        <v/>
      </c>
      <c r="B85" s="2">
        <f>HYPERLINK("https://prolisok-store.com/products/diptyque-lombre-dans-leau-eau-de-toilette-spray-for-women-100ml-3-4-fl-oz", "https://prolisok-store.com/products/diptyque-lombre-dans-leau-eau-de-toilette-spray-for-women-100ml-3-4-fl-oz")</f>
        <v/>
      </c>
      <c r="C85" t="inlineStr">
        <is>
          <t>Diptyque L'ombre Dans L'eau Eau De Toilette Spray For Women 100Ml 3.4 Fl Oz</t>
        </is>
      </c>
      <c r="D85" t="inlineStr">
        <is>
          <t>Diptyque L'ombre Dans L'eau Eau De Parfum Spray For Women 75Ml/2.5Oz</t>
        </is>
      </c>
      <c r="E85" s="2">
        <f>HYPERLINK("https://www.amazon.com/Diptyque-Lombre-Parfum-Spray-Women/dp/B00L36HV0W/ref=sr_1_2?keywords=Diptyque+L%27ombre+Dans+L%27eau+Eau+De+Toilette+Spray+For+Women+100Ml+3.4+Fl+Oz&amp;qid=1695259303&amp;sr=8-2", "https://www.amazon.com/Diptyque-Lombre-Parfum-Spray-Women/dp/B00L36HV0W/ref=sr_1_2?keywords=Diptyque+L%27ombre+Dans+L%27eau+Eau+De+Toilette+Spray+For+Women+100Ml+3.4+Fl+Oz&amp;qid=1695259303&amp;sr=8-2")</f>
        <v/>
      </c>
      <c r="F85" t="inlineStr">
        <is>
          <t>B00L36HV0W</t>
        </is>
      </c>
      <c r="G85">
        <f>IMAGE("https://prolisok-store.com/cdn/shop/products/DiptyqueL_ombreDansL_eau_300x.jpg?v=1683715765")</f>
        <v/>
      </c>
      <c r="H85">
        <f>IMAGE("https://m.media-amazon.com/images/I/71T+KosckiL._AC_UL320_.jpg")</f>
        <v/>
      </c>
      <c r="I85" t="inlineStr">
        <is>
          <t>59.99</t>
        </is>
      </c>
      <c r="J85" t="n">
        <v>161.07</v>
      </c>
      <c r="K85" s="3" t="inlineStr">
        <is>
          <t>168.49%</t>
        </is>
      </c>
      <c r="L85" t="n">
        <v>5</v>
      </c>
      <c r="M85" t="n">
        <v>2</v>
      </c>
      <c r="O85" t="inlineStr">
        <is>
          <t>InStock</t>
        </is>
      </c>
      <c r="P85" t="inlineStr">
        <is>
          <t>105.0</t>
        </is>
      </c>
      <c r="Q85" t="inlineStr">
        <is>
          <t>6758097977416</t>
        </is>
      </c>
    </row>
    <row r="86">
      <c r="A86" s="2">
        <f>HYPERLINK("https://prolisok-store.com/collections/premium/products/3ce-mood-recipe-face-blush-rose-beige", "https://prolisok-store.com/collections/premium/products/3ce-mood-recipe-face-blush-rose-beige")</f>
        <v/>
      </c>
      <c r="B86" s="2">
        <f>HYPERLINK("https://prolisok-store.com/products/3ce-mood-recipe-face-blush-rose-beige", "https://prolisok-store.com/products/3ce-mood-recipe-face-blush-rose-beige")</f>
        <v/>
      </c>
      <c r="C86" t="inlineStr">
        <is>
          <t>3CE Mood Recipe Face Blush - #Rose Beige</t>
        </is>
      </c>
      <c r="D86" t="inlineStr">
        <is>
          <t>3CE MOOD RECIPE FACE BLUSH (# NUDE PEACH)</t>
        </is>
      </c>
      <c r="E86" s="2">
        <f>HYPERLINK("https://www.amazon.com/MOOD-RECIPE-FACE-BLUSH-PEACH/dp/B0777FK974/ref=sr_1_4?keywords=3CE+Mood+Recipe+Face+Blush+-&amp;qid=1695259301&amp;sr=8-4", "https://www.amazon.com/MOOD-RECIPE-FACE-BLUSH-PEACH/dp/B0777FK974/ref=sr_1_4?keywords=3CE+Mood+Recipe+Face+Blush+-&amp;qid=1695259301&amp;sr=8-4")</f>
        <v/>
      </c>
      <c r="F86" t="inlineStr">
        <is>
          <t>B0777FK974</t>
        </is>
      </c>
      <c r="G86">
        <f>IMAGE("https://prolisok-store.com/cdn/shop/files/31TTnrkqldL_300x.jpg?v=1683820558")</f>
        <v/>
      </c>
      <c r="H86">
        <f>IMAGE("https://m.media-amazon.com/images/I/41p47yBnZFL._AC_UL320_.jpg")</f>
        <v/>
      </c>
      <c r="I86" t="inlineStr">
        <is>
          <t>7.99</t>
        </is>
      </c>
      <c r="J86" t="n">
        <v>21.18</v>
      </c>
      <c r="K86" s="3" t="inlineStr">
        <is>
          <t>165.08%</t>
        </is>
      </c>
      <c r="L86" t="n">
        <v>4.8</v>
      </c>
      <c r="M86" t="n">
        <v>25</v>
      </c>
      <c r="O86" t="inlineStr">
        <is>
          <t>InStock</t>
        </is>
      </c>
      <c r="P86" t="inlineStr">
        <is>
          <t>undefined</t>
        </is>
      </c>
      <c r="Q86" t="inlineStr">
        <is>
          <t>6761036218440</t>
        </is>
      </c>
    </row>
    <row r="87">
      <c r="A87" s="2">
        <f>HYPERLINK("https://prolisok-store.com/collections/premium/products/drunk-elephant-lala-retro-whipped-cream-50-milliliters", "https://prolisok-store.com/collections/premium/products/drunk-elephant-lala-retro-whipped-cream-50-milliliters")</f>
        <v/>
      </c>
      <c r="B87" s="2">
        <f>HYPERLINK("https://prolisok-store.com/products/drunk-elephant-lala-retro-whipped-cream-50-milliliters", "https://prolisok-store.com/products/drunk-elephant-lala-retro-whipped-cream-50-milliliters")</f>
        <v/>
      </c>
      <c r="C87" t="inlineStr">
        <is>
          <t>Drunk Elephant Lala Retro Whipped Cream 50 Milliliters</t>
        </is>
      </c>
      <c r="D87" t="inlineStr">
        <is>
          <t>Drunk Elephant Hit It Off Face Wash and Facial Moisturizer Set Beste No. 9 Jelly Cleanser (150 mL / 5 Fl Oz) and Lala Retro Whipped Cream (50 mL / 1.69 Fl Oz)</t>
        </is>
      </c>
      <c r="E87" s="2">
        <f>HYPERLINK("https://www.amazon.com/Drunk-Elephant-Moisturizer-Cleanser-Whipped/dp/B07CH346S8/ref=sr_1_4?keywords=Drunk+Elephant+Lala+Retro+Whipped+Cream+50+Milliliters&amp;qid=1695259287&amp;sr=8-4", "https://www.amazon.com/Drunk-Elephant-Moisturizer-Cleanser-Whipped/dp/B07CH346S8/ref=sr_1_4?keywords=Drunk+Elephant+Lala+Retro+Whipped+Cream+50+Milliliters&amp;qid=1695259287&amp;sr=8-4")</f>
        <v/>
      </c>
      <c r="F87" t="inlineStr">
        <is>
          <t>B07CH346S8</t>
        </is>
      </c>
      <c r="G87">
        <f>IMAGE("https://prolisok-store.com/cdn/shop/files/51ybUrn6ZWL._SL1500_300x.jpg?v=1686223860")</f>
        <v/>
      </c>
      <c r="H87">
        <f>IMAGE("https://m.media-amazon.com/images/I/71kkfZpaOjL._AC_UL320_.jpg")</f>
        <v/>
      </c>
      <c r="I87" t="inlineStr">
        <is>
          <t>34.99</t>
        </is>
      </c>
      <c r="J87" t="n">
        <v>92</v>
      </c>
      <c r="K87" s="3" t="inlineStr">
        <is>
          <t>162.93%</t>
        </is>
      </c>
      <c r="L87" t="n">
        <v>4.3</v>
      </c>
      <c r="M87" t="n">
        <v>31</v>
      </c>
      <c r="O87" t="inlineStr">
        <is>
          <t>InStock</t>
        </is>
      </c>
      <c r="P87" t="inlineStr">
        <is>
          <t>60.0</t>
        </is>
      </c>
      <c r="Q87" t="inlineStr">
        <is>
          <t>6762921427016</t>
        </is>
      </c>
    </row>
    <row r="88">
      <c r="A88" s="2">
        <f>HYPERLINK("https://prolisok-store.com/collections/premium/products/3ce-velvet-lip-tint-4g-stylenanda-private", "https://prolisok-store.com/collections/premium/products/3ce-velvet-lip-tint-4g-stylenanda-private")</f>
        <v/>
      </c>
      <c r="B88" s="2">
        <f>HYPERLINK("https://prolisok-store.com/products/3ce-velvet-lip-tint-4g-stylenanda-private", "https://prolisok-store.com/products/3ce-velvet-lip-tint-4g-stylenanda-private")</f>
        <v/>
      </c>
      <c r="C88" t="inlineStr">
        <is>
          <t>3CE Velvet Lip Tint (4g) Stylenanda (Private)</t>
        </is>
      </c>
      <c r="D88" t="inlineStr">
        <is>
          <t>3CE Velvet Lip Tint (4g/ea) 10 colors / Newly Launched / Mlbb / Mlbb Lips / Stylenanda (Best Ever)</t>
        </is>
      </c>
      <c r="E88" s="2">
        <f>HYPERLINK("https://www.amazon.com/Velvet-colors-Newly-Launched-Stylenanda/dp/B076J83H6F/ref=sr_1_2?keywords=3CE+Velvet+Lip+Tint+%284g%29+Stylenanda+%28Private%29&amp;qid=1695259303&amp;sr=8-2", "https://www.amazon.com/Velvet-colors-Newly-Launched-Stylenanda/dp/B076J83H6F/ref=sr_1_2?keywords=3CE+Velvet+Lip+Tint+%284g%29+Stylenanda+%28Private%29&amp;qid=1695259303&amp;sr=8-2")</f>
        <v/>
      </c>
      <c r="F88" t="inlineStr">
        <is>
          <t>B076J83H6F</t>
        </is>
      </c>
      <c r="G88">
        <f>IMAGE("https://prolisok-store.com/cdn/shop/files/51lsOgwPjWL._SL1000_300x.jpg?v=1683819884")</f>
        <v/>
      </c>
      <c r="H88">
        <f>IMAGE("https://m.media-amazon.com/images/I/51vrAPNxfqL._AC_UL320_.jpg")</f>
        <v/>
      </c>
      <c r="I88" t="inlineStr">
        <is>
          <t>7.99</t>
        </is>
      </c>
      <c r="J88" t="n">
        <v>21</v>
      </c>
      <c r="K88" s="3" t="inlineStr">
        <is>
          <t>162.83%</t>
        </is>
      </c>
      <c r="L88" t="n">
        <v>4.5</v>
      </c>
      <c r="M88" t="n">
        <v>4</v>
      </c>
      <c r="O88" t="inlineStr">
        <is>
          <t>InStock</t>
        </is>
      </c>
      <c r="P88" t="inlineStr">
        <is>
          <t>undefined</t>
        </is>
      </c>
      <c r="Q88" t="inlineStr">
        <is>
          <t>6761027764296</t>
        </is>
      </c>
    </row>
    <row r="89">
      <c r="A89" s="2">
        <f>HYPERLINK("https://prolisok-store.com/collections/premium/products/byredo-rose-of-no-mans-land-eau-de-parfum-spray-3-3-ounce", "https://prolisok-store.com/collections/premium/products/byredo-rose-of-no-mans-land-eau-de-parfum-spray-3-3-ounce")</f>
        <v/>
      </c>
      <c r="B89" s="2">
        <f>HYPERLINK("https://prolisok-store.com/products/byredo-rose-of-no-mans-land-eau-de-parfum-spray-3-3-ounce", "https://prolisok-store.com/products/byredo-rose-of-no-mans-land-eau-de-parfum-spray-3-3-ounce")</f>
        <v/>
      </c>
      <c r="C89" t="inlineStr">
        <is>
          <t>Byredo Rose of No Man's Land Eau De Parfum Spray, 3.3 Ounce</t>
        </is>
      </c>
      <c r="D89" t="inlineStr">
        <is>
          <t>Byredo Rose of No Man's Land Eau De Parfum Spray, 3.3 Ounce</t>
        </is>
      </c>
      <c r="E89" s="2">
        <f>HYPERLINK("https://www.amazon.com/Byredo-Rose-Parfum-Spray-Ounce/dp/B017JBDXBK/ref=sr_1_1?keywords=Byredo+Rose+of+No+Man%27s+Land+Eau+De+Parfum+Spray%2C+3.3+Ounce&amp;qid=1695259292&amp;sr=8-1", "https://www.amazon.com/Byredo-Rose-Parfum-Spray-Ounce/dp/B017JBDXBK/ref=sr_1_1?keywords=Byredo+Rose+of+No+Man%27s+Land+Eau+De+Parfum+Spray%2C+3.3+Ounce&amp;qid=1695259292&amp;sr=8-1")</f>
        <v/>
      </c>
      <c r="F89" t="inlineStr">
        <is>
          <t>B017JBDXBK</t>
        </is>
      </c>
      <c r="G89">
        <f>IMAGE("https://prolisok-store.com/cdn/shop/files/ByredoRoseofNoMan_sLand4_300x.jpg?v=1687511871")</f>
        <v/>
      </c>
      <c r="H89">
        <f>IMAGE("https://m.media-amazon.com/images/I/61AlpP54RsL._AC_UL320_.jpg")</f>
        <v/>
      </c>
      <c r="I89" t="inlineStr">
        <is>
          <t>59.99</t>
        </is>
      </c>
      <c r="J89" t="n">
        <v>157</v>
      </c>
      <c r="K89" s="3" t="inlineStr">
        <is>
          <t>161.71%</t>
        </is>
      </c>
      <c r="L89" t="n">
        <v>4.1</v>
      </c>
      <c r="M89" t="n">
        <v>91</v>
      </c>
      <c r="O89" t="inlineStr">
        <is>
          <t>InStock</t>
        </is>
      </c>
      <c r="P89" t="inlineStr">
        <is>
          <t>undefined</t>
        </is>
      </c>
      <c r="Q89" t="inlineStr">
        <is>
          <t>6763239604296</t>
        </is>
      </c>
    </row>
    <row r="90">
      <c r="A90" s="2">
        <f>HYPERLINK("https://prolisok-store.com/collections/premium/products/3ce-velvet-lip-tint-4g-stylenanda-private", "https://prolisok-store.com/collections/premium/products/3ce-velvet-lip-tint-4g-stylenanda-private")</f>
        <v/>
      </c>
      <c r="B90" s="2">
        <f>HYPERLINK("https://prolisok-store.com/products/3ce-velvet-lip-tint-4g-stylenanda-private", "https://prolisok-store.com/products/3ce-velvet-lip-tint-4g-stylenanda-private")</f>
        <v/>
      </c>
      <c r="C90" t="inlineStr">
        <is>
          <t>3CE Velvet Lip Tint (4g) Stylenanda (Private)</t>
        </is>
      </c>
      <c r="D90" t="inlineStr">
        <is>
          <t>3CE Velvet Lip Tint (4g/ea) 10 colors / Newly Launched / Mlbb / Mlbb Lips / Stylenanda (Private)</t>
        </is>
      </c>
      <c r="E90" s="2">
        <f>HYPERLINK("https://www.amazon.com/Velvet-colors-Launched-Stylenanda-Private/dp/B076J9P2Q5/ref=sr_1_1?keywords=3CE+Velvet+Lip+Tint+%284g%29+Stylenanda+%28Private%29&amp;qid=1695259303&amp;sr=8-1", "https://www.amazon.com/Velvet-colors-Launched-Stylenanda-Private/dp/B076J9P2Q5/ref=sr_1_1?keywords=3CE+Velvet+Lip+Tint+%284g%29+Stylenanda+%28Private%29&amp;qid=1695259303&amp;sr=8-1")</f>
        <v/>
      </c>
      <c r="F90" t="inlineStr">
        <is>
          <t>B076J9P2Q5</t>
        </is>
      </c>
      <c r="G90">
        <f>IMAGE("https://prolisok-store.com/cdn/shop/files/51lsOgwPjWL._SL1000_300x.jpg?v=1683819884")</f>
        <v/>
      </c>
      <c r="H90">
        <f>IMAGE("https://m.media-amazon.com/images/I/51lsOgwPjWL._AC_UL320_.jpg")</f>
        <v/>
      </c>
      <c r="I90" t="inlineStr">
        <is>
          <t>7.99</t>
        </is>
      </c>
      <c r="J90" t="n">
        <v>20.9</v>
      </c>
      <c r="K90" s="3" t="inlineStr">
        <is>
          <t>161.58%</t>
        </is>
      </c>
      <c r="L90" t="n">
        <v>4.4</v>
      </c>
      <c r="M90" t="n">
        <v>10</v>
      </c>
      <c r="O90" t="inlineStr">
        <is>
          <t>InStock</t>
        </is>
      </c>
      <c r="P90" t="inlineStr">
        <is>
          <t>undefined</t>
        </is>
      </c>
      <c r="Q90" t="inlineStr">
        <is>
          <t>6761027764296</t>
        </is>
      </c>
    </row>
    <row r="91">
      <c r="A91" s="2">
        <f>HYPERLINK("https://prolisok-store.com/collections/premium/products/3ce-mood-recipe-matte-lip-color-3-concept-eyes-season-2-220-hit-me-up", "https://prolisok-store.com/collections/premium/products/3ce-mood-recipe-matte-lip-color-3-concept-eyes-season-2-220-hit-me-up")</f>
        <v/>
      </c>
      <c r="B91" s="2">
        <f>HYPERLINK("https://prolisok-store.com/products/3ce-mood-recipe-matte-lip-color-3-concept-eyes-season-2-220-hit-me-up", "https://prolisok-store.com/products/3ce-mood-recipe-matte-lip-color-3-concept-eyes-season-2-220-hit-me-up")</f>
        <v/>
      </c>
      <c r="C91" t="inlineStr">
        <is>
          <t>3CE Mood Recipe Matte Lip Color 3 Concept Eyes Season 2 (#220 Hit Me Up)</t>
        </is>
      </c>
      <c r="D91" t="inlineStr">
        <is>
          <t>3CE NEW Mood Recipe Matte Lip Color (3 Concept Eyes) Season 2, 218, 219, 220, 221, 222 (220)</t>
        </is>
      </c>
      <c r="E91" s="2">
        <f>HYPERLINK("https://www.amazon.com/Recipe-Matte-Color-Concept-Season/dp/B077CL1Y59/ref=sr_1_4?keywords=3CE+Mood+Recipe+Matte+Lip+Color+3+Concept+Eyes+Season+2+%28%23220+Hit+Me+Up%29&amp;qid=1695259305&amp;sr=8-4", "https://www.amazon.com/Recipe-Matte-Color-Concept-Season/dp/B077CL1Y59/ref=sr_1_4?keywords=3CE+Mood+Recipe+Matte+Lip+Color+3+Concept+Eyes+Season+2+%28%23220+Hit+Me+Up%29&amp;qid=1695259305&amp;sr=8-4")</f>
        <v/>
      </c>
      <c r="F91" t="inlineStr">
        <is>
          <t>B077CL1Y59</t>
        </is>
      </c>
      <c r="G91">
        <f>IMAGE("https://prolisok-store.com/cdn/shop/files/41eAqvNQC-L._SL1000_300x.jpg?v=1693219330")</f>
        <v/>
      </c>
      <c r="H91">
        <f>IMAGE("https://m.media-amazon.com/images/I/21tv+5J12vL._AC_UL320_.jpg")</f>
        <v/>
      </c>
      <c r="I91" t="inlineStr">
        <is>
          <t>7.99</t>
        </is>
      </c>
      <c r="J91" t="n">
        <v>20.86</v>
      </c>
      <c r="K91" s="3" t="inlineStr">
        <is>
          <t>161.08%</t>
        </is>
      </c>
      <c r="L91" t="n">
        <v>4</v>
      </c>
      <c r="M91" t="n">
        <v>39</v>
      </c>
      <c r="O91" t="inlineStr">
        <is>
          <t>InStock</t>
        </is>
      </c>
      <c r="P91" t="inlineStr">
        <is>
          <t>undefined</t>
        </is>
      </c>
      <c r="Q91" t="inlineStr">
        <is>
          <t>6771911065672</t>
        </is>
      </c>
    </row>
    <row r="92">
      <c r="A92" s="2">
        <f>HYPERLINK("https://prolisok-store.com/collections/premium/products/3ce-mood-recipe-matte-lip-color-116", "https://prolisok-store.com/collections/premium/products/3ce-mood-recipe-matte-lip-color-116")</f>
        <v/>
      </c>
      <c r="B92" s="2">
        <f>HYPERLINK("https://prolisok-store.com/products/3ce-mood-recipe-matte-lip-color-116", "https://prolisok-store.com/products/3ce-mood-recipe-matte-lip-color-116")</f>
        <v/>
      </c>
      <c r="C92" t="inlineStr">
        <is>
          <t>3CE Mood Recipe Matte Lip Color, 116</t>
        </is>
      </c>
      <c r="D92" t="inlineStr">
        <is>
          <t>3CE NEW Mood Recipe Matte Lip Color (3 Concept Eyes) Season 2, 218, 219, 220, 221, 222 (220)</t>
        </is>
      </c>
      <c r="E92" s="2">
        <f>HYPERLINK("https://www.amazon.com/Recipe-Matte-Color-Concept-Season/dp/B077CL1Y59/ref=sr_1_2?keywords=3CE+Mood+Recipe+Matte+Lip+Color%2C+116&amp;qid=1695259303&amp;sr=8-2", "https://www.amazon.com/Recipe-Matte-Color-Concept-Season/dp/B077CL1Y59/ref=sr_1_2?keywords=3CE+Mood+Recipe+Matte+Lip+Color%2C+116&amp;qid=1695259303&amp;sr=8-2")</f>
        <v/>
      </c>
      <c r="F92" t="inlineStr">
        <is>
          <t>B077CL1Y59</t>
        </is>
      </c>
      <c r="G92">
        <f>IMAGE("https://prolisok-store.com/cdn/shop/files/31C87n4RBaL_300x.jpg?v=1693221452")</f>
        <v/>
      </c>
      <c r="H92">
        <f>IMAGE("https://m.media-amazon.com/images/I/21tv+5J12vL._AC_UL320_.jpg")</f>
        <v/>
      </c>
      <c r="I92" t="inlineStr">
        <is>
          <t>7.99</t>
        </is>
      </c>
      <c r="J92" t="n">
        <v>20.86</v>
      </c>
      <c r="K92" s="3" t="inlineStr">
        <is>
          <t>161.08%</t>
        </is>
      </c>
      <c r="L92" t="n">
        <v>4</v>
      </c>
      <c r="M92" t="n">
        <v>39</v>
      </c>
      <c r="O92" t="inlineStr">
        <is>
          <t>InStock</t>
        </is>
      </c>
      <c r="P92" t="inlineStr">
        <is>
          <t>undefined</t>
        </is>
      </c>
      <c r="Q92" t="inlineStr">
        <is>
          <t>6771911327816</t>
        </is>
      </c>
    </row>
    <row r="93">
      <c r="A93" s="2">
        <f>HYPERLINK("https://prolisok-store.com/collections/premium/products/3ce-mood-recipe-matte-lip-color-909", "https://prolisok-store.com/collections/premium/products/3ce-mood-recipe-matte-lip-color-909")</f>
        <v/>
      </c>
      <c r="B93" s="2">
        <f>HYPERLINK("https://prolisok-store.com/products/3ce-mood-recipe-matte-lip-color-909", "https://prolisok-store.com/products/3ce-mood-recipe-matte-lip-color-909")</f>
        <v/>
      </c>
      <c r="C93" t="inlineStr">
        <is>
          <t>3CE Mood Recipe Matte Lip Color, 909</t>
        </is>
      </c>
      <c r="D93" t="inlineStr">
        <is>
          <t>3CE NEW Mood Recipe Matte Lip Color (3 Concept Eyes) Season 2, 218, 219, 220, 221, 222 (220)</t>
        </is>
      </c>
      <c r="E93" s="2">
        <f>HYPERLINK("https://www.amazon.com/Recipe-Matte-Color-Concept-Season/dp/B077CL1Y59/ref=sr_1_9?keywords=3CE+Mood+Recipe+Matte+Lip+Color%2C+909&amp;qid=1695259303&amp;sr=8-9", "https://www.amazon.com/Recipe-Matte-Color-Concept-Season/dp/B077CL1Y59/ref=sr_1_9?keywords=3CE+Mood+Recipe+Matte+Lip+Color%2C+909&amp;qid=1695259303&amp;sr=8-9")</f>
        <v/>
      </c>
      <c r="F93" t="inlineStr">
        <is>
          <t>B077CL1Y59</t>
        </is>
      </c>
      <c r="G93">
        <f>IMAGE("https://prolisok-store.com/cdn/shop/files/41q_eA_m8iL._SL1000_300x.jpg?v=1693221579")</f>
        <v/>
      </c>
      <c r="H93">
        <f>IMAGE("https://m.media-amazon.com/images/I/21tv+5J12vL._AC_UL320_.jpg")</f>
        <v/>
      </c>
      <c r="I93" t="inlineStr">
        <is>
          <t>7.99</t>
        </is>
      </c>
      <c r="J93" t="n">
        <v>20.86</v>
      </c>
      <c r="K93" s="3" t="inlineStr">
        <is>
          <t>161.08%</t>
        </is>
      </c>
      <c r="L93" t="n">
        <v>4</v>
      </c>
      <c r="M93" t="n">
        <v>39</v>
      </c>
      <c r="O93" t="inlineStr">
        <is>
          <t>InStock</t>
        </is>
      </c>
      <c r="P93" t="inlineStr">
        <is>
          <t>undefined</t>
        </is>
      </c>
      <c r="Q93" t="inlineStr">
        <is>
          <t>6771911360584</t>
        </is>
      </c>
    </row>
    <row r="94">
      <c r="A94" s="2">
        <f>HYPERLINK("https://prolisok-store.com/collections/premium/products/diptyque-figuier-candle", "https://prolisok-store.com/collections/premium/products/diptyque-figuier-candle")</f>
        <v/>
      </c>
      <c r="B94" s="2">
        <f>HYPERLINK("https://prolisok-store.com/products/diptyque-figuier-candle", "https://prolisok-store.com/products/diptyque-figuier-candle")</f>
        <v/>
      </c>
      <c r="C94" t="inlineStr">
        <is>
          <t>Diptyque Figuier Candle</t>
        </is>
      </c>
      <c r="D94" t="inlineStr">
        <is>
          <t>Diptyque Green Figuier Candle-10.2 oz, Green</t>
        </is>
      </c>
      <c r="E94" s="2">
        <f>HYPERLINK("https://www.amazon.com/Diptyque-Green-Figuier-Candle-10-2-oz/dp/B00309YVPS/ref=sr_1_4?keywords=Diptyque+Figuier+Candle&amp;qid=1695259309&amp;sr=8-4", "https://www.amazon.com/Diptyque-Green-Figuier-Candle-10-2-oz/dp/B00309YVPS/ref=sr_1_4?keywords=Diptyque+Figuier+Candle&amp;qid=1695259309&amp;sr=8-4")</f>
        <v/>
      </c>
      <c r="F94" t="inlineStr">
        <is>
          <t>B00309YVPS</t>
        </is>
      </c>
      <c r="G94">
        <f>IMAGE("https://prolisok-store.com/cdn/shop/files/61-a7DkEOyL._AC_SL1024_300x.jpg?v=1693226218")</f>
        <v/>
      </c>
      <c r="H94">
        <f>IMAGE("https://m.media-amazon.com/images/I/61TATziIU9L._AC_UL320_.jpg")</f>
        <v/>
      </c>
      <c r="I94" t="inlineStr">
        <is>
          <t>39.99</t>
        </is>
      </c>
      <c r="J94" t="n">
        <v>102</v>
      </c>
      <c r="K94" s="3" t="inlineStr">
        <is>
          <t>155.06%</t>
        </is>
      </c>
      <c r="L94" t="n">
        <v>4.1</v>
      </c>
      <c r="M94" t="n">
        <v>44</v>
      </c>
      <c r="O94" t="inlineStr">
        <is>
          <t>InStock</t>
        </is>
      </c>
      <c r="P94" t="inlineStr">
        <is>
          <t>undefined</t>
        </is>
      </c>
      <c r="Q94" t="inlineStr">
        <is>
          <t>6771912573000</t>
        </is>
      </c>
    </row>
    <row r="95">
      <c r="A95" s="2">
        <f>HYPERLINK("https://prolisok-store.com/collections/premium/products/3ce-new-mood-recipe-face-blush-style-nanda-3-concept-eyes-mono-pink", "https://prolisok-store.com/collections/premium/products/3ce-new-mood-recipe-face-blush-style-nanda-3-concept-eyes-mono-pink")</f>
        <v/>
      </c>
      <c r="B95" s="2">
        <f>HYPERLINK("https://prolisok-store.com/products/3ce-new-mood-recipe-face-blush-style-nanda-3-concept-eyes-mono-pink", "https://prolisok-store.com/products/3ce-new-mood-recipe-face-blush-style-nanda-3-concept-eyes-mono-pink")</f>
        <v/>
      </c>
      <c r="C95" t="inlineStr">
        <is>
          <t>3CE NEW Mood Recipe Face Blush Style Nanda 3 Concept Eyes (Mono Pink)</t>
        </is>
      </c>
      <c r="D95" t="inlineStr">
        <is>
          <t>3CE NEW Mood Recipe Face Blush Style Nanda 3 Concept Eyes (Season 2) (Nude Peach)</t>
        </is>
      </c>
      <c r="E95" s="2">
        <f>HYPERLINK("https://www.amazon.com/Recipe-Blush-Style-Concept-Season/dp/B077CKPKH1/ref=sr_1_2?keywords=3CE+NEW+Mood+Recipe+Face+Blush+Style+Nanda+3+Concept+Eyes+%28Mono+Pink%29&amp;qid=1695259307&amp;sr=8-2", "https://www.amazon.com/Recipe-Blush-Style-Concept-Season/dp/B077CKPKH1/ref=sr_1_2?keywords=3CE+NEW+Mood+Recipe+Face+Blush+Style+Nanda+3+Concept+Eyes+%28Mono+Pink%29&amp;qid=1695259307&amp;sr=8-2")</f>
        <v/>
      </c>
      <c r="F95" t="inlineStr">
        <is>
          <t>B077CKPKH1</t>
        </is>
      </c>
      <c r="G95">
        <f>IMAGE("https://prolisok-store.com/cdn/shop/files/41mwDCFhDfL_300x.jpg?v=1683820366")</f>
        <v/>
      </c>
      <c r="H95">
        <f>IMAGE("https://m.media-amazon.com/images/I/31BJ6j6MJLL._AC_UL320_.jpg")</f>
        <v/>
      </c>
      <c r="I95" t="inlineStr">
        <is>
          <t>7.99</t>
        </is>
      </c>
      <c r="J95" t="n">
        <v>20.29</v>
      </c>
      <c r="K95" s="3" t="inlineStr">
        <is>
          <t>153.94%</t>
        </is>
      </c>
      <c r="L95" t="n">
        <v>4.3</v>
      </c>
      <c r="M95" t="n">
        <v>45</v>
      </c>
      <c r="O95" t="inlineStr">
        <is>
          <t>InStock</t>
        </is>
      </c>
      <c r="P95" t="inlineStr">
        <is>
          <t>undefined</t>
        </is>
      </c>
      <c r="Q95" t="inlineStr">
        <is>
          <t>6761031467080</t>
        </is>
      </c>
    </row>
    <row r="96">
      <c r="A96" s="2">
        <f>HYPERLINK("https://prolisok-store.com/collections/premium/products/3ce-mood-recipe-face-blush-rose-beige", "https://prolisok-store.com/collections/premium/products/3ce-mood-recipe-face-blush-rose-beige")</f>
        <v/>
      </c>
      <c r="B96" s="2">
        <f>HYPERLINK("https://prolisok-store.com/products/3ce-mood-recipe-face-blush-rose-beige", "https://prolisok-store.com/products/3ce-mood-recipe-face-blush-rose-beige")</f>
        <v/>
      </c>
      <c r="C96" t="inlineStr">
        <is>
          <t>3CE Mood Recipe Face Blush - #Rose Beige</t>
        </is>
      </c>
      <c r="D96" t="inlineStr">
        <is>
          <t>3CE NEW Mood Recipe Face Blush Style Nanda 3 Concept Eyes (Season 2) (Nude Peach)</t>
        </is>
      </c>
      <c r="E96" s="2">
        <f>HYPERLINK("https://www.amazon.com/Recipe-Blush-Style-Concept-Season/dp/B077CKPKH1/ref=sr_1_6?keywords=3CE+Mood+Recipe+Face+Blush+-&amp;qid=1695259301&amp;sr=8-6", "https://www.amazon.com/Recipe-Blush-Style-Concept-Season/dp/B077CKPKH1/ref=sr_1_6?keywords=3CE+Mood+Recipe+Face+Blush+-&amp;qid=1695259301&amp;sr=8-6")</f>
        <v/>
      </c>
      <c r="F96" t="inlineStr">
        <is>
          <t>B077CKPKH1</t>
        </is>
      </c>
      <c r="G96">
        <f>IMAGE("https://prolisok-store.com/cdn/shop/files/31TTnrkqldL_300x.jpg?v=1683820558")</f>
        <v/>
      </c>
      <c r="H96">
        <f>IMAGE("https://m.media-amazon.com/images/I/31BJ6j6MJLL._AC_UL320_.jpg")</f>
        <v/>
      </c>
      <c r="I96" t="inlineStr">
        <is>
          <t>7.99</t>
        </is>
      </c>
      <c r="J96" t="n">
        <v>20.29</v>
      </c>
      <c r="K96" s="3" t="inlineStr">
        <is>
          <t>153.94%</t>
        </is>
      </c>
      <c r="L96" t="n">
        <v>4.3</v>
      </c>
      <c r="M96" t="n">
        <v>45</v>
      </c>
      <c r="O96" t="inlineStr">
        <is>
          <t>InStock</t>
        </is>
      </c>
      <c r="P96" t="inlineStr">
        <is>
          <t>undefined</t>
        </is>
      </c>
      <c r="Q96" t="inlineStr">
        <is>
          <t>6761036218440</t>
        </is>
      </c>
    </row>
    <row r="97">
      <c r="A97" s="2">
        <f>HYPERLINK("https://prolisok-store.com/collections/premium/products/estee-lauder-advanced-night-repair-synchronized-multi-recovery-complex-unisex-1-7-oz", "https://prolisok-store.com/collections/premium/products/estee-lauder-advanced-night-repair-synchronized-multi-recovery-complex-unisex-1-7-oz")</f>
        <v/>
      </c>
      <c r="B97" s="2">
        <f>HYPERLINK("https://prolisok-store.com/products/estee-lauder-advanced-night-repair-synchronized-multi-recovery-complex-unisex-1-7-oz", "https://prolisok-store.com/products/estee-lauder-advanced-night-repair-synchronized-multi-recovery-complex-unisex-1-7-oz")</f>
        <v/>
      </c>
      <c r="C97" t="inlineStr">
        <is>
          <t>Estee Lauder Advanced Night Repair Synchronized Multi-Recovery Complex, Unisex, 1.7 Oz</t>
        </is>
      </c>
      <c r="D97" t="inlineStr">
        <is>
          <t>Estée Lauder Advanced Night Repair Synchronized Multi-Recovery Complex Duo 2x 1.7 oz / 50 mL</t>
        </is>
      </c>
      <c r="E97" s="2">
        <f>HYPERLINK("https://www.amazon.com/Lauder-Advanced-Synchronized-Multi-Recovery-Complex/dp/B08HRNFY49/ref=sr_1_4?keywords=Estee+Lauder+Advanced+Night+Repair+Synchronized+Multi-Recovery+Complex%2C+Unisex%2C+1.7+Oz&amp;qid=1695259294&amp;sr=8-4", "https://www.amazon.com/Lauder-Advanced-Synchronized-Multi-Recovery-Complex/dp/B08HRNFY49/ref=sr_1_4?keywords=Estee+Lauder+Advanced+Night+Repair+Synchronized+Multi-Recovery+Complex%2C+Unisex%2C+1.7+Oz&amp;qid=1695259294&amp;sr=8-4")</f>
        <v/>
      </c>
      <c r="F97" t="inlineStr">
        <is>
          <t>B08HRNFY49</t>
        </is>
      </c>
      <c r="G97">
        <f>IMAGE("https://prolisok-store.com/cdn/shop/files/511qVnU1eNL._SL1000_300x.jpg?v=1687507525")</f>
        <v/>
      </c>
      <c r="H97">
        <f>IMAGE("https://m.media-amazon.com/images/I/611NuVh5ikL._AC_UL320_.jpg")</f>
        <v/>
      </c>
      <c r="I97" t="inlineStr">
        <is>
          <t>39.99</t>
        </is>
      </c>
      <c r="J97" t="n">
        <v>99.95</v>
      </c>
      <c r="K97" s="3" t="inlineStr">
        <is>
          <t>149.94%</t>
        </is>
      </c>
      <c r="L97" t="n">
        <v>4.3</v>
      </c>
      <c r="M97" t="n">
        <v>62</v>
      </c>
      <c r="O97" t="inlineStr">
        <is>
          <t>InStock</t>
        </is>
      </c>
      <c r="P97" t="inlineStr">
        <is>
          <t>undefined</t>
        </is>
      </c>
      <c r="Q97" t="inlineStr">
        <is>
          <t>6763953520712</t>
        </is>
      </c>
    </row>
    <row r="98">
      <c r="A98" s="2">
        <f>HYPERLINK("https://prolisok-store.com/collections/premium/products/loewe-001-man-3-4-oz-eau-de-parfum-spray", "https://prolisok-store.com/collections/premium/products/loewe-001-man-3-4-oz-eau-de-parfum-spray")</f>
        <v/>
      </c>
      <c r="B98" s="2">
        <f>HYPERLINK("https://prolisok-store.com/products/loewe-001-man-3-4-oz-eau-de-parfum-spray", "https://prolisok-store.com/products/loewe-001-man-3-4-oz-eau-de-parfum-spray")</f>
        <v/>
      </c>
      <c r="C98" t="inlineStr">
        <is>
          <t>Loewe 001 Man 3.4 oz Eau de Parfume Spray</t>
        </is>
      </c>
      <c r="D98" t="inlineStr">
        <is>
          <t>Loewe 001 Woman by Loewe Eau De Parfum Spray 3.4 oz Women</t>
        </is>
      </c>
      <c r="E98" s="2">
        <f>HYPERLINK("https://www.amazon.com/Loewe-Woman-Parfum-Spray-Women/dp/B084BJ1BNC/ref=sr_1_2?keywords=loewe+001+man+3.4+oz+eau+de+parfum+spray&amp;qid=1695259287&amp;sr=8-2", "https://www.amazon.com/Loewe-Woman-Parfum-Spray-Women/dp/B084BJ1BNC/ref=sr_1_2?keywords=loewe+001+man+3.4+oz+eau+de+parfum+spray&amp;qid=1695259287&amp;sr=8-2")</f>
        <v/>
      </c>
      <c r="F98" t="inlineStr">
        <is>
          <t>B084BJ1BNC</t>
        </is>
      </c>
      <c r="G98">
        <f>IMAGE("https://prolisok-store.com/cdn/shop/products/Loewe001Man3.4oz_300x.jpg?v=1683715745")</f>
        <v/>
      </c>
      <c r="H98">
        <f>IMAGE("https://m.media-amazon.com/images/I/51PdIceBBtL._AC_UL320_.jpg")</f>
        <v/>
      </c>
      <c r="I98" t="inlineStr">
        <is>
          <t>39.99</t>
        </is>
      </c>
      <c r="J98" t="n">
        <v>99.42</v>
      </c>
      <c r="K98" s="3" t="inlineStr">
        <is>
          <t>148.61%</t>
        </is>
      </c>
      <c r="L98" t="n">
        <v>4.4</v>
      </c>
      <c r="M98" t="n">
        <v>22</v>
      </c>
      <c r="O98" t="inlineStr">
        <is>
          <t>InStock</t>
        </is>
      </c>
      <c r="P98" t="inlineStr">
        <is>
          <t>55.0</t>
        </is>
      </c>
      <c r="Q98" t="inlineStr">
        <is>
          <t>6758464127048</t>
        </is>
      </c>
    </row>
    <row r="99">
      <c r="A99" s="2">
        <f>HYPERLINK("https://prolisok-store.com/collections/premium/products/atelier-cologne-oolang-infini-cologne-3-3-ounce", "https://prolisok-store.com/collections/premium/products/atelier-cologne-oolang-infini-cologne-3-3-ounce")</f>
        <v/>
      </c>
      <c r="B99" s="2">
        <f>HYPERLINK("https://prolisok-store.com/products/atelier-cologne-oolang-infini-cologne-3-3-ounce", "https://prolisok-store.com/products/atelier-cologne-oolang-infini-cologne-3-3-ounce")</f>
        <v/>
      </c>
      <c r="C99" t="inlineStr">
        <is>
          <t>Atelier Cologne Oolang Infini Cologne, 3.3 Ounce</t>
        </is>
      </c>
      <c r="D99" t="inlineStr">
        <is>
          <t>Atelier Cologne Trefle Pur Cologne, 3.3 Ounce</t>
        </is>
      </c>
      <c r="E99" s="2">
        <f>HYPERLINK("https://www.amazon.com/Atelier-Cologne-Trefle-Pur-Ounce/dp/B009TQ5PMO/ref=sr_1_4?keywords=atelier+cologne+oolong+infini+cologne%2C+3.3+ounce&amp;qid=1695259290&amp;sr=8-4", "https://www.amazon.com/Atelier-Cologne-Trefle-Pur-Ounce/dp/B009TQ5PMO/ref=sr_1_4?keywords=atelier+cologne+oolong+infini+cologne%2C+3.3+ounce&amp;qid=1695259290&amp;sr=8-4")</f>
        <v/>
      </c>
      <c r="F99" t="inlineStr">
        <is>
          <t>B009TQ5PMO</t>
        </is>
      </c>
      <c r="G99">
        <f>IMAGE("https://prolisok-store.com/cdn/shop/products/AtelierCologneOolangInfini-1_300x.jpg?v=1683715757")</f>
        <v/>
      </c>
      <c r="H99">
        <f>IMAGE("https://m.media-amazon.com/images/I/61dGpAqVN-L._AC_UL320_.jpg")</f>
        <v/>
      </c>
      <c r="I99" t="inlineStr">
        <is>
          <t>49.99</t>
        </is>
      </c>
      <c r="J99" t="n">
        <v>119.68</v>
      </c>
      <c r="K99" s="3" t="inlineStr">
        <is>
          <t>139.41%</t>
        </is>
      </c>
      <c r="L99" t="n">
        <v>4.1</v>
      </c>
      <c r="M99" t="n">
        <v>9</v>
      </c>
      <c r="O99" t="inlineStr">
        <is>
          <t>InStock</t>
        </is>
      </c>
      <c r="P99" t="inlineStr">
        <is>
          <t>undefined</t>
        </is>
      </c>
      <c r="Q99" t="inlineStr">
        <is>
          <t>6758114099272</t>
        </is>
      </c>
    </row>
    <row r="100">
      <c r="A100" s="2">
        <f>HYPERLINK("https://prolisok-store.com/collections/premium/products/3ce-velvet-lip-tint-4g-stylenanda-private", "https://prolisok-store.com/collections/premium/products/3ce-velvet-lip-tint-4g-stylenanda-private")</f>
        <v/>
      </c>
      <c r="B100" s="2">
        <f>HYPERLINK("https://prolisok-store.com/products/3ce-velvet-lip-tint-4g-stylenanda-private", "https://prolisok-store.com/products/3ce-velvet-lip-tint-4g-stylenanda-private")</f>
        <v/>
      </c>
      <c r="C100" t="inlineStr">
        <is>
          <t>3CE Velvet Lip Tint (4g) Stylenanda (Private)</t>
        </is>
      </c>
      <c r="D100" t="inlineStr">
        <is>
          <t>3CE Velvet Lip Tint (4g/ea) 10 colors / Newly Launched / Mlbb / Mlbb Lips / Stylenanda (Childlike)</t>
        </is>
      </c>
      <c r="E100" s="2">
        <f>HYPERLINK("https://www.amazon.com/3CE-Velvet-Launched-Stylenanda-Childlike/dp/B076J8T94Z/ref=sr_1_3?keywords=3CE+Velvet+Lip+Tint+%284g%29+Stylenanda+%28Private%29&amp;qid=1695259303&amp;sr=8-3", "https://www.amazon.com/3CE-Velvet-Launched-Stylenanda-Childlike/dp/B076J8T94Z/ref=sr_1_3?keywords=3CE+Velvet+Lip+Tint+%284g%29+Stylenanda+%28Private%29&amp;qid=1695259303&amp;sr=8-3")</f>
        <v/>
      </c>
      <c r="F100" t="inlineStr">
        <is>
          <t>B076J8T94Z</t>
        </is>
      </c>
      <c r="G100">
        <f>IMAGE("https://prolisok-store.com/cdn/shop/files/51lsOgwPjWL._SL1000_300x.jpg?v=1683819884")</f>
        <v/>
      </c>
      <c r="H100">
        <f>IMAGE("https://m.media-amazon.com/images/I/51jcI8m3SjL._AC_UL320_.jpg")</f>
        <v/>
      </c>
      <c r="I100" t="inlineStr">
        <is>
          <t>7.99</t>
        </is>
      </c>
      <c r="J100" t="n">
        <v>19</v>
      </c>
      <c r="K100" s="3" t="inlineStr">
        <is>
          <t>137.80%</t>
        </is>
      </c>
      <c r="L100" t="n">
        <v>3.8</v>
      </c>
      <c r="M100" t="n">
        <v>13</v>
      </c>
      <c r="O100" t="inlineStr">
        <is>
          <t>InStock</t>
        </is>
      </c>
      <c r="P100" t="inlineStr">
        <is>
          <t>undefined</t>
        </is>
      </c>
      <c r="Q100" t="inlineStr">
        <is>
          <t>6761027764296</t>
        </is>
      </c>
    </row>
    <row r="101">
      <c r="A101" s="2">
        <f>HYPERLINK("https://prolisok-store.com/collections/premium/products/3ce-velvet-lip-tint-4g-ea-stylenanda-childlike", "https://prolisok-store.com/collections/premium/products/3ce-velvet-lip-tint-4g-ea-stylenanda-childlike")</f>
        <v/>
      </c>
      <c r="B101" s="2">
        <f>HYPERLINK("https://prolisok-store.com/products/3ce-velvet-lip-tint-4g-ea-stylenanda-childlike", "https://prolisok-store.com/products/3ce-velvet-lip-tint-4g-ea-stylenanda-childlike")</f>
        <v/>
      </c>
      <c r="C101" t="inlineStr">
        <is>
          <t>3CE Velvet Lip Tint (4g/ea) Stylenanda (Childlike)</t>
        </is>
      </c>
      <c r="D101" t="inlineStr">
        <is>
          <t>3CE Velvet Lip Tint (4g/ea) 10 colors / Newly Launched / Mlbb / Mlbb Lips / Stylenanda (Childlike)</t>
        </is>
      </c>
      <c r="E101" s="2">
        <f>HYPERLINK("https://www.amazon.com/3CE-Velvet-Launched-Stylenanda-Childlike/dp/B076J8T94Z/ref=sr_1_2?keywords=3CE+Velvet+Lip+Tint+%284g%2Fea%29+Stylenanda+%28Childlike%29&amp;qid=1695259305&amp;sr=8-2", "https://www.amazon.com/3CE-Velvet-Launched-Stylenanda-Childlike/dp/B076J8T94Z/ref=sr_1_2?keywords=3CE+Velvet+Lip+Tint+%284g%2Fea%29+Stylenanda+%28Childlike%29&amp;qid=1695259305&amp;sr=8-2")</f>
        <v/>
      </c>
      <c r="F101" t="inlineStr">
        <is>
          <t>B076J8T94Z</t>
        </is>
      </c>
      <c r="G101">
        <f>IMAGE("https://prolisok-store.com/cdn/shop/files/51jcI8m3SjL._SL1000_300x.jpg?v=1683818942")</f>
        <v/>
      </c>
      <c r="H101">
        <f>IMAGE("https://m.media-amazon.com/images/I/51jcI8m3SjL._AC_UL320_.jpg")</f>
        <v/>
      </c>
      <c r="I101" t="inlineStr">
        <is>
          <t>7.99</t>
        </is>
      </c>
      <c r="J101" t="n">
        <v>19</v>
      </c>
      <c r="K101" s="3" t="inlineStr">
        <is>
          <t>137.80%</t>
        </is>
      </c>
      <c r="L101" t="n">
        <v>3.8</v>
      </c>
      <c r="M101" t="n">
        <v>13</v>
      </c>
      <c r="O101" t="inlineStr">
        <is>
          <t>InStock</t>
        </is>
      </c>
      <c r="P101" t="inlineStr">
        <is>
          <t>undefined</t>
        </is>
      </c>
      <c r="Q101" t="inlineStr">
        <is>
          <t>6761024094280</t>
        </is>
      </c>
    </row>
    <row r="102">
      <c r="A102" s="2">
        <f>HYPERLINK("https://prolisok-store.com/collections/premium/products/kilian-eau-de-parfum-refillable-spray-1-7-oz", "https://prolisok-store.com/collections/premium/products/kilian-eau-de-parfum-refillable-spray-1-7-oz")</f>
        <v/>
      </c>
      <c r="B102" s="2">
        <f>HYPERLINK("https://prolisok-store.com/products/kilian-eau-de-parfum-refillable-spray-1-7-oz", "https://prolisok-store.com/products/kilian-eau-de-parfum-refillable-spray-1-7-oz")</f>
        <v/>
      </c>
      <c r="C102" t="inlineStr">
        <is>
          <t>Kilian Eau De Parfum Refillable Spray 1.7 oz</t>
        </is>
      </c>
      <c r="D102" t="inlineStr">
        <is>
          <t>Kilian Back To Black-Aphrodisiac Refillable Eau de Parfum Spray for Unisex, 1.7 Ounce</t>
        </is>
      </c>
      <c r="E102" s="2">
        <f>HYPERLINK("https://www.amazon.com/Kilian-Aphrodisiac-Refillable-Parfum-Unisex/dp/B002U79OQC/ref=sr_1_3?keywords=Kilian+Eau+De+Parfum+Refillable+Spray+1.7+oz&amp;qid=1695259299&amp;sr=8-3", "https://www.amazon.com/Kilian-Aphrodisiac-Refillable-Parfum-Unisex/dp/B002U79OQC/ref=sr_1_3?keywords=Kilian+Eau+De+Parfum+Refillable+Spray+1.7+oz&amp;qid=1695259299&amp;sr=8-3")</f>
        <v/>
      </c>
      <c r="F102" t="inlineStr">
        <is>
          <t>B002U79OQC</t>
        </is>
      </c>
      <c r="G102">
        <f>IMAGE("https://prolisok-store.com/cdn/shop/files/41qHQCLW06L._SL1000_300x.jpg?v=1690803520")</f>
        <v/>
      </c>
      <c r="H102">
        <f>IMAGE("https://m.media-amazon.com/images/I/61YZYhzcEvL._AC_UL320_.jpg")</f>
        <v/>
      </c>
      <c r="I102" t="inlineStr">
        <is>
          <t>119.99</t>
        </is>
      </c>
      <c r="J102" t="n">
        <v>284.82</v>
      </c>
      <c r="K102" s="3" t="inlineStr">
        <is>
          <t>137.37%</t>
        </is>
      </c>
      <c r="L102" t="n">
        <v>4.1</v>
      </c>
      <c r="M102" t="n">
        <v>10</v>
      </c>
      <c r="O102" t="inlineStr">
        <is>
          <t>InStock</t>
        </is>
      </c>
      <c r="P102" t="inlineStr">
        <is>
          <t>undefined</t>
        </is>
      </c>
      <c r="Q102" t="inlineStr">
        <is>
          <t>6769900224584</t>
        </is>
      </c>
    </row>
    <row r="103">
      <c r="A103" s="2">
        <f>HYPERLINK("https://prolisok-store.com/collections/premium/products/clarins-extra-firming-neck-and-decollete-cream", "https://prolisok-store.com/collections/premium/products/clarins-extra-firming-neck-and-decollete-cream")</f>
        <v/>
      </c>
      <c r="B103" s="2">
        <f>HYPERLINK("https://prolisok-store.com/products/clarins-extra-firming-neck-and-decollete-cream", "https://prolisok-store.com/products/clarins-extra-firming-neck-and-decollete-cream")</f>
        <v/>
      </c>
      <c r="C103" t="inlineStr">
        <is>
          <t>Clarins Extra-Firming Neck and Décolleté Cream</t>
        </is>
      </c>
      <c r="D103" t="inlineStr">
        <is>
          <t>Clarins Super Restorative Décolleté and Neck Concentrate | Deeply Replenishing, Anti-Aging Cream For Mature Skin | Skin Texture Is Refined and Chest Creases Are Visibly Diminished After 4 Weeks*</t>
        </is>
      </c>
      <c r="E103" s="2">
        <f>HYPERLINK("https://www.amazon.com/Clarins-Super-Restorative-D%C3%A9colett%C3%A9-Concentrate/dp/B01BG0SS4M/ref=sr_1_2?keywords=Clarins+Extra-Firming+Neck+and+D%C3%A9collet%C3%A9+Cream&amp;qid=1695259301&amp;sr=8-2", "https://www.amazon.com/Clarins-Super-Restorative-D%C3%A9colett%C3%A9-Concentrate/dp/B01BG0SS4M/ref=sr_1_2?keywords=Clarins+Extra-Firming+Neck+and+D%C3%A9collet%C3%A9+Cream&amp;qid=1695259301&amp;sr=8-2")</f>
        <v/>
      </c>
      <c r="F103" t="inlineStr">
        <is>
          <t>B01BG0SS4M</t>
        </is>
      </c>
      <c r="G103">
        <f>IMAGE("https://prolisok-store.com/cdn/shop/files/6188DnkFSjL._SL1500_300x.jpg?v=1682417456")</f>
        <v/>
      </c>
      <c r="H103">
        <f>IMAGE("https://m.media-amazon.com/images/I/51Jpj2StusL._AC_UL320_.jpg")</f>
        <v/>
      </c>
      <c r="I103" t="inlineStr">
        <is>
          <t>49.99</t>
        </is>
      </c>
      <c r="J103" t="n">
        <v>118</v>
      </c>
      <c r="K103" s="3" t="inlineStr">
        <is>
          <t>136.05%</t>
        </is>
      </c>
      <c r="L103" t="n">
        <v>4.6</v>
      </c>
      <c r="M103" t="n">
        <v>1219</v>
      </c>
      <c r="O103" t="inlineStr">
        <is>
          <t>InStock</t>
        </is>
      </c>
      <c r="P103" t="inlineStr">
        <is>
          <t>undefined</t>
        </is>
      </c>
      <c r="Q103" t="inlineStr">
        <is>
          <t>6757626347592</t>
        </is>
      </c>
    </row>
    <row r="104">
      <c r="A104" s="2">
        <f>HYPERLINK("https://prolisok-store.com/collections/premium/products/diptyque-tam-dao-eau-de-toilette-3-4-oz", "https://prolisok-store.com/collections/premium/products/diptyque-tam-dao-eau-de-toilette-3-4-oz")</f>
        <v/>
      </c>
      <c r="B104" s="2">
        <f>HYPERLINK("https://prolisok-store.com/products/diptyque-tam-dao-eau-de-toilette-3-4-oz", "https://prolisok-store.com/products/diptyque-tam-dao-eau-de-toilette-3-4-oz")</f>
        <v/>
      </c>
      <c r="C104" t="inlineStr">
        <is>
          <t>Diptyque Tam Dao Eau de Toilette-3.4 oz.</t>
        </is>
      </c>
      <c r="D104" t="inlineStr">
        <is>
          <t>Diptyque Tam Dao Eau de Toilette-3.4 oz. (11040u)</t>
        </is>
      </c>
      <c r="E104" s="2">
        <f>HYPERLINK("https://www.amazon.com/Diptyque-Tam-Dao-Eau-Toilette-3-4/dp/B002SQ6WII/ref=sr_1_1?keywords=Diptyque+Tam+Dao+Eau+de+Toilette-3.4+oz.&amp;qid=1695259287&amp;sr=8-1", "https://www.amazon.com/Diptyque-Tam-Dao-Eau-Toilette-3-4/dp/B002SQ6WII/ref=sr_1_1?keywords=Diptyque+Tam+Dao+Eau+de+Toilette-3.4+oz.&amp;qid=1695259287&amp;sr=8-1")</f>
        <v/>
      </c>
      <c r="F104" t="inlineStr">
        <is>
          <t>B002SQ6WII</t>
        </is>
      </c>
      <c r="G104">
        <f>IMAGE("https://prolisok-store.com/cdn/shop/products/DiptyqueTamDaoEaudeToilette-3.4oz_-1_300x.jpg?v=1683715785")</f>
        <v/>
      </c>
      <c r="H104">
        <f>IMAGE("https://m.media-amazon.com/images/I/71TM5bVktEL._AC_UL320_.jpg")</f>
        <v/>
      </c>
      <c r="I104" t="inlineStr">
        <is>
          <t>59.99</t>
        </is>
      </c>
      <c r="J104" t="n">
        <v>140.69</v>
      </c>
      <c r="K104" s="3" t="inlineStr">
        <is>
          <t>134.52%</t>
        </is>
      </c>
      <c r="L104" t="n">
        <v>3.9</v>
      </c>
      <c r="M104" t="n">
        <v>95</v>
      </c>
      <c r="O104" t="inlineStr">
        <is>
          <t>InStock</t>
        </is>
      </c>
      <c r="P104" t="inlineStr">
        <is>
          <t>105.0</t>
        </is>
      </c>
      <c r="Q104" t="inlineStr">
        <is>
          <t>6758093029448</t>
        </is>
      </c>
    </row>
    <row r="105">
      <c r="A105" s="2">
        <f>HYPERLINK("https://prolisok-store.com/collections/premium/products/diptyque-philosykos-eau-de-toilette-3-4-oz", "https://prolisok-store.com/collections/premium/products/diptyque-philosykos-eau-de-toilette-3-4-oz")</f>
        <v/>
      </c>
      <c r="B105" s="2">
        <f>HYPERLINK("https://prolisok-store.com/products/diptyque-philosykos-eau-de-toilette-3-4-oz", "https://prolisok-store.com/products/diptyque-philosykos-eau-de-toilette-3-4-oz")</f>
        <v/>
      </c>
      <c r="C105" t="inlineStr">
        <is>
          <t>Diptyque Philosykos Eau de Toilette-3.4 oz</t>
        </is>
      </c>
      <c r="D105" t="inlineStr">
        <is>
          <t>Diptyque Tam Dao Eau de Toilette-3.4 oz. (11040u)</t>
        </is>
      </c>
      <c r="E105" s="2">
        <f>HYPERLINK("https://www.amazon.com/Diptyque-Tam-Dao-Eau-Toilette-3-4/dp/B002SQ6WII/ref=sr_1_2?keywords=Diptyque+Philosykos+Eau+de+Toilette-3.4+oz&amp;qid=1695259286&amp;sr=8-2", "https://www.amazon.com/Diptyque-Tam-Dao-Eau-Toilette-3-4/dp/B002SQ6WII/ref=sr_1_2?keywords=Diptyque+Philosykos+Eau+de+Toilette-3.4+oz&amp;qid=1695259286&amp;sr=8-2")</f>
        <v/>
      </c>
      <c r="F105" t="inlineStr">
        <is>
          <t>B002SQ6WII</t>
        </is>
      </c>
      <c r="G105">
        <f>IMAGE("https://prolisok-store.com/cdn/shop/products/DiptyquePhilosykosEau-3.4oz_300x.jpg?v=1683715790")</f>
        <v/>
      </c>
      <c r="H105">
        <f>IMAGE("https://m.media-amazon.com/images/I/71TM5bVktEL._AC_UL320_.jpg")</f>
        <v/>
      </c>
      <c r="I105" t="inlineStr">
        <is>
          <t>59.99</t>
        </is>
      </c>
      <c r="J105" t="n">
        <v>140.69</v>
      </c>
      <c r="K105" s="3" t="inlineStr">
        <is>
          <t>134.52%</t>
        </is>
      </c>
      <c r="L105" t="n">
        <v>3.9</v>
      </c>
      <c r="M105" t="n">
        <v>95</v>
      </c>
      <c r="O105" t="inlineStr">
        <is>
          <t>InStock</t>
        </is>
      </c>
      <c r="P105" t="inlineStr">
        <is>
          <t>undefined</t>
        </is>
      </c>
      <c r="Q105" t="inlineStr">
        <is>
          <t>6758090997832</t>
        </is>
      </c>
    </row>
    <row r="106">
      <c r="A106" s="2">
        <f>HYPERLINK("https://prolisok-store.com/collections/premium/products/diptyque-figuier-candle", "https://prolisok-store.com/collections/premium/products/diptyque-figuier-candle")</f>
        <v/>
      </c>
      <c r="B106" s="2">
        <f>HYPERLINK("https://prolisok-store.com/products/diptyque-figuier-candle", "https://prolisok-store.com/products/diptyque-figuier-candle")</f>
        <v/>
      </c>
      <c r="C106" t="inlineStr">
        <is>
          <t>Diptyque Figuier Candle</t>
        </is>
      </c>
      <c r="D106" t="inlineStr">
        <is>
          <t>Diptyque Votive Candle Trio-Baies, Figuier, Roses-3 ct.</t>
        </is>
      </c>
      <c r="E106" s="2">
        <f>HYPERLINK("https://www.amazon.com/Diptyque-Votive-Candle-Trio-Baies-Figuier/dp/B003XT04ME/ref=sr_1_5?keywords=Diptyque+Figuier+Candle&amp;qid=1695259309&amp;sr=8-5", "https://www.amazon.com/Diptyque-Votive-Candle-Trio-Baies-Figuier/dp/B003XT04ME/ref=sr_1_5?keywords=Diptyque+Figuier+Candle&amp;qid=1695259309&amp;sr=8-5")</f>
        <v/>
      </c>
      <c r="F106" t="inlineStr">
        <is>
          <t>B003XT04ME</t>
        </is>
      </c>
      <c r="G106">
        <f>IMAGE("https://prolisok-store.com/cdn/shop/files/61-a7DkEOyL._AC_SL1024_300x.jpg?v=1693226218")</f>
        <v/>
      </c>
      <c r="H106">
        <f>IMAGE("https://m.media-amazon.com/images/I/61gvY5u07AL._AC_UL320_.jpg")</f>
        <v/>
      </c>
      <c r="I106" t="inlineStr">
        <is>
          <t>39.99</t>
        </is>
      </c>
      <c r="J106" t="n">
        <v>93</v>
      </c>
      <c r="K106" s="3" t="inlineStr">
        <is>
          <t>132.56%</t>
        </is>
      </c>
      <c r="L106" t="n">
        <v>4.5</v>
      </c>
      <c r="M106" t="n">
        <v>103</v>
      </c>
      <c r="O106" t="inlineStr">
        <is>
          <t>InStock</t>
        </is>
      </c>
      <c r="P106" t="inlineStr">
        <is>
          <t>undefined</t>
        </is>
      </c>
      <c r="Q106" t="inlineStr">
        <is>
          <t>6771912573000</t>
        </is>
      </c>
    </row>
    <row r="107">
      <c r="A107" s="2">
        <f>HYPERLINK("https://prolisok-store.com/collections/premium/products/la-mer-the-moisturizing-soft-lotion", "https://prolisok-store.com/collections/premium/products/la-mer-the-moisturizing-soft-lotion")</f>
        <v/>
      </c>
      <c r="B107" s="2">
        <f>HYPERLINK("https://prolisok-store.com/products/la-mer-the-moisturizing-soft-lotion", "https://prolisok-store.com/products/la-mer-the-moisturizing-soft-lotion")</f>
        <v/>
      </c>
      <c r="C107" t="inlineStr">
        <is>
          <t>La Mer The Moisturizing Soft Lotion</t>
        </is>
      </c>
      <c r="D107" t="inlineStr">
        <is>
          <t>La Mer The Moisturizing Matte Lotion, 1.7 Fl Oz</t>
        </is>
      </c>
      <c r="E107" s="2">
        <f>HYPERLINK("https://www.amazon.com/Mer-Moisturizing-Matte-Lotion-1-7oz/dp/B071K9Q21H/ref=sr_1_2?keywords=La+Mer+The+Moisturizing+Soft+Lotion&amp;qid=1695259290&amp;sr=8-2", "https://www.amazon.com/Mer-Moisturizing-Matte-Lotion-1-7oz/dp/B071K9Q21H/ref=sr_1_2?keywords=La+Mer+The+Moisturizing+Soft+Lotion&amp;qid=1695259290&amp;sr=8-2")</f>
        <v/>
      </c>
      <c r="F107" t="inlineStr">
        <is>
          <t>B071K9Q21H</t>
        </is>
      </c>
      <c r="G107">
        <f>IMAGE("https://prolisok-store.com/cdn/shop/products/61uLYCnMy9L._SL1500_300x.jpg?v=1667997816")</f>
        <v/>
      </c>
      <c r="H107">
        <f>IMAGE("https://m.media-amazon.com/images/I/51nCt5bhYbL._AC_UL320_.jpg")</f>
        <v/>
      </c>
      <c r="I107" t="inlineStr">
        <is>
          <t>69.99</t>
        </is>
      </c>
      <c r="J107" t="n">
        <v>159.36</v>
      </c>
      <c r="K107" s="3" t="inlineStr">
        <is>
          <t>127.69%</t>
        </is>
      </c>
      <c r="L107" t="n">
        <v>3.9</v>
      </c>
      <c r="M107" t="n">
        <v>19</v>
      </c>
      <c r="O107" t="inlineStr">
        <is>
          <t>InStock</t>
        </is>
      </c>
      <c r="P107" t="inlineStr">
        <is>
          <t>undefined</t>
        </is>
      </c>
      <c r="Q107" t="inlineStr">
        <is>
          <t>6674655084616</t>
        </is>
      </c>
    </row>
    <row r="108">
      <c r="A108" s="2">
        <f>HYPERLINK("https://prolisok-store.com/collections/premium/products/make-up-for-ever-ultra-hd-microfinishing-pressed-powder-translucent", "https://prolisok-store.com/collections/premium/products/make-up-for-ever-ultra-hd-microfinishing-pressed-powder-translucent")</f>
        <v/>
      </c>
      <c r="B108" s="2">
        <f>HYPERLINK("https://prolisok-store.com/products/make-up-for-ever-ultra-hd-microfinishing-pressed-powder-translucent", "https://prolisok-store.com/products/make-up-for-ever-ultra-hd-microfinishing-pressed-powder-translucent")</f>
        <v/>
      </c>
      <c r="C108" t="inlineStr">
        <is>
          <t>MAKE UP FOR EVER Ultra HD Microfinishing Pressed Powder Translucent</t>
        </is>
      </c>
      <c r="D108" t="inlineStr">
        <is>
          <t>Make Up For Ever HD Microfinish Pressed Powder Travel size 2g/0.07 oz. (Compact)</t>
        </is>
      </c>
      <c r="E108" s="2">
        <f>HYPERLINK("https://www.amazon.com/Make-Up-Ever-Microfinish-Pressed/dp/B00IO92GU6/ref=sr_1_8?keywords=MAKE+UP+FOR+EVER+Ultra+HD+Microfinishing+Pressed+Powder+Translucent&amp;qid=1695259297&amp;sr=8-8", "https://www.amazon.com/Make-Up-Ever-Microfinish-Pressed/dp/B00IO92GU6/ref=sr_1_8?keywords=MAKE+UP+FOR+EVER+Ultra+HD+Microfinishing+Pressed+Powder+Translucent&amp;qid=1695259297&amp;sr=8-8")</f>
        <v/>
      </c>
      <c r="F108" t="inlineStr">
        <is>
          <t>B00IO92GU6</t>
        </is>
      </c>
      <c r="G108">
        <f>IMAGE("https://prolisok-store.com/cdn/shop/files/611llduh92L._SL1500_300x.jpg?v=1693220499")</f>
        <v/>
      </c>
      <c r="H108">
        <f>IMAGE("https://m.media-amazon.com/images/I/713Q6-WxD2L._AC_UL320_.jpg")</f>
        <v/>
      </c>
      <c r="I108" t="inlineStr">
        <is>
          <t>14.99</t>
        </is>
      </c>
      <c r="J108" t="n">
        <v>33.98</v>
      </c>
      <c r="K108" s="3" t="inlineStr">
        <is>
          <t>126.68%</t>
        </is>
      </c>
      <c r="L108" t="n">
        <v>4</v>
      </c>
      <c r="M108" t="n">
        <v>147</v>
      </c>
      <c r="O108" t="inlineStr">
        <is>
          <t>InStock</t>
        </is>
      </c>
      <c r="P108" t="inlineStr">
        <is>
          <t>undefined</t>
        </is>
      </c>
      <c r="Q108" t="inlineStr">
        <is>
          <t>6771911163976</t>
        </is>
      </c>
    </row>
    <row r="109">
      <c r="A109" s="2">
        <f>HYPERLINK("https://prolisok-store.com/collections/premium/products/la-mer-the-concentrate-1-7-oz-50-ml", "https://prolisok-store.com/collections/premium/products/la-mer-the-concentrate-1-7-oz-50-ml")</f>
        <v/>
      </c>
      <c r="B109" s="2">
        <f>HYPERLINK("https://prolisok-store.com/products/la-mer-the-concentrate-1-7-oz-50-ml", "https://prolisok-store.com/products/la-mer-the-concentrate-1-7-oz-50-ml")</f>
        <v/>
      </c>
      <c r="C109" t="inlineStr">
        <is>
          <t>La Mer The Concentrate, 1.7 oz./ 50 mL</t>
        </is>
      </c>
      <c r="D109" t="inlineStr">
        <is>
          <t>La Mer The Lifting and Firming Mask 50ml/1.7oz</t>
        </is>
      </c>
      <c r="E109" s="2">
        <f>HYPERLINK("https://www.amazon.com/Mer-Lifting-Firming-Mask-1-7oz/dp/B00JAFGY2Y/ref=sr_1_3?keywords=La+Mer+The+Concentrate%2C+1.7+oz.%2F+50+mL&amp;qid=1695259293&amp;sr=8-3", "https://www.amazon.com/Mer-Lifting-Firming-Mask-1-7oz/dp/B00JAFGY2Y/ref=sr_1_3?keywords=La+Mer+The+Concentrate%2C+1.7+oz.%2F+50+mL&amp;qid=1695259293&amp;sr=8-3")</f>
        <v/>
      </c>
      <c r="F109" t="inlineStr">
        <is>
          <t>B00JAFGY2Y</t>
        </is>
      </c>
      <c r="G109">
        <f>IMAGE("https://prolisok-store.com/cdn/shop/products/31C2y6MzmQL_300x.jpg?v=1667506388")</f>
        <v/>
      </c>
      <c r="H109">
        <f>IMAGE("https://m.media-amazon.com/images/I/61QOI1W3xyL._AC_UL320_.jpg")</f>
        <v/>
      </c>
      <c r="I109" t="inlineStr">
        <is>
          <t>79.99</t>
        </is>
      </c>
      <c r="J109" t="n">
        <v>179.99</v>
      </c>
      <c r="K109" s="3" t="inlineStr">
        <is>
          <t>125.02%</t>
        </is>
      </c>
      <c r="L109" t="n">
        <v>3.9</v>
      </c>
      <c r="M109" t="n">
        <v>25</v>
      </c>
      <c r="O109" t="inlineStr">
        <is>
          <t>InStock</t>
        </is>
      </c>
      <c r="P109" t="inlineStr">
        <is>
          <t>undefined</t>
        </is>
      </c>
      <c r="Q109" t="inlineStr">
        <is>
          <t>6671567224904</t>
        </is>
      </c>
    </row>
    <row r="110">
      <c r="A110" s="2">
        <f>HYPERLINK("https://prolisok-store.com/collections/premium/products/diptyque-philosykos-eau-de-toilette-3-4-oz", "https://prolisok-store.com/collections/premium/products/diptyque-philosykos-eau-de-toilette-3-4-oz")</f>
        <v/>
      </c>
      <c r="B110" s="2">
        <f>HYPERLINK("https://prolisok-store.com/products/diptyque-philosykos-eau-de-toilette-3-4-oz", "https://prolisok-store.com/products/diptyque-philosykos-eau-de-toilette-3-4-oz")</f>
        <v/>
      </c>
      <c r="C110" t="inlineStr">
        <is>
          <t>Diptyque Philosykos Eau de Toilette-3.4 oz</t>
        </is>
      </c>
      <c r="D110" t="inlineStr">
        <is>
          <t>diptyque Volutes Eau De Toilette-3.4 oz.</t>
        </is>
      </c>
      <c r="E110" s="2">
        <f>HYPERLINK("https://www.amazon.com/diptyque-Volutes-Eau-Toilette-3-4-oz/dp/B009U9SWW0/ref=sr_1_5?keywords=Diptyque+Philosykos+Eau+de+Toilette-3.4+oz&amp;qid=1695259286&amp;sr=8-5", "https://www.amazon.com/diptyque-Volutes-Eau-Toilette-3-4-oz/dp/B009U9SWW0/ref=sr_1_5?keywords=Diptyque+Philosykos+Eau+de+Toilette-3.4+oz&amp;qid=1695259286&amp;sr=8-5")</f>
        <v/>
      </c>
      <c r="F110" t="inlineStr">
        <is>
          <t>B009U9SWW0</t>
        </is>
      </c>
      <c r="G110">
        <f>IMAGE("https://prolisok-store.com/cdn/shop/products/DiptyquePhilosykosEau-3.4oz_300x.jpg?v=1683715790")</f>
        <v/>
      </c>
      <c r="H110">
        <f>IMAGE("https://m.media-amazon.com/images/I/71UkP8LwVRL._AC_UL320_.jpg")</f>
        <v/>
      </c>
      <c r="I110" t="inlineStr">
        <is>
          <t>59.99</t>
        </is>
      </c>
      <c r="J110" t="n">
        <v>134</v>
      </c>
      <c r="K110" s="3" t="inlineStr">
        <is>
          <t>123.37%</t>
        </is>
      </c>
      <c r="L110" t="n">
        <v>4.3</v>
      </c>
      <c r="M110" t="n">
        <v>4</v>
      </c>
      <c r="O110" t="inlineStr">
        <is>
          <t>InStock</t>
        </is>
      </c>
      <c r="P110" t="inlineStr">
        <is>
          <t>undefined</t>
        </is>
      </c>
      <c r="Q110" t="inlineStr">
        <is>
          <t>6758090997832</t>
        </is>
      </c>
    </row>
    <row r="111">
      <c r="A111" s="2">
        <f>HYPERLINK("https://prolisok-store.com/collections/premium/products/diptyque-tam-dao-eau-de-toilette-3-4-oz", "https://prolisok-store.com/collections/premium/products/diptyque-tam-dao-eau-de-toilette-3-4-oz")</f>
        <v/>
      </c>
      <c r="B111" s="2">
        <f>HYPERLINK("https://prolisok-store.com/products/diptyque-tam-dao-eau-de-toilette-3-4-oz", "https://prolisok-store.com/products/diptyque-tam-dao-eau-de-toilette-3-4-oz")</f>
        <v/>
      </c>
      <c r="C111" t="inlineStr">
        <is>
          <t>Diptyque Tam Dao Eau de Toilette-3.4 oz.</t>
        </is>
      </c>
      <c r="D111" t="inlineStr">
        <is>
          <t>diptyque Volutes Eau De Toilette-3.4 oz.</t>
        </is>
      </c>
      <c r="E111" s="2">
        <f>HYPERLINK("https://www.amazon.com/diptyque-Volutes-Eau-Toilette-3-4-oz/dp/B009U9SWW0/ref=sr_1_6?keywords=Diptyque+Tam+Dao+Eau+de+Toilette-3.4+oz.&amp;qid=1695259287&amp;sr=8-6", "https://www.amazon.com/diptyque-Volutes-Eau-Toilette-3-4-oz/dp/B009U9SWW0/ref=sr_1_6?keywords=Diptyque+Tam+Dao+Eau+de+Toilette-3.4+oz.&amp;qid=1695259287&amp;sr=8-6")</f>
        <v/>
      </c>
      <c r="F111" t="inlineStr">
        <is>
          <t>B009U9SWW0</t>
        </is>
      </c>
      <c r="G111">
        <f>IMAGE("https://prolisok-store.com/cdn/shop/products/DiptyqueTamDaoEaudeToilette-3.4oz_-1_300x.jpg?v=1683715785")</f>
        <v/>
      </c>
      <c r="H111">
        <f>IMAGE("https://m.media-amazon.com/images/I/71UkP8LwVRL._AC_UL320_.jpg")</f>
        <v/>
      </c>
      <c r="I111" t="inlineStr">
        <is>
          <t>59.99</t>
        </is>
      </c>
      <c r="J111" t="n">
        <v>134</v>
      </c>
      <c r="K111" s="3" t="inlineStr">
        <is>
          <t>123.37%</t>
        </is>
      </c>
      <c r="L111" t="n">
        <v>4.3</v>
      </c>
      <c r="M111" t="n">
        <v>4</v>
      </c>
      <c r="O111" t="inlineStr">
        <is>
          <t>InStock</t>
        </is>
      </c>
      <c r="P111" t="inlineStr">
        <is>
          <t>105.0</t>
        </is>
      </c>
      <c r="Q111" t="inlineStr">
        <is>
          <t>6758093029448</t>
        </is>
      </c>
    </row>
    <row r="112">
      <c r="A112" s="2">
        <f>HYPERLINK("https://prolisok-store.com/collections/premium/products/la-mer-the-cleansing-foam-oz-4-2-ounce", "https://prolisok-store.com/collections/premium/products/la-mer-the-cleansing-foam-oz-4-2-ounce")</f>
        <v/>
      </c>
      <c r="B112" s="2">
        <f>HYPERLINK("https://prolisok-store.com/products/la-mer-the-cleansing-foam-oz-4-2-ounce", "https://prolisok-store.com/products/la-mer-the-cleansing-foam-oz-4-2-ounce")</f>
        <v/>
      </c>
      <c r="C112" t="inlineStr">
        <is>
          <t>La Mer The Cleansing Foam, Oz 4.2 Ounce</t>
        </is>
      </c>
      <c r="D112" t="inlineStr">
        <is>
          <t>La Mer The Cleansing Foam, 4.2 oz</t>
        </is>
      </c>
      <c r="E112" s="2">
        <f>HYPERLINK("https://www.amazon.com/The-Cleansing-Foam-1-oz/dp/B078WLQJVQ/ref=sr_1_2?keywords=La+Mer+The+Cleansing+Foam%2C+Oz+4.2+Ounce&amp;qid=1695259308&amp;sr=8-2", "https://www.amazon.com/The-Cleansing-Foam-1-oz/dp/B078WLQJVQ/ref=sr_1_2?keywords=La+Mer+The+Cleansing+Foam%2C+Oz+4.2+Ounce&amp;qid=1695259308&amp;sr=8-2")</f>
        <v/>
      </c>
      <c r="F112" t="inlineStr">
        <is>
          <t>B078WLQJVQ</t>
        </is>
      </c>
      <c r="G112">
        <f>IMAGE("https://prolisok-store.com/cdn/shop/products/61jRwk3Ar7L._SL1500_300x.jpg?v=1673868613")</f>
        <v/>
      </c>
      <c r="H112">
        <f>IMAGE("https://m.media-amazon.com/images/I/61jRwk3Ar7L._AC_UL320_.jpg")</f>
        <v/>
      </c>
      <c r="I112" t="inlineStr">
        <is>
          <t>47.99</t>
        </is>
      </c>
      <c r="J112" t="n">
        <v>105</v>
      </c>
      <c r="K112" s="3" t="inlineStr">
        <is>
          <t>118.80%</t>
        </is>
      </c>
      <c r="L112" t="n">
        <v>4.6</v>
      </c>
      <c r="M112" t="n">
        <v>3</v>
      </c>
      <c r="O112" t="inlineStr">
        <is>
          <t>InStock</t>
        </is>
      </c>
      <c r="P112" t="inlineStr">
        <is>
          <t>undefined</t>
        </is>
      </c>
      <c r="Q112" t="inlineStr">
        <is>
          <t>6707064766536</t>
        </is>
      </c>
    </row>
    <row r="113">
      <c r="A113" s="2">
        <f>HYPERLINK("https://prolisok-store.com/collections/premium/products/zo-skin-health-wrinkle-texture-repair-0-5-retinol-1-7-oz-50ml-formerly-called-zo-medical-retamax%E2%84%A2-active-vitamin-a-micro-emulsion-0-5-retinol", "https://prolisok-store.com/collections/premium/products/zo-skin-health-wrinkle-texture-repair-0-5-retinol-1-7-oz-50ml-formerly-called-zo-medical-retamax%E2%84%A2-active-vitamin-a-micro-emulsion-0-5-retinol")</f>
        <v/>
      </c>
      <c r="B113" s="2">
        <f>HYPERLINK("https://prolisok-store.com/products/zo-skin-health-wrinkle-texture-repair-0-5-retinol-1-7-oz-50ml-formerly-called-zo-medical-retamax%e2%84%a2-active-vitamin-a-micro-emulsion-0-5-retinol", "https://prolisok-store.com/products/zo-skin-health-wrinkle-texture-repair-0-5-retinol-1-7-oz-50ml-formerly-called-zo-medical-retamax%e2%84%a2-active-vitamin-a-micro-emulsion-0-5-retinol")</f>
        <v/>
      </c>
      <c r="C113" t="inlineStr">
        <is>
          <t>ZO Skin Health Wrinkle + Texture Repair</t>
        </is>
      </c>
      <c r="D113" t="inlineStr">
        <is>
          <t>ZO SKIN HEALTH WRINKLE + TEXTURE REPAIR</t>
        </is>
      </c>
      <c r="E113" s="2">
        <f>HYPERLINK("https://www.amazon.com/ZO-SKIN-HEALTH-WRINKLE-TEXTURE/dp/B08R282JKQ/ref=sr_1_1?keywords=ZO+Skin+Health+Wrinkle+%2B+Texture+Repair&amp;qid=1695259302&amp;sr=8-1", "https://www.amazon.com/ZO-SKIN-HEALTH-WRINKLE-TEXTURE/dp/B08R282JKQ/ref=sr_1_1?keywords=ZO+Skin+Health+Wrinkle+%2B+Texture+Repair&amp;qid=1695259302&amp;sr=8-1")</f>
        <v/>
      </c>
      <c r="F113" t="inlineStr">
        <is>
          <t>B08R282JKQ</t>
        </is>
      </c>
      <c r="G113">
        <f>IMAGE("https://prolisok-store.com/cdn/shop/products/41Sp6bw4ThL_300x.jpg?v=1674059188")</f>
        <v/>
      </c>
      <c r="H113">
        <f>IMAGE("https://m.media-amazon.com/images/I/51b5qqh70OL._AC_UL320_.jpg")</f>
        <v/>
      </c>
      <c r="I113" t="inlineStr">
        <is>
          <t>29.99</t>
        </is>
      </c>
      <c r="J113" t="n">
        <v>64.98999999999999</v>
      </c>
      <c r="K113" s="3" t="inlineStr">
        <is>
          <t>116.71%</t>
        </is>
      </c>
      <c r="L113" t="n">
        <v>4.1</v>
      </c>
      <c r="M113" t="n">
        <v>51</v>
      </c>
      <c r="O113" t="inlineStr">
        <is>
          <t>InStock</t>
        </is>
      </c>
      <c r="P113" t="inlineStr">
        <is>
          <t>undefined</t>
        </is>
      </c>
      <c r="Q113" t="inlineStr">
        <is>
          <t>6708910030920</t>
        </is>
      </c>
    </row>
    <row r="114">
      <c r="A114" s="2">
        <f>HYPERLINK("https://prolisok-store.com/collections/premium/products/3ce-mood-recipe-face-blush-rose-beige", "https://prolisok-store.com/collections/premium/products/3ce-mood-recipe-face-blush-rose-beige")</f>
        <v/>
      </c>
      <c r="B114" s="2">
        <f>HYPERLINK("https://prolisok-store.com/products/3ce-mood-recipe-face-blush-rose-beige", "https://prolisok-store.com/products/3ce-mood-recipe-face-blush-rose-beige")</f>
        <v/>
      </c>
      <c r="C114" t="inlineStr">
        <is>
          <t>3CE Mood Recipe Face Blush - #Rose Beige</t>
        </is>
      </c>
      <c r="D114" t="inlineStr">
        <is>
          <t>3CE NEW Mood Recipe Face Blush Style Nanda 3 Concept Eyes (Season 2) (Mono Pink)</t>
        </is>
      </c>
      <c r="E114" s="2">
        <f>HYPERLINK("https://www.amazon.com/Recipe-Blush-Style-Concept-Season/dp/B077CMDPZB/ref=sr_1_3?keywords=3CE+Mood+Recipe+Face+Blush+-&amp;qid=1695259301&amp;sr=8-3", "https://www.amazon.com/Recipe-Blush-Style-Concept-Season/dp/B077CMDPZB/ref=sr_1_3?keywords=3CE+Mood+Recipe+Face+Blush+-&amp;qid=1695259301&amp;sr=8-3")</f>
        <v/>
      </c>
      <c r="F114" t="inlineStr">
        <is>
          <t>B077CMDPZB</t>
        </is>
      </c>
      <c r="G114">
        <f>IMAGE("https://prolisok-store.com/cdn/shop/files/31TTnrkqldL_300x.jpg?v=1683820558")</f>
        <v/>
      </c>
      <c r="H114">
        <f>IMAGE("https://m.media-amazon.com/images/I/51qL5+W0qqL._AC_UL320_.jpg")</f>
        <v/>
      </c>
      <c r="I114" t="inlineStr">
        <is>
          <t>7.99</t>
        </is>
      </c>
      <c r="J114" t="n">
        <v>16.9</v>
      </c>
      <c r="K114" s="3" t="inlineStr">
        <is>
          <t>111.51%</t>
        </is>
      </c>
      <c r="L114" t="n">
        <v>4.3</v>
      </c>
      <c r="M114" t="n">
        <v>39</v>
      </c>
      <c r="O114" t="inlineStr">
        <is>
          <t>InStock</t>
        </is>
      </c>
      <c r="P114" t="inlineStr">
        <is>
          <t>undefined</t>
        </is>
      </c>
      <c r="Q114" t="inlineStr">
        <is>
          <t>6761036218440</t>
        </is>
      </c>
    </row>
    <row r="115">
      <c r="A115" s="2">
        <f>HYPERLINK("https://prolisok-store.com/collections/premium/products/3ce-new-mood-recipe-face-blush-style-nanda-3-concept-eyes-mono-pink", "https://prolisok-store.com/collections/premium/products/3ce-new-mood-recipe-face-blush-style-nanda-3-concept-eyes-mono-pink")</f>
        <v/>
      </c>
      <c r="B115" s="2">
        <f>HYPERLINK("https://prolisok-store.com/products/3ce-new-mood-recipe-face-blush-style-nanda-3-concept-eyes-mono-pink", "https://prolisok-store.com/products/3ce-new-mood-recipe-face-blush-style-nanda-3-concept-eyes-mono-pink")</f>
        <v/>
      </c>
      <c r="C115" t="inlineStr">
        <is>
          <t>3CE NEW Mood Recipe Face Blush Style Nanda 3 Concept Eyes (Mono Pink)</t>
        </is>
      </c>
      <c r="D115" t="inlineStr">
        <is>
          <t>3CE NEW Mood Recipe Face Blush Style Nanda 3 Concept Eyes (Season 2) (Mono Pink)</t>
        </is>
      </c>
      <c r="E115" s="2">
        <f>HYPERLINK("https://www.amazon.com/Recipe-Blush-Style-Concept-Season/dp/B077CMDPZB/ref=sr_1_1?keywords=3CE+NEW+Mood+Recipe+Face+Blush+Style+Nanda+3+Concept+Eyes+%28Mono+Pink%29&amp;qid=1695259307&amp;sr=8-1", "https://www.amazon.com/Recipe-Blush-Style-Concept-Season/dp/B077CMDPZB/ref=sr_1_1?keywords=3CE+NEW+Mood+Recipe+Face+Blush+Style+Nanda+3+Concept+Eyes+%28Mono+Pink%29&amp;qid=1695259307&amp;sr=8-1")</f>
        <v/>
      </c>
      <c r="F115" t="inlineStr">
        <is>
          <t>B077CMDPZB</t>
        </is>
      </c>
      <c r="G115">
        <f>IMAGE("https://prolisok-store.com/cdn/shop/files/41mwDCFhDfL_300x.jpg?v=1683820366")</f>
        <v/>
      </c>
      <c r="H115">
        <f>IMAGE("https://m.media-amazon.com/images/I/51qL5+W0qqL._AC_UL320_.jpg")</f>
        <v/>
      </c>
      <c r="I115" t="inlineStr">
        <is>
          <t>7.99</t>
        </is>
      </c>
      <c r="J115" t="n">
        <v>16.9</v>
      </c>
      <c r="K115" s="3" t="inlineStr">
        <is>
          <t>111.51%</t>
        </is>
      </c>
      <c r="L115" t="n">
        <v>4.3</v>
      </c>
      <c r="M115" t="n">
        <v>39</v>
      </c>
      <c r="O115" t="inlineStr">
        <is>
          <t>InStock</t>
        </is>
      </c>
      <c r="P115" t="inlineStr">
        <is>
          <t>undefined</t>
        </is>
      </c>
      <c r="Q115" t="inlineStr">
        <is>
          <t>6761031467080</t>
        </is>
      </c>
    </row>
    <row r="116">
      <c r="A116" s="2">
        <f>HYPERLINK("https://prolisok-store.com/collections/premium/products/la-mer-the-moisturizing-soft-lotion", "https://prolisok-store.com/collections/premium/products/la-mer-the-moisturizing-soft-lotion")</f>
        <v/>
      </c>
      <c r="B116" s="2">
        <f>HYPERLINK("https://prolisok-store.com/products/la-mer-the-moisturizing-soft-lotion", "https://prolisok-store.com/products/la-mer-the-moisturizing-soft-lotion")</f>
        <v/>
      </c>
      <c r="C116" t="inlineStr">
        <is>
          <t>La Mer The Moisturizing Soft Lotion</t>
        </is>
      </c>
      <c r="D116" t="inlineStr">
        <is>
          <t>La Mer The Moisturizing Soft Cream, 1 Ounce</t>
        </is>
      </c>
      <c r="E116" s="2">
        <f>HYPERLINK("https://www.amazon.com/Mer-Moisturizing-Soft-Cream-Ounce/dp/B00D3VBI4A/ref=sr_1_10?keywords=La+Mer+The+Moisturizing+Soft+Lotion&amp;qid=1695259290&amp;sr=8-10", "https://www.amazon.com/Mer-Moisturizing-Soft-Cream-Ounce/dp/B00D3VBI4A/ref=sr_1_10?keywords=La+Mer+The+Moisturizing+Soft+Lotion&amp;qid=1695259290&amp;sr=8-10")</f>
        <v/>
      </c>
      <c r="F116" t="inlineStr">
        <is>
          <t>B00D3VBI4A</t>
        </is>
      </c>
      <c r="G116">
        <f>IMAGE("https://prolisok-store.com/cdn/shop/products/61uLYCnMy9L._SL1500_300x.jpg?v=1667997816")</f>
        <v/>
      </c>
      <c r="H116">
        <f>IMAGE("https://m.media-amazon.com/images/I/51cs0eRqYyL._AC_UL320_.jpg")</f>
        <v/>
      </c>
      <c r="I116" t="inlineStr">
        <is>
          <t>69.99</t>
        </is>
      </c>
      <c r="J116" t="n">
        <v>147.3</v>
      </c>
      <c r="K116" s="3" t="inlineStr">
        <is>
          <t>110.46%</t>
        </is>
      </c>
      <c r="L116" t="n">
        <v>4.1</v>
      </c>
      <c r="M116" t="n">
        <v>145</v>
      </c>
      <c r="O116" t="inlineStr">
        <is>
          <t>InStock</t>
        </is>
      </c>
      <c r="P116" t="inlineStr">
        <is>
          <t>undefined</t>
        </is>
      </c>
      <c r="Q116" t="inlineStr">
        <is>
          <t>6674655084616</t>
        </is>
      </c>
    </row>
    <row r="117">
      <c r="A117" s="2">
        <f>HYPERLINK("https://prolisok-store.com/collections/premium/products/make-up-for-ever-ultra-hd-microfinishing-pressed-powder-translucent", "https://prolisok-store.com/collections/premium/products/make-up-for-ever-ultra-hd-microfinishing-pressed-powder-translucent")</f>
        <v/>
      </c>
      <c r="B117" s="2">
        <f>HYPERLINK("https://prolisok-store.com/products/make-up-for-ever-ultra-hd-microfinishing-pressed-powder-translucent", "https://prolisok-store.com/products/make-up-for-ever-ultra-hd-microfinishing-pressed-powder-translucent")</f>
        <v/>
      </c>
      <c r="C117" t="inlineStr">
        <is>
          <t>MAKE UP FOR EVER Ultra HD Microfinishing Pressed Powder Translucent</t>
        </is>
      </c>
      <c r="D117" t="inlineStr">
        <is>
          <t>Make Up For Ever Ultra HD Microfinishing Loose Powder Full Size Translucent 0.29 uncji</t>
        </is>
      </c>
      <c r="E117" s="2">
        <f>HYPERLINK("https://www.amazon.com/Make-Up-Ever-Microfinishing-Translucent/dp/B0719RCNVQ/ref=sr_1_2?keywords=MAKE+UP+FOR+EVER+Ultra+HD+Microfinishing+Pressed+Powder+Translucent&amp;qid=1695259297&amp;sr=8-2", "https://www.amazon.com/Make-Up-Ever-Microfinishing-Translucent/dp/B0719RCNVQ/ref=sr_1_2?keywords=MAKE+UP+FOR+EVER+Ultra+HD+Microfinishing+Pressed+Powder+Translucent&amp;qid=1695259297&amp;sr=8-2")</f>
        <v/>
      </c>
      <c r="F117" t="inlineStr">
        <is>
          <t>B0719RCNVQ</t>
        </is>
      </c>
      <c r="G117">
        <f>IMAGE("https://prolisok-store.com/cdn/shop/files/611llduh92L._SL1500_300x.jpg?v=1693220499")</f>
        <v/>
      </c>
      <c r="H117">
        <f>IMAGE("https://m.media-amazon.com/images/I/41mRouLbOpL._AC_UL320_.jpg")</f>
        <v/>
      </c>
      <c r="I117" t="inlineStr">
        <is>
          <t>14.99</t>
        </is>
      </c>
      <c r="J117" t="n">
        <v>31.45</v>
      </c>
      <c r="K117" s="3" t="inlineStr">
        <is>
          <t>109.81%</t>
        </is>
      </c>
      <c r="L117" t="n">
        <v>4.5</v>
      </c>
      <c r="M117" t="n">
        <v>267</v>
      </c>
      <c r="O117" t="inlineStr">
        <is>
          <t>InStock</t>
        </is>
      </c>
      <c r="P117" t="inlineStr">
        <is>
          <t>undefined</t>
        </is>
      </c>
      <c r="Q117" t="inlineStr">
        <is>
          <t>6771911163976</t>
        </is>
      </c>
    </row>
    <row r="118">
      <c r="A118" s="2">
        <f>HYPERLINK("https://prolisok-store.com/collections/premium/products/diptyque-tam-dao-eau-de-toilette-3-4-oz", "https://prolisok-store.com/collections/premium/products/diptyque-tam-dao-eau-de-toilette-3-4-oz")</f>
        <v/>
      </c>
      <c r="B118" s="2">
        <f>HYPERLINK("https://prolisok-store.com/products/diptyque-tam-dao-eau-de-toilette-3-4-oz", "https://prolisok-store.com/products/diptyque-tam-dao-eau-de-toilette-3-4-oz")</f>
        <v/>
      </c>
      <c r="C118" t="inlineStr">
        <is>
          <t>Diptyque Tam Dao Eau de Toilette-3.4 oz.</t>
        </is>
      </c>
      <c r="D118" t="inlineStr">
        <is>
          <t>Tam Dao Eau de Toilette 50ml by Diptyque</t>
        </is>
      </c>
      <c r="E118" s="2">
        <f>HYPERLINK("https://www.amazon.com/Tam-Dao-Toilette-50ml-Diptyque/dp/B00134UTQW/ref=sr_1_4?keywords=Diptyque+Tam+Dao+Eau+de+Toilette-3.4+oz.&amp;qid=1695259287&amp;sr=8-4", "https://www.amazon.com/Tam-Dao-Toilette-50ml-Diptyque/dp/B00134UTQW/ref=sr_1_4?keywords=Diptyque+Tam+Dao+Eau+de+Toilette-3.4+oz.&amp;qid=1695259287&amp;sr=8-4")</f>
        <v/>
      </c>
      <c r="F118" t="inlineStr">
        <is>
          <t>B00134UTQW</t>
        </is>
      </c>
      <c r="G118">
        <f>IMAGE("https://prolisok-store.com/cdn/shop/products/DiptyqueTamDaoEaudeToilette-3.4oz_-1_300x.jpg?v=1683715785")</f>
        <v/>
      </c>
      <c r="H118">
        <f>IMAGE("https://m.media-amazon.com/images/I/61CDUwJrPBL._AC_UL320_.jpg")</f>
        <v/>
      </c>
      <c r="I118" t="inlineStr">
        <is>
          <t>59.99</t>
        </is>
      </c>
      <c r="J118" t="n">
        <v>124.34</v>
      </c>
      <c r="K118" s="3" t="inlineStr">
        <is>
          <t>107.27%</t>
        </is>
      </c>
      <c r="L118" t="n">
        <v>4.1</v>
      </c>
      <c r="M118" t="n">
        <v>24</v>
      </c>
      <c r="O118" t="inlineStr">
        <is>
          <t>InStock</t>
        </is>
      </c>
      <c r="P118" t="inlineStr">
        <is>
          <t>105.0</t>
        </is>
      </c>
      <c r="Q118" t="inlineStr">
        <is>
          <t>6758093029448</t>
        </is>
      </c>
    </row>
    <row r="119">
      <c r="A119" s="2">
        <f>HYPERLINK("https://prolisok-store.com/collections/premium/products/narciso-rodriguez-fleur-musc-for-women-eau-de-parfum-spray-3-4-ounce", "https://prolisok-store.com/collections/premium/products/narciso-rodriguez-fleur-musc-for-women-eau-de-parfum-spray-3-4-ounce")</f>
        <v/>
      </c>
      <c r="B119" s="2">
        <f>HYPERLINK("https://prolisok-store.com/products/narciso-rodriguez-fleur-musc-for-women-eau-de-parfum-spray-3-4-ounce", "https://prolisok-store.com/products/narciso-rodriguez-fleur-musc-for-women-eau-de-parfum-spray-3-4-ounce")</f>
        <v/>
      </c>
      <c r="C119" t="inlineStr">
        <is>
          <t>Narciso Rodriguez Fleur Musc for Women Eau de Parfum Spray, 3.4 Ounce</t>
        </is>
      </c>
      <c r="D119" t="inlineStr">
        <is>
          <t>Narciso Rodriguez Cristal for Women Eau de Parfum Spray, 3 Ounce</t>
        </is>
      </c>
      <c r="E119" s="2">
        <f>HYPERLINK("https://www.amazon.com/Narciso-Rodriguez-Cristal-Women-Parfum/dp/B09YNNRVWT/ref=sr_1_10?keywords=Narciso+Rodriguez+Fleur+Musc+for+Women+Eau+de+Parfum+Spray%2C+3.4+Ounce&amp;qid=1695259296&amp;sr=8-10", "https://www.amazon.com/Narciso-Rodriguez-Cristal-Women-Parfum/dp/B09YNNRVWT/ref=sr_1_10?keywords=Narciso+Rodriguez+Fleur+Musc+for+Women+Eau+de+Parfum+Spray%2C+3.4+Ounce&amp;qid=1695259296&amp;sr=8-10")</f>
        <v/>
      </c>
      <c r="F119" t="inlineStr">
        <is>
          <t>B09YNNRVWT</t>
        </is>
      </c>
      <c r="G119">
        <f>IMAGE("https://prolisok-store.com/cdn/shop/files/41h0kt3e3BS_300x.jpg?v=1689760200")</f>
        <v/>
      </c>
      <c r="H119">
        <f>IMAGE("https://m.media-amazon.com/images/I/61ezCA4h2gL._AC_UL320_.jpg")</f>
        <v/>
      </c>
      <c r="I119" t="inlineStr">
        <is>
          <t>44.99</t>
        </is>
      </c>
      <c r="J119" t="n">
        <v>91.98999999999999</v>
      </c>
      <c r="K119" s="3" t="inlineStr">
        <is>
          <t>104.47%</t>
        </is>
      </c>
      <c r="L119" t="n">
        <v>4.4</v>
      </c>
      <c r="M119" t="n">
        <v>9</v>
      </c>
      <c r="O119" t="inlineStr">
        <is>
          <t>InStock</t>
        </is>
      </c>
      <c r="P119" t="inlineStr">
        <is>
          <t>undefined</t>
        </is>
      </c>
      <c r="Q119" t="inlineStr">
        <is>
          <t>6766097367112</t>
        </is>
      </c>
    </row>
    <row r="120">
      <c r="A120" s="2">
        <f>HYPERLINK("https://prolisok-store.com/collections/premium/products/frederic-malle-portrait-of-a-lady-ladies-3-4-oz", "https://prolisok-store.com/collections/premium/products/frederic-malle-portrait-of-a-lady-ladies-3-4-oz")</f>
        <v/>
      </c>
      <c r="B120" s="2">
        <f>HYPERLINK("https://prolisok-store.com/products/frederic-malle-portrait-of-a-lady-ladies-3-4-oz", "https://prolisok-store.com/products/frederic-malle-portrait-of-a-lady-ladies-3-4-oz")</f>
        <v/>
      </c>
      <c r="C120" t="inlineStr">
        <is>
          <t>Frederic Malle Portrait of A Lady Eau De Parfum Spray 3.4 oz For Women</t>
        </is>
      </c>
      <c r="D120" t="inlineStr">
        <is>
          <t>Frederic Malle Portrait of a Lady Eau de Parfum New in Box, 3.4 Fl Oz</t>
        </is>
      </c>
      <c r="E120" s="2">
        <f>HYPERLINK("https://www.amazon.com/Frederic-Malle-Portrait-Lady-Parfum/dp/B018O3J8DY/ref=sr_1_4?keywords=Frederic+Malle+Portrait+of+A+Lady+Eau+De+Parfum+Spray+3.4+oz+For+Women&amp;qid=1695259294&amp;sr=8-4", "https://www.amazon.com/Frederic-Malle-Portrait-Lady-Parfum/dp/B018O3J8DY/ref=sr_1_4?keywords=Frederic+Malle+Portrait+of+A+Lady+Eau+De+Parfum+Spray+3.4+oz+For+Women&amp;qid=1695259294&amp;sr=8-4")</f>
        <v/>
      </c>
      <c r="F120" t="inlineStr">
        <is>
          <t>B018O3J8DY</t>
        </is>
      </c>
      <c r="G120">
        <f>IMAGE("https://prolisok-store.com/cdn/shop/files/PortraitofaLady_2_300x.jpg?v=1687510418")</f>
        <v/>
      </c>
      <c r="H120">
        <f>IMAGE("https://m.media-amazon.com/images/I/61tGYjCxEhL._AC_UL320_.jpg")</f>
        <v/>
      </c>
      <c r="I120" t="inlineStr">
        <is>
          <t>139.99</t>
        </is>
      </c>
      <c r="J120" t="n">
        <v>284.99</v>
      </c>
      <c r="K120" s="3" t="inlineStr">
        <is>
          <t>103.58%</t>
        </is>
      </c>
      <c r="L120" t="n">
        <v>4.4</v>
      </c>
      <c r="M120" t="n">
        <v>30</v>
      </c>
      <c r="O120" t="inlineStr">
        <is>
          <t>InStock</t>
        </is>
      </c>
      <c r="P120" t="inlineStr">
        <is>
          <t>undefined</t>
        </is>
      </c>
      <c r="Q120" t="inlineStr">
        <is>
          <t>6763238457416</t>
        </is>
      </c>
    </row>
    <row r="121">
      <c r="A121" s="2">
        <f>HYPERLINK("https://prolisok-store.com/collections/premium/products/diptyque-roses-candle-6-5-oz", "https://prolisok-store.com/collections/premium/products/diptyque-roses-candle-6-5-oz")</f>
        <v/>
      </c>
      <c r="B121" s="2">
        <f>HYPERLINK("https://prolisok-store.com/products/diptyque-roses-candle-6-5-oz", "https://prolisok-store.com/products/diptyque-roses-candle-6-5-oz")</f>
        <v/>
      </c>
      <c r="C121" t="inlineStr">
        <is>
          <t>Diptyque Roses Candle-6.5 oz</t>
        </is>
      </c>
      <c r="D121" t="inlineStr">
        <is>
          <t>Diptyque Patchouli Candle-6.5 oz, Standard (I0082972)</t>
        </is>
      </c>
      <c r="E121" s="2">
        <f>HYPERLINK("https://www.amazon.com/Diptyque-Patchouli-Candle-6-5-oz/dp/B001O8AD04/ref=sr_1_8?keywords=Diptyque+Roses+Candle-6.5+oz&amp;qid=1695259298&amp;sr=8-8", "https://www.amazon.com/Diptyque-Patchouli-Candle-6-5-oz/dp/B001O8AD04/ref=sr_1_8?keywords=Diptyque+Roses+Candle-6.5+oz&amp;qid=1695259298&amp;sr=8-8")</f>
        <v/>
      </c>
      <c r="F121" t="inlineStr">
        <is>
          <t>B001O8AD04</t>
        </is>
      </c>
      <c r="G121">
        <f>IMAGE("https://prolisok-store.com/cdn/shop/files/61qv-dg4gnL._SL1000_300x.jpg?v=1693226309")</f>
        <v/>
      </c>
      <c r="H121">
        <f>IMAGE("https://m.media-amazon.com/images/I/71YmLrZmYcL._AC_UL320_.jpg")</f>
        <v/>
      </c>
      <c r="I121" t="inlineStr">
        <is>
          <t>39.99</t>
        </is>
      </c>
      <c r="J121" t="n">
        <v>80.90000000000001</v>
      </c>
      <c r="K121" s="3" t="inlineStr">
        <is>
          <t>102.30%</t>
        </is>
      </c>
      <c r="L121" t="n">
        <v>4.4</v>
      </c>
      <c r="M121" t="n">
        <v>49</v>
      </c>
      <c r="O121" t="inlineStr">
        <is>
          <t>InStock</t>
        </is>
      </c>
      <c r="P121" t="inlineStr">
        <is>
          <t>undefined</t>
        </is>
      </c>
      <c r="Q121" t="inlineStr">
        <is>
          <t>6771912605768</t>
        </is>
      </c>
    </row>
    <row r="122">
      <c r="A122" s="2">
        <f>HYPERLINK("https://prolisok-store.com/collections/premium/products/the-soft-fluid-foundation-spf-20-1-oz-porcelain", "https://prolisok-store.com/collections/premium/products/the-soft-fluid-foundation-spf-20-1-oz-porcelain")</f>
        <v/>
      </c>
      <c r="B122" s="2">
        <f>HYPERLINK("https://prolisok-store.com/products/the-soft-fluid-foundation-spf-20-1-oz-porcelain", "https://prolisok-store.com/products/the-soft-fluid-foundation-spf-20-1-oz-porcelain")</f>
        <v/>
      </c>
      <c r="C122" t="inlineStr">
        <is>
          <t>La Mer The Soft Fluid Foundation SPF 20-1 oz. Porcelain</t>
        </is>
      </c>
      <c r="D122" t="inlineStr">
        <is>
          <t>La Mer The Soft Fluid Long Wear Foundation SPF 20 - # 42 Tan 30ml/1oz</t>
        </is>
      </c>
      <c r="E122" s="2">
        <f>HYPERLINK("https://www.amazon.com/Mer-Soft-Fluid-Long-Foundation/dp/B01MDNSIK4/ref=sr_1_3?keywords=La+Mer+The+Soft+Fluid+Foundation+SPF+20-1+oz.+Porcelain&amp;qid=1695259298&amp;sr=8-3", "https://www.amazon.com/Mer-Soft-Fluid-Long-Foundation/dp/B01MDNSIK4/ref=sr_1_3?keywords=La+Mer+The+Soft+Fluid+Foundation+SPF+20-1+oz.+Porcelain&amp;qid=1695259298&amp;sr=8-3")</f>
        <v/>
      </c>
      <c r="F122" t="inlineStr">
        <is>
          <t>B01MDNSIK4</t>
        </is>
      </c>
      <c r="G122">
        <f>IMAGE("https://prolisok-store.com/cdn/shop/products/41wgXKYLRyL._SL1000_300x.jpg?v=1674109756")</f>
        <v/>
      </c>
      <c r="H122">
        <f>IMAGE("https://m.media-amazon.com/images/I/51icv2b8-jL._AC_UL320_.jpg")</f>
        <v/>
      </c>
      <c r="I122" t="inlineStr">
        <is>
          <t>49.99</t>
        </is>
      </c>
      <c r="J122" t="n">
        <v>100</v>
      </c>
      <c r="K122" s="3" t="inlineStr">
        <is>
          <t>100.04%</t>
        </is>
      </c>
      <c r="L122" t="n">
        <v>5</v>
      </c>
      <c r="M122" t="n">
        <v>3</v>
      </c>
      <c r="O122" t="inlineStr">
        <is>
          <t>InStock</t>
        </is>
      </c>
      <c r="P122" t="inlineStr">
        <is>
          <t>95.0</t>
        </is>
      </c>
      <c r="Q122" t="inlineStr">
        <is>
          <t>6709197045832</t>
        </is>
      </c>
    </row>
    <row r="123">
      <c r="A123" s="2">
        <f>HYPERLINK("https://prolisok-store.com/collections/premium/products/la-mer-soft-fluid-found-sf20-120", "https://prolisok-store.com/collections/premium/products/la-mer-soft-fluid-found-sf20-120")</f>
        <v/>
      </c>
      <c r="B123" s="2">
        <f>HYPERLINK("https://prolisok-store.com/products/la-mer-soft-fluid-found-sf20-120", "https://prolisok-store.com/products/la-mer-soft-fluid-found-sf20-120")</f>
        <v/>
      </c>
      <c r="C123" t="inlineStr">
        <is>
          <t>La Mer Soft Fluid Foundation SF20 120</t>
        </is>
      </c>
      <c r="D123" t="inlineStr">
        <is>
          <t>La Mer The Soft Fluid Long Wear Foundation SPF 20 - # 42 Tan 30ml/1oz</t>
        </is>
      </c>
      <c r="E123" s="2">
        <f>HYPERLINK("https://www.amazon.com/Mer-Soft-Fluid-Long-Foundation/dp/B01MDNSIK4/ref=sr_1_5?keywords=La+Mer+Soft+Fluid+Foundation+SF20+120&amp;qid=1695259292&amp;sr=8-5", "https://www.amazon.com/Mer-Soft-Fluid-Long-Foundation/dp/B01MDNSIK4/ref=sr_1_5?keywords=La+Mer+Soft+Fluid+Foundation+SF20+120&amp;qid=1695259292&amp;sr=8-5")</f>
        <v/>
      </c>
      <c r="F123" t="inlineStr">
        <is>
          <t>B01MDNSIK4</t>
        </is>
      </c>
      <c r="G123">
        <f>IMAGE("https://prolisok-store.com/cdn/shop/products/41uQN86fQQL._SL1000_300x.jpg?v=1674030569")</f>
        <v/>
      </c>
      <c r="H123">
        <f>IMAGE("https://m.media-amazon.com/images/I/51icv2b8-jL._AC_UL320_.jpg")</f>
        <v/>
      </c>
      <c r="I123" t="inlineStr">
        <is>
          <t>49.99</t>
        </is>
      </c>
      <c r="J123" t="n">
        <v>100</v>
      </c>
      <c r="K123" s="3" t="inlineStr">
        <is>
          <t>100.04%</t>
        </is>
      </c>
      <c r="L123" t="n">
        <v>5</v>
      </c>
      <c r="M123" t="n">
        <v>3</v>
      </c>
      <c r="O123" t="inlineStr">
        <is>
          <t>InStock</t>
        </is>
      </c>
      <c r="P123" t="inlineStr">
        <is>
          <t>undefined</t>
        </is>
      </c>
      <c r="Q123" t="inlineStr">
        <is>
          <t>6708763459656</t>
        </is>
      </c>
    </row>
    <row r="124">
      <c r="A124" s="2">
        <f>HYPERLINK("https://prolisok-store.com/collections/premium/products/zo-skin-health-daily-power-defense", "https://prolisok-store.com/collections/premium/products/zo-skin-health-daily-power-defense")</f>
        <v/>
      </c>
      <c r="B124" s="2">
        <f>HYPERLINK("https://prolisok-store.com/products/zo-skin-health-daily-power-defense", "https://prolisok-store.com/products/zo-skin-health-daily-power-defense")</f>
        <v/>
      </c>
      <c r="C124" t="inlineStr">
        <is>
          <t>ZO Skin Health Daily Power Defense</t>
        </is>
      </c>
      <c r="D124" t="inlineStr">
        <is>
          <t>ZO Skin Health Daily Power Defense 1 Fl. Oz. 30mL Softgel</t>
        </is>
      </c>
      <c r="E124" s="2">
        <f>HYPERLINK("https://www.amazon.com/ZO-Health-Daily-Defense-Softgel/dp/B07QF1B66M/ref=sr_1_2?keywords=ZO+Skin+Health+Daily+Power+Defense&amp;qid=1695259288&amp;sr=8-2", "https://www.amazon.com/ZO-Health-Daily-Defense-Softgel/dp/B07QF1B66M/ref=sr_1_2?keywords=ZO+Skin+Health+Daily+Power+Defense&amp;qid=1695259288&amp;sr=8-2")</f>
        <v/>
      </c>
      <c r="F124" t="inlineStr">
        <is>
          <t>B07QF1B66M</t>
        </is>
      </c>
      <c r="G124">
        <f>IMAGE("https://prolisok-store.com/cdn/shop/files/dpd.mob.pdp.gbl_300x.png?v=1682669514")</f>
        <v/>
      </c>
      <c r="H124">
        <f>IMAGE("https://m.media-amazon.com/images/I/61qSFJrh1bL._AC_UL320_.jpg")</f>
        <v/>
      </c>
      <c r="I124" t="inlineStr">
        <is>
          <t>29.99</t>
        </is>
      </c>
      <c r="J124" t="n">
        <v>59.99</v>
      </c>
      <c r="K124" s="3" t="inlineStr">
        <is>
          <t>100.03%</t>
        </is>
      </c>
      <c r="L124" t="n">
        <v>4.6</v>
      </c>
      <c r="M124" t="n">
        <v>821</v>
      </c>
      <c r="O124" t="inlineStr">
        <is>
          <t>InStock</t>
        </is>
      </c>
      <c r="P124" t="inlineStr">
        <is>
          <t>undefined</t>
        </is>
      </c>
      <c r="Q124" t="inlineStr">
        <is>
          <t>6758899220552</t>
        </is>
      </c>
    </row>
    <row r="125">
      <c r="A125" s="2">
        <f>HYPERLINK("https://prolisok-store.com/collections/premium/products/elizabeth-arden-capsules-serum", "https://prolisok-store.com/collections/premium/products/elizabeth-arden-capsules-serum")</f>
        <v/>
      </c>
      <c r="B125" s="2">
        <f>HYPERLINK("https://prolisok-store.com/products/elizabeth-arden-capsules-serum", "https://prolisok-store.com/products/elizabeth-arden-capsules-serum")</f>
        <v/>
      </c>
      <c r="C125" t="inlineStr">
        <is>
          <t>Elizabeth Arden Capsules Serum</t>
        </is>
      </c>
      <c r="D125" t="inlineStr">
        <is>
          <t>Elizabeth Arden Ceramide Skin Care Set, Advanced Ceramide Capsules Serum, Advanced Ceramide Eye Capsule Serum, Ceramide Cleanser and Superstart</t>
        </is>
      </c>
      <c r="E125" s="2">
        <f>HYPERLINK("https://www.amazon.com/Elizabeth-Arden-Advanced-Ceramide-Restoring/dp/B01N5HLNB8/ref=sr_1_1?keywords=Elizabeth+Arden+Capsules+Serum&amp;qid=1695259297&amp;sr=8-1", "https://www.amazon.com/Elizabeth-Arden-Advanced-Ceramide-Restoring/dp/B01N5HLNB8/ref=sr_1_1?keywords=Elizabeth+Arden+Capsules+Serum&amp;qid=1695259297&amp;sr=8-1")</f>
        <v/>
      </c>
      <c r="F125" t="inlineStr">
        <is>
          <t>B01N5HLNB8</t>
        </is>
      </c>
      <c r="G125">
        <f>IMAGE("https://prolisok-store.com/cdn/shop/files/71roxz2sB-L._SL1500_300x.jpg?v=1683266294")</f>
        <v/>
      </c>
      <c r="H125">
        <f>IMAGE("https://m.media-amazon.com/images/I/71PpHwZRRuL._AC_UL320_.jpg")</f>
        <v/>
      </c>
      <c r="I125" t="inlineStr">
        <is>
          <t>59.99</t>
        </is>
      </c>
      <c r="J125" t="n">
        <v>120</v>
      </c>
      <c r="K125" s="3" t="inlineStr">
        <is>
          <t>100.03%</t>
        </is>
      </c>
      <c r="L125" t="n">
        <v>4.7</v>
      </c>
      <c r="M125" t="n">
        <v>2049</v>
      </c>
      <c r="O125" t="inlineStr">
        <is>
          <t>InStock</t>
        </is>
      </c>
      <c r="P125" t="inlineStr">
        <is>
          <t>undefined</t>
        </is>
      </c>
      <c r="Q125" t="inlineStr">
        <is>
          <t>6759943700552</t>
        </is>
      </c>
    </row>
    <row r="126">
      <c r="A126" s="2">
        <f>HYPERLINK("https://prolisok-store.com/collections/premium/products/elizabeth-arden-capsules-serum", "https://prolisok-store.com/collections/premium/products/elizabeth-arden-capsules-serum")</f>
        <v/>
      </c>
      <c r="B126" s="2">
        <f>HYPERLINK("https://prolisok-store.com/products/elizabeth-arden-capsules-serum", "https://prolisok-store.com/products/elizabeth-arden-capsules-serum")</f>
        <v/>
      </c>
      <c r="C126" t="inlineStr">
        <is>
          <t>Elizabeth Arden Capsules Serum</t>
        </is>
      </c>
      <c r="D126" t="inlineStr">
        <is>
          <t>Elizabeth Arden Retinol Ceramide Capsule Serum, Night Skin Care, Fine Line and Wrinkle Erasing Face Serum, 90 Count</t>
        </is>
      </c>
      <c r="E126" s="2">
        <f>HYPERLINK("https://www.amazon.com/Elizabeth-Arden-Retinol-Ceramide-Capsules/dp/B07TN8WFZJ/ref=sr_1_4?keywords=Elizabeth+Arden+Capsules+Serum&amp;qid=1695259297&amp;sr=8-4", "https://www.amazon.com/Elizabeth-Arden-Retinol-Ceramide-Capsules/dp/B07TN8WFZJ/ref=sr_1_4?keywords=Elizabeth+Arden+Capsules+Serum&amp;qid=1695259297&amp;sr=8-4")</f>
        <v/>
      </c>
      <c r="F126" t="inlineStr">
        <is>
          <t>B07TN8WFZJ</t>
        </is>
      </c>
      <c r="G126">
        <f>IMAGE("https://prolisok-store.com/cdn/shop/files/71roxz2sB-L._SL1500_300x.jpg?v=1683266294")</f>
        <v/>
      </c>
      <c r="H126">
        <f>IMAGE("https://m.media-amazon.com/images/I/71-zjzKULCL._AC_UL320_.jpg")</f>
        <v/>
      </c>
      <c r="I126" t="inlineStr">
        <is>
          <t>59.99</t>
        </is>
      </c>
      <c r="J126" t="n">
        <v>120</v>
      </c>
      <c r="K126" s="3" t="inlineStr">
        <is>
          <t>100.03%</t>
        </is>
      </c>
      <c r="L126" t="n">
        <v>4.5</v>
      </c>
      <c r="M126" t="n">
        <v>440</v>
      </c>
      <c r="O126" t="inlineStr">
        <is>
          <t>InStock</t>
        </is>
      </c>
      <c r="P126" t="inlineStr">
        <is>
          <t>undefined</t>
        </is>
      </c>
      <c r="Q126" t="inlineStr">
        <is>
          <t>6759943700552</t>
        </is>
      </c>
    </row>
    <row r="127">
      <c r="A127" s="2">
        <f>HYPERLINK("https://prolisok-store.com/collections/premium/products/kilian-eau-de-parfum-refillable-spray-1-7-oz", "https://prolisok-store.com/collections/premium/products/kilian-eau-de-parfum-refillable-spray-1-7-oz")</f>
        <v/>
      </c>
      <c r="B127" s="2">
        <f>HYPERLINK("https://prolisok-store.com/products/kilian-eau-de-parfum-refillable-spray-1-7-oz", "https://prolisok-store.com/products/kilian-eau-de-parfum-refillable-spray-1-7-oz")</f>
        <v/>
      </c>
      <c r="C127" t="inlineStr">
        <is>
          <t>Kilian Eau De Parfum Refillable Spray 1.7 oz</t>
        </is>
      </c>
      <c r="D127" t="inlineStr">
        <is>
          <t>Kilian Playing With Devil Eau de Parfum Refillable Spray for Women, 1.7 Ounce</t>
        </is>
      </c>
      <c r="E127" s="2">
        <f>HYPERLINK("https://www.amazon.com/Kilian-Playing-Devil-Parfum-Refillable/dp/B00F8Q0GGO/ref=sr_1_5?keywords=Kilian+Eau+De+Parfum+Refillable+Spray+1.7+oz&amp;qid=1695259299&amp;sr=8-5", "https://www.amazon.com/Kilian-Playing-Devil-Parfum-Refillable/dp/B00F8Q0GGO/ref=sr_1_5?keywords=Kilian+Eau+De+Parfum+Refillable+Spray+1.7+oz&amp;qid=1695259299&amp;sr=8-5")</f>
        <v/>
      </c>
      <c r="F127" t="inlineStr">
        <is>
          <t>B00F8Q0GGO</t>
        </is>
      </c>
      <c r="G127">
        <f>IMAGE("https://prolisok-store.com/cdn/shop/files/41qHQCLW06L._SL1000_300x.jpg?v=1690803520")</f>
        <v/>
      </c>
      <c r="H127">
        <f>IMAGE("https://m.media-amazon.com/images/I/61V9Vs9dHOL._AC_UL320_.jpg")</f>
        <v/>
      </c>
      <c r="I127" t="inlineStr">
        <is>
          <t>119.99</t>
        </is>
      </c>
      <c r="J127" t="n">
        <v>240.01</v>
      </c>
      <c r="K127" s="3" t="inlineStr">
        <is>
          <t>100.03%</t>
        </is>
      </c>
      <c r="L127" t="n">
        <v>4.5</v>
      </c>
      <c r="M127" t="n">
        <v>6</v>
      </c>
      <c r="O127" t="inlineStr">
        <is>
          <t>InStock</t>
        </is>
      </c>
      <c r="P127" t="inlineStr">
        <is>
          <t>undefined</t>
        </is>
      </c>
      <c r="Q127" t="inlineStr">
        <is>
          <t>6769900224584</t>
        </is>
      </c>
    </row>
    <row r="128">
      <c r="A128" s="2">
        <f>HYPERLINK("https://prolisok-store.com/collections/premium/products/narciso-rodriguez-fleur-musc-for-women-eau-de-parfum-spray-3-4-ounce", "https://prolisok-store.com/collections/premium/products/narciso-rodriguez-fleur-musc-for-women-eau-de-parfum-spray-3-4-ounce")</f>
        <v/>
      </c>
      <c r="B128" s="2">
        <f>HYPERLINK("https://prolisok-store.com/products/narciso-rodriguez-fleur-musc-for-women-eau-de-parfum-spray-3-4-ounce", "https://prolisok-store.com/products/narciso-rodriguez-fleur-musc-for-women-eau-de-parfum-spray-3-4-ounce")</f>
        <v/>
      </c>
      <c r="C128" t="inlineStr">
        <is>
          <t>Narciso Rodriguez Fleur Musc for Women Eau de Parfum Spray, 3.4 Ounce</t>
        </is>
      </c>
      <c r="D128" t="inlineStr">
        <is>
          <t>Narciso Rodriguez Musc Noir Rose for Women Eau de Parfum Spray, 3.3 Ounce</t>
        </is>
      </c>
      <c r="E128" s="2">
        <f>HYPERLINK("https://www.amazon.com/Narciso-Rodriguez-Women-Parfum-Spray/dp/B09TR47MZ7/ref=sr_1_5?keywords=Narciso+Rodriguez+Fleur+Musc+for+Women+Eau+de+Parfum+Spray%2C+3.4+Ounce&amp;qid=1695259296&amp;sr=8-5", "https://www.amazon.com/Narciso-Rodriguez-Women-Parfum-Spray/dp/B09TR47MZ7/ref=sr_1_5?keywords=Narciso+Rodriguez+Fleur+Musc+for+Women+Eau+de+Parfum+Spray%2C+3.4+Ounce&amp;qid=1695259296&amp;sr=8-5")</f>
        <v/>
      </c>
      <c r="F128" t="inlineStr">
        <is>
          <t>B09TR47MZ7</t>
        </is>
      </c>
      <c r="G128">
        <f>IMAGE("https://prolisok-store.com/cdn/shop/files/41h0kt3e3BS_300x.jpg?v=1689760200")</f>
        <v/>
      </c>
      <c r="H128">
        <f>IMAGE("https://m.media-amazon.com/images/I/61RHjKF1rTL._AC_UL320_.jpg")</f>
        <v/>
      </c>
      <c r="I128" t="inlineStr">
        <is>
          <t>44.99</t>
        </is>
      </c>
      <c r="J128" t="n">
        <v>89.44</v>
      </c>
      <c r="K128" s="3" t="inlineStr">
        <is>
          <t>98.80%</t>
        </is>
      </c>
      <c r="L128" t="n">
        <v>4.1</v>
      </c>
      <c r="M128" t="n">
        <v>89</v>
      </c>
      <c r="O128" t="inlineStr">
        <is>
          <t>InStock</t>
        </is>
      </c>
      <c r="P128" t="inlineStr">
        <is>
          <t>undefined</t>
        </is>
      </c>
      <c r="Q128" t="inlineStr">
        <is>
          <t>6766097367112</t>
        </is>
      </c>
    </row>
    <row r="129">
      <c r="A129" s="2">
        <f>HYPERLINK("https://prolisok-store.com/collections/premium/products/ipsa-creative-concealer-ex-4-5g", "https://prolisok-store.com/collections/premium/products/ipsa-creative-concealer-ex-4-5g")</f>
        <v/>
      </c>
      <c r="B129" s="2">
        <f>HYPERLINK("https://prolisok-store.com/products/ipsa-creative-concealer-ex-4-5g", "https://prolisok-store.com/products/ipsa-creative-concealer-ex-4-5g")</f>
        <v/>
      </c>
      <c r="C129" t="inlineStr">
        <is>
          <t>IPSA creative concealer ex 4.5g</t>
        </is>
      </c>
      <c r="D129" t="inlineStr">
        <is>
          <t>IPSA CREATIVE CONCEALER EX 4.5g</t>
        </is>
      </c>
      <c r="E129" s="2">
        <f>HYPERLINK("https://www.amazon.com/IPSA-CREATIVE-CONCEALER-EX-4-5g/dp/B01K7MW1IY/ref=sr_1_2?keywords=IPSA+creative+concealer+ex+4.5g&amp;qid=1695259304&amp;sr=8-2", "https://www.amazon.com/IPSA-CREATIVE-CONCEALER-EX-4-5g/dp/B01K7MW1IY/ref=sr_1_2?keywords=IPSA+creative+concealer+ex+4.5g&amp;qid=1695259304&amp;sr=8-2")</f>
        <v/>
      </c>
      <c r="F129" t="inlineStr">
        <is>
          <t>B01K7MW1IY</t>
        </is>
      </c>
      <c r="G129">
        <f>IMAGE("https://prolisok-store.com/cdn/shop/files/61Taf-7_nfL._AC_SL1500_300x.jpg?v=1689078688")</f>
        <v/>
      </c>
      <c r="H129">
        <f>IMAGE("https://m.media-amazon.com/images/I/61Taf-7+nfL._AC_UL320_.jpg")</f>
        <v/>
      </c>
      <c r="I129" t="inlineStr">
        <is>
          <t>19.99</t>
        </is>
      </c>
      <c r="J129" t="n">
        <v>39.51</v>
      </c>
      <c r="K129" s="3" t="inlineStr">
        <is>
          <t>97.65%</t>
        </is>
      </c>
      <c r="L129" t="n">
        <v>4.1</v>
      </c>
      <c r="M129" t="n">
        <v>61</v>
      </c>
      <c r="O129" t="inlineStr">
        <is>
          <t>InStock</t>
        </is>
      </c>
      <c r="P129" t="inlineStr">
        <is>
          <t>undefined</t>
        </is>
      </c>
      <c r="Q129" t="inlineStr">
        <is>
          <t>6765719650376</t>
        </is>
      </c>
    </row>
    <row r="130">
      <c r="A130" s="2">
        <f>HYPERLINK("https://prolisok-store.com/collections/premium/products/clarins-extra-firming-neck-and-decollete-cream", "https://prolisok-store.com/collections/premium/products/clarins-extra-firming-neck-and-decollete-cream")</f>
        <v/>
      </c>
      <c r="B130" s="2">
        <f>HYPERLINK("https://prolisok-store.com/products/clarins-extra-firming-neck-and-decollete-cream", "https://prolisok-store.com/products/clarins-extra-firming-neck-and-decollete-cream")</f>
        <v/>
      </c>
      <c r="C130" t="inlineStr">
        <is>
          <t>Clarins Extra-Firming Neck and Décolleté Cream</t>
        </is>
      </c>
      <c r="D130" t="inlineStr">
        <is>
          <t>Clarins Extra-Firming Neck and Décolleté Cream | Award-Winning | Anti-Aging Moisturizer | Visibly Firms, Smoothes and Lifts | Minimizes Appearance Of Wrinkles | Targets Dark Spots | 2.5 Ounces</t>
        </is>
      </c>
      <c r="E130" s="2">
        <f>HYPERLINK("https://www.amazon.com/Clarins-Extra-Firming-Award-Winning-Anti-Aging-Moisturizer/dp/B084MDRPPJ/ref=sr_1_1?keywords=Clarins+Extra-Firming+Neck+and+D%C3%A9collet%C3%A9+Cream&amp;qid=1695259301&amp;sr=8-1", "https://www.amazon.com/Clarins-Extra-Firming-Award-Winning-Anti-Aging-Moisturizer/dp/B084MDRPPJ/ref=sr_1_1?keywords=Clarins+Extra-Firming+Neck+and+D%C3%A9collet%C3%A9+Cream&amp;qid=1695259301&amp;sr=8-1")</f>
        <v/>
      </c>
      <c r="F130" t="inlineStr">
        <is>
          <t>B084MDRPPJ</t>
        </is>
      </c>
      <c r="G130">
        <f>IMAGE("https://prolisok-store.com/cdn/shop/files/6188DnkFSjL._SL1500_300x.jpg?v=1682417456")</f>
        <v/>
      </c>
      <c r="H130">
        <f>IMAGE("https://m.media-amazon.com/images/I/6188DnkFSjL._AC_UL320_.jpg")</f>
        <v/>
      </c>
      <c r="I130" t="inlineStr">
        <is>
          <t>49.99</t>
        </is>
      </c>
      <c r="J130" t="n">
        <v>98</v>
      </c>
      <c r="K130" s="3" t="inlineStr">
        <is>
          <t>96.04%</t>
        </is>
      </c>
      <c r="L130" t="n">
        <v>4.3</v>
      </c>
      <c r="M130" t="n">
        <v>168</v>
      </c>
      <c r="O130" t="inlineStr">
        <is>
          <t>InStock</t>
        </is>
      </c>
      <c r="P130" t="inlineStr">
        <is>
          <t>undefined</t>
        </is>
      </c>
      <c r="Q130" t="inlineStr">
        <is>
          <t>6757626347592</t>
        </is>
      </c>
    </row>
    <row r="131">
      <c r="A131" s="2">
        <f>HYPERLINK("https://prolisok-store.com/collections/premium/products/diptyque-roses-candle-6-5-oz", "https://prolisok-store.com/collections/premium/products/diptyque-roses-candle-6-5-oz")</f>
        <v/>
      </c>
      <c r="B131" s="2">
        <f>HYPERLINK("https://prolisok-store.com/products/diptyque-roses-candle-6-5-oz", "https://prolisok-store.com/products/diptyque-roses-candle-6-5-oz")</f>
        <v/>
      </c>
      <c r="C131" t="inlineStr">
        <is>
          <t>Diptyque Roses Candle-6.5 oz</t>
        </is>
      </c>
      <c r="D131" t="inlineStr">
        <is>
          <t>Diptyque Santal Candle-6.5 oz</t>
        </is>
      </c>
      <c r="E131" s="2">
        <f>HYPERLINK("https://www.amazon.com/Diptyque-412842849097-Santal-Candle-6-5-oz/dp/B002LK4E7W/ref=sr_1_9?keywords=Diptyque+Roses+Candle-6.5+oz&amp;qid=1695259298&amp;sr=8-9", "https://www.amazon.com/Diptyque-412842849097-Santal-Candle-6-5-oz/dp/B002LK4E7W/ref=sr_1_9?keywords=Diptyque+Roses+Candle-6.5+oz&amp;qid=1695259298&amp;sr=8-9")</f>
        <v/>
      </c>
      <c r="F131" t="inlineStr">
        <is>
          <t>B002LK4E7W</t>
        </is>
      </c>
      <c r="G131">
        <f>IMAGE("https://prolisok-store.com/cdn/shop/files/61qv-dg4gnL._SL1000_300x.jpg?v=1693226309")</f>
        <v/>
      </c>
      <c r="H131">
        <f>IMAGE("https://m.media-amazon.com/images/I/81rgtHrs-3L._AC_UL320_.jpg")</f>
        <v/>
      </c>
      <c r="I131" t="inlineStr">
        <is>
          <t>39.99</t>
        </is>
      </c>
      <c r="J131" t="n">
        <v>77.98999999999999</v>
      </c>
      <c r="K131" s="3" t="inlineStr">
        <is>
          <t>95.02%</t>
        </is>
      </c>
      <c r="L131" t="n">
        <v>4</v>
      </c>
      <c r="M131" t="n">
        <v>22</v>
      </c>
      <c r="O131" t="inlineStr">
        <is>
          <t>InStock</t>
        </is>
      </c>
      <c r="P131" t="inlineStr">
        <is>
          <t>undefined</t>
        </is>
      </c>
      <c r="Q131" t="inlineStr">
        <is>
          <t>6771912605768</t>
        </is>
      </c>
    </row>
    <row r="132">
      <c r="A132" s="2">
        <f>HYPERLINK("https://prolisok-store.com/collections/premium/products/3ce-multi-eye-color-palette-beach-muse-makeup-palette-9-color", "https://prolisok-store.com/collections/premium/products/3ce-multi-eye-color-palette-beach-muse-makeup-palette-9-color")</f>
        <v/>
      </c>
      <c r="B132" s="2">
        <f>HYPERLINK("https://prolisok-store.com/products/3ce-multi-eye-color-palette-beach-muse-makeup-palette-9-color", "https://prolisok-store.com/products/3ce-multi-eye-color-palette-beach-muse-makeup-palette-9-color")</f>
        <v/>
      </c>
      <c r="C132" t="inlineStr">
        <is>
          <t>3CE Multi Eye Color Palette,Beach Muse,Makeup Palette 9 Color</t>
        </is>
      </c>
      <c r="D132" t="inlineStr">
        <is>
          <t>3CE Multi Eye Color Palette Clear Warm &amp; Cool #Some DEF 9Colors Peal Glow Eye Shadow Staylenanda</t>
        </is>
      </c>
      <c r="E132" s="2">
        <f>HYPERLINK("https://www.amazon.com/3CE-Palette-9Colors-Shadow-Staylenanda/dp/B08W9YWS9B/ref=sr_1_4?keywords=3CE+Multi+Eye+Color+Palette%2CBeach+Muse%2CMakeup+Palette+9+Color&amp;qid=1695259301&amp;sr=8-4", "https://www.amazon.com/3CE-Palette-9Colors-Shadow-Staylenanda/dp/B08W9YWS9B/ref=sr_1_4?keywords=3CE+Multi+Eye+Color+Palette%2CBeach+Muse%2CMakeup+Palette+9+Color&amp;qid=1695259301&amp;sr=8-4")</f>
        <v/>
      </c>
      <c r="F132" t="inlineStr">
        <is>
          <t>B08W9YWS9B</t>
        </is>
      </c>
      <c r="G132">
        <f>IMAGE("https://prolisok-store.com/cdn/shop/files/61UqvcCJGwL._SL1001_300x.jpg?v=1682590795")</f>
        <v/>
      </c>
      <c r="H132">
        <f>IMAGE("https://m.media-amazon.com/images/I/51c41ng7-KL._AC_UL320_.jpg")</f>
        <v/>
      </c>
      <c r="I132" t="inlineStr">
        <is>
          <t>19.99</t>
        </is>
      </c>
      <c r="J132" t="n">
        <v>38.88</v>
      </c>
      <c r="K132" s="3" t="inlineStr">
        <is>
          <t>94.50%</t>
        </is>
      </c>
      <c r="L132" t="n">
        <v>5</v>
      </c>
      <c r="M132" t="n">
        <v>9</v>
      </c>
      <c r="O132" t="inlineStr">
        <is>
          <t>InStock</t>
        </is>
      </c>
      <c r="P132" t="inlineStr">
        <is>
          <t>undefined</t>
        </is>
      </c>
      <c r="Q132" t="inlineStr">
        <is>
          <t>6758468583496</t>
        </is>
      </c>
    </row>
    <row r="133">
      <c r="A133" s="2">
        <f>HYPERLINK("https://prolisok-store.com/collections/premium/products/la-mer-brume-de-the-mist-100ml-3-4oz", "https://prolisok-store.com/collections/premium/products/la-mer-brume-de-the-mist-100ml-3-4oz")</f>
        <v/>
      </c>
      <c r="B133" s="2">
        <f>HYPERLINK("https://prolisok-store.com/products/la-mer-brume-de-the-mist-100ml-3-4oz", "https://prolisok-store.com/products/la-mer-brume-de-the-mist-100ml-3-4oz")</f>
        <v/>
      </c>
      <c r="C133" t="inlineStr">
        <is>
          <t>La Mer Brume De The Mist 100ml/3.4oz</t>
        </is>
      </c>
      <c r="D133" t="inlineStr">
        <is>
          <t>La Mer Brume De The Mist 100ml/3.4oz</t>
        </is>
      </c>
      <c r="E133" s="2">
        <f>HYPERLINK("https://www.amazon.com/Mer-Brume-Mist/dp/B077BFZMM1/ref=sr_1_1?keywords=La+Mer+Brume+De+The+Mist+100ml%2F3.4oz&amp;qid=1695259306&amp;sr=8-1", "https://www.amazon.com/Mer-Brume-Mist/dp/B077BFZMM1/ref=sr_1_1?keywords=La+Mer+Brume+De+The+Mist+100ml%2F3.4oz&amp;qid=1695259306&amp;sr=8-1")</f>
        <v/>
      </c>
      <c r="F133" t="inlineStr">
        <is>
          <t>B077BFZMM1</t>
        </is>
      </c>
      <c r="G133">
        <f>IMAGE("https://prolisok-store.com/cdn/shop/products/712TGv3btkL._SL1500_300x.jpg?v=1673880914")</f>
        <v/>
      </c>
      <c r="H133">
        <f>IMAGE("https://m.media-amazon.com/images/I/712TGv3btkL._AC_UL320_.jpg")</f>
        <v/>
      </c>
      <c r="I133" t="inlineStr">
        <is>
          <t>39.99</t>
        </is>
      </c>
      <c r="J133" t="n">
        <v>77.25</v>
      </c>
      <c r="K133" s="3" t="inlineStr">
        <is>
          <t>93.17%</t>
        </is>
      </c>
      <c r="L133" t="n">
        <v>4.5</v>
      </c>
      <c r="M133" t="n">
        <v>62</v>
      </c>
      <c r="O133" t="inlineStr">
        <is>
          <t>InStock</t>
        </is>
      </c>
      <c r="P133" t="inlineStr">
        <is>
          <t>undefined</t>
        </is>
      </c>
      <c r="Q133" t="inlineStr">
        <is>
          <t>6707152126024</t>
        </is>
      </c>
    </row>
    <row r="134">
      <c r="A134" s="2">
        <f>HYPERLINK("https://prolisok-store.com/collections/premium/products/clarins-double-serum", "https://prolisok-store.com/collections/premium/products/clarins-double-serum")</f>
        <v/>
      </c>
      <c r="B134" s="2">
        <f>HYPERLINK("https://prolisok-store.com/products/clarins-double-serum", "https://prolisok-store.com/products/clarins-double-serum")</f>
        <v/>
      </c>
      <c r="C134" t="inlineStr">
        <is>
          <t>Clarins Double Serum</t>
        </is>
      </c>
      <c r="D134" t="inlineStr">
        <is>
          <t>Clarins Double Serum | Anti-Aging | Visibly Firms, Smoothes and Boosts Radiance in Just 7 Days* | 21 Plant Ingredients, Including Turmeric | All Skin Types, Ages and Ethnicities</t>
        </is>
      </c>
      <c r="E134" s="2">
        <f>HYPERLINK("https://www.amazon.com/Clarins-Award-Winning-Anti-Aging-Ingredients-Ethnicities/dp/B07CRK4J3S/ref=sr_1_1?keywords=Clarins+Double+Serum&amp;qid=1695259287&amp;sr=8-1", "https://www.amazon.com/Clarins-Award-Winning-Anti-Aging-Ingredients-Ethnicities/dp/B07CRK4J3S/ref=sr_1_1?keywords=Clarins+Double+Serum&amp;qid=1695259287&amp;sr=8-1")</f>
        <v/>
      </c>
      <c r="F134" t="inlineStr">
        <is>
          <t>B07CRK4J3S</t>
        </is>
      </c>
      <c r="G134">
        <f>IMAGE("https://prolisok-store.com/cdn/shop/products/717T_LvJhvL._SL1500_300x.jpg?v=1681306763")</f>
        <v/>
      </c>
      <c r="H134">
        <f>IMAGE("https://m.media-amazon.com/images/I/717T+LvJhvL._AC_UL320_.jpg")</f>
        <v/>
      </c>
      <c r="I134" t="inlineStr">
        <is>
          <t>69.99</t>
        </is>
      </c>
      <c r="J134" t="n">
        <v>134</v>
      </c>
      <c r="K134" s="3" t="inlineStr">
        <is>
          <t>91.46%</t>
        </is>
      </c>
      <c r="L134" t="n">
        <v>4.6</v>
      </c>
      <c r="M134" t="n">
        <v>1831</v>
      </c>
      <c r="O134" t="inlineStr">
        <is>
          <t>InStock</t>
        </is>
      </c>
      <c r="P134" t="inlineStr">
        <is>
          <t>112.2</t>
        </is>
      </c>
      <c r="Q134" t="inlineStr">
        <is>
          <t>6751779586120</t>
        </is>
      </c>
    </row>
    <row r="135">
      <c r="A135" s="2">
        <f>HYPERLINK("https://prolisok-store.com/collections/premium/products/clarins-double-serum", "https://prolisok-store.com/collections/premium/products/clarins-double-serum")</f>
        <v/>
      </c>
      <c r="B135" s="2">
        <f>HYPERLINK("https://prolisok-store.com/products/clarins-double-serum", "https://prolisok-store.com/products/clarins-double-serum")</f>
        <v/>
      </c>
      <c r="C135" t="inlineStr">
        <is>
          <t>Clarins Double Serum</t>
        </is>
      </c>
      <c r="D135" t="inlineStr">
        <is>
          <t>Clarins Double Serum Light | Anti Aging | Visibly Firms, Smoothes &amp; Boosts Radiance in 7 Days* | 21 Plant Ingredients | Turmeric | Lighter Texture | Great for Oily Skin and Humid Climates</t>
        </is>
      </c>
      <c r="E135" s="2">
        <f>HYPERLINK("https://www.amazon.com/Clarins-Smoothes-Radiance-Ingredients-Turmeric/dp/B0BRR1ML5C/ref=sr_1_3?keywords=Clarins+Double+Serum&amp;qid=1695259287&amp;sr=8-3", "https://www.amazon.com/Clarins-Smoothes-Radiance-Ingredients-Turmeric/dp/B0BRR1ML5C/ref=sr_1_3?keywords=Clarins+Double+Serum&amp;qid=1695259287&amp;sr=8-3")</f>
        <v/>
      </c>
      <c r="F135" t="inlineStr">
        <is>
          <t>B0BRR1ML5C</t>
        </is>
      </c>
      <c r="G135">
        <f>IMAGE("https://prolisok-store.com/cdn/shop/products/717T_LvJhvL._SL1500_300x.jpg?v=1681306763")</f>
        <v/>
      </c>
      <c r="H135">
        <f>IMAGE("https://m.media-amazon.com/images/I/51i5jqShicL._AC_UL320_.jpg")</f>
        <v/>
      </c>
      <c r="I135" t="inlineStr">
        <is>
          <t>69.99</t>
        </is>
      </c>
      <c r="J135" t="n">
        <v>134</v>
      </c>
      <c r="K135" s="3" t="inlineStr">
        <is>
          <t>91.46%</t>
        </is>
      </c>
      <c r="L135" t="n">
        <v>4.5</v>
      </c>
      <c r="M135" t="n">
        <v>43</v>
      </c>
      <c r="O135" t="inlineStr">
        <is>
          <t>InStock</t>
        </is>
      </c>
      <c r="P135" t="inlineStr">
        <is>
          <t>112.2</t>
        </is>
      </c>
      <c r="Q135" t="inlineStr">
        <is>
          <t>6751779586120</t>
        </is>
      </c>
    </row>
    <row r="136">
      <c r="A136" s="2">
        <f>HYPERLINK("https://prolisok-store.com/collections/premium/products/ipsa-creative-concealer-ex-4-5g", "https://prolisok-store.com/collections/premium/products/ipsa-creative-concealer-ex-4-5g")</f>
        <v/>
      </c>
      <c r="B136" s="2">
        <f>HYPERLINK("https://prolisok-store.com/products/ipsa-creative-concealer-ex-4-5g", "https://prolisok-store.com/products/ipsa-creative-concealer-ex-4-5g")</f>
        <v/>
      </c>
      <c r="C136" t="inlineStr">
        <is>
          <t>IPSA creative concealer ex 4.5g</t>
        </is>
      </c>
      <c r="D136" t="inlineStr">
        <is>
          <t>Ipsa Creative Concealer SPF25 4.5g/0.15oz</t>
        </is>
      </c>
      <c r="E136" s="2">
        <f>HYPERLINK("https://www.amazon.com/Ipsa-Creative-Concealer-SPF25-0-15oz/dp/B009ZBZIX4/ref=sr_1_3?keywords=IPSA+creative+concealer+ex+4.5g&amp;qid=1695259304&amp;sr=8-3", "https://www.amazon.com/Ipsa-Creative-Concealer-SPF25-0-15oz/dp/B009ZBZIX4/ref=sr_1_3?keywords=IPSA+creative+concealer+ex+4.5g&amp;qid=1695259304&amp;sr=8-3")</f>
        <v/>
      </c>
      <c r="F136" t="inlineStr">
        <is>
          <t>B009ZBZIX4</t>
        </is>
      </c>
      <c r="G136">
        <f>IMAGE("https://prolisok-store.com/cdn/shop/files/61Taf-7_nfL._AC_SL1500_300x.jpg?v=1689078688")</f>
        <v/>
      </c>
      <c r="H136">
        <f>IMAGE("https://m.media-amazon.com/images/I/61xnYFbYjwL._AC_UL320_.jpg")</f>
        <v/>
      </c>
      <c r="I136" t="inlineStr">
        <is>
          <t>19.99</t>
        </is>
      </c>
      <c r="J136" t="n">
        <v>37.99</v>
      </c>
      <c r="K136" s="3" t="inlineStr">
        <is>
          <t>90.05%</t>
        </is>
      </c>
      <c r="L136" t="n">
        <v>3.8</v>
      </c>
      <c r="M136" t="n">
        <v>10</v>
      </c>
      <c r="O136" t="inlineStr">
        <is>
          <t>InStock</t>
        </is>
      </c>
      <c r="P136" t="inlineStr">
        <is>
          <t>undefined</t>
        </is>
      </c>
      <c r="Q136" t="inlineStr">
        <is>
          <t>6765719650376</t>
        </is>
      </c>
    </row>
    <row r="137">
      <c r="A137" s="2">
        <f>HYPERLINK("https://prolisok-store.com/collections/premium/products/la-mer-the-lifting-contour-serum-1-ounce", "https://prolisok-store.com/collections/premium/products/la-mer-the-lifting-contour-serum-1-ounce")</f>
        <v/>
      </c>
      <c r="B137" s="2">
        <f>HYPERLINK("https://prolisok-store.com/products/la-mer-the-lifting-contour-serum-1-ounce", "https://prolisok-store.com/products/la-mer-the-lifting-contour-serum-1-ounce")</f>
        <v/>
      </c>
      <c r="C137" t="inlineStr">
        <is>
          <t>La Mer The Lifting Contour Serum - 1 Ounce</t>
        </is>
      </c>
      <c r="D137" t="inlineStr">
        <is>
          <t>La Mer The Lifting Contour Serum - 1 Ounce</t>
        </is>
      </c>
      <c r="E137" s="2">
        <f>HYPERLINK("https://www.amazon.com/Mer-Lifting-Contour-Serum-Ounce/dp/B00HKGBS1M/ref=sr_1_1?keywords=La+Mer+The+Lifting+Contour+Serum+-+1+Ounce&amp;qid=1695259286&amp;sr=8-1", "https://www.amazon.com/Mer-Lifting-Contour-Serum-Ounce/dp/B00HKGBS1M/ref=sr_1_1?keywords=La+Mer+The+Lifting+Contour+Serum+-+1+Ounce&amp;qid=1695259286&amp;sr=8-1")</f>
        <v/>
      </c>
      <c r="F137" t="inlineStr">
        <is>
          <t>B00HKGBS1M</t>
        </is>
      </c>
      <c r="G137">
        <f>IMAGE("https://prolisok-store.com/cdn/shop/products/717bDV5rGCL._SL1500_300x.jpg?v=1668000446")</f>
        <v/>
      </c>
      <c r="H137">
        <f>IMAGE("https://m.media-amazon.com/images/I/717bDV5rGCL._AC_UL320_.jpg")</f>
        <v/>
      </c>
      <c r="I137" t="inlineStr">
        <is>
          <t>129.99</t>
        </is>
      </c>
      <c r="J137" t="n">
        <v>245.99</v>
      </c>
      <c r="K137" s="3" t="inlineStr">
        <is>
          <t>89.24%</t>
        </is>
      </c>
      <c r="L137" t="n">
        <v>4.2</v>
      </c>
      <c r="M137" t="n">
        <v>44</v>
      </c>
      <c r="O137" t="inlineStr">
        <is>
          <t>InStock</t>
        </is>
      </c>
      <c r="P137" t="inlineStr">
        <is>
          <t>undefined</t>
        </is>
      </c>
      <c r="Q137" t="inlineStr">
        <is>
          <t>6674673238088</t>
        </is>
      </c>
    </row>
    <row r="138">
      <c r="A138" s="2">
        <f>HYPERLINK("https://prolisok-store.com/collections/premium/products/the-soft-fluid-foundation-spf-20-1-oz-porcelain", "https://prolisok-store.com/collections/premium/products/the-soft-fluid-foundation-spf-20-1-oz-porcelain")</f>
        <v/>
      </c>
      <c r="B138" s="2">
        <f>HYPERLINK("https://prolisok-store.com/products/the-soft-fluid-foundation-spf-20-1-oz-porcelain", "https://prolisok-store.com/products/the-soft-fluid-foundation-spf-20-1-oz-porcelain")</f>
        <v/>
      </c>
      <c r="C138" t="inlineStr">
        <is>
          <t>La Mer The Soft Fluid Foundation SPF 20-1 oz. Porcelain</t>
        </is>
      </c>
      <c r="D138" t="inlineStr">
        <is>
          <t>La Mer The Soft Fluid Long Wear Spf 20 Foundation for Women, 32 Beige, 1 Ounce</t>
        </is>
      </c>
      <c r="E138" s="2">
        <f>HYPERLINK("https://www.amazon.com/Mer-Soft-Fluid-Long-Foundation/dp/B01M4MTXYQ/ref=sr_1_2?keywords=La+Mer+The+Soft+Fluid+Foundation+SPF+20-1+oz.+Porcelain&amp;qid=1695259298&amp;sr=8-2", "https://www.amazon.com/Mer-Soft-Fluid-Long-Foundation/dp/B01M4MTXYQ/ref=sr_1_2?keywords=La+Mer+The+Soft+Fluid+Foundation+SPF+20-1+oz.+Porcelain&amp;qid=1695259298&amp;sr=8-2")</f>
        <v/>
      </c>
      <c r="F138" t="inlineStr">
        <is>
          <t>B01M4MTXYQ</t>
        </is>
      </c>
      <c r="G138">
        <f>IMAGE("https://prolisok-store.com/cdn/shop/products/41wgXKYLRyL._SL1000_300x.jpg?v=1674109756")</f>
        <v/>
      </c>
      <c r="H138">
        <f>IMAGE("https://m.media-amazon.com/images/I/41-HkHGOXiL._AC_UL320_.jpg")</f>
        <v/>
      </c>
      <c r="I138" t="inlineStr">
        <is>
          <t>49.99</t>
        </is>
      </c>
      <c r="J138" t="n">
        <v>94</v>
      </c>
      <c r="K138" s="3" t="inlineStr">
        <is>
          <t>88.04%</t>
        </is>
      </c>
      <c r="L138" t="n">
        <v>4.2</v>
      </c>
      <c r="M138" t="n">
        <v>43</v>
      </c>
      <c r="O138" t="inlineStr">
        <is>
          <t>InStock</t>
        </is>
      </c>
      <c r="P138" t="inlineStr">
        <is>
          <t>95.0</t>
        </is>
      </c>
      <c r="Q138" t="inlineStr">
        <is>
          <t>6709197045832</t>
        </is>
      </c>
    </row>
    <row r="139">
      <c r="A139" s="2">
        <f>HYPERLINK("https://prolisok-store.com/collections/premium/products/la-mer-soft-fluid-found-sf20-120", "https://prolisok-store.com/collections/premium/products/la-mer-soft-fluid-found-sf20-120")</f>
        <v/>
      </c>
      <c r="B139" s="2">
        <f>HYPERLINK("https://prolisok-store.com/products/la-mer-soft-fluid-found-sf20-120", "https://prolisok-store.com/products/la-mer-soft-fluid-found-sf20-120")</f>
        <v/>
      </c>
      <c r="C139" t="inlineStr">
        <is>
          <t>La Mer Soft Fluid Foundation SF20 120</t>
        </is>
      </c>
      <c r="D139" t="inlineStr">
        <is>
          <t>La Mer The Soft Fluid Long Wear Spf 20 Foundation for Women, 32 Beige, 1 Ounce</t>
        </is>
      </c>
      <c r="E139" s="2">
        <f>HYPERLINK("https://www.amazon.com/Mer-Soft-Fluid-Long-Foundation/dp/B01M4MTXYQ/ref=sr_1_2?keywords=La+Mer+Soft+Fluid+Foundation+SF20+120&amp;qid=1695259292&amp;sr=8-2", "https://www.amazon.com/Mer-Soft-Fluid-Long-Foundation/dp/B01M4MTXYQ/ref=sr_1_2?keywords=La+Mer+Soft+Fluid+Foundation+SF20+120&amp;qid=1695259292&amp;sr=8-2")</f>
        <v/>
      </c>
      <c r="F139" t="inlineStr">
        <is>
          <t>B01M4MTXYQ</t>
        </is>
      </c>
      <c r="G139">
        <f>IMAGE("https://prolisok-store.com/cdn/shop/products/41uQN86fQQL._SL1000_300x.jpg?v=1674030569")</f>
        <v/>
      </c>
      <c r="H139">
        <f>IMAGE("https://m.media-amazon.com/images/I/41-HkHGOXiL._AC_UL320_.jpg")</f>
        <v/>
      </c>
      <c r="I139" t="inlineStr">
        <is>
          <t>49.99</t>
        </is>
      </c>
      <c r="J139" t="n">
        <v>94</v>
      </c>
      <c r="K139" s="3" t="inlineStr">
        <is>
          <t>88.04%</t>
        </is>
      </c>
      <c r="L139" t="n">
        <v>4.2</v>
      </c>
      <c r="M139" t="n">
        <v>43</v>
      </c>
      <c r="O139" t="inlineStr">
        <is>
          <t>InStock</t>
        </is>
      </c>
      <c r="P139" t="inlineStr">
        <is>
          <t>undefined</t>
        </is>
      </c>
      <c r="Q139" t="inlineStr">
        <is>
          <t>6708763459656</t>
        </is>
      </c>
    </row>
    <row r="140">
      <c r="A140" s="2">
        <f>HYPERLINK("https://prolisok-store.com/collections/premium/products/diptyque-figuier-candle", "https://prolisok-store.com/collections/premium/products/diptyque-figuier-candle")</f>
        <v/>
      </c>
      <c r="B140" s="2">
        <f>HYPERLINK("https://prolisok-store.com/products/diptyque-figuier-candle", "https://prolisok-store.com/products/diptyque-figuier-candle")</f>
        <v/>
      </c>
      <c r="C140" t="inlineStr">
        <is>
          <t>Diptyque Figuier Candle</t>
        </is>
      </c>
      <c r="D140" t="inlineStr">
        <is>
          <t>Diptyque - Figuier Candle, Green, Standard</t>
        </is>
      </c>
      <c r="E140" s="2">
        <f>HYPERLINK("https://www.amazon.com/Diptyque-412808396931-Figuier-Candle/dp/B000S95R74/ref=sr_1_2?keywords=Diptyque+Figuier+Candle&amp;qid=1695259309&amp;sr=8-2", "https://www.amazon.com/Diptyque-412808396931-Figuier-Candle/dp/B000S95R74/ref=sr_1_2?keywords=Diptyque+Figuier+Candle&amp;qid=1695259309&amp;sr=8-2")</f>
        <v/>
      </c>
      <c r="F140" t="inlineStr">
        <is>
          <t>B000S95R74</t>
        </is>
      </c>
      <c r="G140">
        <f>IMAGE("https://prolisok-store.com/cdn/shop/files/61-a7DkEOyL._AC_SL1024_300x.jpg?v=1693226218")</f>
        <v/>
      </c>
      <c r="H140">
        <f>IMAGE("https://m.media-amazon.com/images/I/71FxUEWm5XL._AC_UL320_.jpg")</f>
        <v/>
      </c>
      <c r="I140" t="inlineStr">
        <is>
          <t>39.99</t>
        </is>
      </c>
      <c r="J140" t="n">
        <v>73.66</v>
      </c>
      <c r="K140" s="3" t="inlineStr">
        <is>
          <t>84.20%</t>
        </is>
      </c>
      <c r="L140" t="n">
        <v>4.2</v>
      </c>
      <c r="M140" t="n">
        <v>104</v>
      </c>
      <c r="O140" t="inlineStr">
        <is>
          <t>InStock</t>
        </is>
      </c>
      <c r="P140" t="inlineStr">
        <is>
          <t>undefined</t>
        </is>
      </c>
      <c r="Q140" t="inlineStr">
        <is>
          <t>6771912573000</t>
        </is>
      </c>
    </row>
    <row r="141">
      <c r="A141" s="2">
        <f>HYPERLINK("https://prolisok-store.com/collections/premium/products/lilash-purified-eyelash-physician-formulated-serum-for-fuller-longer-looking-eyelashes-natural-eyelash-enhancer-safe-for-sensitive-eyes-contact-lens-wearers-90-day-supply-2ml", "https://prolisok-store.com/collections/premium/products/lilash-purified-eyelash-physician-formulated-serum-for-fuller-longer-looking-eyelashes-natural-eyelash-enhancer-safe-for-sensitive-eyes-contact-lens-wearers-90-day-supply-2ml")</f>
        <v/>
      </c>
      <c r="B141" s="2">
        <f>HYPERLINK("https://prolisok-store.com/products/lilash-purified-eyelash-physician-formulated-serum-for-fuller-longer-looking-eyelashes-natural-eyelash-enhancer-safe-for-sensitive-eyes-contact-lens-wearers-90-day-supply-2ml", "https://prolisok-store.com/products/lilash-purified-eyelash-physician-formulated-serum-for-fuller-longer-looking-eyelashes-natural-eyelash-enhancer-safe-for-sensitive-eyes-contact-lens-wearers-90-day-supply-2ml")</f>
        <v/>
      </c>
      <c r="C141" t="inlineStr">
        <is>
          <t>LiLash Purified Eyelash Physician-Formulated Serum for Fuller &amp; Longer Looking Eyelashes (0.2 fl oz / 5.91 ml)</t>
        </is>
      </c>
      <c r="D141" t="inlineStr">
        <is>
          <t>LiLash Purified Eyelash Physician-Formulated Serum for Fuller &amp; Longer Looking Eyelashes | Natural Eyelash Enhancer Safe for Sensitive Eyes &amp; Contact Lens Wearers | 90-Day Supply (2mL)</t>
        </is>
      </c>
      <c r="E141" s="2">
        <f>HYPERLINK("https://www.amazon.com/Cosmetic-Alchemy-LiLash-Purified-Eyelash/dp/B07CVM7DLJ/ref=sr_1_1?keywords=LiLash+Purified+Eyelash+Physician-Formulated+Serum+for+Fuller&amp;qid=1695259292&amp;sr=8-1", "https://www.amazon.com/Cosmetic-Alchemy-LiLash-Purified-Eyelash/dp/B07CVM7DLJ/ref=sr_1_1?keywords=LiLash+Purified+Eyelash+Physician-Formulated+Serum+for+Fuller&amp;qid=1695259292&amp;sr=8-1")</f>
        <v/>
      </c>
      <c r="F141" t="inlineStr">
        <is>
          <t>B07CVM7DLJ</t>
        </is>
      </c>
      <c r="G141">
        <f>IMAGE("https://prolisok-store.com/cdn/shop/products/61HFfFbKf4L._SL1500_300x.jpg?v=1677603293")</f>
        <v/>
      </c>
      <c r="H141">
        <f>IMAGE("https://m.media-amazon.com/images/I/614z2MzHVML._AC_UL320_.jpg")</f>
        <v/>
      </c>
      <c r="I141" t="inlineStr">
        <is>
          <t>49.99</t>
        </is>
      </c>
      <c r="J141" t="n">
        <v>90</v>
      </c>
      <c r="K141" s="3" t="inlineStr">
        <is>
          <t>80.04%</t>
        </is>
      </c>
      <c r="L141" t="n">
        <v>4.5</v>
      </c>
      <c r="M141" t="n">
        <v>1348</v>
      </c>
      <c r="O141" t="inlineStr">
        <is>
          <t>InStock</t>
        </is>
      </c>
      <c r="P141" t="inlineStr">
        <is>
          <t>undefined</t>
        </is>
      </c>
      <c r="Q141" t="inlineStr">
        <is>
          <t>6729864314952</t>
        </is>
      </c>
    </row>
    <row r="142">
      <c r="A142" s="2">
        <f>HYPERLINK("https://prolisok-store.com/collections/premium/products/byredo-gypsy-water-eau-de-parfum-3-4-oz-100-ml", "https://prolisok-store.com/collections/premium/products/byredo-gypsy-water-eau-de-parfum-3-4-oz-100-ml")</f>
        <v/>
      </c>
      <c r="B142" s="2">
        <f>HYPERLINK("https://prolisok-store.com/products/byredo-gypsy-water-eau-de-parfum-3-4-oz-100-ml", "https://prolisok-store.com/products/byredo-gypsy-water-eau-de-parfum-3-4-oz-100-ml")</f>
        <v/>
      </c>
      <c r="C142" t="inlineStr">
        <is>
          <t>BYREDO Gypsy Water Eau de Parfume 3.4 Oz/100 ml</t>
        </is>
      </c>
      <c r="D142" t="inlineStr">
        <is>
          <t>BYREDO Gypsy Water Eau de Parfum 3.4 Oz/100 ml</t>
        </is>
      </c>
      <c r="E142" s="2">
        <f>HYPERLINK("https://www.amazon.com/BYREDO-Gypsy-Water-Eau-Parfum/dp/B07F649S6K/ref=sr_1_1?keywords=byredo+gypsy+water+eau+de+parfum+3.4+oz%2F100+ml&amp;qid=1695259301&amp;sr=8-1", "https://www.amazon.com/BYREDO-Gypsy-Water-Eau-Parfum/dp/B07F649S6K/ref=sr_1_1?keywords=byredo+gypsy+water+eau+de+parfum+3.4+oz%2F100+ml&amp;qid=1695259301&amp;sr=8-1")</f>
        <v/>
      </c>
      <c r="F142" t="inlineStr">
        <is>
          <t>B07F649S6K</t>
        </is>
      </c>
      <c r="G142">
        <f>IMAGE("https://prolisok-store.com/cdn/shop/products/BYREDOGypsyWater_300x.jpg?v=1683715739")</f>
        <v/>
      </c>
      <c r="H142">
        <f>IMAGE("https://m.media-amazon.com/images/I/41zG++frf+L._AC_UL320_.jpg")</f>
        <v/>
      </c>
      <c r="I142" t="inlineStr">
        <is>
          <t>59.99</t>
        </is>
      </c>
      <c r="J142" t="n">
        <v>107.5</v>
      </c>
      <c r="K142" s="3" t="inlineStr">
        <is>
          <t>79.20%</t>
        </is>
      </c>
      <c r="L142" t="n">
        <v>4</v>
      </c>
      <c r="M142" t="n">
        <v>57</v>
      </c>
      <c r="O142" t="inlineStr">
        <is>
          <t>InStock</t>
        </is>
      </c>
      <c r="P142" t="inlineStr">
        <is>
          <t>undefined</t>
        </is>
      </c>
      <c r="Q142" t="inlineStr">
        <is>
          <t>6758481395784</t>
        </is>
      </c>
    </row>
    <row r="143">
      <c r="A143" s="2">
        <f>HYPERLINK("https://prolisok-store.com/collections/premium/products/diptyque-roses-candle-6-5-oz", "https://prolisok-store.com/collections/premium/products/diptyque-roses-candle-6-5-oz")</f>
        <v/>
      </c>
      <c r="B143" s="2">
        <f>HYPERLINK("https://prolisok-store.com/products/diptyque-roses-candle-6-5-oz", "https://prolisok-store.com/products/diptyque-roses-candle-6-5-oz")</f>
        <v/>
      </c>
      <c r="C143" t="inlineStr">
        <is>
          <t>Diptyque Roses Candle-6.5 oz</t>
        </is>
      </c>
      <c r="D143" t="inlineStr">
        <is>
          <t>Diptyque Baies Candle-6.5 oz.</t>
        </is>
      </c>
      <c r="E143" s="2">
        <f>HYPERLINK("https://www.amazon.com/Diptyque-11046u-Baies-Candle-6-5-oz/dp/B00429KMH6/ref=sr_1_2?keywords=Diptyque+Roses+Candle-6.5+oz&amp;qid=1695259298&amp;sr=8-2", "https://www.amazon.com/Diptyque-11046u-Baies-Candle-6-5-oz/dp/B00429KMH6/ref=sr_1_2?keywords=Diptyque+Roses+Candle-6.5+oz&amp;qid=1695259298&amp;sr=8-2")</f>
        <v/>
      </c>
      <c r="F143" t="inlineStr">
        <is>
          <t>B00429KMH6</t>
        </is>
      </c>
      <c r="G143">
        <f>IMAGE("https://prolisok-store.com/cdn/shop/files/61qv-dg4gnL._SL1000_300x.jpg?v=1693226309")</f>
        <v/>
      </c>
      <c r="H143">
        <f>IMAGE("https://m.media-amazon.com/images/I/61rTaU19t8L._AC_UL320_.jpg")</f>
        <v/>
      </c>
      <c r="I143" t="inlineStr">
        <is>
          <t>39.99</t>
        </is>
      </c>
      <c r="J143" t="n">
        <v>71.54000000000001</v>
      </c>
      <c r="K143" s="3" t="inlineStr">
        <is>
          <t>78.89%</t>
        </is>
      </c>
      <c r="L143" t="n">
        <v>4.5</v>
      </c>
      <c r="M143" t="n">
        <v>492</v>
      </c>
      <c r="O143" t="inlineStr">
        <is>
          <t>InStock</t>
        </is>
      </c>
      <c r="P143" t="inlineStr">
        <is>
          <t>undefined</t>
        </is>
      </c>
      <c r="Q143" t="inlineStr">
        <is>
          <t>6771912605768</t>
        </is>
      </c>
    </row>
    <row r="144">
      <c r="A144" s="2">
        <f>HYPERLINK("https://prolisok-store.com/collections/premium/products/la-mer-soft-fluid-found-sf20-120", "https://prolisok-store.com/collections/premium/products/la-mer-soft-fluid-found-sf20-120")</f>
        <v/>
      </c>
      <c r="B144" s="2">
        <f>HYPERLINK("https://prolisok-store.com/products/la-mer-soft-fluid-found-sf20-120", "https://prolisok-store.com/products/la-mer-soft-fluid-found-sf20-120")</f>
        <v/>
      </c>
      <c r="C144" t="inlineStr">
        <is>
          <t>La Mer Soft Fluid Foundation SF20 120</t>
        </is>
      </c>
      <c r="D144" t="inlineStr">
        <is>
          <t>La Mer Soft Fluid Found SF20 120</t>
        </is>
      </c>
      <c r="E144" s="2">
        <f>HYPERLINK("https://www.amazon.com/Mer-Soft-Fluid-Long-Foundation/dp/B01M30X3VA/ref=sr_1_1?keywords=La+Mer+Soft+Fluid+Foundation+SF20+120&amp;qid=1695259292&amp;sr=8-1", "https://www.amazon.com/Mer-Soft-Fluid-Long-Foundation/dp/B01M30X3VA/ref=sr_1_1?keywords=La+Mer+Soft+Fluid+Foundation+SF20+120&amp;qid=1695259292&amp;sr=8-1")</f>
        <v/>
      </c>
      <c r="F144" t="inlineStr">
        <is>
          <t>B01M30X3VA</t>
        </is>
      </c>
      <c r="G144">
        <f>IMAGE("https://prolisok-store.com/cdn/shop/products/41uQN86fQQL._SL1000_300x.jpg?v=1674030569")</f>
        <v/>
      </c>
      <c r="H144">
        <f>IMAGE("https://m.media-amazon.com/images/I/41uQN86fQQL._AC_UL320_.jpg")</f>
        <v/>
      </c>
      <c r="I144" t="inlineStr">
        <is>
          <t>49.99</t>
        </is>
      </c>
      <c r="J144" t="n">
        <v>88.87</v>
      </c>
      <c r="K144" s="3" t="inlineStr">
        <is>
          <t>77.78%</t>
        </is>
      </c>
      <c r="L144" t="n">
        <v>4.7</v>
      </c>
      <c r="M144" t="n">
        <v>29</v>
      </c>
      <c r="O144" t="inlineStr">
        <is>
          <t>InStock</t>
        </is>
      </c>
      <c r="P144" t="inlineStr">
        <is>
          <t>undefined</t>
        </is>
      </c>
      <c r="Q144" t="inlineStr">
        <is>
          <t>6708763459656</t>
        </is>
      </c>
    </row>
    <row r="145">
      <c r="A145" s="2">
        <f>HYPERLINK("https://prolisok-store.com/collections/premium/products/facial-treatment-mask-10-pc", "https://prolisok-store.com/collections/premium/products/facial-treatment-mask-10-pc")</f>
        <v/>
      </c>
      <c r="B145" s="2">
        <f>HYPERLINK("https://prolisok-store.com/products/facial-treatment-mask-10-pc", "https://prolisok-store.com/products/facial-treatment-mask-10-pc")</f>
        <v/>
      </c>
      <c r="C145" t="inlineStr">
        <is>
          <t>SK-II Facial Treatment Mask/10 pc.</t>
        </is>
      </c>
      <c r="D145" t="inlineStr">
        <is>
          <t>SK-II FACIAL TREATMENT MASK (10 SHEET)</t>
        </is>
      </c>
      <c r="E145" s="2">
        <f>HYPERLINK("https://www.amazon.com/SK-II-FACIAL-TREATMENT-MASK-SHEET/dp/B01M6YV69X/ref=sr_1_3?keywords=SK-II+Facial+Treatment+Mask%2F10+pc.&amp;qid=1695259286&amp;sr=8-3", "https://www.amazon.com/SK-II-FACIAL-TREATMENT-MASK-SHEET/dp/B01M6YV69X/ref=sr_1_3?keywords=SK-II+Facial+Treatment+Mask%2F10+pc.&amp;qid=1695259286&amp;sr=8-3")</f>
        <v/>
      </c>
      <c r="F145" t="inlineStr">
        <is>
          <t>B01M6YV69X</t>
        </is>
      </c>
      <c r="G145">
        <f>IMAGE("https://prolisok-store.com/cdn/shop/products/41oxreg7WTL_300x.jpg?v=1673964595")</f>
        <v/>
      </c>
      <c r="H145">
        <f>IMAGE("https://m.media-amazon.com/images/I/61L4A4vc9aL._AC_UL320_.jpg")</f>
        <v/>
      </c>
      <c r="I145" t="inlineStr">
        <is>
          <t>49.99</t>
        </is>
      </c>
      <c r="J145" t="n">
        <v>88</v>
      </c>
      <c r="K145" s="3" t="inlineStr">
        <is>
          <t>76.04%</t>
        </is>
      </c>
      <c r="L145" t="n">
        <v>4.1</v>
      </c>
      <c r="M145" t="n">
        <v>79</v>
      </c>
      <c r="O145" t="inlineStr">
        <is>
          <t>InStock</t>
        </is>
      </c>
      <c r="P145" t="inlineStr">
        <is>
          <t>84.99</t>
        </is>
      </c>
      <c r="Q145" t="inlineStr">
        <is>
          <t>6708131070024</t>
        </is>
      </c>
    </row>
    <row r="146">
      <c r="A146" s="2">
        <f>HYPERLINK("https://prolisok-store.com/collections/premium/products/diptyque-roses-candle-6-5-oz", "https://prolisok-store.com/collections/premium/products/diptyque-roses-candle-6-5-oz")</f>
        <v/>
      </c>
      <c r="B146" s="2">
        <f>HYPERLINK("https://prolisok-store.com/products/diptyque-roses-candle-6-5-oz", "https://prolisok-store.com/products/diptyque-roses-candle-6-5-oz")</f>
        <v/>
      </c>
      <c r="C146" t="inlineStr">
        <is>
          <t>Diptyque Roses Candle-6.5 oz</t>
        </is>
      </c>
      <c r="D146" t="inlineStr">
        <is>
          <t>Diptyque Mimosa Candle-6.5 oz.,White,B0043TVXSC</t>
        </is>
      </c>
      <c r="E146" s="2">
        <f>HYPERLINK("https://www.amazon.com/Diptyque-B0043TVXSC-Mimosa-Candle-6-5-oz/dp/B0043TVXSC/ref=sr_1_10?keywords=Diptyque+Roses+Candle-6.5+oz&amp;qid=1695259298&amp;sr=8-10", "https://www.amazon.com/Diptyque-B0043TVXSC-Mimosa-Candle-6-5-oz/dp/B0043TVXSC/ref=sr_1_10?keywords=Diptyque+Roses+Candle-6.5+oz&amp;qid=1695259298&amp;sr=8-10")</f>
        <v/>
      </c>
      <c r="F146" t="inlineStr">
        <is>
          <t>B0043TVXSC</t>
        </is>
      </c>
      <c r="G146">
        <f>IMAGE("https://prolisok-store.com/cdn/shop/files/61qv-dg4gnL._SL1000_300x.jpg?v=1693226309")</f>
        <v/>
      </c>
      <c r="H146">
        <f>IMAGE("https://m.media-amazon.com/images/I/71d+fFuLJ0L._AC_UL320_.jpg")</f>
        <v/>
      </c>
      <c r="I146" t="inlineStr">
        <is>
          <t>39.99</t>
        </is>
      </c>
      <c r="J146" t="n">
        <v>70</v>
      </c>
      <c r="K146" s="3" t="inlineStr">
        <is>
          <t>75.04%</t>
        </is>
      </c>
      <c r="L146" t="n">
        <v>4.6</v>
      </c>
      <c r="M146" t="n">
        <v>69</v>
      </c>
      <c r="O146" t="inlineStr">
        <is>
          <t>InStock</t>
        </is>
      </c>
      <c r="P146" t="inlineStr">
        <is>
          <t>undefined</t>
        </is>
      </c>
      <c r="Q146" t="inlineStr">
        <is>
          <t>6771912605768</t>
        </is>
      </c>
    </row>
    <row r="147">
      <c r="A147" s="2">
        <f>HYPERLINK("https://prolisok-store.com/collections/premium/products/diptyque-tubereuse-candle-6-5-oz-white-scented", "https://prolisok-store.com/collections/premium/products/diptyque-tubereuse-candle-6-5-oz-white-scented")</f>
        <v/>
      </c>
      <c r="B147" s="2">
        <f>HYPERLINK("https://prolisok-store.com/products/diptyque-tubereuse-candle-6-5-oz-white-scented", "https://prolisok-store.com/products/diptyque-tubereuse-candle-6-5-oz-white-scented")</f>
        <v/>
      </c>
      <c r="C147" t="inlineStr">
        <is>
          <t>Diptyque Tubereuse Candle-6.5 oz., White , scented</t>
        </is>
      </c>
      <c r="D147" t="inlineStr">
        <is>
          <t>Diptyque Mimosa Candle-6.5 oz.,White,B0043TVXSC</t>
        </is>
      </c>
      <c r="E147" s="2">
        <f>HYPERLINK("https://www.amazon.com/Diptyque-B0043TVXSC-Mimosa-Candle-6-5-oz/dp/B0043TVXSC/ref=sr_1_2?keywords=Diptyque+Tubereuse+Candle-6.5+oz.%2C+White+%2C+scented&amp;qid=1695259304&amp;sr=8-2", "https://www.amazon.com/Diptyque-B0043TVXSC-Mimosa-Candle-6-5-oz/dp/B0043TVXSC/ref=sr_1_2?keywords=Diptyque+Tubereuse+Candle-6.5+oz.%2C+White+%2C+scented&amp;qid=1695259304&amp;sr=8-2")</f>
        <v/>
      </c>
      <c r="F147" t="inlineStr">
        <is>
          <t>B0043TVXSC</t>
        </is>
      </c>
      <c r="G147">
        <f>IMAGE("https://prolisok-store.com/cdn/shop/files/71Wg14IH_bL._AC_SL1500_300x.jpg?v=1689775553")</f>
        <v/>
      </c>
      <c r="H147">
        <f>IMAGE("https://m.media-amazon.com/images/I/71d+fFuLJ0L._AC_UL320_.jpg")</f>
        <v/>
      </c>
      <c r="I147" t="inlineStr">
        <is>
          <t>39.99</t>
        </is>
      </c>
      <c r="J147" t="n">
        <v>70</v>
      </c>
      <c r="K147" s="3" t="inlineStr">
        <is>
          <t>75.04%</t>
        </is>
      </c>
      <c r="L147" t="n">
        <v>4.6</v>
      </c>
      <c r="M147" t="n">
        <v>69</v>
      </c>
      <c r="O147" t="inlineStr">
        <is>
          <t>InStock</t>
        </is>
      </c>
      <c r="P147" t="inlineStr">
        <is>
          <t>undefined</t>
        </is>
      </c>
      <c r="Q147" t="inlineStr">
        <is>
          <t>6766102184008</t>
        </is>
      </c>
    </row>
    <row r="148">
      <c r="A148" s="2">
        <f>HYPERLINK("https://prolisok-store.com/collections/premium/products/diptyque-roses-candle-6-5-oz", "https://prolisok-store.com/collections/premium/products/diptyque-roses-candle-6-5-oz")</f>
        <v/>
      </c>
      <c r="B148" s="2">
        <f>HYPERLINK("https://prolisok-store.com/products/diptyque-roses-candle-6-5-oz", "https://prolisok-store.com/products/diptyque-roses-candle-6-5-oz")</f>
        <v/>
      </c>
      <c r="C148" t="inlineStr">
        <is>
          <t>Diptyque Roses Candle-6.5 oz</t>
        </is>
      </c>
      <c r="D148" t="inlineStr">
        <is>
          <t>Diptyque Roses Scented Candle Candle For Unisex 6.5 oz</t>
        </is>
      </c>
      <c r="E148" s="2">
        <f>HYPERLINK("https://www.amazon.com/Diptyque-Roses-Scented-Candle-Unisex/dp/B077B8TQMB/ref=sr_1_5?keywords=Diptyque+Roses+Candle-6.5+oz&amp;qid=1695259298&amp;sr=8-5", "https://www.amazon.com/Diptyque-Roses-Scented-Candle-Unisex/dp/B077B8TQMB/ref=sr_1_5?keywords=Diptyque+Roses+Candle-6.5+oz&amp;qid=1695259298&amp;sr=8-5")</f>
        <v/>
      </c>
      <c r="F148" t="inlineStr">
        <is>
          <t>B077B8TQMB</t>
        </is>
      </c>
      <c r="G148">
        <f>IMAGE("https://prolisok-store.com/cdn/shop/files/61qv-dg4gnL._SL1000_300x.jpg?v=1693226309")</f>
        <v/>
      </c>
      <c r="H148">
        <f>IMAGE("https://m.media-amazon.com/images/I/51Y6riD658L._AC_UL320_.jpg")</f>
        <v/>
      </c>
      <c r="I148" t="inlineStr">
        <is>
          <t>39.99</t>
        </is>
      </c>
      <c r="J148" t="n">
        <v>70</v>
      </c>
      <c r="K148" s="3" t="inlineStr">
        <is>
          <t>75.04%</t>
        </is>
      </c>
      <c r="L148" t="n">
        <v>5</v>
      </c>
      <c r="M148" t="n">
        <v>9</v>
      </c>
      <c r="O148" t="inlineStr">
        <is>
          <t>InStock</t>
        </is>
      </c>
      <c r="P148" t="inlineStr">
        <is>
          <t>undefined</t>
        </is>
      </c>
      <c r="Q148" t="inlineStr">
        <is>
          <t>6771912605768</t>
        </is>
      </c>
    </row>
    <row r="149">
      <c r="A149" s="2">
        <f>HYPERLINK("https://prolisok-store.com/collections/premium/products/diptyque-mimosa-candle-6-5-oz-white", "https://prolisok-store.com/collections/premium/products/diptyque-mimosa-candle-6-5-oz-white")</f>
        <v/>
      </c>
      <c r="B149" s="2">
        <f>HYPERLINK("https://prolisok-store.com/products/diptyque-mimosa-candle-6-5-oz-white", "https://prolisok-store.com/products/diptyque-mimosa-candle-6-5-oz-white")</f>
        <v/>
      </c>
      <c r="C149" t="inlineStr">
        <is>
          <t>Diptyque Mimosa Candle-6.5 oz.,White</t>
        </is>
      </c>
      <c r="D149" t="inlineStr">
        <is>
          <t>Diptyque Mimosa Candle-6.5 oz.,White,B0043TVXSC</t>
        </is>
      </c>
      <c r="E149" s="2">
        <f>HYPERLINK("https://www.amazon.com/Diptyque-B0043TVXSC-Mimosa-Candle-6-5-oz/dp/B0043TVXSC/ref=sr_1_1?keywords=Diptyque+Mimosa+Candle-6.5+oz.%2CWhite&amp;qid=1695259299&amp;sr=8-1", "https://www.amazon.com/Diptyque-B0043TVXSC-Mimosa-Candle-6-5-oz/dp/B0043TVXSC/ref=sr_1_1?keywords=Diptyque+Mimosa+Candle-6.5+oz.%2CWhite&amp;qid=1695259299&amp;sr=8-1")</f>
        <v/>
      </c>
      <c r="F149" t="inlineStr">
        <is>
          <t>B0043TVXSC</t>
        </is>
      </c>
      <c r="G149">
        <f>IMAGE("https://prolisok-store.com/cdn/shop/files/71d_fFuLJ0L._SL1500_300x.jpg?v=1689776060")</f>
        <v/>
      </c>
      <c r="H149">
        <f>IMAGE("https://m.media-amazon.com/images/I/71d+fFuLJ0L._AC_UL320_.jpg")</f>
        <v/>
      </c>
      <c r="I149" t="inlineStr">
        <is>
          <t>39.99</t>
        </is>
      </c>
      <c r="J149" t="n">
        <v>70</v>
      </c>
      <c r="K149" s="3" t="inlineStr">
        <is>
          <t>75.04%</t>
        </is>
      </c>
      <c r="L149" t="n">
        <v>4.6</v>
      </c>
      <c r="M149" t="n">
        <v>69</v>
      </c>
      <c r="O149" t="inlineStr">
        <is>
          <t>InStock</t>
        </is>
      </c>
      <c r="P149" t="inlineStr">
        <is>
          <t>undefined</t>
        </is>
      </c>
      <c r="Q149" t="inlineStr">
        <is>
          <t>6766102478920</t>
        </is>
      </c>
    </row>
    <row r="150">
      <c r="A150" s="2">
        <f>HYPERLINK("https://prolisok-store.com/collections/premium/products/elixir-superieur-enrich-wrinkle-cream-l-22g", "https://prolisok-store.com/collections/premium/products/elixir-superieur-enrich-wrinkle-cream-l-22g")</f>
        <v/>
      </c>
      <c r="B150" s="2">
        <f>HYPERLINK("https://prolisok-store.com/products/elixir-superieur-enrich-wrinkle-cream-l-22g", "https://prolisok-store.com/products/elixir-superieur-enrich-wrinkle-cream-l-22g")</f>
        <v/>
      </c>
      <c r="C150" t="inlineStr">
        <is>
          <t>ELIXIR SUPERIEUR Enriched Wrinkle Cream L 22g</t>
        </is>
      </c>
      <c r="D150" t="inlineStr">
        <is>
          <t>ELIXIR SUPERIEUR Enrich Wrinkle Cream L 22g</t>
        </is>
      </c>
      <c r="E150" s="2">
        <f>HYPERLINK("https://www.amazon.com/ELIXIR-SUPERIEUR-Superieur-Enriched-Wrinkle/dp/B07CPWRYKB/ref=sr_1_1?keywords=ELIXIR+SUPERIEUR+Enriched+Wrinkle+Cream+L+22g&amp;qid=1695259304&amp;sr=8-1", "https://www.amazon.com/ELIXIR-SUPERIEUR-Superieur-Enriched-Wrinkle/dp/B07CPWRYKB/ref=sr_1_1?keywords=ELIXIR+SUPERIEUR+Enriched+Wrinkle+Cream+L+22g&amp;qid=1695259304&amp;sr=8-1")</f>
        <v/>
      </c>
      <c r="F150" t="inlineStr">
        <is>
          <t>B07CPWRYKB</t>
        </is>
      </c>
      <c r="G150">
        <f>IMAGE("https://prolisok-store.com/cdn/shop/files/61mKag_0VYL._SL1500_300x.jpg?v=1692865233")</f>
        <v/>
      </c>
      <c r="H150">
        <f>IMAGE("https://m.media-amazon.com/images/I/61mKag+0VYL._AC_UL320_.jpg")</f>
        <v/>
      </c>
      <c r="I150" t="inlineStr">
        <is>
          <t>39.99</t>
        </is>
      </c>
      <c r="J150" t="n">
        <v>69.98999999999999</v>
      </c>
      <c r="K150" s="3" t="inlineStr">
        <is>
          <t>75.02%</t>
        </is>
      </c>
      <c r="L150" t="n">
        <v>4.2</v>
      </c>
      <c r="M150" t="n">
        <v>444</v>
      </c>
      <c r="O150" t="inlineStr">
        <is>
          <t>InStock</t>
        </is>
      </c>
      <c r="P150" t="inlineStr">
        <is>
          <t>undefined</t>
        </is>
      </c>
      <c r="Q150" t="inlineStr">
        <is>
          <t>6771755614280</t>
        </is>
      </c>
    </row>
    <row r="151">
      <c r="A151" s="2">
        <f>HYPERLINK("https://prolisok-store.com/collections/premium/products/diptyque-roses-candle-6-5-oz", "https://prolisok-store.com/collections/premium/products/diptyque-roses-candle-6-5-oz")</f>
        <v/>
      </c>
      <c r="B151" s="2">
        <f>HYPERLINK("https://prolisok-store.com/products/diptyque-roses-candle-6-5-oz", "https://prolisok-store.com/products/diptyque-roses-candle-6-5-oz")</f>
        <v/>
      </c>
      <c r="C151" t="inlineStr">
        <is>
          <t>Diptyque Roses Candle-6.5 oz</t>
        </is>
      </c>
      <c r="D151" t="inlineStr">
        <is>
          <t>Diptyque Roses Candle-6.5 oz. scented</t>
        </is>
      </c>
      <c r="E151" s="2">
        <f>HYPERLINK("https://www.amazon.com/Diptyque-11032u-Roses-Candle-6-5-oz/dp/B001DTSDEM/ref=sr_1_1?keywords=Diptyque+Roses+Candle-6.5+oz&amp;qid=1695259298&amp;sr=8-1", "https://www.amazon.com/Diptyque-11032u-Roses-Candle-6-5-oz/dp/B001DTSDEM/ref=sr_1_1?keywords=Diptyque+Roses+Candle-6.5+oz&amp;qid=1695259298&amp;sr=8-1")</f>
        <v/>
      </c>
      <c r="F151" t="inlineStr">
        <is>
          <t>B001DTSDEM</t>
        </is>
      </c>
      <c r="G151">
        <f>IMAGE("https://prolisok-store.com/cdn/shop/files/61qv-dg4gnL._SL1000_300x.jpg?v=1693226309")</f>
        <v/>
      </c>
      <c r="H151">
        <f>IMAGE("https://m.media-amazon.com/images/I/61qv-dg4gnL._AC_UL320_.jpg")</f>
        <v/>
      </c>
      <c r="I151" t="inlineStr">
        <is>
          <t>39.99</t>
        </is>
      </c>
      <c r="J151" t="n">
        <v>69.97</v>
      </c>
      <c r="K151" s="3" t="inlineStr">
        <is>
          <t>74.97%</t>
        </is>
      </c>
      <c r="L151" t="n">
        <v>4.6</v>
      </c>
      <c r="M151" t="n">
        <v>194</v>
      </c>
      <c r="O151" t="inlineStr">
        <is>
          <t>InStock</t>
        </is>
      </c>
      <c r="P151" t="inlineStr">
        <is>
          <t>undefined</t>
        </is>
      </c>
      <c r="Q151" t="inlineStr">
        <is>
          <t>6771912605768</t>
        </is>
      </c>
    </row>
    <row r="152">
      <c r="A152" s="2">
        <f>HYPERLINK("https://prolisok-store.com/collections/premium/products/diptyque-roses-candle-6-5-oz", "https://prolisok-store.com/collections/premium/products/diptyque-roses-candle-6-5-oz")</f>
        <v/>
      </c>
      <c r="B152" s="2">
        <f>HYPERLINK("https://prolisok-store.com/products/diptyque-roses-candle-6-5-oz", "https://prolisok-store.com/products/diptyque-roses-candle-6-5-oz")</f>
        <v/>
      </c>
      <c r="C152" t="inlineStr">
        <is>
          <t>Diptyque Roses Candle-6.5 oz</t>
        </is>
      </c>
      <c r="D152" t="inlineStr">
        <is>
          <t>Diptyque Feuille de Lavande Candle-6.5 oz.,Lavender,I0088712</t>
        </is>
      </c>
      <c r="E152" s="2">
        <f>HYPERLINK("https://www.amazon.com/Diptyque-Feuille-Lavande-Candle-6-5-oz/dp/B0043TSH1S/ref=sr_1_6?keywords=Diptyque+Roses+Candle-6.5+oz&amp;qid=1695259298&amp;sr=8-6", "https://www.amazon.com/Diptyque-Feuille-Lavande-Candle-6-5-oz/dp/B0043TSH1S/ref=sr_1_6?keywords=Diptyque+Roses+Candle-6.5+oz&amp;qid=1695259298&amp;sr=8-6")</f>
        <v/>
      </c>
      <c r="F152" t="inlineStr">
        <is>
          <t>B0043TSH1S</t>
        </is>
      </c>
      <c r="G152">
        <f>IMAGE("https://prolisok-store.com/cdn/shop/files/61qv-dg4gnL._SL1000_300x.jpg?v=1693226309")</f>
        <v/>
      </c>
      <c r="H152">
        <f>IMAGE("https://m.media-amazon.com/images/I/71ypEJNWQAL._AC_UL320_.jpg")</f>
        <v/>
      </c>
      <c r="I152" t="inlineStr">
        <is>
          <t>39.99</t>
        </is>
      </c>
      <c r="J152" t="n">
        <v>69.75</v>
      </c>
      <c r="K152" s="3" t="inlineStr">
        <is>
          <t>74.42%</t>
        </is>
      </c>
      <c r="L152" t="n">
        <v>4.2</v>
      </c>
      <c r="M152" t="n">
        <v>50</v>
      </c>
      <c r="O152" t="inlineStr">
        <is>
          <t>InStock</t>
        </is>
      </c>
      <c r="P152" t="inlineStr">
        <is>
          <t>undefined</t>
        </is>
      </c>
      <c r="Q152" t="inlineStr">
        <is>
          <t>6771912605768</t>
        </is>
      </c>
    </row>
    <row r="153">
      <c r="A153" s="2">
        <f>HYPERLINK("https://prolisok-store.com/collections/premium/products/kilian-eau-de-parfum-refillable-spray-1-7-oz", "https://prolisok-store.com/collections/premium/products/kilian-eau-de-parfum-refillable-spray-1-7-oz")</f>
        <v/>
      </c>
      <c r="B153" s="2">
        <f>HYPERLINK("https://prolisok-store.com/products/kilian-eau-de-parfum-refillable-spray-1-7-oz", "https://prolisok-store.com/products/kilian-eau-de-parfum-refillable-spray-1-7-oz")</f>
        <v/>
      </c>
      <c r="C153" t="inlineStr">
        <is>
          <t>Kilian Eau De Parfum Refillable Spray 1.7 oz</t>
        </is>
      </c>
      <c r="D153" t="inlineStr">
        <is>
          <t>Kilian Eau De Parfum Refillable Spray 1.7 oz</t>
        </is>
      </c>
      <c r="E153" s="2">
        <f>HYPERLINK("https://www.amazon.com/Love-Kilian-Parfum-Spray-Women/dp/B08P5QCMZ8/ref=sr_1_1?keywords=Kilian+Eau+De+Parfum+Refillable+Spray+1.7+oz&amp;qid=1695259299&amp;sr=8-1", "https://www.amazon.com/Love-Kilian-Parfum-Spray-Women/dp/B08P5QCMZ8/ref=sr_1_1?keywords=Kilian+Eau+De+Parfum+Refillable+Spray+1.7+oz&amp;qid=1695259299&amp;sr=8-1")</f>
        <v/>
      </c>
      <c r="F153" t="inlineStr">
        <is>
          <t>B08P5QCMZ8</t>
        </is>
      </c>
      <c r="G153">
        <f>IMAGE("https://prolisok-store.com/cdn/shop/files/41qHQCLW06L._SL1000_300x.jpg?v=1690803520")</f>
        <v/>
      </c>
      <c r="H153">
        <f>IMAGE("https://m.media-amazon.com/images/I/41qHQCLW06L._AC_UL320_.jpg")</f>
        <v/>
      </c>
      <c r="I153" t="inlineStr">
        <is>
          <t>119.99</t>
        </is>
      </c>
      <c r="J153" t="n">
        <v>208.81</v>
      </c>
      <c r="K153" s="3" t="inlineStr">
        <is>
          <t>74.02%</t>
        </is>
      </c>
      <c r="L153" t="n">
        <v>4.1</v>
      </c>
      <c r="M153" t="n">
        <v>111</v>
      </c>
      <c r="O153" t="inlineStr">
        <is>
          <t>InStock</t>
        </is>
      </c>
      <c r="P153" t="inlineStr">
        <is>
          <t>undefined</t>
        </is>
      </c>
      <c r="Q153" t="inlineStr">
        <is>
          <t>6769900224584</t>
        </is>
      </c>
    </row>
    <row r="154">
      <c r="A154" s="2">
        <f>HYPERLINK("https://prolisok-store.com/collections/premium/products/elizabeth-arden-capsules-serum", "https://prolisok-store.com/collections/premium/products/elizabeth-arden-capsules-serum")</f>
        <v/>
      </c>
      <c r="B154" s="2">
        <f>HYPERLINK("https://prolisok-store.com/products/elizabeth-arden-capsules-serum", "https://prolisok-store.com/products/elizabeth-arden-capsules-serum")</f>
        <v/>
      </c>
      <c r="C154" t="inlineStr">
        <is>
          <t>Elizabeth Arden Capsules Serum</t>
        </is>
      </c>
      <c r="D154" t="inlineStr">
        <is>
          <t>Elizabeth Arden 5 Piece Ceramide Capsule Serum Skin Care Set, Twist &amp; Lift Ceramide Capsules, Face Lift and Firm, Anti Aging Serum, 5 Piece Skin Care Set</t>
        </is>
      </c>
      <c r="E154" s="2">
        <f>HYPERLINK("https://www.amazon.com/Elizabeth-Arden-Ceramide-Capsules-Skincare/dp/B09BP4ZQMX/ref=sr_1_8?keywords=Elizabeth+Arden+Capsules+Serum&amp;qid=1695259297&amp;sr=8-8", "https://www.amazon.com/Elizabeth-Arden-Ceramide-Capsules-Skincare/dp/B09BP4ZQMX/ref=sr_1_8?keywords=Elizabeth+Arden+Capsules+Serum&amp;qid=1695259297&amp;sr=8-8")</f>
        <v/>
      </c>
      <c r="F154" t="inlineStr">
        <is>
          <t>B09BP4ZQMX</t>
        </is>
      </c>
      <c r="G154">
        <f>IMAGE("https://prolisok-store.com/cdn/shop/files/71roxz2sB-L._SL1500_300x.jpg?v=1683266294")</f>
        <v/>
      </c>
      <c r="H154">
        <f>IMAGE("https://m.media-amazon.com/images/I/61mIX4sU8HL._AC_UL320_.jpg")</f>
        <v/>
      </c>
      <c r="I154" t="inlineStr">
        <is>
          <t>59.99</t>
        </is>
      </c>
      <c r="J154" t="n">
        <v>104</v>
      </c>
      <c r="K154" s="3" t="inlineStr">
        <is>
          <t>73.36%</t>
        </is>
      </c>
      <c r="L154" t="n">
        <v>4.7</v>
      </c>
      <c r="M154" t="n">
        <v>21</v>
      </c>
      <c r="O154" t="inlineStr">
        <is>
          <t>InStock</t>
        </is>
      </c>
      <c r="P154" t="inlineStr">
        <is>
          <t>undefined</t>
        </is>
      </c>
      <c r="Q154" t="inlineStr">
        <is>
          <t>6759943700552</t>
        </is>
      </c>
    </row>
    <row r="155">
      <c r="A155" s="2">
        <f>HYPERLINK("https://prolisok-store.com/collections/premium/products/dabalash-eye-lash-enhancer", "https://prolisok-store.com/collections/premium/products/dabalash-eye-lash-enhancer")</f>
        <v/>
      </c>
      <c r="B155" s="2">
        <f>HYPERLINK("https://prolisok-store.com/products/dabalash-eye-lash-enhancer", "https://prolisok-store.com/products/dabalash-eye-lash-enhancer")</f>
        <v/>
      </c>
      <c r="C155" t="inlineStr">
        <is>
          <t>Dabalash Eye Lash Enhancer</t>
        </is>
      </c>
      <c r="D155" t="inlineStr">
        <is>
          <t>DabaLash Professional Eyelash Enhancer 0.18FL OZ/5.32 ml</t>
        </is>
      </c>
      <c r="E155" s="2">
        <f>HYPERLINK("https://www.amazon.com/DabaLash-Professional-Eyelash-Enhancer-0-18FL/dp/B07XRPJS1T/ref=sr_1_3?keywords=Dabalash+Eye+Lash+Enhancer&amp;qid=1695259291&amp;sr=8-3", "https://www.amazon.com/DabaLash-Professional-Eyelash-Enhancer-0-18FL/dp/B07XRPJS1T/ref=sr_1_3?keywords=Dabalash+Eye+Lash+Enhancer&amp;qid=1695259291&amp;sr=8-3")</f>
        <v/>
      </c>
      <c r="F155" t="inlineStr">
        <is>
          <t>B07XRPJS1T</t>
        </is>
      </c>
      <c r="G155">
        <f>IMAGE("https://prolisok-store.com/cdn/shop/files/71dLRMnmysL._AC_SL1500_300x.jpg?v=1692864868")</f>
        <v/>
      </c>
      <c r="H155">
        <f>IMAGE("https://m.media-amazon.com/images/I/512M+GxCY5L._AC_UL320_.jpg")</f>
        <v/>
      </c>
      <c r="I155" t="inlineStr">
        <is>
          <t>19.99</t>
        </is>
      </c>
      <c r="J155" t="n">
        <v>34.4</v>
      </c>
      <c r="K155" s="3" t="inlineStr">
        <is>
          <t>72.09%</t>
        </is>
      </c>
      <c r="L155" t="n">
        <v>5</v>
      </c>
      <c r="M155" t="n">
        <v>1</v>
      </c>
      <c r="O155" t="inlineStr">
        <is>
          <t>InStock</t>
        </is>
      </c>
      <c r="P155" t="inlineStr">
        <is>
          <t>undefined</t>
        </is>
      </c>
      <c r="Q155" t="inlineStr">
        <is>
          <t>6771755581512</t>
        </is>
      </c>
    </row>
    <row r="156">
      <c r="A156" s="2">
        <f>HYPERLINK("https://prolisok-store.com/collections/premium/products/la-mer-the-moisturizing-soft-lotion", "https://prolisok-store.com/collections/premium/products/la-mer-the-moisturizing-soft-lotion")</f>
        <v/>
      </c>
      <c r="B156" s="2">
        <f>HYPERLINK("https://prolisok-store.com/products/la-mer-the-moisturizing-soft-lotion", "https://prolisok-store.com/products/la-mer-the-moisturizing-soft-lotion")</f>
        <v/>
      </c>
      <c r="C156" t="inlineStr">
        <is>
          <t>La Mer The Moisturizing Soft Lotion</t>
        </is>
      </c>
      <c r="D156" t="inlineStr">
        <is>
          <t>La Mer The Moisturizing Soft Lotion</t>
        </is>
      </c>
      <c r="E156" s="2">
        <f>HYPERLINK("https://www.amazon.com/Mer-Moisturizing-Soft-Lotion/dp/B01HTZJWNY/ref=sr_1_1?keywords=La+Mer+The+Moisturizing+Soft+Lotion&amp;qid=1695259290&amp;sr=8-1", "https://www.amazon.com/Mer-Moisturizing-Soft-Lotion/dp/B01HTZJWNY/ref=sr_1_1?keywords=La+Mer+The+Moisturizing+Soft+Lotion&amp;qid=1695259290&amp;sr=8-1")</f>
        <v/>
      </c>
      <c r="F156" t="inlineStr">
        <is>
          <t>B01HTZJWNY</t>
        </is>
      </c>
      <c r="G156">
        <f>IMAGE("https://prolisok-store.com/cdn/shop/products/61uLYCnMy9L._SL1500_300x.jpg?v=1667997816")</f>
        <v/>
      </c>
      <c r="H156">
        <f>IMAGE("https://m.media-amazon.com/images/I/519r-aIFaHL._AC_UL320_.jpg")</f>
        <v/>
      </c>
      <c r="I156" t="inlineStr">
        <is>
          <t>69.99</t>
        </is>
      </c>
      <c r="J156" t="n">
        <v>120</v>
      </c>
      <c r="K156" s="3" t="inlineStr">
        <is>
          <t>71.45%</t>
        </is>
      </c>
      <c r="L156" t="n">
        <v>3.8</v>
      </c>
      <c r="M156" t="n">
        <v>45</v>
      </c>
      <c r="O156" t="inlineStr">
        <is>
          <t>InStock</t>
        </is>
      </c>
      <c r="P156" t="inlineStr">
        <is>
          <t>undefined</t>
        </is>
      </c>
      <c r="Q156" t="inlineStr">
        <is>
          <t>6674655084616</t>
        </is>
      </c>
    </row>
    <row r="157">
      <c r="A157" s="2">
        <f>HYPERLINK("https://prolisok-store.com/collections/premium/products/diptyque-eau-des-sens-de-toilette-size-100-ml-3-4-ounce", "https://prolisok-store.com/collections/premium/products/diptyque-eau-des-sens-de-toilette-size-100-ml-3-4-ounce")</f>
        <v/>
      </c>
      <c r="B157" s="2">
        <f>HYPERLINK("https://prolisok-store.com/products/diptyque-eau-des-sens-de-toilette-size-100-ml-3-4-ounce", "https://prolisok-store.com/products/diptyque-eau-des-sens-de-toilette-size-100-ml-3-4-ounce")</f>
        <v/>
      </c>
      <c r="C157" t="inlineStr">
        <is>
          <t>Diptyque Eau des Sens De Toilette, Size 100 ml, 3.4 Ounce</t>
        </is>
      </c>
      <c r="D157" t="inlineStr">
        <is>
          <t>Diptyque Eau des Sens De Toilette, Size 100 ml, 3.4 Ounce</t>
        </is>
      </c>
      <c r="E157" s="2">
        <f>HYPERLINK("https://www.amazon.com/Diptyque-Eau-Sens-Toilette-Size/dp/B01DAPBON8/ref=sr_1_1?keywords=Diptyque+Eau+des+Sens+De+Toilette%2C+Size+100+ml%2C+3.4+Ounce&amp;qid=1695259293&amp;sr=8-1", "https://www.amazon.com/Diptyque-Eau-Sens-Toilette-Size/dp/B01DAPBON8/ref=sr_1_1?keywords=Diptyque+Eau+des+Sens+De+Toilette%2C+Size+100+ml%2C+3.4+Ounce&amp;qid=1695259293&amp;sr=8-1")</f>
        <v/>
      </c>
      <c r="F157" t="inlineStr">
        <is>
          <t>B01DAPBON8</t>
        </is>
      </c>
      <c r="G157">
        <f>IMAGE("https://prolisok-store.com/cdn/shop/files/81tKY4SV1HL._SL1500_300x.jpg?v=1686659548")</f>
        <v/>
      </c>
      <c r="H157">
        <f>IMAGE("https://m.media-amazon.com/images/I/81tKY4SV1HL._AC_UL320_.jpg")</f>
        <v/>
      </c>
      <c r="I157" t="inlineStr">
        <is>
          <t>69.99</t>
        </is>
      </c>
      <c r="J157" t="n">
        <v>120</v>
      </c>
      <c r="K157" s="3" t="inlineStr">
        <is>
          <t>71.45%</t>
        </is>
      </c>
      <c r="L157" t="n">
        <v>4</v>
      </c>
      <c r="M157" t="n">
        <v>72</v>
      </c>
      <c r="O157" t="inlineStr">
        <is>
          <t>InStock</t>
        </is>
      </c>
      <c r="P157" t="inlineStr">
        <is>
          <t>133.0</t>
        </is>
      </c>
      <c r="Q157" t="inlineStr">
        <is>
          <t>6763236786248</t>
        </is>
      </c>
    </row>
    <row r="158">
      <c r="A158" s="2">
        <f>HYPERLINK("https://prolisok-store.com/collections/premium/products/by-kilian-good-girl-gone-bad-1-7-fl-oz", "https://prolisok-store.com/collections/premium/products/by-kilian-good-girl-gone-bad-1-7-fl-oz")</f>
        <v/>
      </c>
      <c r="B158" s="2">
        <f>HYPERLINK("https://prolisok-store.com/products/by-kilian-good-girl-gone-bad-1-7-fl-oz", "https://prolisok-store.com/products/by-kilian-good-girl-gone-bad-1-7-fl-oz")</f>
        <v/>
      </c>
      <c r="C158" t="inlineStr">
        <is>
          <t>By Kilian - Good Girl Gone Bad - 1.7 fl. Oz</t>
        </is>
      </c>
      <c r="D158" t="inlineStr">
        <is>
          <t>Kilian Kilian Good girl gone bad by kilian for women - 1.7 Ounce edp spray (refillable), 1.7 Ounce</t>
        </is>
      </c>
      <c r="E158" s="2">
        <f>HYPERLINK("https://www.amazon.com/Kilian-Good-girl-kilian-women/dp/B00A5AKUH8/ref=sr_1_3?keywords=By+Kilian+-+Good+Girl+Gone+Bad+-+1.7+fl.+Oz&amp;qid=1695259301&amp;sr=8-3", "https://www.amazon.com/Kilian-Good-girl-kilian-women/dp/B00A5AKUH8/ref=sr_1_3?keywords=By+Kilian+-+Good+Girl+Gone+Bad+-+1.7+fl.+Oz&amp;qid=1695259301&amp;sr=8-3")</f>
        <v/>
      </c>
      <c r="F158" t="inlineStr">
        <is>
          <t>B00A5AKUH8</t>
        </is>
      </c>
      <c r="G158">
        <f>IMAGE("https://prolisok-store.com/cdn/shop/files/41o-yGm4K6L_300x.jpg?v=1686655714")</f>
        <v/>
      </c>
      <c r="H158">
        <f>IMAGE("https://m.media-amazon.com/images/I/51J+vTn3YkL._AC_UL320_.jpg")</f>
        <v/>
      </c>
      <c r="I158" t="inlineStr">
        <is>
          <t>114.99</t>
        </is>
      </c>
      <c r="J158" t="n">
        <v>195.99</v>
      </c>
      <c r="K158" s="3" t="inlineStr">
        <is>
          <t>70.44%</t>
        </is>
      </c>
      <c r="L158" t="n">
        <v>4</v>
      </c>
      <c r="M158" t="n">
        <v>24</v>
      </c>
      <c r="O158" t="inlineStr">
        <is>
          <t>InStock</t>
        </is>
      </c>
      <c r="P158" t="inlineStr">
        <is>
          <t>undefined</t>
        </is>
      </c>
      <c r="Q158" t="inlineStr">
        <is>
          <t>6763235868744</t>
        </is>
      </c>
    </row>
    <row r="159">
      <c r="A159" s="2">
        <f>HYPERLINK("https://prolisok-store.com/collections/premium/products/olaplex-no-6-bond-smoother-3-3-fl-oz", "https://prolisok-store.com/collections/premium/products/olaplex-no-6-bond-smoother-3-3-fl-oz")</f>
        <v/>
      </c>
      <c r="B159" s="2">
        <f>HYPERLINK("https://prolisok-store.com/products/olaplex-no-6-bond-smoother-3-3-fl-oz", "https://prolisok-store.com/products/olaplex-no-6-bond-smoother-3-3-fl-oz")</f>
        <v/>
      </c>
      <c r="C159" t="inlineStr">
        <is>
          <t>Olaplex No 6 Bond Smoother, 3.3 Fl Oz</t>
        </is>
      </c>
      <c r="D159" t="inlineStr">
        <is>
          <t>Olaplex No 6 Bond Smoother, 3.3 Fl Oz</t>
        </is>
      </c>
      <c r="E159" s="2">
        <f>HYPERLINK("https://www.amazon.com/Olaplex-Bond-Smoother-3-3-Fl/dp/B07PW4MTHV/ref=sr_1_5?keywords=Olaplex+No+6+Bond+Smoother%2C+3.3+Fl+Oz&amp;qid=1695259291&amp;sr=8-5", "https://www.amazon.com/Olaplex-Bond-Smoother-3-3-Fl/dp/B07PW4MTHV/ref=sr_1_5?keywords=Olaplex+No+6+Bond+Smoother%2C+3.3+Fl+Oz&amp;qid=1695259291&amp;sr=8-5")</f>
        <v/>
      </c>
      <c r="F159" t="inlineStr">
        <is>
          <t>B07PW4MTHV</t>
        </is>
      </c>
      <c r="G159">
        <f>IMAGE("https://prolisok-store.com/cdn/shop/files/51kkYS4_1ML._SL1500_300x.jpg?v=1683807001")</f>
        <v/>
      </c>
      <c r="H159">
        <f>IMAGE("https://m.media-amazon.com/images/I/51kkYS4+1ML._AC_UL320_.jpg")</f>
        <v/>
      </c>
      <c r="I159" t="inlineStr">
        <is>
          <t>17.99</t>
        </is>
      </c>
      <c r="J159" t="n">
        <v>30</v>
      </c>
      <c r="K159" s="3" t="inlineStr">
        <is>
          <t>66.76%</t>
        </is>
      </c>
      <c r="L159" t="n">
        <v>4.7</v>
      </c>
      <c r="M159" t="n">
        <v>45002</v>
      </c>
      <c r="O159" t="inlineStr">
        <is>
          <t>InStock</t>
        </is>
      </c>
      <c r="P159" t="inlineStr">
        <is>
          <t>undefined</t>
        </is>
      </c>
      <c r="Q159" t="inlineStr">
        <is>
          <t>6761001025608</t>
        </is>
      </c>
    </row>
    <row r="160">
      <c r="A160" s="2">
        <f>HYPERLINK("https://prolisok-store.com/collections/premium/products/byredo-gypsy-water-eau-de-parfum-3-4-oz-100-ml", "https://prolisok-store.com/collections/premium/products/byredo-gypsy-water-eau-de-parfum-3-4-oz-100-ml")</f>
        <v/>
      </c>
      <c r="B160" s="2">
        <f>HYPERLINK("https://prolisok-store.com/products/byredo-gypsy-water-eau-de-parfum-3-4-oz-100-ml", "https://prolisok-store.com/products/byredo-gypsy-water-eau-de-parfum-3-4-oz-100-ml")</f>
        <v/>
      </c>
      <c r="C160" t="inlineStr">
        <is>
          <t>BYREDO Gypsy Water Eau de Parfume 3.4 Oz/100 ml</t>
        </is>
      </c>
      <c r="D160" t="inlineStr">
        <is>
          <t>Byredo Gypsy Water Eau De Parfum Spray 50ml/1.6oz</t>
        </is>
      </c>
      <c r="E160" s="2">
        <f>HYPERLINK("https://www.amazon.com/Byredo-Gypsy-Water-Parfum-Spray/dp/B00GDKSSV4/ref=sr_1_7?keywords=byredo+gypsy+water+eau+de+parfum+3.4+oz%2F100+ml&amp;qid=1695259301&amp;sr=8-7", "https://www.amazon.com/Byredo-Gypsy-Water-Parfum-Spray/dp/B00GDKSSV4/ref=sr_1_7?keywords=byredo+gypsy+water+eau+de+parfum+3.4+oz%2F100+ml&amp;qid=1695259301&amp;sr=8-7")</f>
        <v/>
      </c>
      <c r="F160" t="inlineStr">
        <is>
          <t>B00GDKSSV4</t>
        </is>
      </c>
      <c r="G160">
        <f>IMAGE("https://prolisok-store.com/cdn/shop/products/BYREDOGypsyWater_300x.jpg?v=1683715739")</f>
        <v/>
      </c>
      <c r="H160">
        <f>IMAGE("https://m.media-amazon.com/images/I/61benA8y9fL._AC_UL320_.jpg")</f>
        <v/>
      </c>
      <c r="I160" t="inlineStr">
        <is>
          <t>59.99</t>
        </is>
      </c>
      <c r="J160" t="n">
        <v>99</v>
      </c>
      <c r="K160" s="3" t="inlineStr">
        <is>
          <t>65.03%</t>
        </is>
      </c>
      <c r="L160" t="n">
        <v>4.1</v>
      </c>
      <c r="M160" t="n">
        <v>85</v>
      </c>
      <c r="O160" t="inlineStr">
        <is>
          <t>InStock</t>
        </is>
      </c>
      <c r="P160" t="inlineStr">
        <is>
          <t>undefined</t>
        </is>
      </c>
      <c r="Q160" t="inlineStr">
        <is>
          <t>6758481395784</t>
        </is>
      </c>
    </row>
    <row r="161">
      <c r="A161" s="2">
        <f>HYPERLINK("https://prolisok-store.com/collections/sale/products/drunk-elephant-lala-retro-whipped-cream-50-milliliters", "https://prolisok-store.com/collections/sale/products/drunk-elephant-lala-retro-whipped-cream-50-milliliters")</f>
        <v/>
      </c>
      <c r="B161" s="2">
        <f>HYPERLINK("https://prolisok-store.com/products/drunk-elephant-lala-retro-whipped-cream-50-milliliters", "https://prolisok-store.com/products/drunk-elephant-lala-retro-whipped-cream-50-milliliters")</f>
        <v/>
      </c>
      <c r="C161" t="inlineStr">
        <is>
          <t>Drunk Elephant Lala Retro Whipped Cream 50 Milliliters</t>
        </is>
      </c>
      <c r="D161" t="inlineStr">
        <is>
          <t>Drunk Elephant Full Sized Retro Renew Facial Duo - Skin Renewal Facial Duo. T.L.C. Sukari Babyfacial (50 mL / 1.69 Fl Oz) Lala Retro Whipped Cream Facial Moisturizer (50 mL / 1.69 Fl Oz)</t>
        </is>
      </c>
      <c r="E161" s="2">
        <f>HYPERLINK("https://www.amazon.com/Drunk-Elephant-Renewal-Babyfacial-Moisturizer/dp/B07CH6Y844/ref=sr_1_3?keywords=Drunk+Elephant+Lala+Retro+Whipped+Cream+50+Milliliters&amp;qid=1695259346&amp;sr=8-3", "https://www.amazon.com/Drunk-Elephant-Renewal-Babyfacial-Moisturizer/dp/B07CH6Y844/ref=sr_1_3?keywords=Drunk+Elephant+Lala+Retro+Whipped+Cream+50+Milliliters&amp;qid=1695259346&amp;sr=8-3")</f>
        <v/>
      </c>
      <c r="F161" t="inlineStr">
        <is>
          <t>B07CH6Y844</t>
        </is>
      </c>
      <c r="G161">
        <f>IMAGE("https://prolisok-store.com/cdn/shop/files/51ybUrn6ZWL._SL1500_300x.jpg?v=1686223860")</f>
        <v/>
      </c>
      <c r="H161">
        <f>IMAGE("https://m.media-amazon.com/images/I/51F8VPkHiXL._AC_UL320_.jpg")</f>
        <v/>
      </c>
      <c r="I161" t="inlineStr">
        <is>
          <t>34.99</t>
        </is>
      </c>
      <c r="J161" t="n">
        <v>129.99</v>
      </c>
      <c r="K161" s="3" t="inlineStr">
        <is>
          <t>271.51%</t>
        </is>
      </c>
      <c r="L161" t="n">
        <v>4.5</v>
      </c>
      <c r="M161" t="n">
        <v>97</v>
      </c>
      <c r="O161" t="inlineStr">
        <is>
          <t>InStock</t>
        </is>
      </c>
      <c r="P161" t="inlineStr">
        <is>
          <t>60.0</t>
        </is>
      </c>
      <c r="Q161" t="inlineStr">
        <is>
          <t>6762921427016</t>
        </is>
      </c>
    </row>
    <row r="162">
      <c r="A162" s="2">
        <f>HYPERLINK("https://prolisok-store.com/collections/sale/products/diptyque-tam-dao-eau-de-toilette-3-4-oz", "https://prolisok-store.com/collections/sale/products/diptyque-tam-dao-eau-de-toilette-3-4-oz")</f>
        <v/>
      </c>
      <c r="B162" s="2">
        <f>HYPERLINK("https://prolisok-store.com/products/diptyque-tam-dao-eau-de-toilette-3-4-oz", "https://prolisok-store.com/products/diptyque-tam-dao-eau-de-toilette-3-4-oz")</f>
        <v/>
      </c>
      <c r="C162" t="inlineStr">
        <is>
          <t>Diptyque Tam Dao Eau de Toilette-3.4 oz.</t>
        </is>
      </c>
      <c r="D162" t="inlineStr">
        <is>
          <t>Diptyque Vetyverio Eau de Toilette-3.4 oz (Model: 3700431405784)</t>
        </is>
      </c>
      <c r="E162" s="2">
        <f>HYPERLINK("https://www.amazon.com/Diptyque-Vetyverio-Eau-Toilette-3-4-oz/dp/B00992AGY0/ref=sr_1_3?keywords=Diptyque+Tam+Dao+Eau+de+Toilette-3.4+oz.&amp;qid=1695259344&amp;sr=8-3", "https://www.amazon.com/Diptyque-Vetyverio-Eau-Toilette-3-4-oz/dp/B00992AGY0/ref=sr_1_3?keywords=Diptyque+Tam+Dao+Eau+de+Toilette-3.4+oz.&amp;qid=1695259344&amp;sr=8-3")</f>
        <v/>
      </c>
      <c r="F162" t="inlineStr">
        <is>
          <t>B00992AGY0</t>
        </is>
      </c>
      <c r="G162">
        <f>IMAGE("https://prolisok-store.com/cdn/shop/products/DiptyqueTamDaoEaudeToilette-3.4oz_-1_300x.jpg?v=1683715785")</f>
        <v/>
      </c>
      <c r="H162">
        <f>IMAGE("https://m.media-amazon.com/images/I/71DHMzbC3xL._AC_UL320_.jpg")</f>
        <v/>
      </c>
      <c r="I162" t="inlineStr">
        <is>
          <t>59.99</t>
        </is>
      </c>
      <c r="J162" t="n">
        <v>169</v>
      </c>
      <c r="K162" s="3" t="inlineStr">
        <is>
          <t>181.71%</t>
        </is>
      </c>
      <c r="L162" t="n">
        <v>4.7</v>
      </c>
      <c r="M162" t="n">
        <v>19</v>
      </c>
      <c r="O162" t="inlineStr">
        <is>
          <t>InStock</t>
        </is>
      </c>
      <c r="P162" t="inlineStr">
        <is>
          <t>105.0</t>
        </is>
      </c>
      <c r="Q162" t="inlineStr">
        <is>
          <t>6758093029448</t>
        </is>
      </c>
    </row>
    <row r="163">
      <c r="A163" s="2">
        <f>HYPERLINK("https://prolisok-store.com/collections/sale/products/the-soft-fluid-foundation-spf-20-1-oz-porcelain", "https://prolisok-store.com/collections/sale/products/the-soft-fluid-foundation-spf-20-1-oz-porcelain")</f>
        <v/>
      </c>
      <c r="B163" s="2">
        <f>HYPERLINK("https://prolisok-store.com/products/the-soft-fluid-foundation-spf-20-1-oz-porcelain", "https://prolisok-store.com/products/the-soft-fluid-foundation-spf-20-1-oz-porcelain")</f>
        <v/>
      </c>
      <c r="C163" t="inlineStr">
        <is>
          <t>La Mer The Soft Fluid Foundation SPF 20-1 oz. Porcelain</t>
        </is>
      </c>
      <c r="D163" t="inlineStr">
        <is>
          <t>La Mer The Soft Fluid Long Wear Foundation SPF 20 - # 22 Neutral 30ml/1oz</t>
        </is>
      </c>
      <c r="E163" s="2">
        <f>HYPERLINK("https://www.amazon.com/Mer-Soft-Fluid-Long-Foundation/dp/B01MG45I4H/ref=sr_1_8?keywords=La+Mer+The+Soft+Fluid+Foundation+SPF+20-1+oz.+Porcelain&amp;qid=1695259346&amp;sr=8-8", "https://www.amazon.com/Mer-Soft-Fluid-Long-Foundation/dp/B01MG45I4H/ref=sr_1_8?keywords=La+Mer+The+Soft+Fluid+Foundation+SPF+20-1+oz.+Porcelain&amp;qid=1695259346&amp;sr=8-8")</f>
        <v/>
      </c>
      <c r="F163" t="inlineStr">
        <is>
          <t>B01MG45I4H</t>
        </is>
      </c>
      <c r="G163">
        <f>IMAGE("https://prolisok-store.com/cdn/shop/products/41wgXKYLRyL._SL1000_300x.jpg?v=1674109756")</f>
        <v/>
      </c>
      <c r="H163">
        <f>IMAGE("https://m.media-amazon.com/images/I/51oqFtChOJL._AC_UL320_.jpg")</f>
        <v/>
      </c>
      <c r="I163" t="inlineStr">
        <is>
          <t>49.99</t>
        </is>
      </c>
      <c r="J163" t="n">
        <v>140</v>
      </c>
      <c r="K163" s="3" t="inlineStr">
        <is>
          <t>180.06%</t>
        </is>
      </c>
      <c r="L163" t="n">
        <v>4.7</v>
      </c>
      <c r="M163" t="n">
        <v>29</v>
      </c>
      <c r="O163" t="inlineStr">
        <is>
          <t>InStock</t>
        </is>
      </c>
      <c r="P163" t="inlineStr">
        <is>
          <t>95.0</t>
        </is>
      </c>
      <c r="Q163" t="inlineStr">
        <is>
          <t>6709197045832</t>
        </is>
      </c>
    </row>
    <row r="164">
      <c r="A164" s="2">
        <f>HYPERLINK("https://prolisok-store.com/collections/sale/products/diptyque-lombre-dans-leau-eau-de-toilette-spray-for-women-100ml-3-4-fl-oz", "https://prolisok-store.com/collections/sale/products/diptyque-lombre-dans-leau-eau-de-toilette-spray-for-women-100ml-3-4-fl-oz")</f>
        <v/>
      </c>
      <c r="B164" s="2">
        <f>HYPERLINK("https://prolisok-store.com/products/diptyque-lombre-dans-leau-eau-de-toilette-spray-for-women-100ml-3-4-fl-oz", "https://prolisok-store.com/products/diptyque-lombre-dans-leau-eau-de-toilette-spray-for-women-100ml-3-4-fl-oz")</f>
        <v/>
      </c>
      <c r="C164" t="inlineStr">
        <is>
          <t>Diptyque L'ombre Dans L'eau Eau De Toilette Spray For Women 100Ml 3.4 Fl Oz</t>
        </is>
      </c>
      <c r="D164" t="inlineStr">
        <is>
          <t>Diptyque L'ombre Dans L'eau Eau De Parfum Spray For Women 75Ml/2.5Oz</t>
        </is>
      </c>
      <c r="E164" s="2">
        <f>HYPERLINK("https://www.amazon.com/Diptyque-Lombre-Parfum-Spray-Women/dp/B00L36HV0W/ref=sr_1_2?keywords=Diptyque+L%27ombre+Dans+L%27eau+Eau+De+Toilette+Spray+For+Women+100Ml+3.4+Fl+Oz&amp;qid=1695259341&amp;sr=8-2", "https://www.amazon.com/Diptyque-Lombre-Parfum-Spray-Women/dp/B00L36HV0W/ref=sr_1_2?keywords=Diptyque+L%27ombre+Dans+L%27eau+Eau+De+Toilette+Spray+For+Women+100Ml+3.4+Fl+Oz&amp;qid=1695259341&amp;sr=8-2")</f>
        <v/>
      </c>
      <c r="F164" t="inlineStr">
        <is>
          <t>B00L36HV0W</t>
        </is>
      </c>
      <c r="G164">
        <f>IMAGE("https://prolisok-store.com/cdn/shop/products/DiptyqueL_ombreDansL_eau_300x.jpg?v=1683715765")</f>
        <v/>
      </c>
      <c r="H164">
        <f>IMAGE("https://m.media-amazon.com/images/I/71T+KosckiL._AC_UL320_.jpg")</f>
        <v/>
      </c>
      <c r="I164" t="inlineStr">
        <is>
          <t>59.99</t>
        </is>
      </c>
      <c r="J164" t="n">
        <v>161.07</v>
      </c>
      <c r="K164" s="3" t="inlineStr">
        <is>
          <t>168.49%</t>
        </is>
      </c>
      <c r="L164" t="n">
        <v>5</v>
      </c>
      <c r="M164" t="n">
        <v>2</v>
      </c>
      <c r="O164" t="inlineStr">
        <is>
          <t>InStock</t>
        </is>
      </c>
      <c r="P164" t="inlineStr">
        <is>
          <t>105.0</t>
        </is>
      </c>
      <c r="Q164" t="inlineStr">
        <is>
          <t>6758097977416</t>
        </is>
      </c>
    </row>
    <row r="165">
      <c r="A165" s="2">
        <f>HYPERLINK("https://prolisok-store.com/collections/sale/products/drunk-elephant-lala-retro-whipped-cream-50-milliliters", "https://prolisok-store.com/collections/sale/products/drunk-elephant-lala-retro-whipped-cream-50-milliliters")</f>
        <v/>
      </c>
      <c r="B165" s="2">
        <f>HYPERLINK("https://prolisok-store.com/products/drunk-elephant-lala-retro-whipped-cream-50-milliliters", "https://prolisok-store.com/products/drunk-elephant-lala-retro-whipped-cream-50-milliliters")</f>
        <v/>
      </c>
      <c r="C165" t="inlineStr">
        <is>
          <t>Drunk Elephant Lala Retro Whipped Cream 50 Milliliters</t>
        </is>
      </c>
      <c r="D165" t="inlineStr">
        <is>
          <t>Drunk Elephant Hit It Off Face Wash and Facial Moisturizer Set Beste No. 9 Jelly Cleanser (150 mL / 5 Fl Oz) and Lala Retro Whipped Cream (50 mL / 1.69 Fl Oz)</t>
        </is>
      </c>
      <c r="E165" s="2">
        <f>HYPERLINK("https://www.amazon.com/Drunk-Elephant-Moisturizer-Cleanser-Whipped/dp/B07CH346S8/ref=sr_1_4?keywords=Drunk+Elephant+Lala+Retro+Whipped+Cream+50+Milliliters&amp;qid=1695259346&amp;sr=8-4", "https://www.amazon.com/Drunk-Elephant-Moisturizer-Cleanser-Whipped/dp/B07CH346S8/ref=sr_1_4?keywords=Drunk+Elephant+Lala+Retro+Whipped+Cream+50+Milliliters&amp;qid=1695259346&amp;sr=8-4")</f>
        <v/>
      </c>
      <c r="F165" t="inlineStr">
        <is>
          <t>B07CH346S8</t>
        </is>
      </c>
      <c r="G165">
        <f>IMAGE("https://prolisok-store.com/cdn/shop/files/51ybUrn6ZWL._SL1500_300x.jpg?v=1686223860")</f>
        <v/>
      </c>
      <c r="H165">
        <f>IMAGE("https://m.media-amazon.com/images/I/71kkfZpaOjL._AC_UL320_.jpg")</f>
        <v/>
      </c>
      <c r="I165" t="inlineStr">
        <is>
          <t>34.99</t>
        </is>
      </c>
      <c r="J165" t="n">
        <v>92</v>
      </c>
      <c r="K165" s="3" t="inlineStr">
        <is>
          <t>162.93%</t>
        </is>
      </c>
      <c r="L165" t="n">
        <v>4.3</v>
      </c>
      <c r="M165" t="n">
        <v>31</v>
      </c>
      <c r="O165" t="inlineStr">
        <is>
          <t>InStock</t>
        </is>
      </c>
      <c r="P165" t="inlineStr">
        <is>
          <t>60.0</t>
        </is>
      </c>
      <c r="Q165" t="inlineStr">
        <is>
          <t>6762921427016</t>
        </is>
      </c>
    </row>
    <row r="166">
      <c r="A166" s="2">
        <f>HYPERLINK("https://prolisok-store.com/collections/sale/products/loewe-001-man-3-4-oz-eau-de-parfum-spray", "https://prolisok-store.com/collections/sale/products/loewe-001-man-3-4-oz-eau-de-parfum-spray")</f>
        <v/>
      </c>
      <c r="B166" s="2">
        <f>HYPERLINK("https://prolisok-store.com/products/loewe-001-man-3-4-oz-eau-de-parfum-spray", "https://prolisok-store.com/products/loewe-001-man-3-4-oz-eau-de-parfum-spray")</f>
        <v/>
      </c>
      <c r="C166" t="inlineStr">
        <is>
          <t>Loewe 001 Man 3.4 oz Eau de Parfume Spray</t>
        </is>
      </c>
      <c r="D166" t="inlineStr">
        <is>
          <t>Loewe 001 Woman by Loewe Eau De Parfum Spray 3.4 oz Women</t>
        </is>
      </c>
      <c r="E166" s="2">
        <f>HYPERLINK("https://www.amazon.com/Loewe-Woman-Parfum-Spray-Women/dp/B084BJ1BNC/ref=sr_1_2?keywords=loewe+001+man+3.4+oz+eau+de+parfum+spray&amp;qid=1695259346&amp;sr=8-2", "https://www.amazon.com/Loewe-Woman-Parfum-Spray-Women/dp/B084BJ1BNC/ref=sr_1_2?keywords=loewe+001+man+3.4+oz+eau+de+parfum+spray&amp;qid=1695259346&amp;sr=8-2")</f>
        <v/>
      </c>
      <c r="F166" t="inlineStr">
        <is>
          <t>B084BJ1BNC</t>
        </is>
      </c>
      <c r="G166">
        <f>IMAGE("https://prolisok-store.com/cdn/shop/products/Loewe001Man3.4oz_300x.jpg?v=1683715745")</f>
        <v/>
      </c>
      <c r="H166">
        <f>IMAGE("https://m.media-amazon.com/images/I/51PdIceBBtL._AC_UL320_.jpg")</f>
        <v/>
      </c>
      <c r="I166" t="inlineStr">
        <is>
          <t>39.99</t>
        </is>
      </c>
      <c r="J166" t="n">
        <v>99.42</v>
      </c>
      <c r="K166" s="3" t="inlineStr">
        <is>
          <t>148.61%</t>
        </is>
      </c>
      <c r="L166" t="n">
        <v>4.4</v>
      </c>
      <c r="M166" t="n">
        <v>22</v>
      </c>
      <c r="O166" t="inlineStr">
        <is>
          <t>InStock</t>
        </is>
      </c>
      <c r="P166" t="inlineStr">
        <is>
          <t>55.0</t>
        </is>
      </c>
      <c r="Q166" t="inlineStr">
        <is>
          <t>6758464127048</t>
        </is>
      </c>
    </row>
    <row r="167">
      <c r="A167" s="2">
        <f>HYPERLINK("https://prolisok-store.com/collections/sale/products/loewe-001-woman-eau-de-perfume-spray-100ml", "https://prolisok-store.com/collections/sale/products/loewe-001-woman-eau-de-perfume-spray-100ml")</f>
        <v/>
      </c>
      <c r="B167" s="2">
        <f>HYPERLINK("https://prolisok-store.com/products/loewe-001-woman-eau-de-perfume-spray-100ml", "https://prolisok-store.com/products/loewe-001-woman-eau-de-perfume-spray-100ml")</f>
        <v/>
      </c>
      <c r="C167" t="inlineStr">
        <is>
          <t>Loewe 001 Woman Eau de Parfume Spray 100Ml</t>
        </is>
      </c>
      <c r="D167" t="inlineStr">
        <is>
          <t>Loewe 001 Woman by Loewe Eau De Parfum Spray 3.4 oz Women</t>
        </is>
      </c>
      <c r="E167" s="2">
        <f>HYPERLINK("https://www.amazon.com/Loewe-Woman-Parfum-Spray-Women/dp/B084BJ1BNC/ref=sr_1_4?keywords=loewe+001+woman+eau+de+parfum+spray+100ml&amp;qid=1695259342&amp;sr=8-4", "https://www.amazon.com/Loewe-Woman-Parfum-Spray-Women/dp/B084BJ1BNC/ref=sr_1_4?keywords=loewe+001+woman+eau+de+parfum+spray+100ml&amp;qid=1695259342&amp;sr=8-4")</f>
        <v/>
      </c>
      <c r="F167" t="inlineStr">
        <is>
          <t>B084BJ1BNC</t>
        </is>
      </c>
      <c r="G167">
        <f>IMAGE("https://prolisok-store.com/cdn/shop/products/Loewe001Woman_300x.jpg?v=1683715742")</f>
        <v/>
      </c>
      <c r="H167">
        <f>IMAGE("https://m.media-amazon.com/images/I/51PdIceBBtL._AC_UL320_.jpg")</f>
        <v/>
      </c>
      <c r="I167" t="inlineStr">
        <is>
          <t>39.99</t>
        </is>
      </c>
      <c r="J167" t="n">
        <v>99.42</v>
      </c>
      <c r="K167" s="3" t="inlineStr">
        <is>
          <t>148.61%</t>
        </is>
      </c>
      <c r="L167" t="n">
        <v>4.4</v>
      </c>
      <c r="M167" t="n">
        <v>22</v>
      </c>
      <c r="O167" t="inlineStr">
        <is>
          <t>InStock</t>
        </is>
      </c>
      <c r="P167" t="inlineStr">
        <is>
          <t>55.0</t>
        </is>
      </c>
      <c r="Q167" t="inlineStr">
        <is>
          <t>6758479888456</t>
        </is>
      </c>
    </row>
    <row r="168">
      <c r="A168" s="2">
        <f>HYPERLINK("https://prolisok-store.com/collections/sale/products/diptyque-tam-dao-eau-de-toilette-3-4-oz", "https://prolisok-store.com/collections/sale/products/diptyque-tam-dao-eau-de-toilette-3-4-oz")</f>
        <v/>
      </c>
      <c r="B168" s="2">
        <f>HYPERLINK("https://prolisok-store.com/products/diptyque-tam-dao-eau-de-toilette-3-4-oz", "https://prolisok-store.com/products/diptyque-tam-dao-eau-de-toilette-3-4-oz")</f>
        <v/>
      </c>
      <c r="C168" t="inlineStr">
        <is>
          <t>Diptyque Tam Dao Eau de Toilette-3.4 oz.</t>
        </is>
      </c>
      <c r="D168" t="inlineStr">
        <is>
          <t>Diptyque Tam Dao Eau de Toilette-3.4 oz. (11040u)</t>
        </is>
      </c>
      <c r="E168" s="2">
        <f>HYPERLINK("https://www.amazon.com/Diptyque-Tam-Dao-Eau-Toilette-3-4/dp/B002SQ6WII/ref=sr_1_1?keywords=Diptyque+Tam+Dao+Eau+de+Toilette-3.4+oz.&amp;qid=1695259344&amp;sr=8-1", "https://www.amazon.com/Diptyque-Tam-Dao-Eau-Toilette-3-4/dp/B002SQ6WII/ref=sr_1_1?keywords=Diptyque+Tam+Dao+Eau+de+Toilette-3.4+oz.&amp;qid=1695259344&amp;sr=8-1")</f>
        <v/>
      </c>
      <c r="F168" t="inlineStr">
        <is>
          <t>B002SQ6WII</t>
        </is>
      </c>
      <c r="G168">
        <f>IMAGE("https://prolisok-store.com/cdn/shop/products/DiptyqueTamDaoEaudeToilette-3.4oz_-1_300x.jpg?v=1683715785")</f>
        <v/>
      </c>
      <c r="H168">
        <f>IMAGE("https://m.media-amazon.com/images/I/71TM5bVktEL._AC_UL320_.jpg")</f>
        <v/>
      </c>
      <c r="I168" t="inlineStr">
        <is>
          <t>59.99</t>
        </is>
      </c>
      <c r="J168" t="n">
        <v>140.69</v>
      </c>
      <c r="K168" s="3" t="inlineStr">
        <is>
          <t>134.52%</t>
        </is>
      </c>
      <c r="L168" t="n">
        <v>3.9</v>
      </c>
      <c r="M168" t="n">
        <v>95</v>
      </c>
      <c r="O168" t="inlineStr">
        <is>
          <t>InStock</t>
        </is>
      </c>
      <c r="P168" t="inlineStr">
        <is>
          <t>105.0</t>
        </is>
      </c>
      <c r="Q168" t="inlineStr">
        <is>
          <t>6758093029448</t>
        </is>
      </c>
    </row>
    <row r="169">
      <c r="A169" s="2">
        <f>HYPERLINK("https://prolisok-store.com/collections/sale/products/diptyque-tam-dao-eau-de-toilette-3-4-oz", "https://prolisok-store.com/collections/sale/products/diptyque-tam-dao-eau-de-toilette-3-4-oz")</f>
        <v/>
      </c>
      <c r="B169" s="2">
        <f>HYPERLINK("https://prolisok-store.com/products/diptyque-tam-dao-eau-de-toilette-3-4-oz", "https://prolisok-store.com/products/diptyque-tam-dao-eau-de-toilette-3-4-oz")</f>
        <v/>
      </c>
      <c r="C169" t="inlineStr">
        <is>
          <t>Diptyque Tam Dao Eau de Toilette-3.4 oz.</t>
        </is>
      </c>
      <c r="D169" t="inlineStr">
        <is>
          <t>diptyque Volutes Eau De Toilette-3.4 oz.</t>
        </is>
      </c>
      <c r="E169" s="2">
        <f>HYPERLINK("https://www.amazon.com/diptyque-Volutes-Eau-Toilette-3-4-oz/dp/B009U9SWW0/ref=sr_1_5?keywords=Diptyque+Tam+Dao+Eau+de+Toilette-3.4+oz.&amp;qid=1695259344&amp;sr=8-5", "https://www.amazon.com/diptyque-Volutes-Eau-Toilette-3-4-oz/dp/B009U9SWW0/ref=sr_1_5?keywords=Diptyque+Tam+Dao+Eau+de+Toilette-3.4+oz.&amp;qid=1695259344&amp;sr=8-5")</f>
        <v/>
      </c>
      <c r="F169" t="inlineStr">
        <is>
          <t>B009U9SWW0</t>
        </is>
      </c>
      <c r="G169">
        <f>IMAGE("https://prolisok-store.com/cdn/shop/products/DiptyqueTamDaoEaudeToilette-3.4oz_-1_300x.jpg?v=1683715785")</f>
        <v/>
      </c>
      <c r="H169">
        <f>IMAGE("https://m.media-amazon.com/images/I/71UkP8LwVRL._AC_UL320_.jpg")</f>
        <v/>
      </c>
      <c r="I169" t="inlineStr">
        <is>
          <t>59.99</t>
        </is>
      </c>
      <c r="J169" t="n">
        <v>134</v>
      </c>
      <c r="K169" s="3" t="inlineStr">
        <is>
          <t>123.37%</t>
        </is>
      </c>
      <c r="L169" t="n">
        <v>4.3</v>
      </c>
      <c r="M169" t="n">
        <v>4</v>
      </c>
      <c r="O169" t="inlineStr">
        <is>
          <t>InStock</t>
        </is>
      </c>
      <c r="P169" t="inlineStr">
        <is>
          <t>105.0</t>
        </is>
      </c>
      <c r="Q169" t="inlineStr">
        <is>
          <t>6758093029448</t>
        </is>
      </c>
    </row>
    <row r="170">
      <c r="A170" s="2">
        <f>HYPERLINK("https://prolisok-store.com/collections/sale/products/diptyque-tam-dao-eau-de-toilette-3-4-oz", "https://prolisok-store.com/collections/sale/products/diptyque-tam-dao-eau-de-toilette-3-4-oz")</f>
        <v/>
      </c>
      <c r="B170" s="2">
        <f>HYPERLINK("https://prolisok-store.com/products/diptyque-tam-dao-eau-de-toilette-3-4-oz", "https://prolisok-store.com/products/diptyque-tam-dao-eau-de-toilette-3-4-oz")</f>
        <v/>
      </c>
      <c r="C170" t="inlineStr">
        <is>
          <t>Diptyque Tam Dao Eau de Toilette-3.4 oz.</t>
        </is>
      </c>
      <c r="D170" t="inlineStr">
        <is>
          <t>Tam Dao Eau de Toilette 50ml by Diptyque</t>
        </is>
      </c>
      <c r="E170" s="2">
        <f>HYPERLINK("https://www.amazon.com/Tam-Dao-Toilette-50ml-Diptyque/dp/B00134UTQW/ref=sr_1_4?keywords=Diptyque+Tam+Dao+Eau+de+Toilette-3.4+oz.&amp;qid=1695259344&amp;sr=8-4", "https://www.amazon.com/Tam-Dao-Toilette-50ml-Diptyque/dp/B00134UTQW/ref=sr_1_4?keywords=Diptyque+Tam+Dao+Eau+de+Toilette-3.4+oz.&amp;qid=1695259344&amp;sr=8-4")</f>
        <v/>
      </c>
      <c r="F170" t="inlineStr">
        <is>
          <t>B00134UTQW</t>
        </is>
      </c>
      <c r="G170">
        <f>IMAGE("https://prolisok-store.com/cdn/shop/products/DiptyqueTamDaoEaudeToilette-3.4oz_-1_300x.jpg?v=1683715785")</f>
        <v/>
      </c>
      <c r="H170">
        <f>IMAGE("https://m.media-amazon.com/images/I/61CDUwJrPBL._AC_UL320_.jpg")</f>
        <v/>
      </c>
      <c r="I170" t="inlineStr">
        <is>
          <t>59.99</t>
        </is>
      </c>
      <c r="J170" t="n">
        <v>124.34</v>
      </c>
      <c r="K170" s="3" t="inlineStr">
        <is>
          <t>107.27%</t>
        </is>
      </c>
      <c r="L170" t="n">
        <v>4.1</v>
      </c>
      <c r="M170" t="n">
        <v>24</v>
      </c>
      <c r="O170" t="inlineStr">
        <is>
          <t>InStock</t>
        </is>
      </c>
      <c r="P170" t="inlineStr">
        <is>
          <t>105.0</t>
        </is>
      </c>
      <c r="Q170" t="inlineStr">
        <is>
          <t>6758093029448</t>
        </is>
      </c>
    </row>
    <row r="171">
      <c r="A171" s="2">
        <f>HYPERLINK("https://prolisok-store.com/collections/sale/products/the-soft-fluid-foundation-spf-20-1-oz-porcelain", "https://prolisok-store.com/collections/sale/products/the-soft-fluid-foundation-spf-20-1-oz-porcelain")</f>
        <v/>
      </c>
      <c r="B171" s="2">
        <f>HYPERLINK("https://prolisok-store.com/products/the-soft-fluid-foundation-spf-20-1-oz-porcelain", "https://prolisok-store.com/products/the-soft-fluid-foundation-spf-20-1-oz-porcelain")</f>
        <v/>
      </c>
      <c r="C171" t="inlineStr">
        <is>
          <t>La Mer The Soft Fluid Foundation SPF 20-1 oz. Porcelain</t>
        </is>
      </c>
      <c r="D171" t="inlineStr">
        <is>
          <t>La Mer The Soft Fluid Long Wear Foundation SPF 20 - # 42 Tan 30ml/1oz</t>
        </is>
      </c>
      <c r="E171" s="2">
        <f>HYPERLINK("https://www.amazon.com/Mer-Soft-Fluid-Long-Foundation/dp/B01MDNSIK4/ref=sr_1_2?keywords=La+Mer+The+Soft+Fluid+Foundation+SPF+20-1+oz.+Porcelain&amp;qid=1695259346&amp;sr=8-2", "https://www.amazon.com/Mer-Soft-Fluid-Long-Foundation/dp/B01MDNSIK4/ref=sr_1_2?keywords=La+Mer+The+Soft+Fluid+Foundation+SPF+20-1+oz.+Porcelain&amp;qid=1695259346&amp;sr=8-2")</f>
        <v/>
      </c>
      <c r="F171" t="inlineStr">
        <is>
          <t>B01MDNSIK4</t>
        </is>
      </c>
      <c r="G171">
        <f>IMAGE("https://prolisok-store.com/cdn/shop/products/41wgXKYLRyL._SL1000_300x.jpg?v=1674109756")</f>
        <v/>
      </c>
      <c r="H171">
        <f>IMAGE("https://m.media-amazon.com/images/I/51icv2b8-jL._AC_UL320_.jpg")</f>
        <v/>
      </c>
      <c r="I171" t="inlineStr">
        <is>
          <t>49.99</t>
        </is>
      </c>
      <c r="J171" t="n">
        <v>100</v>
      </c>
      <c r="K171" s="3" t="inlineStr">
        <is>
          <t>100.04%</t>
        </is>
      </c>
      <c r="L171" t="n">
        <v>5</v>
      </c>
      <c r="M171" t="n">
        <v>3</v>
      </c>
      <c r="O171" t="inlineStr">
        <is>
          <t>InStock</t>
        </is>
      </c>
      <c r="P171" t="inlineStr">
        <is>
          <t>95.0</t>
        </is>
      </c>
      <c r="Q171" t="inlineStr">
        <is>
          <t>6709197045832</t>
        </is>
      </c>
    </row>
    <row r="172">
      <c r="A172" s="2">
        <f>HYPERLINK("https://prolisok-store.com/collections/sale/products/clarins-double-serum", "https://prolisok-store.com/collections/sale/products/clarins-double-serum")</f>
        <v/>
      </c>
      <c r="B172" s="2">
        <f>HYPERLINK("https://prolisok-store.com/products/clarins-double-serum", "https://prolisok-store.com/products/clarins-double-serum")</f>
        <v/>
      </c>
      <c r="C172" t="inlineStr">
        <is>
          <t>Clarins Double Serum</t>
        </is>
      </c>
      <c r="D172" t="inlineStr">
        <is>
          <t>Clarins Double Serum | Anti-Aging | Visibly Firms, Smoothes and Boosts Radiance in Just 7 Days* | 21 Plant Ingredients, Including Turmeric | All Skin Types, Ages and Ethnicities</t>
        </is>
      </c>
      <c r="E172" s="2">
        <f>HYPERLINK("https://www.amazon.com/Clarins-Award-Winning-Anti-Aging-Ingredients-Ethnicities/dp/B07CRK4J3S/ref=sr_1_1?keywords=Clarins+Double+Serum&amp;qid=1695259342&amp;sr=8-1", "https://www.amazon.com/Clarins-Award-Winning-Anti-Aging-Ingredients-Ethnicities/dp/B07CRK4J3S/ref=sr_1_1?keywords=Clarins+Double+Serum&amp;qid=1695259342&amp;sr=8-1")</f>
        <v/>
      </c>
      <c r="F172" t="inlineStr">
        <is>
          <t>B07CRK4J3S</t>
        </is>
      </c>
      <c r="G172">
        <f>IMAGE("https://prolisok-store.com/cdn/shop/products/717T_LvJhvL._SL1500_300x.jpg?v=1681306763")</f>
        <v/>
      </c>
      <c r="H172">
        <f>IMAGE("https://m.media-amazon.com/images/I/717T+LvJhvL._AC_UL320_.jpg")</f>
        <v/>
      </c>
      <c r="I172" t="inlineStr">
        <is>
          <t>69.99</t>
        </is>
      </c>
      <c r="J172" t="n">
        <v>134</v>
      </c>
      <c r="K172" s="3" t="inlineStr">
        <is>
          <t>91.46%</t>
        </is>
      </c>
      <c r="L172" t="n">
        <v>4.6</v>
      </c>
      <c r="M172" t="n">
        <v>1831</v>
      </c>
      <c r="O172" t="inlineStr">
        <is>
          <t>InStock</t>
        </is>
      </c>
      <c r="P172" t="inlineStr">
        <is>
          <t>112.2</t>
        </is>
      </c>
      <c r="Q172" t="inlineStr">
        <is>
          <t>6751779586120</t>
        </is>
      </c>
    </row>
    <row r="173">
      <c r="A173" s="2">
        <f>HYPERLINK("https://prolisok-store.com/collections/sale/products/clarins-double-serum", "https://prolisok-store.com/collections/sale/products/clarins-double-serum")</f>
        <v/>
      </c>
      <c r="B173" s="2">
        <f>HYPERLINK("https://prolisok-store.com/products/clarins-double-serum", "https://prolisok-store.com/products/clarins-double-serum")</f>
        <v/>
      </c>
      <c r="C173" t="inlineStr">
        <is>
          <t>Clarins Double Serum</t>
        </is>
      </c>
      <c r="D173" t="inlineStr">
        <is>
          <t>Clarins Double Serum Light | Anti Aging | Visibly Firms, Smoothes &amp; Boosts Radiance in 7 Days* | 21 Plant Ingredients | Turmeric | Lighter Texture | Great for Oily Skin and Humid Climates</t>
        </is>
      </c>
      <c r="E173" s="2">
        <f>HYPERLINK("https://www.amazon.com/Clarins-Smoothes-Radiance-Ingredients-Turmeric/dp/B0BRR1ML5C/ref=sr_1_2?keywords=Clarins+Double+Serum&amp;qid=1695259342&amp;sr=8-2", "https://www.amazon.com/Clarins-Smoothes-Radiance-Ingredients-Turmeric/dp/B0BRR1ML5C/ref=sr_1_2?keywords=Clarins+Double+Serum&amp;qid=1695259342&amp;sr=8-2")</f>
        <v/>
      </c>
      <c r="F173" t="inlineStr">
        <is>
          <t>B0BRR1ML5C</t>
        </is>
      </c>
      <c r="G173">
        <f>IMAGE("https://prolisok-store.com/cdn/shop/products/717T_LvJhvL._SL1500_300x.jpg?v=1681306763")</f>
        <v/>
      </c>
      <c r="H173">
        <f>IMAGE("https://m.media-amazon.com/images/I/51i5jqShicL._AC_UL320_.jpg")</f>
        <v/>
      </c>
      <c r="I173" t="inlineStr">
        <is>
          <t>69.99</t>
        </is>
      </c>
      <c r="J173" t="n">
        <v>134</v>
      </c>
      <c r="K173" s="3" t="inlineStr">
        <is>
          <t>91.46%</t>
        </is>
      </c>
      <c r="L173" t="n">
        <v>4.5</v>
      </c>
      <c r="M173" t="n">
        <v>43</v>
      </c>
      <c r="O173" t="inlineStr">
        <is>
          <t>InStock</t>
        </is>
      </c>
      <c r="P173" t="inlineStr">
        <is>
          <t>112.2</t>
        </is>
      </c>
      <c r="Q173" t="inlineStr">
        <is>
          <t>6751779586120</t>
        </is>
      </c>
    </row>
    <row r="174">
      <c r="A174" s="2">
        <f>HYPERLINK("https://prolisok-store.com/collections/sale/products/the-soft-fluid-foundation-spf-20-1-oz-porcelain", "https://prolisok-store.com/collections/sale/products/the-soft-fluid-foundation-spf-20-1-oz-porcelain")</f>
        <v/>
      </c>
      <c r="B174" s="2">
        <f>HYPERLINK("https://prolisok-store.com/products/the-soft-fluid-foundation-spf-20-1-oz-porcelain", "https://prolisok-store.com/products/the-soft-fluid-foundation-spf-20-1-oz-porcelain")</f>
        <v/>
      </c>
      <c r="C174" t="inlineStr">
        <is>
          <t>La Mer The Soft Fluid Foundation SPF 20-1 oz. Porcelain</t>
        </is>
      </c>
      <c r="D174" t="inlineStr">
        <is>
          <t>La Mer The Soft Fluid Long Wear Spf 20 Foundation for Women, 32 Beige, 1 Ounce</t>
        </is>
      </c>
      <c r="E174" s="2">
        <f>HYPERLINK("https://www.amazon.com/Mer-Soft-Fluid-Long-Foundation/dp/B01M4MTXYQ/ref=sr_1_1?keywords=La+Mer+The+Soft+Fluid+Foundation+SPF+20-1+oz.+Porcelain&amp;qid=1695259346&amp;sr=8-1", "https://www.amazon.com/Mer-Soft-Fluid-Long-Foundation/dp/B01M4MTXYQ/ref=sr_1_1?keywords=La+Mer+The+Soft+Fluid+Foundation+SPF+20-1+oz.+Porcelain&amp;qid=1695259346&amp;sr=8-1")</f>
        <v/>
      </c>
      <c r="F174" t="inlineStr">
        <is>
          <t>B01M4MTXYQ</t>
        </is>
      </c>
      <c r="G174">
        <f>IMAGE("https://prolisok-store.com/cdn/shop/products/41wgXKYLRyL._SL1000_300x.jpg?v=1674109756")</f>
        <v/>
      </c>
      <c r="H174">
        <f>IMAGE("https://m.media-amazon.com/images/I/41-HkHGOXiL._AC_UL320_.jpg")</f>
        <v/>
      </c>
      <c r="I174" t="inlineStr">
        <is>
          <t>49.99</t>
        </is>
      </c>
      <c r="J174" t="n">
        <v>94</v>
      </c>
      <c r="K174" s="3" t="inlineStr">
        <is>
          <t>88.04%</t>
        </is>
      </c>
      <c r="L174" t="n">
        <v>4.2</v>
      </c>
      <c r="M174" t="n">
        <v>43</v>
      </c>
      <c r="O174" t="inlineStr">
        <is>
          <t>InStock</t>
        </is>
      </c>
      <c r="P174" t="inlineStr">
        <is>
          <t>95.0</t>
        </is>
      </c>
      <c r="Q174" t="inlineStr">
        <is>
          <t>6709197045832</t>
        </is>
      </c>
    </row>
    <row r="175">
      <c r="A175" s="2">
        <f>HYPERLINK("https://prolisok-store.com/collections/sale/products/facial-treatment-mask-10-pc", "https://prolisok-store.com/collections/sale/products/facial-treatment-mask-10-pc")</f>
        <v/>
      </c>
      <c r="B175" s="2">
        <f>HYPERLINK("https://prolisok-store.com/products/facial-treatment-mask-10-pc", "https://prolisok-store.com/products/facial-treatment-mask-10-pc")</f>
        <v/>
      </c>
      <c r="C175" t="inlineStr">
        <is>
          <t>SK-II Facial Treatment Mask/10 pc.</t>
        </is>
      </c>
      <c r="D175" t="inlineStr">
        <is>
          <t>SK-II FACIAL TREATMENT MASK (10 SHEET)</t>
        </is>
      </c>
      <c r="E175" s="2">
        <f>HYPERLINK("https://www.amazon.com/SK-II-FACIAL-TREATMENT-MASK-SHEET/dp/B01M6YV69X/ref=sr_1_3?keywords=SK-II+Facial+Treatment+Mask%2F10+pc.&amp;qid=1695259342&amp;sr=8-3", "https://www.amazon.com/SK-II-FACIAL-TREATMENT-MASK-SHEET/dp/B01M6YV69X/ref=sr_1_3?keywords=SK-II+Facial+Treatment+Mask%2F10+pc.&amp;qid=1695259342&amp;sr=8-3")</f>
        <v/>
      </c>
      <c r="F175" t="inlineStr">
        <is>
          <t>B01M6YV69X</t>
        </is>
      </c>
      <c r="G175">
        <f>IMAGE("https://prolisok-store.com/cdn/shop/products/41oxreg7WTL_300x.jpg?v=1673964595")</f>
        <v/>
      </c>
      <c r="H175">
        <f>IMAGE("https://m.media-amazon.com/images/I/61L4A4vc9aL._AC_UL320_.jpg")</f>
        <v/>
      </c>
      <c r="I175" t="inlineStr">
        <is>
          <t>49.99</t>
        </is>
      </c>
      <c r="J175" t="n">
        <v>88</v>
      </c>
      <c r="K175" s="3" t="inlineStr">
        <is>
          <t>76.04%</t>
        </is>
      </c>
      <c r="L175" t="n">
        <v>4.1</v>
      </c>
      <c r="M175" t="n">
        <v>79</v>
      </c>
      <c r="O175" t="inlineStr">
        <is>
          <t>InStock</t>
        </is>
      </c>
      <c r="P175" t="inlineStr">
        <is>
          <t>84.99</t>
        </is>
      </c>
      <c r="Q175" t="inlineStr">
        <is>
          <t>6708131070024</t>
        </is>
      </c>
    </row>
    <row r="176">
      <c r="A176" s="2">
        <f>HYPERLINK("https://prolisok-store.com/collections/sale/products/diptyque-eau-des-sens-de-toilette-size-100-ml-3-4-ounce", "https://prolisok-store.com/collections/sale/products/diptyque-eau-des-sens-de-toilette-size-100-ml-3-4-ounce")</f>
        <v/>
      </c>
      <c r="B176" s="2">
        <f>HYPERLINK("https://prolisok-store.com/products/diptyque-eau-des-sens-de-toilette-size-100-ml-3-4-ounce", "https://prolisok-store.com/products/diptyque-eau-des-sens-de-toilette-size-100-ml-3-4-ounce")</f>
        <v/>
      </c>
      <c r="C176" t="inlineStr">
        <is>
          <t>Diptyque Eau des Sens De Toilette, Size 100 ml, 3.4 Ounce</t>
        </is>
      </c>
      <c r="D176" t="inlineStr">
        <is>
          <t>Diptyque Eau des Sens De Toilette, Size 100 ml, 3.4 Ounce</t>
        </is>
      </c>
      <c r="E176" s="2">
        <f>HYPERLINK("https://www.amazon.com/Diptyque-Eau-Sens-Toilette-Size/dp/B01DAPBON8/ref=sr_1_1?keywords=Diptyque+Eau+des+Sens+De+Toilette%2C+Size+100+ml%2C+3.4+Ounce&amp;qid=1695259351&amp;sr=8-1", "https://www.amazon.com/Diptyque-Eau-Sens-Toilette-Size/dp/B01DAPBON8/ref=sr_1_1?keywords=Diptyque+Eau+des+Sens+De+Toilette%2C+Size+100+ml%2C+3.4+Ounce&amp;qid=1695259351&amp;sr=8-1")</f>
        <v/>
      </c>
      <c r="F176" t="inlineStr">
        <is>
          <t>B01DAPBON8</t>
        </is>
      </c>
      <c r="G176">
        <f>IMAGE("https://prolisok-store.com/cdn/shop/files/81tKY4SV1HL._SL1500_300x.jpg?v=1686659548")</f>
        <v/>
      </c>
      <c r="H176">
        <f>IMAGE("https://m.media-amazon.com/images/I/81tKY4SV1HL._AC_UL320_.jpg")</f>
        <v/>
      </c>
      <c r="I176" t="inlineStr">
        <is>
          <t>69.99</t>
        </is>
      </c>
      <c r="J176" t="n">
        <v>120</v>
      </c>
      <c r="K176" s="3" t="inlineStr">
        <is>
          <t>71.45%</t>
        </is>
      </c>
      <c r="L176" t="n">
        <v>4</v>
      </c>
      <c r="M176" t="n">
        <v>72</v>
      </c>
      <c r="O176" t="inlineStr">
        <is>
          <t>OutOfStock</t>
        </is>
      </c>
      <c r="P176" t="inlineStr">
        <is>
          <t>133.0</t>
        </is>
      </c>
      <c r="Q176" t="inlineStr">
        <is>
          <t>6763236786248</t>
        </is>
      </c>
    </row>
    <row r="177">
      <c r="A177" s="2">
        <f>HYPERLINK("https://prolisok-store.com/collections/hair-care/products/bed-head-by-tigi-urban-antidotes-recovery-shampoo-2-5-oz", "https://prolisok-store.com/collections/hair-care/products/bed-head-by-tigi-urban-antidotes-recovery-shampoo-2-5-oz")</f>
        <v/>
      </c>
      <c r="B177" s="2">
        <f>HYPERLINK("https://prolisok-store.com/products/bed-head-by-tigi-urban-antidotes-recovery-shampoo-2-5-oz", "https://prolisok-store.com/products/bed-head-by-tigi-urban-antidotes-recovery-shampoo-2-5-oz")</f>
        <v/>
      </c>
      <c r="C177" t="inlineStr">
        <is>
          <t>Bed head by tigi urban anti+dotes recovery shampoo 2.5 oz</t>
        </is>
      </c>
      <c r="D177" t="inlineStr">
        <is>
          <t>Urban Antidotes by Tigi Bed Head Hair Care Recovery Competition Set - Shampoo 250ml &amp; Conditioner 200ml 250ml</t>
        </is>
      </c>
      <c r="E177" s="2">
        <f>HYPERLINK("https://www.amazon.com/Urban-Antidotes-Tigi-Recovery-Competition/dp/B004ZBFOW4/ref=sr_1_9?keywords=bed+head+by+tigi+urban+antidotes+recovery+shampoo+2.5+oz&amp;qid=1695259374&amp;sr=8-9", "https://www.amazon.com/Urban-Antidotes-Tigi-Recovery-Competition/dp/B004ZBFOW4/ref=sr_1_9?keywords=bed+head+by+tigi+urban+antidotes+recovery+shampoo+2.5+oz&amp;qid=1695259374&amp;sr=8-9")</f>
        <v/>
      </c>
      <c r="F177" t="inlineStr">
        <is>
          <t>B004ZBFOW4</t>
        </is>
      </c>
      <c r="G177">
        <f>IMAGE("https://prolisok-store.com/cdn/shop/products/342172_300x.jpg?v=1690899918")</f>
        <v/>
      </c>
      <c r="H177">
        <f>IMAGE("https://m.media-amazon.com/images/I/61FSQS2RNmL._AC_UL320_.jpg")</f>
        <v/>
      </c>
      <c r="I177" t="inlineStr">
        <is>
          <t>6.29</t>
        </is>
      </c>
      <c r="J177" t="n">
        <v>29.98</v>
      </c>
      <c r="K177" s="3" t="inlineStr">
        <is>
          <t>376.63%</t>
        </is>
      </c>
      <c r="L177" t="n">
        <v>4.3</v>
      </c>
      <c r="M177" t="n">
        <v>454</v>
      </c>
      <c r="O177" t="inlineStr">
        <is>
          <t>InStock</t>
        </is>
      </c>
      <c r="P177" t="inlineStr">
        <is>
          <t>undefined</t>
        </is>
      </c>
      <c r="Q177" t="inlineStr">
        <is>
          <t>6769970446408</t>
        </is>
      </c>
    </row>
    <row r="178">
      <c r="A178" s="2">
        <f>HYPERLINK("https://prolisok-store.com/collections/hair-care/products/bed-head-by-tigi-urban-antidotes-resurrection-shampoo-2-5-oz", "https://prolisok-store.com/collections/hair-care/products/bed-head-by-tigi-urban-antidotes-resurrection-shampoo-2-5-oz")</f>
        <v/>
      </c>
      <c r="B178" s="2">
        <f>HYPERLINK("https://prolisok-store.com/products/bed-head-by-tigi-urban-antidotes-resurrection-shampoo-2-5-oz", "https://prolisok-store.com/products/bed-head-by-tigi-urban-antidotes-resurrection-shampoo-2-5-oz")</f>
        <v/>
      </c>
      <c r="C178" t="inlineStr">
        <is>
          <t>Bed head by tigi urban anti+dotes resurrection shampoo 2.5 oz</t>
        </is>
      </c>
      <c r="D178" t="inlineStr">
        <is>
          <t>Tigi Bed Head Urban Anti+dotes Resurrection Shampoo 750ml/25.36oz</t>
        </is>
      </c>
      <c r="E178" s="2">
        <f>HYPERLINK("https://www.amazon.com/Tigi-Urban-Resurrection-Shampoo-25-36oz/dp/B00JVGQP0I/ref=sr_1_6?keywords=Bed+head+by+tigi+urban+anti+dotes+resurrection+shampoo+2.5+oz&amp;qid=1695259368&amp;sr=8-6", "https://www.amazon.com/Tigi-Urban-Resurrection-Shampoo-25-36oz/dp/B00JVGQP0I/ref=sr_1_6?keywords=Bed+head+by+tigi+urban+anti+dotes+resurrection+shampoo+2.5+oz&amp;qid=1695259368&amp;sr=8-6")</f>
        <v/>
      </c>
      <c r="F178" t="inlineStr">
        <is>
          <t>B00JVGQP0I</t>
        </is>
      </c>
      <c r="G178">
        <f>IMAGE("https://prolisok-store.com/cdn/shop/products/342174_300x.jpg?v=1690899923")</f>
        <v/>
      </c>
      <c r="H178">
        <f>IMAGE("https://m.media-amazon.com/images/I/71mqEYYW7DL._AC_UL320_.jpg")</f>
        <v/>
      </c>
      <c r="I178" t="inlineStr">
        <is>
          <t>6.29</t>
        </is>
      </c>
      <c r="J178" t="n">
        <v>27</v>
      </c>
      <c r="K178" s="3" t="inlineStr">
        <is>
          <t>329.25%</t>
        </is>
      </c>
      <c r="L178" t="n">
        <v>4.8</v>
      </c>
      <c r="M178" t="n">
        <v>228</v>
      </c>
      <c r="O178" t="inlineStr">
        <is>
          <t>InStock</t>
        </is>
      </c>
      <c r="P178" t="inlineStr">
        <is>
          <t>undefined</t>
        </is>
      </c>
      <c r="Q178" t="inlineStr">
        <is>
          <t>6769970511944</t>
        </is>
      </c>
    </row>
    <row r="179">
      <c r="A179" s="2">
        <f>HYPERLINK("https://prolisok-store.com/collections/hair-care/products/bed-head-by-tigi-urban-antidotes-recovery-shampoo-2-5-oz", "https://prolisok-store.com/collections/hair-care/products/bed-head-by-tigi-urban-antidotes-recovery-shampoo-2-5-oz")</f>
        <v/>
      </c>
      <c r="B179" s="2">
        <f>HYPERLINK("https://prolisok-store.com/products/bed-head-by-tigi-urban-antidotes-recovery-shampoo-2-5-oz", "https://prolisok-store.com/products/bed-head-by-tigi-urban-antidotes-recovery-shampoo-2-5-oz")</f>
        <v/>
      </c>
      <c r="C179" t="inlineStr">
        <is>
          <t>Bed head by tigi urban anti+dotes recovery shampoo 2.5 oz</t>
        </is>
      </c>
      <c r="D179" t="inlineStr">
        <is>
          <t>TIGI Bed Head Urban Anti-dote PFZoVz Recovery Shampoo &amp; Conditioner Duo Damage Level 2, 25.36 Oz, 2 Units</t>
        </is>
      </c>
      <c r="E179" s="2">
        <f>HYPERLINK("https://www.amazon.com/Anti-dote-PFZoVz-Recovery-Shampoo-Conditioner/dp/B07487K2RB/ref=sr_1_7?keywords=bed+head+by+tigi+urban+antidotes+recovery+shampoo+2.5+oz&amp;qid=1695259374&amp;sr=8-7", "https://www.amazon.com/Anti-dote-PFZoVz-Recovery-Shampoo-Conditioner/dp/B07487K2RB/ref=sr_1_7?keywords=bed+head+by+tigi+urban+antidotes+recovery+shampoo+2.5+oz&amp;qid=1695259374&amp;sr=8-7")</f>
        <v/>
      </c>
      <c r="F179" t="inlineStr">
        <is>
          <t>B07487K2RB</t>
        </is>
      </c>
      <c r="G179">
        <f>IMAGE("https://prolisok-store.com/cdn/shop/products/342172_300x.jpg?v=1690899918")</f>
        <v/>
      </c>
      <c r="H179">
        <f>IMAGE("https://m.media-amazon.com/images/I/71Wyt4QQhXL._AC_UL320_.jpg")</f>
        <v/>
      </c>
      <c r="I179" t="inlineStr">
        <is>
          <t>6.29</t>
        </is>
      </c>
      <c r="J179" t="n">
        <v>25.72</v>
      </c>
      <c r="K179" s="3" t="inlineStr">
        <is>
          <t>308.90%</t>
        </is>
      </c>
      <c r="L179" t="n">
        <v>4.7</v>
      </c>
      <c r="M179" t="n">
        <v>1085</v>
      </c>
      <c r="O179" t="inlineStr">
        <is>
          <t>InStock</t>
        </is>
      </c>
      <c r="P179" t="inlineStr">
        <is>
          <t>undefined</t>
        </is>
      </c>
      <c r="Q179" t="inlineStr">
        <is>
          <t>6769970446408</t>
        </is>
      </c>
    </row>
    <row r="180">
      <c r="A180" s="2">
        <f>HYPERLINK("https://prolisok-store.com/collections/hair-care/products/bed-head-by-tigi-urban-antidotes-recovery-shampoo-2-5-oz", "https://prolisok-store.com/collections/hair-care/products/bed-head-by-tigi-urban-antidotes-recovery-shampoo-2-5-oz")</f>
        <v/>
      </c>
      <c r="B180" s="2">
        <f>HYPERLINK("https://prolisok-store.com/products/bed-head-by-tigi-urban-antidotes-recovery-shampoo-2-5-oz", "https://prolisok-store.com/products/bed-head-by-tigi-urban-antidotes-recovery-shampoo-2-5-oz")</f>
        <v/>
      </c>
      <c r="C180" t="inlineStr">
        <is>
          <t>Bed head by tigi urban anti+dotes recovery shampoo 2.5 oz</t>
        </is>
      </c>
      <c r="D180" t="inlineStr">
        <is>
          <t>Bed Head by TIGI Urban Antidotes Recovery Shampoo and Conditioner for Dry Hair 25.36 fl oz 2 count</t>
        </is>
      </c>
      <c r="E180" s="2">
        <f>HYPERLINK("https://www.amazon.com/TIGI-Anti-dote-Recovery-Shampoo-Conditioner/dp/B003T1G0XI/ref=sr_1_1?keywords=bed+head+by+tigi+urban+antidotes+recovery+shampoo+2.5+oz&amp;qid=1695259374&amp;sr=8-1", "https://www.amazon.com/TIGI-Anti-dote-Recovery-Shampoo-Conditioner/dp/B003T1G0XI/ref=sr_1_1?keywords=bed+head+by+tigi+urban+antidotes+recovery+shampoo+2.5+oz&amp;qid=1695259374&amp;sr=8-1")</f>
        <v/>
      </c>
      <c r="F180" t="inlineStr">
        <is>
          <t>B003T1G0XI</t>
        </is>
      </c>
      <c r="G180">
        <f>IMAGE("https://prolisok-store.com/cdn/shop/products/342172_300x.jpg?v=1690899918")</f>
        <v/>
      </c>
      <c r="H180">
        <f>IMAGE("https://m.media-amazon.com/images/I/71gvFsIeyLL._AC_UL320_.jpg")</f>
        <v/>
      </c>
      <c r="I180" t="inlineStr">
        <is>
          <t>6.29</t>
        </is>
      </c>
      <c r="J180" t="n">
        <v>23.95</v>
      </c>
      <c r="K180" s="3" t="inlineStr">
        <is>
          <t>280.76%</t>
        </is>
      </c>
      <c r="L180" t="n">
        <v>4.6</v>
      </c>
      <c r="M180" t="n">
        <v>7980</v>
      </c>
      <c r="O180" t="inlineStr">
        <is>
          <t>InStock</t>
        </is>
      </c>
      <c r="P180" t="inlineStr">
        <is>
          <t>undefined</t>
        </is>
      </c>
      <c r="Q180" t="inlineStr">
        <is>
          <t>6769970446408</t>
        </is>
      </c>
    </row>
    <row r="181">
      <c r="A181" s="2">
        <f>HYPERLINK("https://prolisok-store.com/collections/hair-care/products/catwalk-by-tigi-oatmeal-and-honey-shampoo-10-14-oz", "https://prolisok-store.com/collections/hair-care/products/catwalk-by-tigi-oatmeal-and-honey-shampoo-10-14-oz")</f>
        <v/>
      </c>
      <c r="B181" s="2">
        <f>HYPERLINK("https://prolisok-store.com/products/catwalk-by-tigi-oatmeal-and-honey-shampoo-10-14-oz", "https://prolisok-store.com/products/catwalk-by-tigi-oatmeal-and-honey-shampoo-10-14-oz")</f>
        <v/>
      </c>
      <c r="C181" t="inlineStr">
        <is>
          <t>Catwalk by tigi oatmeal &amp; honey shampoo 10.14 oz</t>
        </is>
      </c>
      <c r="D181" t="inlineStr">
        <is>
          <t>Tigi Catwalk Honey &amp; Oatmeal Shampoo (12 oz) and Conditioner (8.5 oz) by TIGI Ãƒ¦Ã‚ÂÃ‚ÂÃƒ¥Ã‚ÂŸÃ‚º</t>
        </is>
      </c>
      <c r="E181" s="2">
        <f>HYPERLINK("https://www.amazon.com/Tigi-Catwalk-Oatmeal-Conditioner-%C3%83%C6%92%C3%82%C2%A6%C3%83%C3%82%C3%83%C3%82%C3%83%C6%92%C3%82%C2%A5%C3%83%C3%82%C5%B8%C3%83%C3%82%C2%BA/dp/B01M0X10TH/ref=sr_1_10?keywords=Catwalk+by+tigi+oatmeal&amp;qid=1695259392&amp;sr=8-10", "https://www.amazon.com/Tigi-Catwalk-Oatmeal-Conditioner-%C3%83%C6%92%C3%82%C2%A6%C3%83%C3%82%C3%83%C3%82%C3%83%C6%92%C3%82%C2%A5%C3%83%C3%82%C5%B8%C3%83%C3%82%C2%BA/dp/B01M0X10TH/ref=sr_1_10?keywords=Catwalk+by+tigi+oatmeal&amp;qid=1695259392&amp;sr=8-10")</f>
        <v/>
      </c>
      <c r="F181" t="inlineStr">
        <is>
          <t>B01M0X10TH</t>
        </is>
      </c>
      <c r="G181">
        <f>IMAGE("https://prolisok-store.com/cdn/shop/products/251312_300x.jpg?v=1690900066")</f>
        <v/>
      </c>
      <c r="H181">
        <f>IMAGE("https://m.media-amazon.com/images/I/41PA1SD8E+L._AC_UL320_.jpg")</f>
        <v/>
      </c>
      <c r="I181" t="inlineStr">
        <is>
          <t>15.26</t>
        </is>
      </c>
      <c r="J181" t="n">
        <v>48.99</v>
      </c>
      <c r="K181" s="3" t="inlineStr">
        <is>
          <t>221.04%</t>
        </is>
      </c>
      <c r="L181" t="n">
        <v>4.5</v>
      </c>
      <c r="M181" t="n">
        <v>14</v>
      </c>
      <c r="O181" t="inlineStr">
        <is>
          <t>InStock</t>
        </is>
      </c>
      <c r="P181" t="inlineStr">
        <is>
          <t>undefined</t>
        </is>
      </c>
      <c r="Q181" t="inlineStr">
        <is>
          <t>6769972904008</t>
        </is>
      </c>
    </row>
    <row r="182">
      <c r="A182" s="2">
        <f>HYPERLINK("https://prolisok-store.com/collections/hair-care/products/catwalk-by-tigi-oatmeal-and-honey-conditioner-8-45-oz", "https://prolisok-store.com/collections/hair-care/products/catwalk-by-tigi-oatmeal-and-honey-conditioner-8-45-oz")</f>
        <v/>
      </c>
      <c r="B182" s="2">
        <f>HYPERLINK("https://prolisok-store.com/products/catwalk-by-tigi-oatmeal-and-honey-conditioner-8-45-oz", "https://prolisok-store.com/products/catwalk-by-tigi-oatmeal-and-honey-conditioner-8-45-oz")</f>
        <v/>
      </c>
      <c r="C182" t="inlineStr">
        <is>
          <t>Catwalk by tigi oatmeal &amp; honey conditioner 8.45 oz</t>
        </is>
      </c>
      <c r="D182" t="inlineStr">
        <is>
          <t>Tigi Catwalk Honey &amp; Oatmeal Shampoo (12 oz) and Conditioner (8.5 oz) by TIGI Ãƒ¦Ã‚ÂÃ‚ÂÃƒ¥Ã‚ÂŸÃ‚º</t>
        </is>
      </c>
      <c r="E182" s="2">
        <f>HYPERLINK("https://www.amazon.com/Tigi-Catwalk-Oatmeal-Conditioner-%C3%83%C6%92%C3%82%C2%A6%C3%83%C3%82%C3%83%C3%82%C3%83%C6%92%C3%82%C2%A5%C3%83%C3%82%C5%B8%C3%83%C3%82%C2%BA/dp/B01M0X10TH/ref=sr_1_5?keywords=Catwalk+by+tigi+oatmeal&amp;qid=1695259368&amp;sr=8-5", "https://www.amazon.com/Tigi-Catwalk-Oatmeal-Conditioner-%C3%83%C6%92%C3%82%C2%A6%C3%83%C3%82%C3%83%C3%82%C3%83%C6%92%C3%82%C2%A5%C3%83%C3%82%C5%B8%C3%83%C3%82%C2%BA/dp/B01M0X10TH/ref=sr_1_5?keywords=Catwalk+by+tigi+oatmeal&amp;qid=1695259368&amp;sr=8-5")</f>
        <v/>
      </c>
      <c r="F182" t="inlineStr">
        <is>
          <t>B01M0X10TH</t>
        </is>
      </c>
      <c r="G182">
        <f>IMAGE("https://prolisok-store.com/cdn/shop/products/251803_300x.jpg?v=1690900068")</f>
        <v/>
      </c>
      <c r="H182">
        <f>IMAGE("https://m.media-amazon.com/images/I/41PA1SD8E+L._AC_UL320_.jpg")</f>
        <v/>
      </c>
      <c r="I182" t="inlineStr">
        <is>
          <t>15.3</t>
        </is>
      </c>
      <c r="J182" t="n">
        <v>48.99</v>
      </c>
      <c r="K182" s="3" t="inlineStr">
        <is>
          <t>220.20%</t>
        </is>
      </c>
      <c r="L182" t="n">
        <v>4.5</v>
      </c>
      <c r="M182" t="n">
        <v>14</v>
      </c>
      <c r="O182" t="inlineStr">
        <is>
          <t>InStock</t>
        </is>
      </c>
      <c r="P182" t="inlineStr">
        <is>
          <t>undefined</t>
        </is>
      </c>
      <c r="Q182" t="inlineStr">
        <is>
          <t>6769972936776</t>
        </is>
      </c>
    </row>
    <row r="183">
      <c r="A183" s="2">
        <f>HYPERLINK("https://prolisok-store.com/collections/hair-care/products/bed-head-by-tigi-recovery-shampoo-3-38-oz", "https://prolisok-store.com/collections/hair-care/products/bed-head-by-tigi-recovery-shampoo-3-38-oz")</f>
        <v/>
      </c>
      <c r="B183" s="2">
        <f>HYPERLINK("https://prolisok-store.com/products/bed-head-by-tigi-recovery-shampoo-3-38-oz", "https://prolisok-store.com/products/bed-head-by-tigi-recovery-shampoo-3-38-oz")</f>
        <v/>
      </c>
      <c r="C183" t="inlineStr">
        <is>
          <t>Bed head by tigi recovery shampoo 3.38 oz</t>
        </is>
      </c>
      <c r="D183" t="inlineStr">
        <is>
          <t>TIGI Bed Head Urban Anti-dote PFZoVz Recovery Shampoo &amp; Conditioner Duo Damage Level 2, 25.36 Oz, 2 Units</t>
        </is>
      </c>
      <c r="E183" s="2">
        <f>HYPERLINK("https://www.amazon.com/Anti-dote-PFZoVz-Recovery-Shampoo-Conditioner/dp/B07487K2RB/ref=sr_1_9?keywords=Bed+head+by+tigi+recovery+shampoo+3.38+oz&amp;qid=1695259383&amp;sr=8-9", "https://www.amazon.com/Anti-dote-PFZoVz-Recovery-Shampoo-Conditioner/dp/B07487K2RB/ref=sr_1_9?keywords=Bed+head+by+tigi+recovery+shampoo+3.38+oz&amp;qid=1695259383&amp;sr=8-9")</f>
        <v/>
      </c>
      <c r="F183" t="inlineStr">
        <is>
          <t>B07487K2RB</t>
        </is>
      </c>
      <c r="G183">
        <f>IMAGE("https://prolisok-store.com/cdn/shop/products/416086_300x.jpg?v=1690900041")</f>
        <v/>
      </c>
      <c r="H183">
        <f>IMAGE("https://m.media-amazon.com/images/I/71Wyt4QQhXL._AC_UL320_.jpg")</f>
        <v/>
      </c>
      <c r="I183" t="inlineStr">
        <is>
          <t>8.09</t>
        </is>
      </c>
      <c r="J183" t="n">
        <v>25.72</v>
      </c>
      <c r="K183" s="3" t="inlineStr">
        <is>
          <t>217.92%</t>
        </is>
      </c>
      <c r="L183" t="n">
        <v>4.7</v>
      </c>
      <c r="M183" t="n">
        <v>1085</v>
      </c>
      <c r="O183" t="inlineStr">
        <is>
          <t>InStock</t>
        </is>
      </c>
      <c r="P183" t="inlineStr">
        <is>
          <t>undefined</t>
        </is>
      </c>
      <c r="Q183" t="inlineStr">
        <is>
          <t>6769972478024</t>
        </is>
      </c>
    </row>
    <row r="184">
      <c r="A184" s="2">
        <f>HYPERLINK("https://prolisok-store.com/collections/hair-care/products/bed-head-by-tigi-recovery-shampoo-3-38-oz", "https://prolisok-store.com/collections/hair-care/products/bed-head-by-tigi-recovery-shampoo-3-38-oz")</f>
        <v/>
      </c>
      <c r="B184" s="2">
        <f>HYPERLINK("https://prolisok-store.com/products/bed-head-by-tigi-recovery-shampoo-3-38-oz", "https://prolisok-store.com/products/bed-head-by-tigi-recovery-shampoo-3-38-oz")</f>
        <v/>
      </c>
      <c r="C184" t="inlineStr">
        <is>
          <t>Bed head by tigi recovery shampoo 3.38 oz</t>
        </is>
      </c>
      <c r="D184" t="inlineStr">
        <is>
          <t>Bed Head by TIGI Shampoo &amp; Conditioner For Dry Hair Recovery With Prickly Pear Cactus Extract 2 x 25.36 fl oz,Citrus</t>
        </is>
      </c>
      <c r="E184" s="2">
        <f>HYPERLINK("https://www.amazon.com/TIGI-Shampoo-Conditioner-Recovery-Prickly/dp/B0BRT9LM3J/ref=sr_1_6?keywords=Bed+head+by+tigi+recovery+shampoo+3.38+oz&amp;qid=1695259383&amp;sr=8-6", "https://www.amazon.com/TIGI-Shampoo-Conditioner-Recovery-Prickly/dp/B0BRT9LM3J/ref=sr_1_6?keywords=Bed+head+by+tigi+recovery+shampoo+3.38+oz&amp;qid=1695259383&amp;sr=8-6")</f>
        <v/>
      </c>
      <c r="F184" t="inlineStr">
        <is>
          <t>B0BRT9LM3J</t>
        </is>
      </c>
      <c r="G184">
        <f>IMAGE("https://prolisok-store.com/cdn/shop/products/416086_300x.jpg?v=1690900041")</f>
        <v/>
      </c>
      <c r="H184">
        <f>IMAGE("https://m.media-amazon.com/images/I/71tWMdMnOHL._AC_UL320_.jpg")</f>
        <v/>
      </c>
      <c r="I184" t="inlineStr">
        <is>
          <t>8.09</t>
        </is>
      </c>
      <c r="J184" t="n">
        <v>24.99</v>
      </c>
      <c r="K184" s="3" t="inlineStr">
        <is>
          <t>208.90%</t>
        </is>
      </c>
      <c r="L184" t="n">
        <v>4.6</v>
      </c>
      <c r="M184" t="n">
        <v>410</v>
      </c>
      <c r="O184" t="inlineStr">
        <is>
          <t>InStock</t>
        </is>
      </c>
      <c r="P184" t="inlineStr">
        <is>
          <t>undefined</t>
        </is>
      </c>
      <c r="Q184" t="inlineStr">
        <is>
          <t>6769972478024</t>
        </is>
      </c>
    </row>
    <row r="185">
      <c r="A185" s="2">
        <f>HYPERLINK("https://prolisok-store.com/collections/hair-care/products/bed-head-by-tigi-resurrection-conditioner-3-38-oz", "https://prolisok-store.com/collections/hair-care/products/bed-head-by-tigi-resurrection-conditioner-3-38-oz")</f>
        <v/>
      </c>
      <c r="B185" s="2">
        <f>HYPERLINK("https://prolisok-store.com/products/bed-head-by-tigi-resurrection-conditioner-3-38-oz", "https://prolisok-store.com/products/bed-head-by-tigi-resurrection-conditioner-3-38-oz")</f>
        <v/>
      </c>
      <c r="C185" t="inlineStr">
        <is>
          <t>Bed head by tigi resurrection conditioner 3.38 oz</t>
        </is>
      </c>
      <c r="D185" t="inlineStr">
        <is>
          <t>TIGI Bed Head Shampoo &amp; Conditioner For Damaged Hair Resurrection Infused With The Resurrection Plant 2 x 25.36 fl oz</t>
        </is>
      </c>
      <c r="E185" s="2">
        <f>HYPERLINK("https://www.amazon.com/TIGI-Shampoo-Conditioner-Damaged-Resurrection/dp/B0BRTBN9PB/ref=sr_1_6?keywords=Bed+head+by+tigi+resurrection+conditioner+3.38+oz&amp;qid=1695259395&amp;sr=8-6", "https://www.amazon.com/TIGI-Shampoo-Conditioner-Damaged-Resurrection/dp/B0BRTBN9PB/ref=sr_1_6?keywords=Bed+head+by+tigi+resurrection+conditioner+3.38+oz&amp;qid=1695259395&amp;sr=8-6")</f>
        <v/>
      </c>
      <c r="F185" t="inlineStr">
        <is>
          <t>B0BRTBN9PB</t>
        </is>
      </c>
      <c r="G185">
        <f>IMAGE("https://prolisok-store.com/cdn/shop/products/416087_300x.jpg?v=1690900043")</f>
        <v/>
      </c>
      <c r="H185">
        <f>IMAGE("https://m.media-amazon.com/images/I/716EfzSrDaL._AC_UL320_.jpg")</f>
        <v/>
      </c>
      <c r="I185" t="inlineStr">
        <is>
          <t>8.09</t>
        </is>
      </c>
      <c r="J185" t="n">
        <v>24.99</v>
      </c>
      <c r="K185" s="3" t="inlineStr">
        <is>
          <t>208.90%</t>
        </is>
      </c>
      <c r="L185" t="n">
        <v>4.6</v>
      </c>
      <c r="M185" t="n">
        <v>493</v>
      </c>
      <c r="O185" t="inlineStr">
        <is>
          <t>InStock</t>
        </is>
      </c>
      <c r="P185" t="inlineStr">
        <is>
          <t>undefined</t>
        </is>
      </c>
      <c r="Q185" t="inlineStr">
        <is>
          <t>6769972510792</t>
        </is>
      </c>
    </row>
    <row r="186">
      <c r="A186" s="2">
        <f>HYPERLINK("https://prolisok-store.com/collections/hair-care/products/bed-head-by-tigi-resurrection-shampoo-3-38-oz", "https://prolisok-store.com/collections/hair-care/products/bed-head-by-tigi-resurrection-shampoo-3-38-oz")</f>
        <v/>
      </c>
      <c r="B186" s="2">
        <f>HYPERLINK("https://prolisok-store.com/products/bed-head-by-tigi-resurrection-shampoo-3-38-oz", "https://prolisok-store.com/products/bed-head-by-tigi-resurrection-shampoo-3-38-oz")</f>
        <v/>
      </c>
      <c r="C186" t="inlineStr">
        <is>
          <t>Bed head by tigi resurrection shampoo 3.38 oz</t>
        </is>
      </c>
      <c r="D186" t="inlineStr">
        <is>
          <t>TIGI Bed Head Shampoo &amp; Conditioner For Damaged Hair Resurrection Infused With The Resurrection Plant 2 x 25.36 fl oz</t>
        </is>
      </c>
      <c r="E186" s="2">
        <f>HYPERLINK("https://www.amazon.com/TIGI-Shampoo-Conditioner-Damaged-Resurrection/dp/B0BRTBN9PB/ref=sr_1_4?keywords=Bed+head+by+tigi+resurrection+shampoo+3.38+oz&amp;qid=1695259374&amp;sr=8-4", "https://www.amazon.com/TIGI-Shampoo-Conditioner-Damaged-Resurrection/dp/B0BRTBN9PB/ref=sr_1_4?keywords=Bed+head+by+tigi+resurrection+shampoo+3.38+oz&amp;qid=1695259374&amp;sr=8-4")</f>
        <v/>
      </c>
      <c r="F186" t="inlineStr">
        <is>
          <t>B0BRTBN9PB</t>
        </is>
      </c>
      <c r="G186">
        <f>IMAGE("https://prolisok-store.com/cdn/shop/products/416088_300x.jpg?v=1690900045")</f>
        <v/>
      </c>
      <c r="H186">
        <f>IMAGE("https://m.media-amazon.com/images/I/716EfzSrDaL._AC_UL320_.jpg")</f>
        <v/>
      </c>
      <c r="I186" t="inlineStr">
        <is>
          <t>8.09</t>
        </is>
      </c>
      <c r="J186" t="n">
        <v>24.99</v>
      </c>
      <c r="K186" s="3" t="inlineStr">
        <is>
          <t>208.90%</t>
        </is>
      </c>
      <c r="L186" t="n">
        <v>4.6</v>
      </c>
      <c r="M186" t="n">
        <v>493</v>
      </c>
      <c r="O186" t="inlineStr">
        <is>
          <t>InStock</t>
        </is>
      </c>
      <c r="P186" t="inlineStr">
        <is>
          <t>undefined</t>
        </is>
      </c>
      <c r="Q186" t="inlineStr">
        <is>
          <t>6769972543560</t>
        </is>
      </c>
    </row>
    <row r="187">
      <c r="A187" s="2">
        <f>HYPERLINK("https://prolisok-store.com/collections/hair-care/products/bed-head-by-tigi-urban-antidotes-resurrection-shampoo-2-5-oz", "https://prolisok-store.com/collections/hair-care/products/bed-head-by-tigi-urban-antidotes-resurrection-shampoo-2-5-oz")</f>
        <v/>
      </c>
      <c r="B187" s="2">
        <f>HYPERLINK("https://prolisok-store.com/products/bed-head-by-tigi-urban-antidotes-resurrection-shampoo-2-5-oz", "https://prolisok-store.com/products/bed-head-by-tigi-urban-antidotes-resurrection-shampoo-2-5-oz")</f>
        <v/>
      </c>
      <c r="C187" t="inlineStr">
        <is>
          <t>Bed head by tigi urban anti+dotes resurrection shampoo 2.5 oz</t>
        </is>
      </c>
      <c r="D187" t="inlineStr">
        <is>
          <t>Bed Head by TIGI Urban Antidotes Resurrection Shampoo and Conditioner for Damaged Hair 25.36 fl oz 2 count</t>
        </is>
      </c>
      <c r="E187" s="2">
        <f>HYPERLINK("https://www.amazon.com/Bed-Head-Resurrection-Shampoo-Conditioner/dp/B003T18TE6/ref=sr_1_9?keywords=Bed+head+by+tigi+urban+anti+dotes+resurrection+shampoo+2.5+oz&amp;qid=1695259368&amp;sr=8-9", "https://www.amazon.com/Bed-Head-Resurrection-Shampoo-Conditioner/dp/B003T18TE6/ref=sr_1_9?keywords=Bed+head+by+tigi+urban+anti+dotes+resurrection+shampoo+2.5+oz&amp;qid=1695259368&amp;sr=8-9")</f>
        <v/>
      </c>
      <c r="F187" t="inlineStr">
        <is>
          <t>B003T18TE6</t>
        </is>
      </c>
      <c r="G187">
        <f>IMAGE("https://prolisok-store.com/cdn/shop/products/342174_300x.jpg?v=1690899923")</f>
        <v/>
      </c>
      <c r="H187">
        <f>IMAGE("https://m.media-amazon.com/images/I/71SUeFDYyNL._AC_UL320_.jpg")</f>
        <v/>
      </c>
      <c r="I187" t="inlineStr">
        <is>
          <t>6.29</t>
        </is>
      </c>
      <c r="J187" t="n">
        <v>19.38</v>
      </c>
      <c r="K187" s="3" t="inlineStr">
        <is>
          <t>208.11%</t>
        </is>
      </c>
      <c r="L187" t="n">
        <v>4.6</v>
      </c>
      <c r="M187" t="n">
        <v>12743</v>
      </c>
      <c r="O187" t="inlineStr">
        <is>
          <t>InStock</t>
        </is>
      </c>
      <c r="P187" t="inlineStr">
        <is>
          <t>undefined</t>
        </is>
      </c>
      <c r="Q187" t="inlineStr">
        <is>
          <t>6769970511944</t>
        </is>
      </c>
    </row>
    <row r="188">
      <c r="A188" s="2">
        <f>HYPERLINK("https://prolisok-store.com/collections/hair-care/products/bed-head-by-tigi-resurrection-shampoo-3-38-oz", "https://prolisok-store.com/collections/hair-care/products/bed-head-by-tigi-resurrection-shampoo-3-38-oz")</f>
        <v/>
      </c>
      <c r="B188" s="2">
        <f>HYPERLINK("https://prolisok-store.com/products/bed-head-by-tigi-resurrection-shampoo-3-38-oz", "https://prolisok-store.com/products/bed-head-by-tigi-resurrection-shampoo-3-38-oz")</f>
        <v/>
      </c>
      <c r="C188" t="inlineStr">
        <is>
          <t>Bed head by tigi resurrection shampoo 3.38 oz</t>
        </is>
      </c>
      <c r="D188" t="inlineStr">
        <is>
          <t>Bed Head by TIGI Urban Antidotes Recovery Shampoo and Conditioner for Dry Hair 25.36 fl oz 2 count</t>
        </is>
      </c>
      <c r="E188" s="2">
        <f>HYPERLINK("https://www.amazon.com/TIGI-Anti-dote-Recovery-Shampoo-Conditioner/dp/B003T1G0XI/ref=sr_1_8?keywords=Bed+head+by+tigi+resurrection+shampoo+3.38+oz&amp;qid=1695259374&amp;sr=8-8", "https://www.amazon.com/TIGI-Anti-dote-Recovery-Shampoo-Conditioner/dp/B003T1G0XI/ref=sr_1_8?keywords=Bed+head+by+tigi+resurrection+shampoo+3.38+oz&amp;qid=1695259374&amp;sr=8-8")</f>
        <v/>
      </c>
      <c r="F188" t="inlineStr">
        <is>
          <t>B003T1G0XI</t>
        </is>
      </c>
      <c r="G188">
        <f>IMAGE("https://prolisok-store.com/cdn/shop/products/416088_300x.jpg?v=1690900045")</f>
        <v/>
      </c>
      <c r="H188">
        <f>IMAGE("https://m.media-amazon.com/images/I/71gvFsIeyLL._AC_UL320_.jpg")</f>
        <v/>
      </c>
      <c r="I188" t="inlineStr">
        <is>
          <t>8.09</t>
        </is>
      </c>
      <c r="J188" t="n">
        <v>23.95</v>
      </c>
      <c r="K188" s="3" t="inlineStr">
        <is>
          <t>196.04%</t>
        </is>
      </c>
      <c r="L188" t="n">
        <v>4.6</v>
      </c>
      <c r="M188" t="n">
        <v>7980</v>
      </c>
      <c r="O188" t="inlineStr">
        <is>
          <t>InStock</t>
        </is>
      </c>
      <c r="P188" t="inlineStr">
        <is>
          <t>undefined</t>
        </is>
      </c>
      <c r="Q188" t="inlineStr">
        <is>
          <t>6769972543560</t>
        </is>
      </c>
    </row>
    <row r="189">
      <c r="A189" s="2">
        <f>HYPERLINK("https://prolisok-store.com/collections/hair-care/products/bed-head-by-tigi-resurrection-conditioner-3-38-oz", "https://prolisok-store.com/collections/hair-care/products/bed-head-by-tigi-resurrection-conditioner-3-38-oz")</f>
        <v/>
      </c>
      <c r="B189" s="2">
        <f>HYPERLINK("https://prolisok-store.com/products/bed-head-by-tigi-resurrection-conditioner-3-38-oz", "https://prolisok-store.com/products/bed-head-by-tigi-resurrection-conditioner-3-38-oz")</f>
        <v/>
      </c>
      <c r="C189" t="inlineStr">
        <is>
          <t>Bed head by tigi resurrection conditioner 3.38 oz</t>
        </is>
      </c>
      <c r="D189" t="inlineStr">
        <is>
          <t>Bed Head by TIGI Urban Antidotes Recovery Shampoo and Conditioner for Dry Hair 25.36 fl oz 2 count</t>
        </is>
      </c>
      <c r="E189" s="2">
        <f>HYPERLINK("https://www.amazon.com/TIGI-Anti-dote-Recovery-Shampoo-Conditioner/dp/B003T1G0XI/ref=sr_1_8?keywords=Bed+head+by+tigi+resurrection+conditioner+3.38+oz&amp;qid=1695259395&amp;sr=8-8", "https://www.amazon.com/TIGI-Anti-dote-Recovery-Shampoo-Conditioner/dp/B003T1G0XI/ref=sr_1_8?keywords=Bed+head+by+tigi+resurrection+conditioner+3.38+oz&amp;qid=1695259395&amp;sr=8-8")</f>
        <v/>
      </c>
      <c r="F189" t="inlineStr">
        <is>
          <t>B003T1G0XI</t>
        </is>
      </c>
      <c r="G189">
        <f>IMAGE("https://prolisok-store.com/cdn/shop/products/416087_300x.jpg?v=1690900043")</f>
        <v/>
      </c>
      <c r="H189">
        <f>IMAGE("https://m.media-amazon.com/images/I/71gvFsIeyLL._AC_UL320_.jpg")</f>
        <v/>
      </c>
      <c r="I189" t="inlineStr">
        <is>
          <t>8.09</t>
        </is>
      </c>
      <c r="J189" t="n">
        <v>23.95</v>
      </c>
      <c r="K189" s="3" t="inlineStr">
        <is>
          <t>196.04%</t>
        </is>
      </c>
      <c r="L189" t="n">
        <v>4.6</v>
      </c>
      <c r="M189" t="n">
        <v>7980</v>
      </c>
      <c r="O189" t="inlineStr">
        <is>
          <t>InStock</t>
        </is>
      </c>
      <c r="P189" t="inlineStr">
        <is>
          <t>undefined</t>
        </is>
      </c>
      <c r="Q189" t="inlineStr">
        <is>
          <t>6769972510792</t>
        </is>
      </c>
    </row>
    <row r="190">
      <c r="A190" s="2">
        <f>HYPERLINK("https://prolisok-store.com/collections/hair-care/products/bed-head-by-tigi-recovery-shampoo-3-38-oz", "https://prolisok-store.com/collections/hair-care/products/bed-head-by-tigi-recovery-shampoo-3-38-oz")</f>
        <v/>
      </c>
      <c r="B190" s="2">
        <f>HYPERLINK("https://prolisok-store.com/products/bed-head-by-tigi-recovery-shampoo-3-38-oz", "https://prolisok-store.com/products/bed-head-by-tigi-recovery-shampoo-3-38-oz")</f>
        <v/>
      </c>
      <c r="C190" t="inlineStr">
        <is>
          <t>Bed head by tigi recovery shampoo 3.38 oz</t>
        </is>
      </c>
      <c r="D190" t="inlineStr">
        <is>
          <t>Bed Head by TIGI Urban Antidotes Recovery Shampoo and Conditioner for Dry Hair 25.36 fl oz 2 count</t>
        </is>
      </c>
      <c r="E190" s="2">
        <f>HYPERLINK("https://www.amazon.com/TIGI-Anti-dote-Recovery-Shampoo-Conditioner/dp/B003T1G0XI/ref=sr_1_1?keywords=Bed+head+by+tigi+recovery+shampoo+3.38+oz&amp;qid=1695259383&amp;sr=8-1", "https://www.amazon.com/TIGI-Anti-dote-Recovery-Shampoo-Conditioner/dp/B003T1G0XI/ref=sr_1_1?keywords=Bed+head+by+tigi+recovery+shampoo+3.38+oz&amp;qid=1695259383&amp;sr=8-1")</f>
        <v/>
      </c>
      <c r="F190" t="inlineStr">
        <is>
          <t>B003T1G0XI</t>
        </is>
      </c>
      <c r="G190">
        <f>IMAGE("https://prolisok-store.com/cdn/shop/products/416086_300x.jpg?v=1690900041")</f>
        <v/>
      </c>
      <c r="H190">
        <f>IMAGE("https://m.media-amazon.com/images/I/71gvFsIeyLL._AC_UL320_.jpg")</f>
        <v/>
      </c>
      <c r="I190" t="inlineStr">
        <is>
          <t>8.09</t>
        </is>
      </c>
      <c r="J190" t="n">
        <v>23.95</v>
      </c>
      <c r="K190" s="3" t="inlineStr">
        <is>
          <t>196.04%</t>
        </is>
      </c>
      <c r="L190" t="n">
        <v>4.6</v>
      </c>
      <c r="M190" t="n">
        <v>7980</v>
      </c>
      <c r="O190" t="inlineStr">
        <is>
          <t>InStock</t>
        </is>
      </c>
      <c r="P190" t="inlineStr">
        <is>
          <t>undefined</t>
        </is>
      </c>
      <c r="Q190" t="inlineStr">
        <is>
          <t>6769972478024</t>
        </is>
      </c>
    </row>
    <row r="191">
      <c r="A191" s="2">
        <f>HYPERLINK("https://prolisok-store.com/collections/hair-care/products/bed-head-by-tigi-resurrection-shampoo-3-38-oz", "https://prolisok-store.com/collections/hair-care/products/bed-head-by-tigi-resurrection-shampoo-3-38-oz")</f>
        <v/>
      </c>
      <c r="B191" s="2">
        <f>HYPERLINK("https://prolisok-store.com/products/bed-head-by-tigi-resurrection-shampoo-3-38-oz", "https://prolisok-store.com/products/bed-head-by-tigi-resurrection-shampoo-3-38-oz")</f>
        <v/>
      </c>
      <c r="C191" t="inlineStr">
        <is>
          <t>Bed head by tigi resurrection shampoo 3.38 oz</t>
        </is>
      </c>
      <c r="D191" t="inlineStr">
        <is>
          <t>Bed Head by TIGI Urban Antidotes Re-Energize Daily Shampoo and Conditioner 25.36 fl oz 2 count</t>
        </is>
      </c>
      <c r="E191" s="2">
        <f>HYPERLINK("https://www.amazon.com/TIGI-Re-Energize-Shampoo-Conditioner-25-36/dp/B003T1CQDQ/ref=sr_1_9?keywords=Bed+head+by+tigi+resurrection+shampoo+3.38+oz&amp;qid=1695259374&amp;sr=8-9", "https://www.amazon.com/TIGI-Re-Energize-Shampoo-Conditioner-25-36/dp/B003T1CQDQ/ref=sr_1_9?keywords=Bed+head+by+tigi+resurrection+shampoo+3.38+oz&amp;qid=1695259374&amp;sr=8-9")</f>
        <v/>
      </c>
      <c r="F191" t="inlineStr">
        <is>
          <t>B003T1CQDQ</t>
        </is>
      </c>
      <c r="G191">
        <f>IMAGE("https://prolisok-store.com/cdn/shop/products/416088_300x.jpg?v=1690900045")</f>
        <v/>
      </c>
      <c r="H191">
        <f>IMAGE("https://m.media-amazon.com/images/I/81RdG+inaUL._AC_UL320_.jpg")</f>
        <v/>
      </c>
      <c r="I191" t="inlineStr">
        <is>
          <t>8.09</t>
        </is>
      </c>
      <c r="J191" t="n">
        <v>22.35</v>
      </c>
      <c r="K191" s="3" t="inlineStr">
        <is>
          <t>176.27%</t>
        </is>
      </c>
      <c r="L191" t="n">
        <v>4.6</v>
      </c>
      <c r="M191" t="n">
        <v>5605</v>
      </c>
      <c r="O191" t="inlineStr">
        <is>
          <t>InStock</t>
        </is>
      </c>
      <c r="P191" t="inlineStr">
        <is>
          <t>undefined</t>
        </is>
      </c>
      <c r="Q191" t="inlineStr">
        <is>
          <t>6769972543560</t>
        </is>
      </c>
    </row>
    <row r="192">
      <c r="A192" s="2">
        <f>HYPERLINK("https://prolisok-store.com/collections/hair-care/products/bed-head-by-tigi-resurrection-conditioner-3-38-oz", "https://prolisok-store.com/collections/hair-care/products/bed-head-by-tigi-resurrection-conditioner-3-38-oz")</f>
        <v/>
      </c>
      <c r="B192" s="2">
        <f>HYPERLINK("https://prolisok-store.com/products/bed-head-by-tigi-resurrection-conditioner-3-38-oz", "https://prolisok-store.com/products/bed-head-by-tigi-resurrection-conditioner-3-38-oz")</f>
        <v/>
      </c>
      <c r="C192" t="inlineStr">
        <is>
          <t>Bed head by tigi resurrection conditioner 3.38 oz</t>
        </is>
      </c>
      <c r="D192" t="inlineStr">
        <is>
          <t>Bed Head by TIGI Urban Antidotes Re-Energize Daily Shampoo and Conditioner 25.36 fl oz 2 count</t>
        </is>
      </c>
      <c r="E192" s="2">
        <f>HYPERLINK("https://www.amazon.com/TIGI-Re-Energize-Shampoo-Conditioner-25-36/dp/B003T1CQDQ/ref=sr_1_10?keywords=Bed+head+by+tigi+resurrection+conditioner+3.38+oz&amp;qid=1695259395&amp;sr=8-10", "https://www.amazon.com/TIGI-Re-Energize-Shampoo-Conditioner-25-36/dp/B003T1CQDQ/ref=sr_1_10?keywords=Bed+head+by+tigi+resurrection+conditioner+3.38+oz&amp;qid=1695259395&amp;sr=8-10")</f>
        <v/>
      </c>
      <c r="F192" t="inlineStr">
        <is>
          <t>B003T1CQDQ</t>
        </is>
      </c>
      <c r="G192">
        <f>IMAGE("https://prolisok-store.com/cdn/shop/products/416087_300x.jpg?v=1690900043")</f>
        <v/>
      </c>
      <c r="H192">
        <f>IMAGE("https://m.media-amazon.com/images/I/81RdG+inaUL._AC_UL320_.jpg")</f>
        <v/>
      </c>
      <c r="I192" t="inlineStr">
        <is>
          <t>8.09</t>
        </is>
      </c>
      <c r="J192" t="n">
        <v>22.35</v>
      </c>
      <c r="K192" s="3" t="inlineStr">
        <is>
          <t>176.27%</t>
        </is>
      </c>
      <c r="L192" t="n">
        <v>4.6</v>
      </c>
      <c r="M192" t="n">
        <v>5605</v>
      </c>
      <c r="O192" t="inlineStr">
        <is>
          <t>InStock</t>
        </is>
      </c>
      <c r="P192" t="inlineStr">
        <is>
          <t>undefined</t>
        </is>
      </c>
      <c r="Q192" t="inlineStr">
        <is>
          <t>6769972510792</t>
        </is>
      </c>
    </row>
    <row r="193">
      <c r="A193" s="2">
        <f>HYPERLINK("https://prolisok-store.com/collections/hair-care/products/bed-head-by-tigi-recovery-shampoo-3-38-oz", "https://prolisok-store.com/collections/hair-care/products/bed-head-by-tigi-recovery-shampoo-3-38-oz")</f>
        <v/>
      </c>
      <c r="B193" s="2">
        <f>HYPERLINK("https://prolisok-store.com/products/bed-head-by-tigi-recovery-shampoo-3-38-oz", "https://prolisok-store.com/products/bed-head-by-tigi-recovery-shampoo-3-38-oz")</f>
        <v/>
      </c>
      <c r="C193" t="inlineStr">
        <is>
          <t>Bed head by tigi recovery shampoo 3.38 oz</t>
        </is>
      </c>
      <c r="D193" t="inlineStr">
        <is>
          <t>Bed Head by TIGI Urban Antidotes Re-Energize Daily Shampoo and Conditioner 25.36 fl oz 2 count</t>
        </is>
      </c>
      <c r="E193" s="2">
        <f>HYPERLINK("https://www.amazon.com/TIGI-Re-Energize-Shampoo-Conditioner-25-36/dp/B003T1CQDQ/ref=sr_1_10?keywords=Bed+head+by+tigi+recovery+shampoo+3.38+oz&amp;qid=1695259383&amp;sr=8-10", "https://www.amazon.com/TIGI-Re-Energize-Shampoo-Conditioner-25-36/dp/B003T1CQDQ/ref=sr_1_10?keywords=Bed+head+by+tigi+recovery+shampoo+3.38+oz&amp;qid=1695259383&amp;sr=8-10")</f>
        <v/>
      </c>
      <c r="F193" t="inlineStr">
        <is>
          <t>B003T1CQDQ</t>
        </is>
      </c>
      <c r="G193">
        <f>IMAGE("https://prolisok-store.com/cdn/shop/products/416086_300x.jpg?v=1690900041")</f>
        <v/>
      </c>
      <c r="H193">
        <f>IMAGE("https://m.media-amazon.com/images/I/81RdG+inaUL._AC_UL320_.jpg")</f>
        <v/>
      </c>
      <c r="I193" t="inlineStr">
        <is>
          <t>8.09</t>
        </is>
      </c>
      <c r="J193" t="n">
        <v>22.35</v>
      </c>
      <c r="K193" s="3" t="inlineStr">
        <is>
          <t>176.27%</t>
        </is>
      </c>
      <c r="L193" t="n">
        <v>4.6</v>
      </c>
      <c r="M193" t="n">
        <v>5605</v>
      </c>
      <c r="O193" t="inlineStr">
        <is>
          <t>InStock</t>
        </is>
      </c>
      <c r="P193" t="inlineStr">
        <is>
          <t>undefined</t>
        </is>
      </c>
      <c r="Q193" t="inlineStr">
        <is>
          <t>6769972478024</t>
        </is>
      </c>
    </row>
    <row r="194">
      <c r="A194" s="2">
        <f>HYPERLINK("https://prolisok-store.com/collections/hair-care/products/bed-head-by-tigi-moisture-maniac-conditioner-13-53-oz", "https://prolisok-store.com/collections/hair-care/products/bed-head-by-tigi-moisture-maniac-conditioner-13-53-oz")</f>
        <v/>
      </c>
      <c r="B194" s="2">
        <f>HYPERLINK("https://prolisok-store.com/products/bed-head-by-tigi-moisture-maniac-conditioner-13-53-oz", "https://prolisok-store.com/products/bed-head-by-tigi-moisture-maniac-conditioner-13-53-oz")</f>
        <v/>
      </c>
      <c r="C194" t="inlineStr">
        <is>
          <t>Bed head by tigi moisture maniac conditioner 13.53 oz</t>
        </is>
      </c>
      <c r="D194" t="inlineStr">
        <is>
          <t>Bed Head Tigi Moisture Maniac Moisturizing Shampoo 13.53oz &amp; Moisture Maniac Moisturising Conditioner 8.45oz</t>
        </is>
      </c>
      <c r="E194" s="2">
        <f>HYPERLINK("https://www.amazon.com/Moisture-Moisturizing-Shampoo-Moisturising-Conditioner/dp/B017TETEL0/ref=sr_1_1?keywords=Bed+head+by+tigi+moisture+maniac+conditioner+13.53+oz&amp;qid=1695259400&amp;sr=8-1", "https://www.amazon.com/Moisture-Moisturizing-Shampoo-Moisturising-Conditioner/dp/B017TETEL0/ref=sr_1_1?keywords=Bed+head+by+tigi+moisture+maniac+conditioner+13.53+oz&amp;qid=1695259400&amp;sr=8-1")</f>
        <v/>
      </c>
      <c r="F194" t="inlineStr">
        <is>
          <t>B017TETEL0</t>
        </is>
      </c>
      <c r="G194">
        <f>IMAGE("https://prolisok-store.com/cdn/shop/products/458919_300x.jpg?v=1690899990")</f>
        <v/>
      </c>
      <c r="H194">
        <f>IMAGE("https://m.media-amazon.com/images/I/71I3MeE6kwL._AC_UL320_.jpg")</f>
        <v/>
      </c>
      <c r="I194" t="inlineStr">
        <is>
          <t>14.85</t>
        </is>
      </c>
      <c r="J194" t="n">
        <v>39.9</v>
      </c>
      <c r="K194" s="3" t="inlineStr">
        <is>
          <t>168.69%</t>
        </is>
      </c>
      <c r="L194" t="n">
        <v>4.5</v>
      </c>
      <c r="M194" t="n">
        <v>12</v>
      </c>
      <c r="O194" t="inlineStr">
        <is>
          <t>InStock</t>
        </is>
      </c>
      <c r="P194" t="inlineStr">
        <is>
          <t>undefined</t>
        </is>
      </c>
      <c r="Q194" t="inlineStr">
        <is>
          <t>6769971560520</t>
        </is>
      </c>
    </row>
    <row r="195">
      <c r="A195" s="2">
        <f>HYPERLINK("https://prolisok-store.com/collections/hair-care/products/bed-head-by-tigi-small-talk-thickening-cream-4-23-oz", "https://prolisok-store.com/collections/hair-care/products/bed-head-by-tigi-small-talk-thickening-cream-4-23-oz")</f>
        <v/>
      </c>
      <c r="B195" s="2">
        <f>HYPERLINK("https://prolisok-store.com/products/bed-head-by-tigi-small-talk-thickening-cream-4-23-oz", "https://prolisok-store.com/products/bed-head-by-tigi-small-talk-thickening-cream-4-23-oz")</f>
        <v/>
      </c>
      <c r="C195" t="inlineStr">
        <is>
          <t>Bed head by tigi small talk thickening cream 4.23 oz</t>
        </is>
      </c>
      <c r="D195" t="inlineStr">
        <is>
          <t>Bed Head Small Talk 3-in-1 Thickifier by TIGI- 8oz</t>
        </is>
      </c>
      <c r="E195" s="2">
        <f>HYPERLINK("https://www.amazon.com/Head-Small-Talk-Thickifier-TIGI/dp/B001EWF29M/ref=sr_1_4?keywords=Bed+head+by+tigi+small+talk+thickening+cream+4.23+oz&amp;qid=1695259387&amp;sr=8-4", "https://www.amazon.com/Head-Small-Talk-Thickifier-TIGI/dp/B001EWF29M/ref=sr_1_4?keywords=Bed+head+by+tigi+small+talk+thickening+cream+4.23+oz&amp;qid=1695259387&amp;sr=8-4")</f>
        <v/>
      </c>
      <c r="F195" t="inlineStr">
        <is>
          <t>B001EWF29M</t>
        </is>
      </c>
      <c r="G195">
        <f>IMAGE("https://prolisok-store.com/cdn/shop/products/416090_300x.jpg?v=1690900049")</f>
        <v/>
      </c>
      <c r="H195">
        <f>IMAGE("https://m.media-amazon.com/images/I/51dahAgcBmL._AC_UL320_.jpg")</f>
        <v/>
      </c>
      <c r="I195" t="inlineStr">
        <is>
          <t>9.9</t>
        </is>
      </c>
      <c r="J195" t="n">
        <v>24.05</v>
      </c>
      <c r="K195" s="3" t="inlineStr">
        <is>
          <t>142.93%</t>
        </is>
      </c>
      <c r="L195" t="n">
        <v>4.6</v>
      </c>
      <c r="M195" t="n">
        <v>4485</v>
      </c>
      <c r="O195" t="inlineStr">
        <is>
          <t>InStock</t>
        </is>
      </c>
      <c r="P195" t="inlineStr">
        <is>
          <t>undefined</t>
        </is>
      </c>
      <c r="Q195" t="inlineStr">
        <is>
          <t>6769972609096</t>
        </is>
      </c>
    </row>
    <row r="196">
      <c r="A196" s="2">
        <f>HYPERLINK("https://prolisok-store.com/collections/hair-care/products/bed-head-by-tigi-resurrection-shampoo-3-38-oz", "https://prolisok-store.com/collections/hair-care/products/bed-head-by-tigi-resurrection-shampoo-3-38-oz")</f>
        <v/>
      </c>
      <c r="B196" s="2">
        <f>HYPERLINK("https://prolisok-store.com/products/bed-head-by-tigi-resurrection-shampoo-3-38-oz", "https://prolisok-store.com/products/bed-head-by-tigi-resurrection-shampoo-3-38-oz")</f>
        <v/>
      </c>
      <c r="C196" t="inlineStr">
        <is>
          <t>Bed head by tigi resurrection shampoo 3.38 oz</t>
        </is>
      </c>
      <c r="D196" t="inlineStr">
        <is>
          <t>Bed Head by TIGI Urban Antidotes Resurrection Shampoo and Conditioner for Damaged Hair 25.36 fl oz 2 count</t>
        </is>
      </c>
      <c r="E196" s="2">
        <f>HYPERLINK("https://www.amazon.com/Bed-Head-Resurrection-Shampoo-Conditioner/dp/B003T18TE6/ref=sr_1_1?keywords=Bed+head+by+tigi+resurrection+shampoo+3.38+oz&amp;qid=1695259374&amp;sr=8-1", "https://www.amazon.com/Bed-Head-Resurrection-Shampoo-Conditioner/dp/B003T18TE6/ref=sr_1_1?keywords=Bed+head+by+tigi+resurrection+shampoo+3.38+oz&amp;qid=1695259374&amp;sr=8-1")</f>
        <v/>
      </c>
      <c r="F196" t="inlineStr">
        <is>
          <t>B003T18TE6</t>
        </is>
      </c>
      <c r="G196">
        <f>IMAGE("https://prolisok-store.com/cdn/shop/products/416088_300x.jpg?v=1690900045")</f>
        <v/>
      </c>
      <c r="H196">
        <f>IMAGE("https://m.media-amazon.com/images/I/71SUeFDYyNL._AC_UL320_.jpg")</f>
        <v/>
      </c>
      <c r="I196" t="inlineStr">
        <is>
          <t>8.09</t>
        </is>
      </c>
      <c r="J196" t="n">
        <v>19.38</v>
      </c>
      <c r="K196" s="3" t="inlineStr">
        <is>
          <t>139.56%</t>
        </is>
      </c>
      <c r="L196" t="n">
        <v>4.6</v>
      </c>
      <c r="M196" t="n">
        <v>12743</v>
      </c>
      <c r="O196" t="inlineStr">
        <is>
          <t>InStock</t>
        </is>
      </c>
      <c r="P196" t="inlineStr">
        <is>
          <t>undefined</t>
        </is>
      </c>
      <c r="Q196" t="inlineStr">
        <is>
          <t>6769972543560</t>
        </is>
      </c>
    </row>
    <row r="197">
      <c r="A197" s="2">
        <f>HYPERLINK("https://prolisok-store.com/collections/hair-care/products/bed-head-by-tigi-resurrection-conditioner-3-38-oz", "https://prolisok-store.com/collections/hair-care/products/bed-head-by-tigi-resurrection-conditioner-3-38-oz")</f>
        <v/>
      </c>
      <c r="B197" s="2">
        <f>HYPERLINK("https://prolisok-store.com/products/bed-head-by-tigi-resurrection-conditioner-3-38-oz", "https://prolisok-store.com/products/bed-head-by-tigi-resurrection-conditioner-3-38-oz")</f>
        <v/>
      </c>
      <c r="C197" t="inlineStr">
        <is>
          <t>Bed head by tigi resurrection conditioner 3.38 oz</t>
        </is>
      </c>
      <c r="D197" t="inlineStr">
        <is>
          <t>Bed Head by TIGI Urban Antidotes Resurrection Shampoo and Conditioner for Damaged Hair 25.36 fl oz 2 count</t>
        </is>
      </c>
      <c r="E197" s="2">
        <f>HYPERLINK("https://www.amazon.com/Bed-Head-Resurrection-Shampoo-Conditioner/dp/B003T18TE6/ref=sr_1_2?keywords=Bed+head+by+tigi+resurrection+conditioner+3.38+oz&amp;qid=1695259395&amp;sr=8-2", "https://www.amazon.com/Bed-Head-Resurrection-Shampoo-Conditioner/dp/B003T18TE6/ref=sr_1_2?keywords=Bed+head+by+tigi+resurrection+conditioner+3.38+oz&amp;qid=1695259395&amp;sr=8-2")</f>
        <v/>
      </c>
      <c r="F197" t="inlineStr">
        <is>
          <t>B003T18TE6</t>
        </is>
      </c>
      <c r="G197">
        <f>IMAGE("https://prolisok-store.com/cdn/shop/products/416087_300x.jpg?v=1690900043")</f>
        <v/>
      </c>
      <c r="H197">
        <f>IMAGE("https://m.media-amazon.com/images/I/71SUeFDYyNL._AC_UL320_.jpg")</f>
        <v/>
      </c>
      <c r="I197" t="inlineStr">
        <is>
          <t>8.09</t>
        </is>
      </c>
      <c r="J197" t="n">
        <v>19.38</v>
      </c>
      <c r="K197" s="3" t="inlineStr">
        <is>
          <t>139.56%</t>
        </is>
      </c>
      <c r="L197" t="n">
        <v>4.6</v>
      </c>
      <c r="M197" t="n">
        <v>12743</v>
      </c>
      <c r="O197" t="inlineStr">
        <is>
          <t>InStock</t>
        </is>
      </c>
      <c r="P197" t="inlineStr">
        <is>
          <t>undefined</t>
        </is>
      </c>
      <c r="Q197" t="inlineStr">
        <is>
          <t>6769972510792</t>
        </is>
      </c>
    </row>
    <row r="198">
      <c r="A198" s="2">
        <f>HYPERLINK("https://prolisok-store.com/collections/hair-care/products/bed-head-by-tigi-colour-goddess-oil-infused-shampoo-for-coloured-hair-13-5-oz", "https://prolisok-store.com/collections/hair-care/products/bed-head-by-tigi-colour-goddess-oil-infused-shampoo-for-coloured-hair-13-5-oz")</f>
        <v/>
      </c>
      <c r="B198" s="2">
        <f>HYPERLINK("https://prolisok-store.com/products/bed-head-by-tigi-colour-goddess-oil-infused-shampoo-for-coloured-hair-13-5-oz", "https://prolisok-store.com/products/bed-head-by-tigi-colour-goddess-oil-infused-shampoo-for-coloured-hair-13-5-oz")</f>
        <v/>
      </c>
      <c r="C198" t="inlineStr">
        <is>
          <t>Bed head by tigi colour goddess oil infused shampoo for coloured hair 13.5 oz</t>
        </is>
      </c>
      <c r="D198" t="inlineStr">
        <is>
          <t>TIGI Bed Head Colour Goddess Shampoo &amp; Conditioner Bundle for Coloured Hair 13.53 fl oz</t>
        </is>
      </c>
      <c r="E198" s="2">
        <f>HYPERLINK("https://www.amazon.com/TIGI-Goddess-Shampoo-Conditioner-Coloured/dp/B0BNWF9TQ8/ref=sr_1_10?keywords=Bed+head+by+tigi+colour+goddess+oil+infused+shampoo+for+coloured+hair+13.5+oz&amp;qid=1695259369&amp;sr=8-10", "https://www.amazon.com/TIGI-Goddess-Shampoo-Conditioner-Coloured/dp/B0BNWF9TQ8/ref=sr_1_10?keywords=Bed+head+by+tigi+colour+goddess+oil+infused+shampoo+for+coloured+hair+13.5+oz&amp;qid=1695259369&amp;sr=8-10")</f>
        <v/>
      </c>
      <c r="F198" t="inlineStr">
        <is>
          <t>B0BNWF9TQ8</t>
        </is>
      </c>
      <c r="G198">
        <f>IMAGE("https://prolisok-store.com/cdn/shop/products/251252_300x.jpg?v=1690899937")</f>
        <v/>
      </c>
      <c r="H198">
        <f>IMAGE("https://m.media-amazon.com/images/I/41WPvwrim2L._AC_UL320_.jpg")</f>
        <v/>
      </c>
      <c r="I198" t="inlineStr">
        <is>
          <t>14.85</t>
        </is>
      </c>
      <c r="J198" t="n">
        <v>32</v>
      </c>
      <c r="K198" s="3" t="inlineStr">
        <is>
          <t>115.49%</t>
        </is>
      </c>
      <c r="L198" t="n">
        <v>4</v>
      </c>
      <c r="M198" t="n">
        <v>13</v>
      </c>
      <c r="O198" t="inlineStr">
        <is>
          <t>InStock</t>
        </is>
      </c>
      <c r="P198" t="inlineStr">
        <is>
          <t>undefined</t>
        </is>
      </c>
      <c r="Q198" t="inlineStr">
        <is>
          <t>6769970708552</t>
        </is>
      </c>
    </row>
    <row r="199">
      <c r="A199" s="2">
        <f>HYPERLINK("https://prolisok-store.com/collections/hair-care/products/bed-head-men-by-tigi-wise-up-scalp-shampoo-8-45-oz", "https://prolisok-store.com/collections/hair-care/products/bed-head-men-by-tigi-wise-up-scalp-shampoo-8-45-oz")</f>
        <v/>
      </c>
      <c r="B199" s="2">
        <f>HYPERLINK("https://prolisok-store.com/products/bed-head-men-by-tigi-wise-up-scalp-shampoo-8-45-oz", "https://prolisok-store.com/products/bed-head-men-by-tigi-wise-up-scalp-shampoo-8-45-oz")</f>
        <v/>
      </c>
      <c r="C199" t="inlineStr">
        <is>
          <t>Bed head men by tigi wise up scalp shampoo 8.45 oz</t>
        </is>
      </c>
      <c r="D199" t="inlineStr">
        <is>
          <t>Tigi Bed Head B for Men Clean Up Kit By for Men - 2 Pc Kit 25.36 Oz Shampoo, 25.36 Oz Conditioner, 2count</t>
        </is>
      </c>
      <c r="E199" s="2">
        <f>HYPERLINK("https://www.amazon.com/Tigi-Bed-Head-Men-Clean/dp/B01BVV6CVM/ref=sr_1_10?keywords=Bed+head+men+by+tigi+wise+up+scalp+shampoo+8.45+oz&amp;qid=1695259382&amp;sr=8-10", "https://www.amazon.com/Tigi-Bed-Head-Men-Clean/dp/B01BVV6CVM/ref=sr_1_10?keywords=Bed+head+men+by+tigi+wise+up+scalp+shampoo+8.45+oz&amp;qid=1695259382&amp;sr=8-10")</f>
        <v/>
      </c>
      <c r="F199" t="inlineStr">
        <is>
          <t>B01BVV6CVM</t>
        </is>
      </c>
      <c r="G199">
        <f>IMAGE("https://prolisok-store.com/cdn/shop/products/280801_300x.jpg?v=1690900112")</f>
        <v/>
      </c>
      <c r="H199">
        <f>IMAGE("https://m.media-amazon.com/images/I/51j4MZXaJeL._AC_UL320_.jpg")</f>
        <v/>
      </c>
      <c r="I199" t="inlineStr">
        <is>
          <t>13.5</t>
        </is>
      </c>
      <c r="J199" t="n">
        <v>28.99</v>
      </c>
      <c r="K199" s="3" t="inlineStr">
        <is>
          <t>114.74%</t>
        </is>
      </c>
      <c r="L199" t="n">
        <v>4.7</v>
      </c>
      <c r="M199" t="n">
        <v>4134</v>
      </c>
      <c r="O199" t="inlineStr">
        <is>
          <t>InStock</t>
        </is>
      </c>
      <c r="P199" t="inlineStr">
        <is>
          <t>undefined</t>
        </is>
      </c>
      <c r="Q199" t="inlineStr">
        <is>
          <t>6769973690440</t>
        </is>
      </c>
    </row>
    <row r="200">
      <c r="A200" s="2">
        <f>HYPERLINK("https://prolisok-store.com/collections/hair-care/products/bed-head-by-tigi-moisture-maniac-conditioner-13-53-oz", "https://prolisok-store.com/collections/hair-care/products/bed-head-by-tigi-moisture-maniac-conditioner-13-53-oz")</f>
        <v/>
      </c>
      <c r="B200" s="2">
        <f>HYPERLINK("https://prolisok-store.com/products/bed-head-by-tigi-moisture-maniac-conditioner-13-53-oz", "https://prolisok-store.com/products/bed-head-by-tigi-moisture-maniac-conditioner-13-53-oz")</f>
        <v/>
      </c>
      <c r="C200" t="inlineStr">
        <is>
          <t>Bed head by tigi moisture maniac conditioner 13.53 oz</t>
        </is>
      </c>
      <c r="D200" t="inlineStr">
        <is>
          <t>TIGI Bed Head Moisture Maniac Moisturizing Conditioner, 25.36 oz</t>
        </is>
      </c>
      <c r="E200" s="2">
        <f>HYPERLINK("https://www.amazon.com/TIGI-Moisture-Maniac-Moisturizing-Conditioner/dp/B0054Y2Y3I/ref=sr_1_7?keywords=Bed+head+by+tigi+moisture+maniac+conditioner+13.53+oz&amp;qid=1695259400&amp;sr=8-7", "https://www.amazon.com/TIGI-Moisture-Maniac-Moisturizing-Conditioner/dp/B0054Y2Y3I/ref=sr_1_7?keywords=Bed+head+by+tigi+moisture+maniac+conditioner+13.53+oz&amp;qid=1695259400&amp;sr=8-7")</f>
        <v/>
      </c>
      <c r="F200" t="inlineStr">
        <is>
          <t>B0054Y2Y3I</t>
        </is>
      </c>
      <c r="G200">
        <f>IMAGE("https://prolisok-store.com/cdn/shop/products/458919_300x.jpg?v=1690899990")</f>
        <v/>
      </c>
      <c r="H200">
        <f>IMAGE("https://m.media-amazon.com/images/I/71XGQUsDoxL._AC_UL320_.jpg")</f>
        <v/>
      </c>
      <c r="I200" t="inlineStr">
        <is>
          <t>14.85</t>
        </is>
      </c>
      <c r="J200" t="n">
        <v>29.7</v>
      </c>
      <c r="K200" s="3" t="inlineStr">
        <is>
          <t>100.00%</t>
        </is>
      </c>
      <c r="L200" t="n">
        <v>4.6</v>
      </c>
      <c r="M200" t="n">
        <v>18</v>
      </c>
      <c r="O200" t="inlineStr">
        <is>
          <t>InStock</t>
        </is>
      </c>
      <c r="P200" t="inlineStr">
        <is>
          <t>undefined</t>
        </is>
      </c>
      <c r="Q200" t="inlineStr">
        <is>
          <t>6769971560520</t>
        </is>
      </c>
    </row>
    <row r="201">
      <c r="A201" s="2">
        <f>HYPERLINK("https://prolisok-store.com/collections/hair-care/products/bed-head-by-tigi-foxy-curls-extreme-curl-mousse-8-45-oz", "https://prolisok-store.com/collections/hair-care/products/bed-head-by-tigi-foxy-curls-extreme-curl-mousse-8-45-oz")</f>
        <v/>
      </c>
      <c r="B201" s="2">
        <f>HYPERLINK("https://prolisok-store.com/products/bed-head-by-tigi-foxy-curls-extreme-curl-mousse-8-45-oz", "https://prolisok-store.com/products/bed-head-by-tigi-foxy-curls-extreme-curl-mousse-8-45-oz")</f>
        <v/>
      </c>
      <c r="C201" t="inlineStr">
        <is>
          <t>Bed head by tigi foxy curls extreme curl mousse 8.45 oz</t>
        </is>
      </c>
      <c r="D201" t="inlineStr">
        <is>
          <t>TIGI Bedhead Foxy Curls Extreme Curl Mousse, 8.45 oz, 2 pk by TIGI</t>
        </is>
      </c>
      <c r="E201" s="2">
        <f>HYPERLINK("https://www.amazon.com/TIGI-Bedhead-Curls-Extreme-Mousse/dp/B01N9OY5BM/ref=sr_1_2?keywords=Bed+head+by+tigi+foxy+curls+extreme+curl+mousse+8.45+oz&amp;qid=1695259383&amp;sr=8-2", "https://www.amazon.com/TIGI-Bedhead-Curls-Extreme-Mousse/dp/B01N9OY5BM/ref=sr_1_2?keywords=Bed+head+by+tigi+foxy+curls+extreme+curl+mousse+8.45+oz&amp;qid=1695259383&amp;sr=8-2")</f>
        <v/>
      </c>
      <c r="F201" t="inlineStr">
        <is>
          <t>B01N9OY5BM</t>
        </is>
      </c>
      <c r="G201">
        <f>IMAGE("https://prolisok-store.com/cdn/shop/products/166973_300x.jpg?v=1690899971")</f>
        <v/>
      </c>
      <c r="H201">
        <f>IMAGE("https://m.media-amazon.com/images/I/61Z+CxHDjYL._AC_UL320_.jpg")</f>
        <v/>
      </c>
      <c r="I201" t="inlineStr">
        <is>
          <t>19.8</t>
        </is>
      </c>
      <c r="J201" t="n">
        <v>38.94</v>
      </c>
      <c r="K201" s="3" t="inlineStr">
        <is>
          <t>96.67%</t>
        </is>
      </c>
      <c r="L201" t="n">
        <v>4.5</v>
      </c>
      <c r="M201" t="n">
        <v>110</v>
      </c>
      <c r="O201" t="inlineStr">
        <is>
          <t>InStock</t>
        </is>
      </c>
      <c r="P201" t="inlineStr">
        <is>
          <t>undefined</t>
        </is>
      </c>
      <c r="Q201" t="inlineStr">
        <is>
          <t>6769971232840</t>
        </is>
      </c>
    </row>
    <row r="202">
      <c r="A202" s="2">
        <f>HYPERLINK("https://prolisok-store.com/collections/hair-care/products/catwalk-by-tigi-oatmeal-and-honey-shampoo-10-14-oz", "https://prolisok-store.com/collections/hair-care/products/catwalk-by-tigi-oatmeal-and-honey-shampoo-10-14-oz")</f>
        <v/>
      </c>
      <c r="B202" s="2">
        <f>HYPERLINK("https://prolisok-store.com/products/catwalk-by-tigi-oatmeal-and-honey-shampoo-10-14-oz", "https://prolisok-store.com/products/catwalk-by-tigi-oatmeal-and-honey-shampoo-10-14-oz")</f>
        <v/>
      </c>
      <c r="C202" t="inlineStr">
        <is>
          <t>Catwalk by tigi oatmeal &amp; honey shampoo 10.14 oz</t>
        </is>
      </c>
      <c r="D202" t="inlineStr">
        <is>
          <t>TIGI Catwalk Shampoo and Conditioner, Oatmeal &amp; Honey, 25.36 Oz With Pumps</t>
        </is>
      </c>
      <c r="E202" s="2">
        <f>HYPERLINK("https://www.amazon.com/Catwalk-Shampoo-Conditioner-Oatmeal-Honey/dp/B074QWY4VV/ref=sr_1_3?keywords=Catwalk+by+tigi+oatmeal&amp;qid=1695259392&amp;sr=8-3", "https://www.amazon.com/Catwalk-Shampoo-Conditioner-Oatmeal-Honey/dp/B074QWY4VV/ref=sr_1_3?keywords=Catwalk+by+tigi+oatmeal&amp;qid=1695259392&amp;sr=8-3")</f>
        <v/>
      </c>
      <c r="F202" t="inlineStr">
        <is>
          <t>B074QWY4VV</t>
        </is>
      </c>
      <c r="G202">
        <f>IMAGE("https://prolisok-store.com/cdn/shop/products/251312_300x.jpg?v=1690900066")</f>
        <v/>
      </c>
      <c r="H202">
        <f>IMAGE("https://m.media-amazon.com/images/I/71X3wu9q-ML._AC_UL320_.jpg")</f>
        <v/>
      </c>
      <c r="I202" t="inlineStr">
        <is>
          <t>15.26</t>
        </is>
      </c>
      <c r="J202" t="n">
        <v>29.85</v>
      </c>
      <c r="K202" s="3" t="inlineStr">
        <is>
          <t>95.61%</t>
        </is>
      </c>
      <c r="L202" t="n">
        <v>4.5</v>
      </c>
      <c r="M202" t="n">
        <v>321</v>
      </c>
      <c r="O202" t="inlineStr">
        <is>
          <t>InStock</t>
        </is>
      </c>
      <c r="P202" t="inlineStr">
        <is>
          <t>undefined</t>
        </is>
      </c>
      <c r="Q202" t="inlineStr">
        <is>
          <t>6769972904008</t>
        </is>
      </c>
    </row>
    <row r="203">
      <c r="A203" s="2">
        <f>HYPERLINK("https://prolisok-store.com/collections/hair-care/products/catwalk-by-tigi-oatmeal-and-honey-conditioner-8-45-oz", "https://prolisok-store.com/collections/hair-care/products/catwalk-by-tigi-oatmeal-and-honey-conditioner-8-45-oz")</f>
        <v/>
      </c>
      <c r="B203" s="2">
        <f>HYPERLINK("https://prolisok-store.com/products/catwalk-by-tigi-oatmeal-and-honey-conditioner-8-45-oz", "https://prolisok-store.com/products/catwalk-by-tigi-oatmeal-and-honey-conditioner-8-45-oz")</f>
        <v/>
      </c>
      <c r="C203" t="inlineStr">
        <is>
          <t>Catwalk by tigi oatmeal &amp; honey conditioner 8.45 oz</t>
        </is>
      </c>
      <c r="D203" t="inlineStr">
        <is>
          <t>TIGI Catwalk Shampoo and Conditioner, Oatmeal &amp; Honey, 25.36 Oz With Pumps</t>
        </is>
      </c>
      <c r="E203" s="2">
        <f>HYPERLINK("https://www.amazon.com/Catwalk-Shampoo-Conditioner-Oatmeal-Honey/dp/B074QWY4VV/ref=sr_1_3?keywords=Catwalk+by+tigi+oatmeal&amp;qid=1695259368&amp;sr=8-3", "https://www.amazon.com/Catwalk-Shampoo-Conditioner-Oatmeal-Honey/dp/B074QWY4VV/ref=sr_1_3?keywords=Catwalk+by+tigi+oatmeal&amp;qid=1695259368&amp;sr=8-3")</f>
        <v/>
      </c>
      <c r="F203" t="inlineStr">
        <is>
          <t>B074QWY4VV</t>
        </is>
      </c>
      <c r="G203">
        <f>IMAGE("https://prolisok-store.com/cdn/shop/products/251803_300x.jpg?v=1690900068")</f>
        <v/>
      </c>
      <c r="H203">
        <f>IMAGE("https://m.media-amazon.com/images/I/71X3wu9q-ML._AC_UL320_.jpg")</f>
        <v/>
      </c>
      <c r="I203" t="inlineStr">
        <is>
          <t>15.3</t>
        </is>
      </c>
      <c r="J203" t="n">
        <v>29.85</v>
      </c>
      <c r="K203" s="3" t="inlineStr">
        <is>
          <t>95.10%</t>
        </is>
      </c>
      <c r="L203" t="n">
        <v>4.5</v>
      </c>
      <c r="M203" t="n">
        <v>321</v>
      </c>
      <c r="O203" t="inlineStr">
        <is>
          <t>InStock</t>
        </is>
      </c>
      <c r="P203" t="inlineStr">
        <is>
          <t>undefined</t>
        </is>
      </c>
      <c r="Q203" t="inlineStr">
        <is>
          <t>6769972936776</t>
        </is>
      </c>
    </row>
    <row r="204">
      <c r="A204" s="2">
        <f>HYPERLINK("https://prolisok-store.com/collections/hair-care/products/catwalk-by-tigi-your-highness-elevating-conditioner-for-fine-lifeless-hair-8-45-oz", "https://prolisok-store.com/collections/hair-care/products/catwalk-by-tigi-your-highness-elevating-conditioner-for-fine-lifeless-hair-8-45-oz")</f>
        <v/>
      </c>
      <c r="B204" s="2">
        <f>HYPERLINK("https://prolisok-store.com/products/catwalk-by-tigi-your-highness-elevating-conditioner-for-fine-lifeless-hair-8-45-oz", "https://prolisok-store.com/products/catwalk-by-tigi-your-highness-elevating-conditioner-for-fine-lifeless-hair-8-45-oz")</f>
        <v/>
      </c>
      <c r="C204" t="inlineStr">
        <is>
          <t>Catwalk by tigi your highness elevating conditioner for fine lifeless hair 8.45 oz</t>
        </is>
      </c>
      <c r="D204" t="inlineStr">
        <is>
          <t>TIGI Catwalk by tigi your highness elevating conditioner for fine, lifeless hair, 25.36 Ounce</t>
        </is>
      </c>
      <c r="E204" s="2">
        <f>HYPERLINK("https://www.amazon.com/TIGI-Catwalk-Highness-Elevating-Conditioner/dp/B00EVWYBYO/ref=sr_1_3?keywords=Catwalk+by+tigi+your+highness+elevating+conditioner+for+fine+lifeless+hair+8.45+oz&amp;qid=1695259380&amp;sr=8-3", "https://www.amazon.com/TIGI-Catwalk-Highness-Elevating-Conditioner/dp/B00EVWYBYO/ref=sr_1_3?keywords=Catwalk+by+tigi+your+highness+elevating+conditioner+for+fine+lifeless+hair+8.45+oz&amp;qid=1695259380&amp;sr=8-3")</f>
        <v/>
      </c>
      <c r="F204" t="inlineStr">
        <is>
          <t>B00EVWYBYO</t>
        </is>
      </c>
      <c r="G204">
        <f>IMAGE("https://prolisok-store.com/cdn/shop/products/319832_300x.jpg?v=1690900053")</f>
        <v/>
      </c>
      <c r="H204">
        <f>IMAGE("https://m.media-amazon.com/images/I/61idx8uCIDL._AC_UL320_.jpg")</f>
        <v/>
      </c>
      <c r="I204" t="inlineStr">
        <is>
          <t>13.49</t>
        </is>
      </c>
      <c r="J204" t="n">
        <v>25.99</v>
      </c>
      <c r="K204" s="3" t="inlineStr">
        <is>
          <t>92.66%</t>
        </is>
      </c>
      <c r="L204" t="n">
        <v>4.6</v>
      </c>
      <c r="M204" t="n">
        <v>193</v>
      </c>
      <c r="O204" t="inlineStr">
        <is>
          <t>InStock</t>
        </is>
      </c>
      <c r="P204" t="inlineStr">
        <is>
          <t>undefined</t>
        </is>
      </c>
      <c r="Q204" t="inlineStr">
        <is>
          <t>6769972674632</t>
        </is>
      </c>
    </row>
    <row r="205">
      <c r="A205" s="2">
        <f>HYPERLINK("https://prolisok-store.com/collections/hair-care/products/bed-head-by-tigi-resurrection-conditioner-3-38-oz", "https://prolisok-store.com/collections/hair-care/products/bed-head-by-tigi-resurrection-conditioner-3-38-oz")</f>
        <v/>
      </c>
      <c r="B205" s="2">
        <f>HYPERLINK("https://prolisok-store.com/products/bed-head-by-tigi-resurrection-conditioner-3-38-oz", "https://prolisok-store.com/products/bed-head-by-tigi-resurrection-conditioner-3-38-oz")</f>
        <v/>
      </c>
      <c r="C205" t="inlineStr">
        <is>
          <t>Bed head by tigi resurrection conditioner 3.38 oz</t>
        </is>
      </c>
      <c r="D205" t="inlineStr">
        <is>
          <t>TIGI Bed Head RESURRECTION REPAIR CONDITIONER FOR DAMAGED HAIR 20.29 fl oz</t>
        </is>
      </c>
      <c r="E205" s="2">
        <f>HYPERLINK("https://www.amazon.com/Bed-Head-RESURRECTION-CONDITIONER-DAMAGED/dp/B08X8SD5BH/ref=sr_1_1?keywords=Bed+head+by+tigi+resurrection+conditioner+3.38+oz&amp;qid=1695259395&amp;sr=8-1", "https://www.amazon.com/Bed-Head-RESURRECTION-CONDITIONER-DAMAGED/dp/B08X8SD5BH/ref=sr_1_1?keywords=Bed+head+by+tigi+resurrection+conditioner+3.38+oz&amp;qid=1695259395&amp;sr=8-1")</f>
        <v/>
      </c>
      <c r="F205" t="inlineStr">
        <is>
          <t>B08X8SD5BH</t>
        </is>
      </c>
      <c r="G205">
        <f>IMAGE("https://prolisok-store.com/cdn/shop/products/416087_300x.jpg?v=1690900043")</f>
        <v/>
      </c>
      <c r="H205">
        <f>IMAGE("https://m.media-amazon.com/images/I/611ZB8d23-L._AC_UL320_.jpg")</f>
        <v/>
      </c>
      <c r="I205" t="inlineStr">
        <is>
          <t>8.09</t>
        </is>
      </c>
      <c r="J205" t="n">
        <v>15</v>
      </c>
      <c r="K205" s="3" t="inlineStr">
        <is>
          <t>85.41%</t>
        </is>
      </c>
      <c r="L205" t="n">
        <v>4.6</v>
      </c>
      <c r="M205" t="n">
        <v>244</v>
      </c>
      <c r="O205" t="inlineStr">
        <is>
          <t>InStock</t>
        </is>
      </c>
      <c r="P205" t="inlineStr">
        <is>
          <t>undefined</t>
        </is>
      </c>
      <c r="Q205" t="inlineStr">
        <is>
          <t>6769972510792</t>
        </is>
      </c>
    </row>
    <row r="206">
      <c r="A206" s="2">
        <f>HYPERLINK("https://prolisok-store.com/collections/hair-care/products/bed-head-by-tigi-resurrection-shampoo-13-53-oz", "https://prolisok-store.com/collections/hair-care/products/bed-head-by-tigi-resurrection-shampoo-13-53-oz")</f>
        <v/>
      </c>
      <c r="B206" s="2">
        <f>HYPERLINK("https://prolisok-store.com/products/bed-head-by-tigi-resurrection-shampoo-13-53-oz", "https://prolisok-store.com/products/bed-head-by-tigi-resurrection-shampoo-13-53-oz")</f>
        <v/>
      </c>
      <c r="C206" t="inlineStr">
        <is>
          <t>Bed head by tigi resurrection shampoo 13.53 oz</t>
        </is>
      </c>
      <c r="D206" t="inlineStr">
        <is>
          <t>Tigi Bed Head Urban Anti+dotes Resurrection Shampoo 750ml/25.36oz</t>
        </is>
      </c>
      <c r="E206" s="2">
        <f>HYPERLINK("https://www.amazon.com/Tigi-Urban-Resurrection-Shampoo-25-36oz/dp/B00JVGQP0I/ref=sr_1_10?keywords=Bed+head+by+tigi+resurrection+shampoo+13.53+oz&amp;qid=1695259387&amp;sr=8-10", "https://www.amazon.com/Tigi-Urban-Resurrection-Shampoo-25-36oz/dp/B00JVGQP0I/ref=sr_1_10?keywords=Bed+head+by+tigi+resurrection+shampoo+13.53+oz&amp;qid=1695259387&amp;sr=8-10")</f>
        <v/>
      </c>
      <c r="F206" t="inlineStr">
        <is>
          <t>B00JVGQP0I</t>
        </is>
      </c>
      <c r="G206">
        <f>IMAGE("https://prolisok-store.com/cdn/shop/products/416081_300x.jpg?v=1690900035")</f>
        <v/>
      </c>
      <c r="H206">
        <f>IMAGE("https://m.media-amazon.com/images/I/71mqEYYW7DL._AC_UL320_.jpg")</f>
        <v/>
      </c>
      <c r="I206" t="inlineStr">
        <is>
          <t>14.85</t>
        </is>
      </c>
      <c r="J206" t="n">
        <v>27</v>
      </c>
      <c r="K206" s="3" t="inlineStr">
        <is>
          <t>81.82%</t>
        </is>
      </c>
      <c r="L206" t="n">
        <v>4.8</v>
      </c>
      <c r="M206" t="n">
        <v>228</v>
      </c>
      <c r="O206" t="inlineStr">
        <is>
          <t>InStock</t>
        </is>
      </c>
      <c r="P206" t="inlineStr">
        <is>
          <t>undefined</t>
        </is>
      </c>
      <c r="Q206" t="inlineStr">
        <is>
          <t>6769972346952</t>
        </is>
      </c>
    </row>
    <row r="207">
      <c r="A207" s="2">
        <f>HYPERLINK("https://prolisok-store.com/collections/hair-care/products/bed-head-by-tigi-resurrection-conditioner-6-76-oz", "https://prolisok-store.com/collections/hair-care/products/bed-head-by-tigi-resurrection-conditioner-6-76-oz")</f>
        <v/>
      </c>
      <c r="B207" s="2">
        <f>HYPERLINK("https://prolisok-store.com/products/bed-head-by-tigi-resurrection-conditioner-6-76-oz", "https://prolisok-store.com/products/bed-head-by-tigi-resurrection-conditioner-6-76-oz")</f>
        <v/>
      </c>
      <c r="C207" t="inlineStr">
        <is>
          <t>Bed head by tigi resurrection conditioner 6.76 oz</t>
        </is>
      </c>
      <c r="D207" t="inlineStr">
        <is>
          <t>Bed Head Urban Antidotes/Tigi Resurrection Conditioner 6.76 Oz</t>
        </is>
      </c>
      <c r="E207" s="2">
        <f>HYPERLINK("https://www.amazon.com/Bed-Head-Tigi-Resurrection-Conditioner/dp/B00EDKRVXW/ref=sr_1_1?keywords=Bed+head+by+tigi+resurrection+conditioner+6.76+oz&amp;qid=1695259380&amp;sr=8-1", "https://www.amazon.com/Bed-Head-Tigi-Resurrection-Conditioner/dp/B00EDKRVXW/ref=sr_1_1?keywords=Bed+head+by+tigi+resurrection+conditioner+6.76+oz&amp;qid=1695259380&amp;sr=8-1")</f>
        <v/>
      </c>
      <c r="F207" t="inlineStr">
        <is>
          <t>B00EDKRVXW</t>
        </is>
      </c>
      <c r="G207">
        <f>IMAGE("https://prolisok-store.com/cdn/shop/products/195948_300x.jpg?v=1690899988")</f>
        <v/>
      </c>
      <c r="H207">
        <f>IMAGE("https://m.media-amazon.com/images/I/61MtzfJPE3L._AC_UL320_.jpg")</f>
        <v/>
      </c>
      <c r="I207" t="inlineStr">
        <is>
          <t>14.4</t>
        </is>
      </c>
      <c r="J207" t="n">
        <v>24.99</v>
      </c>
      <c r="K207" s="3" t="inlineStr">
        <is>
          <t>73.54%</t>
        </is>
      </c>
      <c r="L207" t="n">
        <v>5</v>
      </c>
      <c r="M207" t="n">
        <v>3</v>
      </c>
      <c r="O207" t="inlineStr">
        <is>
          <t>InStock</t>
        </is>
      </c>
      <c r="P207" t="inlineStr">
        <is>
          <t>undefined</t>
        </is>
      </c>
      <c r="Q207" t="inlineStr">
        <is>
          <t>6769971494984</t>
        </is>
      </c>
    </row>
    <row r="208">
      <c r="A208" s="2">
        <f>HYPERLINK("https://prolisok-store.com/collections/hair-care/products/bed-head-by-tigi-resurrection-conditioner-6-76-oz", "https://prolisok-store.com/collections/hair-care/products/bed-head-by-tigi-resurrection-conditioner-6-76-oz")</f>
        <v/>
      </c>
      <c r="B208" s="2">
        <f>HYPERLINK("https://prolisok-store.com/products/bed-head-by-tigi-resurrection-conditioner-6-76-oz", "https://prolisok-store.com/products/bed-head-by-tigi-resurrection-conditioner-6-76-oz")</f>
        <v/>
      </c>
      <c r="C208" t="inlineStr">
        <is>
          <t>Bed head by tigi resurrection conditioner 6.76 oz</t>
        </is>
      </c>
      <c r="D208" t="inlineStr">
        <is>
          <t>TIGI Bed Head Shampoo &amp; Conditioner For Damaged Hair Resurrection Infused With The Resurrection Plant 2 x 25.36 fl oz</t>
        </is>
      </c>
      <c r="E208" s="2">
        <f>HYPERLINK("https://www.amazon.com/TIGI-Shampoo-Conditioner-Damaged-Resurrection/dp/B0BRTBN9PB/ref=sr_1_2?keywords=Bed+head+by+tigi+resurrection+conditioner+6.76+oz&amp;qid=1695259380&amp;sr=8-2", "https://www.amazon.com/TIGI-Shampoo-Conditioner-Damaged-Resurrection/dp/B0BRTBN9PB/ref=sr_1_2?keywords=Bed+head+by+tigi+resurrection+conditioner+6.76+oz&amp;qid=1695259380&amp;sr=8-2")</f>
        <v/>
      </c>
      <c r="F208" t="inlineStr">
        <is>
          <t>B0BRTBN9PB</t>
        </is>
      </c>
      <c r="G208">
        <f>IMAGE("https://prolisok-store.com/cdn/shop/products/195948_300x.jpg?v=1690899988")</f>
        <v/>
      </c>
      <c r="H208">
        <f>IMAGE("https://m.media-amazon.com/images/I/716EfzSrDaL._AC_UL320_.jpg")</f>
        <v/>
      </c>
      <c r="I208" t="inlineStr">
        <is>
          <t>14.4</t>
        </is>
      </c>
      <c r="J208" t="n">
        <v>24.99</v>
      </c>
      <c r="K208" s="3" t="inlineStr">
        <is>
          <t>73.54%</t>
        </is>
      </c>
      <c r="L208" t="n">
        <v>4.6</v>
      </c>
      <c r="M208" t="n">
        <v>493</v>
      </c>
      <c r="O208" t="inlineStr">
        <is>
          <t>InStock</t>
        </is>
      </c>
      <c r="P208" t="inlineStr">
        <is>
          <t>undefined</t>
        </is>
      </c>
      <c r="Q208" t="inlineStr">
        <is>
          <t>6769971494984</t>
        </is>
      </c>
    </row>
    <row r="209">
      <c r="A209" s="2">
        <f>HYPERLINK("https://prolisok-store.com/collections/hair-care/products/bed-head-by-tigi-recovery-shampoo-13-53-oz", "https://prolisok-store.com/collections/hair-care/products/bed-head-by-tigi-recovery-shampoo-13-53-oz")</f>
        <v/>
      </c>
      <c r="B209" s="2">
        <f>HYPERLINK("https://prolisok-store.com/products/bed-head-by-tigi-recovery-shampoo-13-53-oz", "https://prolisok-store.com/products/bed-head-by-tigi-recovery-shampoo-13-53-oz")</f>
        <v/>
      </c>
      <c r="C209" t="inlineStr">
        <is>
          <t>Bed head by tigi recovery shampoo 13.53 oz</t>
        </is>
      </c>
      <c r="D209" t="inlineStr">
        <is>
          <t>TIGI Bed Head Urban Anti-dote PFZoVz Recovery Shampoo &amp; Conditioner Duo Damage Level 2, 25.36 Oz, 2 Units</t>
        </is>
      </c>
      <c r="E209" s="2">
        <f>HYPERLINK("https://www.amazon.com/Anti-dote-PFZoVz-Recovery-Shampoo-Conditioner/dp/B07487K2RB/ref=sr_1_10?keywords=Bed+head+by+tigi+recovery+shampoo+13.53+oz&amp;qid=1695259377&amp;sr=8-10", "https://www.amazon.com/Anti-dote-PFZoVz-Recovery-Shampoo-Conditioner/dp/B07487K2RB/ref=sr_1_10?keywords=Bed+head+by+tigi+recovery+shampoo+13.53+oz&amp;qid=1695259377&amp;sr=8-10")</f>
        <v/>
      </c>
      <c r="F209" t="inlineStr">
        <is>
          <t>B07487K2RB</t>
        </is>
      </c>
      <c r="G209">
        <f>IMAGE("https://prolisok-store.com/cdn/shop/products/416077_300x.jpg?v=1690900029")</f>
        <v/>
      </c>
      <c r="H209">
        <f>IMAGE("https://m.media-amazon.com/images/I/71Wyt4QQhXL._AC_UL320_.jpg")</f>
        <v/>
      </c>
      <c r="I209" t="inlineStr">
        <is>
          <t>14.85</t>
        </is>
      </c>
      <c r="J209" t="n">
        <v>25.72</v>
      </c>
      <c r="K209" s="3" t="inlineStr">
        <is>
          <t>73.20%</t>
        </is>
      </c>
      <c r="L209" t="n">
        <v>4.7</v>
      </c>
      <c r="M209" t="n">
        <v>1085</v>
      </c>
      <c r="O209" t="inlineStr">
        <is>
          <t>InStock</t>
        </is>
      </c>
      <c r="P209" t="inlineStr">
        <is>
          <t>undefined</t>
        </is>
      </c>
      <c r="Q209" t="inlineStr">
        <is>
          <t>6769972248648</t>
        </is>
      </c>
    </row>
    <row r="210">
      <c r="A210" s="2">
        <f>HYPERLINK("https://prolisok-store.com/collections/hair-care/products/catwalk-by-tigi-session-series-finishing-hair-spray-9-2-oz", "https://prolisok-store.com/collections/hair-care/products/catwalk-by-tigi-session-series-finishing-hair-spray-9-2-oz")</f>
        <v/>
      </c>
      <c r="B210" s="2">
        <f>HYPERLINK("https://prolisok-store.com/products/catwalk-by-tigi-session-series-finishing-hair-spray-9-2-oz", "https://prolisok-store.com/products/catwalk-by-tigi-session-series-finishing-hair-spray-9-2-oz")</f>
        <v/>
      </c>
      <c r="C210" t="inlineStr">
        <is>
          <t>Catwalk by tigi session series finishing hair spray 9.2 oz</t>
        </is>
      </c>
      <c r="D210" t="inlineStr">
        <is>
          <t>tigi catwalk X3 session series finishing hair spray 8.3 onz each retail $ 63.00</t>
        </is>
      </c>
      <c r="E210" s="2">
        <f>HYPERLINK("https://www.amazon.com/tigi-catwalk-session-finishing-retail/dp/B007W4DKWW/ref=sr_1_3?keywords=Catwalk+by+tigi+session+series+finishing+hair+spray+9.2+oz&amp;qid=1695259401&amp;sr=8-3", "https://www.amazon.com/tigi-catwalk-session-finishing-retail/dp/B007W4DKWW/ref=sr_1_3?keywords=Catwalk+by+tigi+session+series+finishing+hair+spray+9.2+oz&amp;qid=1695259401&amp;sr=8-3")</f>
        <v/>
      </c>
      <c r="F210" t="inlineStr">
        <is>
          <t>B007W4DKWW</t>
        </is>
      </c>
      <c r="G210">
        <f>IMAGE("https://prolisok-store.com/cdn/shop/products/231663_300x.jpg?v=1690900074")</f>
        <v/>
      </c>
      <c r="H210">
        <f>IMAGE("https://m.media-amazon.com/images/I/61yr2w4RPxL._AC_UL320_.jpg")</f>
        <v/>
      </c>
      <c r="I210" t="inlineStr">
        <is>
          <t>19.8</t>
        </is>
      </c>
      <c r="J210" t="n">
        <v>33.5</v>
      </c>
      <c r="K210" s="3" t="inlineStr">
        <is>
          <t>69.19%</t>
        </is>
      </c>
      <c r="L210" t="n">
        <v>5</v>
      </c>
      <c r="M210" t="n">
        <v>6</v>
      </c>
      <c r="O210" t="inlineStr">
        <is>
          <t>InStock</t>
        </is>
      </c>
      <c r="P210" t="inlineStr">
        <is>
          <t>undefined</t>
        </is>
      </c>
      <c r="Q210" t="inlineStr">
        <is>
          <t>6769973035080</t>
        </is>
      </c>
    </row>
    <row r="211">
      <c r="A211" s="2">
        <f>HYPERLINK("https://prolisok-store.com/collections/hair-care/products/bed-head-by-tigi-resurrection-shampoo-13-53-oz", "https://prolisok-store.com/collections/hair-care/products/bed-head-by-tigi-resurrection-shampoo-13-53-oz")</f>
        <v/>
      </c>
      <c r="B211" s="2">
        <f>HYPERLINK("https://prolisok-store.com/products/bed-head-by-tigi-resurrection-shampoo-13-53-oz", "https://prolisok-store.com/products/bed-head-by-tigi-resurrection-shampoo-13-53-oz")</f>
        <v/>
      </c>
      <c r="C211" t="inlineStr">
        <is>
          <t>Bed head by tigi resurrection shampoo 13.53 oz</t>
        </is>
      </c>
      <c r="D211" t="inlineStr">
        <is>
          <t>TIGI Bed Head Shampoo &amp; Conditioner For Damaged Hair Resurrection Infused With The Resurrection Plant 2 x 25.36 fl oz</t>
        </is>
      </c>
      <c r="E211" s="2">
        <f>HYPERLINK("https://www.amazon.com/TIGI-Shampoo-Conditioner-Damaged-Resurrection/dp/B0BRTBN9PB/ref=sr_1_4?keywords=Bed+head+by+tigi+resurrection+shampoo+13.53+oz&amp;qid=1695259387&amp;sr=8-4", "https://www.amazon.com/TIGI-Shampoo-Conditioner-Damaged-Resurrection/dp/B0BRTBN9PB/ref=sr_1_4?keywords=Bed+head+by+tigi+resurrection+shampoo+13.53+oz&amp;qid=1695259387&amp;sr=8-4")</f>
        <v/>
      </c>
      <c r="F211" t="inlineStr">
        <is>
          <t>B0BRTBN9PB</t>
        </is>
      </c>
      <c r="G211">
        <f>IMAGE("https://prolisok-store.com/cdn/shop/products/416081_300x.jpg?v=1690900035")</f>
        <v/>
      </c>
      <c r="H211">
        <f>IMAGE("https://m.media-amazon.com/images/I/716EfzSrDaL._AC_UL320_.jpg")</f>
        <v/>
      </c>
      <c r="I211" t="inlineStr">
        <is>
          <t>14.85</t>
        </is>
      </c>
      <c r="J211" t="n">
        <v>24.99</v>
      </c>
      <c r="K211" s="3" t="inlineStr">
        <is>
          <t>68.28%</t>
        </is>
      </c>
      <c r="L211" t="n">
        <v>4.6</v>
      </c>
      <c r="M211" t="n">
        <v>493</v>
      </c>
      <c r="O211" t="inlineStr">
        <is>
          <t>InStock</t>
        </is>
      </c>
      <c r="P211" t="inlineStr">
        <is>
          <t>undefined</t>
        </is>
      </c>
      <c r="Q211" t="inlineStr">
        <is>
          <t>6769972346952</t>
        </is>
      </c>
    </row>
    <row r="212">
      <c r="A212" s="2">
        <f>HYPERLINK("https://prolisok-store.com/collections/hair-care/products/bed-head-by-tigi-recovery-shampoo-13-53-oz", "https://prolisok-store.com/collections/hair-care/products/bed-head-by-tigi-recovery-shampoo-13-53-oz")</f>
        <v/>
      </c>
      <c r="B212" s="2">
        <f>HYPERLINK("https://prolisok-store.com/products/bed-head-by-tigi-recovery-shampoo-13-53-oz", "https://prolisok-store.com/products/bed-head-by-tigi-recovery-shampoo-13-53-oz")</f>
        <v/>
      </c>
      <c r="C212" t="inlineStr">
        <is>
          <t>Bed head by tigi recovery shampoo 13.53 oz</t>
        </is>
      </c>
      <c r="D212" t="inlineStr">
        <is>
          <t>Bed Head by TIGI Shampoo &amp; Conditioner For Dry Hair Recovery With Prickly Pear Cactus Extract 2 x 25.36 fl oz,Citrus</t>
        </is>
      </c>
      <c r="E212" s="2">
        <f>HYPERLINK("https://www.amazon.com/TIGI-Shampoo-Conditioner-Recovery-Prickly/dp/B0BRT9LM3J/ref=sr_1_6?keywords=Bed+head+by+tigi+recovery+shampoo+13.53+oz&amp;qid=1695259377&amp;sr=8-6", "https://www.amazon.com/TIGI-Shampoo-Conditioner-Recovery-Prickly/dp/B0BRT9LM3J/ref=sr_1_6?keywords=Bed+head+by+tigi+recovery+shampoo+13.53+oz&amp;qid=1695259377&amp;sr=8-6")</f>
        <v/>
      </c>
      <c r="F212" t="inlineStr">
        <is>
          <t>B0BRT9LM3J</t>
        </is>
      </c>
      <c r="G212">
        <f>IMAGE("https://prolisok-store.com/cdn/shop/products/416077_300x.jpg?v=1690900029")</f>
        <v/>
      </c>
      <c r="H212">
        <f>IMAGE("https://m.media-amazon.com/images/I/71tWMdMnOHL._AC_UL320_.jpg")</f>
        <v/>
      </c>
      <c r="I212" t="inlineStr">
        <is>
          <t>14.85</t>
        </is>
      </c>
      <c r="J212" t="n">
        <v>24.99</v>
      </c>
      <c r="K212" s="3" t="inlineStr">
        <is>
          <t>68.28%</t>
        </is>
      </c>
      <c r="L212" t="n">
        <v>4.6</v>
      </c>
      <c r="M212" t="n">
        <v>410</v>
      </c>
      <c r="O212" t="inlineStr">
        <is>
          <t>InStock</t>
        </is>
      </c>
      <c r="P212" t="inlineStr">
        <is>
          <t>undefined</t>
        </is>
      </c>
      <c r="Q212" t="inlineStr">
        <is>
          <t>6769972248648</t>
        </is>
      </c>
    </row>
    <row r="213">
      <c r="A213" s="2">
        <f>HYPERLINK("https://prolisok-store.com/collections/hair-care/products/bed-head-by-tigi-resurrection-conditioner-13-53-oz", "https://prolisok-store.com/collections/hair-care/products/bed-head-by-tigi-resurrection-conditioner-13-53-oz")</f>
        <v/>
      </c>
      <c r="B213" s="2">
        <f>HYPERLINK("https://prolisok-store.com/products/bed-head-by-tigi-resurrection-conditioner-13-53-oz", "https://prolisok-store.com/products/bed-head-by-tigi-resurrection-conditioner-13-53-oz")</f>
        <v/>
      </c>
      <c r="C213" t="inlineStr">
        <is>
          <t>Bed head by tigi resurrection conditioner 13.53 oz</t>
        </is>
      </c>
      <c r="D213" t="inlineStr">
        <is>
          <t>TIGI Bed Head Shampoo &amp; Conditioner For Damaged Hair Resurrection Infused With The Resurrection Plant 2 x 25.36 fl oz</t>
        </is>
      </c>
      <c r="E213" s="2">
        <f>HYPERLINK("https://www.amazon.com/TIGI-Shampoo-Conditioner-Damaged-Resurrection/dp/B0BRTBN9PB/ref=sr_1_2?keywords=Bed+head+by+tigi+resurrection+conditioner+13.53+oz&amp;qid=1695259381&amp;sr=8-2", "https://www.amazon.com/TIGI-Shampoo-Conditioner-Damaged-Resurrection/dp/B0BRTBN9PB/ref=sr_1_2?keywords=Bed+head+by+tigi+resurrection+conditioner+13.53+oz&amp;qid=1695259381&amp;sr=8-2")</f>
        <v/>
      </c>
      <c r="F213" t="inlineStr">
        <is>
          <t>B0BRTBN9PB</t>
        </is>
      </c>
      <c r="G213">
        <f>IMAGE("https://prolisok-store.com/cdn/shop/products/416079_300x.jpg?v=1690900033")</f>
        <v/>
      </c>
      <c r="H213">
        <f>IMAGE("https://m.media-amazon.com/images/I/716EfzSrDaL._AC_UL320_.jpg")</f>
        <v/>
      </c>
      <c r="I213" t="inlineStr">
        <is>
          <t>14.85</t>
        </is>
      </c>
      <c r="J213" t="n">
        <v>24.99</v>
      </c>
      <c r="K213" s="3" t="inlineStr">
        <is>
          <t>68.28%</t>
        </is>
      </c>
      <c r="L213" t="n">
        <v>4.6</v>
      </c>
      <c r="M213" t="n">
        <v>493</v>
      </c>
      <c r="O213" t="inlineStr">
        <is>
          <t>InStock</t>
        </is>
      </c>
      <c r="P213" t="inlineStr">
        <is>
          <t>undefined</t>
        </is>
      </c>
      <c r="Q213" t="inlineStr">
        <is>
          <t>6769972314184</t>
        </is>
      </c>
    </row>
    <row r="214">
      <c r="A214" s="2">
        <f>HYPERLINK("https://prolisok-store.com/collections/hair-care/products/bed-head-by-tigi-colour-goddess-oil-infused-shampoo-for-coloured-hair-13-5-oz", "https://prolisok-store.com/collections/hair-care/products/bed-head-by-tigi-colour-goddess-oil-infused-shampoo-for-coloured-hair-13-5-oz")</f>
        <v/>
      </c>
      <c r="B214" s="2">
        <f>HYPERLINK("https://prolisok-store.com/products/bed-head-by-tigi-colour-goddess-oil-infused-shampoo-for-coloured-hair-13-5-oz", "https://prolisok-store.com/products/bed-head-by-tigi-colour-goddess-oil-infused-shampoo-for-coloured-hair-13-5-oz")</f>
        <v/>
      </c>
      <c r="C214" t="inlineStr">
        <is>
          <t>Bed head by tigi colour goddess oil infused shampoo for coloured hair 13.5 oz</t>
        </is>
      </c>
      <c r="D214" t="inlineStr">
        <is>
          <t>TIGI Bed Head Shampoo &amp; Conditioner For Colored Hair Colour Goddess With Sweet Almond &amp; Coconut Oils 2 x 25.36 fl oz</t>
        </is>
      </c>
      <c r="E214" s="2">
        <f>HYPERLINK("https://www.amazon.com/TIGI-Shampoo-Conditioner-Colored-Goddess/dp/B0BRTB98JS/ref=sr_1_4?keywords=Bed+head+by+tigi+colour+goddess+oil+infused+shampoo+for+coloured+hair+13.5+oz&amp;qid=1695259369&amp;sr=8-4", "https://www.amazon.com/TIGI-Shampoo-Conditioner-Colored-Goddess/dp/B0BRTB98JS/ref=sr_1_4?keywords=Bed+head+by+tigi+colour+goddess+oil+infused+shampoo+for+coloured+hair+13.5+oz&amp;qid=1695259369&amp;sr=8-4")</f>
        <v/>
      </c>
      <c r="F214" t="inlineStr">
        <is>
          <t>B0BRTB98JS</t>
        </is>
      </c>
      <c r="G214">
        <f>IMAGE("https://prolisok-store.com/cdn/shop/products/251252_300x.jpg?v=1690899937")</f>
        <v/>
      </c>
      <c r="H214">
        <f>IMAGE("https://m.media-amazon.com/images/I/81wvHFfcXZL._AC_UL320_.jpg")</f>
        <v/>
      </c>
      <c r="I214" t="inlineStr">
        <is>
          <t>14.85</t>
        </is>
      </c>
      <c r="J214" t="n">
        <v>24.9</v>
      </c>
      <c r="K214" s="3" t="inlineStr">
        <is>
          <t>67.68%</t>
        </is>
      </c>
      <c r="L214" t="n">
        <v>4.5</v>
      </c>
      <c r="M214" t="n">
        <v>357</v>
      </c>
      <c r="O214" t="inlineStr">
        <is>
          <t>InStock</t>
        </is>
      </c>
      <c r="P214" t="inlineStr">
        <is>
          <t>undefined</t>
        </is>
      </c>
      <c r="Q214" t="inlineStr">
        <is>
          <t>6769970708552</t>
        </is>
      </c>
    </row>
    <row r="215">
      <c r="A215" s="2">
        <f>HYPERLINK("https://prolisok-store.com/collections/hair-care/products/olaplex-no-6-bond-smoother-3-3-fl-oz", "https://prolisok-store.com/collections/hair-care/products/olaplex-no-6-bond-smoother-3-3-fl-oz")</f>
        <v/>
      </c>
      <c r="B215" s="2">
        <f>HYPERLINK("https://prolisok-store.com/products/olaplex-no-6-bond-smoother-3-3-fl-oz", "https://prolisok-store.com/products/olaplex-no-6-bond-smoother-3-3-fl-oz")</f>
        <v/>
      </c>
      <c r="C215" t="inlineStr">
        <is>
          <t>Olaplex No 6 Bond Smoother, 3.3 Fl Oz</t>
        </is>
      </c>
      <c r="D215" t="inlineStr">
        <is>
          <t>Olaplex No 6 Bond Smoother, 3.3 Fl Oz</t>
        </is>
      </c>
      <c r="E215" s="2">
        <f>HYPERLINK("https://www.amazon.com/Olaplex-Bond-Smoother-3-3-Fl/dp/B07PW4MTHV/ref=sr_1_1?keywords=Olaplex+No+6+Bond+Smoother%2C+3.3+Fl+Oz&amp;qid=1695259373&amp;sr=8-1", "https://www.amazon.com/Olaplex-Bond-Smoother-3-3-Fl/dp/B07PW4MTHV/ref=sr_1_1?keywords=Olaplex+No+6+Bond+Smoother%2C+3.3+Fl+Oz&amp;qid=1695259373&amp;sr=8-1")</f>
        <v/>
      </c>
      <c r="F215" t="inlineStr">
        <is>
          <t>B07PW4MTHV</t>
        </is>
      </c>
      <c r="G215">
        <f>IMAGE("https://prolisok-store.com/cdn/shop/files/51kkYS4_1ML._SL1500_300x.jpg?v=1683807001")</f>
        <v/>
      </c>
      <c r="H215">
        <f>IMAGE("https://m.media-amazon.com/images/I/51kkYS4+1ML._AC_UL320_.jpg")</f>
        <v/>
      </c>
      <c r="I215" t="inlineStr">
        <is>
          <t>17.99</t>
        </is>
      </c>
      <c r="J215" t="n">
        <v>30</v>
      </c>
      <c r="K215" s="3" t="inlineStr">
        <is>
          <t>66.76%</t>
        </is>
      </c>
      <c r="L215" t="n">
        <v>4.7</v>
      </c>
      <c r="M215" t="n">
        <v>45002</v>
      </c>
      <c r="O215" t="inlineStr">
        <is>
          <t>InStock</t>
        </is>
      </c>
      <c r="P215" t="inlineStr">
        <is>
          <t>undefined</t>
        </is>
      </c>
      <c r="Q215" t="inlineStr">
        <is>
          <t>6761001025608</t>
        </is>
      </c>
    </row>
    <row r="216">
      <c r="A216" s="2">
        <f>HYPERLINK("https://prolisok-store.com/collections/hair-care/products/bed-head-by-tigi-resurrection-conditioner-6-76-oz", "https://prolisok-store.com/collections/hair-care/products/bed-head-by-tigi-resurrection-conditioner-6-76-oz")</f>
        <v/>
      </c>
      <c r="B216" s="2">
        <f>HYPERLINK("https://prolisok-store.com/products/bed-head-by-tigi-resurrection-conditioner-6-76-oz", "https://prolisok-store.com/products/bed-head-by-tigi-resurrection-conditioner-6-76-oz")</f>
        <v/>
      </c>
      <c r="C216" t="inlineStr">
        <is>
          <t>Bed head by tigi resurrection conditioner 6.76 oz</t>
        </is>
      </c>
      <c r="D216" t="inlineStr">
        <is>
          <t>Bed Head by TIGI Urban Antidotes Recovery Shampoo and Conditioner for Dry Hair 25.36 fl oz 2 count</t>
        </is>
      </c>
      <c r="E216" s="2">
        <f>HYPERLINK("https://www.amazon.com/TIGI-Anti-dote-Recovery-Shampoo-Conditioner/dp/B003T1G0XI/ref=sr_1_10?keywords=Bed+head+by+tigi+resurrection+conditioner+6.76+oz&amp;qid=1695259380&amp;sr=8-10", "https://www.amazon.com/TIGI-Anti-dote-Recovery-Shampoo-Conditioner/dp/B003T1G0XI/ref=sr_1_10?keywords=Bed+head+by+tigi+resurrection+conditioner+6.76+oz&amp;qid=1695259380&amp;sr=8-10")</f>
        <v/>
      </c>
      <c r="F216" t="inlineStr">
        <is>
          <t>B003T1G0XI</t>
        </is>
      </c>
      <c r="G216">
        <f>IMAGE("https://prolisok-store.com/cdn/shop/products/195948_300x.jpg?v=1690899988")</f>
        <v/>
      </c>
      <c r="H216">
        <f>IMAGE("https://m.media-amazon.com/images/I/71gvFsIeyLL._AC_UL320_.jpg")</f>
        <v/>
      </c>
      <c r="I216" t="inlineStr">
        <is>
          <t>14.4</t>
        </is>
      </c>
      <c r="J216" t="n">
        <v>23.95</v>
      </c>
      <c r="K216" s="3" t="inlineStr">
        <is>
          <t>66.32%</t>
        </is>
      </c>
      <c r="L216" t="n">
        <v>4.6</v>
      </c>
      <c r="M216" t="n">
        <v>7980</v>
      </c>
      <c r="O216" t="inlineStr">
        <is>
          <t>InStock</t>
        </is>
      </c>
      <c r="P216" t="inlineStr">
        <is>
          <t>undefined</t>
        </is>
      </c>
      <c r="Q216" t="inlineStr">
        <is>
          <t>6769971494984</t>
        </is>
      </c>
    </row>
    <row r="217">
      <c r="A217" s="2">
        <f>HYPERLINK("https://prolisok-store.com/collections/hair-care/products/tigi-s-factor-stunning-volume-shampoo-8-45-oz", "https://prolisok-store.com/collections/hair-care/products/tigi-s-factor-stunning-volume-shampoo-8-45-oz")</f>
        <v/>
      </c>
      <c r="B217" s="2">
        <f>HYPERLINK("https://prolisok-store.com/products/tigi-s-factor-stunning-volume-shampoo-8-45-oz", "https://prolisok-store.com/products/tigi-s-factor-stunning-volume-shampoo-8-45-oz")</f>
        <v/>
      </c>
      <c r="C217" t="inlineStr">
        <is>
          <t>Tigi s factor stunning volume shampoo 8.45 oz</t>
        </is>
      </c>
      <c r="D217" t="inlineStr">
        <is>
          <t>TIGI S-Factor Stunning Volume Shampoo for Unisex Fine Flat Hair, 25.36 Ounce</t>
        </is>
      </c>
      <c r="E217" s="2">
        <f>HYPERLINK("https://www.amazon.com/TIGI-S-Factor-Stunning-Shampoo-Unisex/dp/B00NJ23DVY/ref=sr_1_2?keywords=Tigi+s+factor+stunning+volume+shampoo+8.45+oz&amp;qid=1695259406&amp;sr=8-2", "https://www.amazon.com/TIGI-S-Factor-Stunning-Shampoo-Unisex/dp/B00NJ23DVY/ref=sr_1_2?keywords=Tigi+s+factor+stunning+volume+shampoo+8.45+oz&amp;qid=1695259406&amp;sr=8-2")</f>
        <v/>
      </c>
      <c r="F217" t="inlineStr">
        <is>
          <t>B00NJ23DVY</t>
        </is>
      </c>
      <c r="G217">
        <f>IMAGE("https://prolisok-store.com/cdn/shop/products/280066_300x.jpg?v=1690900082")</f>
        <v/>
      </c>
      <c r="H217">
        <f>IMAGE("https://m.media-amazon.com/images/I/71EjaULfgvL._AC_UL320_.jpg")</f>
        <v/>
      </c>
      <c r="I217" t="inlineStr">
        <is>
          <t>27.0</t>
        </is>
      </c>
      <c r="J217" t="n">
        <v>44.9</v>
      </c>
      <c r="K217" s="3" t="inlineStr">
        <is>
          <t>66.30%</t>
        </is>
      </c>
      <c r="L217" t="n">
        <v>4.3</v>
      </c>
      <c r="M217" t="n">
        <v>62</v>
      </c>
      <c r="O217" t="inlineStr">
        <is>
          <t>InStock</t>
        </is>
      </c>
      <c r="P217" t="inlineStr">
        <is>
          <t>undefined</t>
        </is>
      </c>
      <c r="Q217" t="inlineStr">
        <is>
          <t>6769973166152</t>
        </is>
      </c>
    </row>
    <row r="218">
      <c r="A218" s="2">
        <f>HYPERLINK("https://prolisok-store.com/collections/makeup/products/3ce-mood-recipe-matte-lip-color-909", "https://prolisok-store.com/collections/makeup/products/3ce-mood-recipe-matte-lip-color-909")</f>
        <v/>
      </c>
      <c r="B218" s="2">
        <f>HYPERLINK("https://prolisok-store.com/products/3ce-mood-recipe-matte-lip-color-909", "https://prolisok-store.com/products/3ce-mood-recipe-matte-lip-color-909")</f>
        <v/>
      </c>
      <c r="C218" t="inlineStr">
        <is>
          <t>3CE Mood Recipe Matte Lip Color, 909</t>
        </is>
      </c>
      <c r="D218" t="inlineStr">
        <is>
          <t>3CE MOOD RECIPE MATTE LIP COLOR #218</t>
        </is>
      </c>
      <c r="E218" s="2">
        <f>HYPERLINK("https://www.amazon.com/3CE-MOOD-RECIPE-MATTE-COLOR/dp/B0777DZC8Q/ref=sr_1_4?keywords=3CE+Mood+Recipe+Matte+Lip+Color%2C+909&amp;qid=1695259481&amp;sr=8-4", "https://www.amazon.com/3CE-MOOD-RECIPE-MATTE-COLOR/dp/B0777DZC8Q/ref=sr_1_4?keywords=3CE+Mood+Recipe+Matte+Lip+Color%2C+909&amp;qid=1695259481&amp;sr=8-4")</f>
        <v/>
      </c>
      <c r="F218" t="inlineStr">
        <is>
          <t>B0777DZC8Q</t>
        </is>
      </c>
      <c r="G218">
        <f>IMAGE("https://prolisok-store.com/cdn/shop/files/41q_eA_m8iL._SL1000_300x.jpg?v=1693221579")</f>
        <v/>
      </c>
      <c r="H218">
        <f>IMAGE("https://m.media-amazon.com/images/I/31TEnxtE9lL._AC_UL320_.jpg")</f>
        <v/>
      </c>
      <c r="I218" t="inlineStr">
        <is>
          <t>7.99</t>
        </is>
      </c>
      <c r="J218" t="n">
        <v>32</v>
      </c>
      <c r="K218" s="3" t="inlineStr">
        <is>
          <t>300.50%</t>
        </is>
      </c>
      <c r="L218" t="n">
        <v>5</v>
      </c>
      <c r="M218" t="n">
        <v>2</v>
      </c>
      <c r="O218" t="inlineStr">
        <is>
          <t>InStock</t>
        </is>
      </c>
      <c r="P218" t="inlineStr">
        <is>
          <t>undefined</t>
        </is>
      </c>
      <c r="Q218" t="inlineStr">
        <is>
          <t>6771911360584</t>
        </is>
      </c>
    </row>
    <row r="219">
      <c r="A219" s="2">
        <f>HYPERLINK("https://prolisok-store.com/collections/makeup/products/3ce-mood-recipe-matte-lip-color-116", "https://prolisok-store.com/collections/makeup/products/3ce-mood-recipe-matte-lip-color-116")</f>
        <v/>
      </c>
      <c r="B219" s="2">
        <f>HYPERLINK("https://prolisok-store.com/products/3ce-mood-recipe-matte-lip-color-116", "https://prolisok-store.com/products/3ce-mood-recipe-matte-lip-color-116")</f>
        <v/>
      </c>
      <c r="C219" t="inlineStr">
        <is>
          <t>3CE Mood Recipe Matte Lip Color, 116</t>
        </is>
      </c>
      <c r="D219" t="inlineStr">
        <is>
          <t>3CE MOOD RECIPE MATTE LIP COLOR # 222</t>
        </is>
      </c>
      <c r="E219" s="2">
        <f>HYPERLINK("https://www.amazon.com/3CE-MOOD-RECIPE-MATTE-COLOR/dp/B0777JF4PR/ref=sr_1_4?keywords=3CE+Mood+Recipe+Matte+Lip+Color%2C+116&amp;qid=1695259483&amp;sr=8-4", "https://www.amazon.com/3CE-MOOD-RECIPE-MATTE-COLOR/dp/B0777JF4PR/ref=sr_1_4?keywords=3CE+Mood+Recipe+Matte+Lip+Color%2C+116&amp;qid=1695259483&amp;sr=8-4")</f>
        <v/>
      </c>
      <c r="F219" t="inlineStr">
        <is>
          <t>B0777JF4PR</t>
        </is>
      </c>
      <c r="G219">
        <f>IMAGE("https://prolisok-store.com/cdn/shop/files/31C87n4RBaL_300x.jpg?v=1693221452")</f>
        <v/>
      </c>
      <c r="H219">
        <f>IMAGE("https://m.media-amazon.com/images/I/41lZN7xGY7L._AC_UL320_.jpg")</f>
        <v/>
      </c>
      <c r="I219" t="inlineStr">
        <is>
          <t>7.99</t>
        </is>
      </c>
      <c r="J219" t="n">
        <v>32</v>
      </c>
      <c r="K219" s="3" t="inlineStr">
        <is>
          <t>300.50%</t>
        </is>
      </c>
      <c r="L219" t="n">
        <v>4</v>
      </c>
      <c r="M219" t="n">
        <v>35</v>
      </c>
      <c r="O219" t="inlineStr">
        <is>
          <t>InStock</t>
        </is>
      </c>
      <c r="P219" t="inlineStr">
        <is>
          <t>undefined</t>
        </is>
      </c>
      <c r="Q219" t="inlineStr">
        <is>
          <t>6771911327816</t>
        </is>
      </c>
    </row>
    <row r="220">
      <c r="A220" s="2">
        <f>HYPERLINK("https://prolisok-store.com/collections/makeup/products/3ce-mood-recipe-matte-lip-color-909", "https://prolisok-store.com/collections/makeup/products/3ce-mood-recipe-matte-lip-color-909")</f>
        <v/>
      </c>
      <c r="B220" s="2">
        <f>HYPERLINK("https://prolisok-store.com/products/3ce-mood-recipe-matte-lip-color-909", "https://prolisok-store.com/products/3ce-mood-recipe-matte-lip-color-909")</f>
        <v/>
      </c>
      <c r="C220" t="inlineStr">
        <is>
          <t>3CE Mood Recipe Matte Lip Color, 909</t>
        </is>
      </c>
      <c r="D220" t="inlineStr">
        <is>
          <t>3CE MOOD RECIPE MATTE LIP COLOR # 222</t>
        </is>
      </c>
      <c r="E220" s="2">
        <f>HYPERLINK("https://www.amazon.com/3CE-MOOD-RECIPE-MATTE-COLOR/dp/B0777JF4PR/ref=sr_1_5?keywords=3CE+Mood+Recipe+Matte+Lip+Color%2C+909&amp;qid=1695259481&amp;sr=8-5", "https://www.amazon.com/3CE-MOOD-RECIPE-MATTE-COLOR/dp/B0777JF4PR/ref=sr_1_5?keywords=3CE+Mood+Recipe+Matte+Lip+Color%2C+909&amp;qid=1695259481&amp;sr=8-5")</f>
        <v/>
      </c>
      <c r="F220" t="inlineStr">
        <is>
          <t>B0777JF4PR</t>
        </is>
      </c>
      <c r="G220">
        <f>IMAGE("https://prolisok-store.com/cdn/shop/files/41q_eA_m8iL._SL1000_300x.jpg?v=1693221579")</f>
        <v/>
      </c>
      <c r="H220">
        <f>IMAGE("https://m.media-amazon.com/images/I/41lZN7xGY7L._AC_UL320_.jpg")</f>
        <v/>
      </c>
      <c r="I220" t="inlineStr">
        <is>
          <t>7.99</t>
        </is>
      </c>
      <c r="J220" t="n">
        <v>32</v>
      </c>
      <c r="K220" s="3" t="inlineStr">
        <is>
          <t>300.50%</t>
        </is>
      </c>
      <c r="L220" t="n">
        <v>4</v>
      </c>
      <c r="M220" t="n">
        <v>35</v>
      </c>
      <c r="O220" t="inlineStr">
        <is>
          <t>InStock</t>
        </is>
      </c>
      <c r="P220" t="inlineStr">
        <is>
          <t>undefined</t>
        </is>
      </c>
      <c r="Q220" t="inlineStr">
        <is>
          <t>6771911360584</t>
        </is>
      </c>
    </row>
    <row r="221">
      <c r="A221" s="2">
        <f>HYPERLINK("https://prolisok-store.com/collections/makeup/products/3ce-mood-recipe-matte-lip-color-116", "https://prolisok-store.com/collections/makeup/products/3ce-mood-recipe-matte-lip-color-116")</f>
        <v/>
      </c>
      <c r="B221" s="2">
        <f>HYPERLINK("https://prolisok-store.com/products/3ce-mood-recipe-matte-lip-color-116", "https://prolisok-store.com/products/3ce-mood-recipe-matte-lip-color-116")</f>
        <v/>
      </c>
      <c r="C221" t="inlineStr">
        <is>
          <t>3CE Mood Recipe Matte Lip Color, 116</t>
        </is>
      </c>
      <c r="D221" t="inlineStr">
        <is>
          <t>3CE MOOD RECIPE MATTE LIP COLOR #218</t>
        </is>
      </c>
      <c r="E221" s="2">
        <f>HYPERLINK("https://www.amazon.com/3CE-MOOD-RECIPE-MATTE-COLOR/dp/B0777DZC8Q/ref=sr_1_5?keywords=3CE+Mood+Recipe+Matte+Lip+Color%2C+116&amp;qid=1695259483&amp;sr=8-5", "https://www.amazon.com/3CE-MOOD-RECIPE-MATTE-COLOR/dp/B0777DZC8Q/ref=sr_1_5?keywords=3CE+Mood+Recipe+Matte+Lip+Color%2C+116&amp;qid=1695259483&amp;sr=8-5")</f>
        <v/>
      </c>
      <c r="F221" t="inlineStr">
        <is>
          <t>B0777DZC8Q</t>
        </is>
      </c>
      <c r="G221">
        <f>IMAGE("https://prolisok-store.com/cdn/shop/files/31C87n4RBaL_300x.jpg?v=1693221452")</f>
        <v/>
      </c>
      <c r="H221">
        <f>IMAGE("https://m.media-amazon.com/images/I/31TEnxtE9lL._AC_UL320_.jpg")</f>
        <v/>
      </c>
      <c r="I221" t="inlineStr">
        <is>
          <t>7.99</t>
        </is>
      </c>
      <c r="J221" t="n">
        <v>32</v>
      </c>
      <c r="K221" s="3" t="inlineStr">
        <is>
          <t>300.50%</t>
        </is>
      </c>
      <c r="L221" t="n">
        <v>5</v>
      </c>
      <c r="M221" t="n">
        <v>2</v>
      </c>
      <c r="O221" t="inlineStr">
        <is>
          <t>InStock</t>
        </is>
      </c>
      <c r="P221" t="inlineStr">
        <is>
          <t>undefined</t>
        </is>
      </c>
      <c r="Q221" t="inlineStr">
        <is>
          <t>6771911327816</t>
        </is>
      </c>
    </row>
    <row r="222">
      <c r="A222" s="2">
        <f>HYPERLINK("https://prolisok-store.com/collections/makeup/products/la-mer-soft-fluid-found-sf20-120", "https://prolisok-store.com/collections/makeup/products/la-mer-soft-fluid-found-sf20-120")</f>
        <v/>
      </c>
      <c r="B222" s="2">
        <f>HYPERLINK("https://prolisok-store.com/products/la-mer-soft-fluid-found-sf20-120", "https://prolisok-store.com/products/la-mer-soft-fluid-found-sf20-120")</f>
        <v/>
      </c>
      <c r="C222" t="inlineStr">
        <is>
          <t>La Mer Soft Fluid Foundation SF20 120</t>
        </is>
      </c>
      <c r="D222" t="inlineStr">
        <is>
          <t>LA MER The Soft Fluid Long Wear Foundation SPF20 30 ml.# Shell - for Light skin with Cool undertone</t>
        </is>
      </c>
      <c r="E222" s="2">
        <f>HYPERLINK("https://www.amazon.com/Soft-Fluid-Foundation-SPF20-Shell/dp/B01MG7U45H/ref=sr_1_9?keywords=La+Mer+Soft+Fluid+Foundation+SF20+120&amp;qid=1695259449&amp;sr=8-9", "https://www.amazon.com/Soft-Fluid-Foundation-SPF20-Shell/dp/B01MG7U45H/ref=sr_1_9?keywords=La+Mer+Soft+Fluid+Foundation+SF20+120&amp;qid=1695259449&amp;sr=8-9")</f>
        <v/>
      </c>
      <c r="F222" t="inlineStr">
        <is>
          <t>B01MG7U45H</t>
        </is>
      </c>
      <c r="G222">
        <f>IMAGE("https://prolisok-store.com/cdn/shop/products/41uQN86fQQL._SL1000_300x.jpg?v=1674030569")</f>
        <v/>
      </c>
      <c r="H222">
        <f>IMAGE("https://m.media-amazon.com/images/I/71101CnQpFL._AC_UL320_.jpg")</f>
        <v/>
      </c>
      <c r="I222" t="inlineStr">
        <is>
          <t>49.99</t>
        </is>
      </c>
      <c r="J222" t="n">
        <v>200</v>
      </c>
      <c r="K222" s="3" t="inlineStr">
        <is>
          <t>300.08%</t>
        </is>
      </c>
      <c r="L222" t="n">
        <v>4.1</v>
      </c>
      <c r="M222" t="n">
        <v>12</v>
      </c>
      <c r="O222" t="inlineStr">
        <is>
          <t>InStock</t>
        </is>
      </c>
      <c r="P222" t="inlineStr">
        <is>
          <t>undefined</t>
        </is>
      </c>
      <c r="Q222" t="inlineStr">
        <is>
          <t>6708763459656</t>
        </is>
      </c>
    </row>
    <row r="223">
      <c r="A223" s="2">
        <f>HYPERLINK("https://prolisok-store.com/collections/makeup/products/3ce-mood-recipe-face-blush-rose-beige", "https://prolisok-store.com/collections/makeup/products/3ce-mood-recipe-face-blush-rose-beige")</f>
        <v/>
      </c>
      <c r="B223" s="2">
        <f>HYPERLINK("https://prolisok-store.com/products/3ce-mood-recipe-face-blush-rose-beige", "https://prolisok-store.com/products/3ce-mood-recipe-face-blush-rose-beige")</f>
        <v/>
      </c>
      <c r="C223" t="inlineStr">
        <is>
          <t>3CE Mood Recipe Face Blush - #Rose Beige</t>
        </is>
      </c>
      <c r="D223" t="inlineStr">
        <is>
          <t>3CE MOOD RECIPE FACE BLUSH (# MONO PINK)</t>
        </is>
      </c>
      <c r="E223" s="2">
        <f>HYPERLINK("https://www.amazon.com/MOOD-RECIPE-FACE-BLUSH-MONO/dp/B0777NGV7S/ref=sr_1_4?keywords=3CE+Mood+Recipe+Face+Blush+-&amp;qid=1695259482&amp;sr=8-4", "https://www.amazon.com/MOOD-RECIPE-FACE-BLUSH-MONO/dp/B0777NGV7S/ref=sr_1_4?keywords=3CE+Mood+Recipe+Face+Blush+-&amp;qid=1695259482&amp;sr=8-4")</f>
        <v/>
      </c>
      <c r="F223" t="inlineStr">
        <is>
          <t>B0777NGV7S</t>
        </is>
      </c>
      <c r="G223">
        <f>IMAGE("https://prolisok-store.com/cdn/shop/files/31TTnrkqldL_300x.jpg?v=1683820558")</f>
        <v/>
      </c>
      <c r="H223">
        <f>IMAGE("https://m.media-amazon.com/images/I/31rkG9bJNoL._AC_UL320_.jpg")</f>
        <v/>
      </c>
      <c r="I223" t="inlineStr">
        <is>
          <t>7.99</t>
        </is>
      </c>
      <c r="J223" t="n">
        <v>28.79</v>
      </c>
      <c r="K223" s="3" t="inlineStr">
        <is>
          <t>260.33%</t>
        </is>
      </c>
      <c r="L223" t="n">
        <v>4.6</v>
      </c>
      <c r="M223" t="n">
        <v>22</v>
      </c>
      <c r="O223" t="inlineStr">
        <is>
          <t>InStock</t>
        </is>
      </c>
      <c r="P223" t="inlineStr">
        <is>
          <t>undefined</t>
        </is>
      </c>
      <c r="Q223" t="inlineStr">
        <is>
          <t>6761036218440</t>
        </is>
      </c>
    </row>
    <row r="224">
      <c r="A224" s="2">
        <f>HYPERLINK("https://prolisok-store.com/collections/makeup/products/3ce-new-velvet-lip-tint-absorbed-love-long-lasting-matte-finish", "https://prolisok-store.com/collections/makeup/products/3ce-new-velvet-lip-tint-absorbed-love-long-lasting-matte-finish")</f>
        <v/>
      </c>
      <c r="B224" s="2">
        <f>HYPERLINK("https://prolisok-store.com/products/3ce-new-velvet-lip-tint-absorbed-love-long-lasting-matte-finish", "https://prolisok-store.com/products/3ce-new-velvet-lip-tint-absorbed-love-long-lasting-matte-finish")</f>
        <v/>
      </c>
      <c r="C224" t="inlineStr">
        <is>
          <t>3CE New Velvet Lip Tint #ABSORBED Love long lasting matte finish</t>
        </is>
      </c>
      <c r="D224" t="inlineStr">
        <is>
          <t>3CE New Velvet Lip Tint #Simply Speaking long lasting matte finish</t>
        </is>
      </c>
      <c r="E224" s="2">
        <f>HYPERLINK("https://www.amazon.com/Velvet-Simply-Speaking-lasting-finish/dp/B07DJ5BL6K/ref=sr_1_3?keywords=3CE+New+Velvet+Lip+Tint&amp;qid=1695259511&amp;sr=8-3", "https://www.amazon.com/Velvet-Simply-Speaking-lasting-finish/dp/B07DJ5BL6K/ref=sr_1_3?keywords=3CE+New+Velvet+Lip+Tint&amp;qid=1695259511&amp;sr=8-3")</f>
        <v/>
      </c>
      <c r="F224" t="inlineStr">
        <is>
          <t>B07DJ5BL6K</t>
        </is>
      </c>
      <c r="G224">
        <f>IMAGE("https://prolisok-store.com/cdn/shop/files/41TsD5LcYOL_300x.jpg?v=1683818722")</f>
        <v/>
      </c>
      <c r="H224">
        <f>IMAGE("https://m.media-amazon.com/images/I/51bGwuosuVL._AC_UL320_.jpg")</f>
        <v/>
      </c>
      <c r="I224" t="inlineStr">
        <is>
          <t>7.99</t>
        </is>
      </c>
      <c r="J224" t="n">
        <v>28.5</v>
      </c>
      <c r="K224" s="3" t="inlineStr">
        <is>
          <t>256.70%</t>
        </is>
      </c>
      <c r="L224" t="n">
        <v>5</v>
      </c>
      <c r="M224" t="n">
        <v>2</v>
      </c>
      <c r="O224" t="inlineStr">
        <is>
          <t>InStock</t>
        </is>
      </c>
      <c r="P224" t="inlineStr">
        <is>
          <t>undefined</t>
        </is>
      </c>
      <c r="Q224" t="inlineStr">
        <is>
          <t>6761023963208</t>
        </is>
      </c>
    </row>
    <row r="225">
      <c r="A225" s="2">
        <f>HYPERLINK("https://prolisok-store.com/collections/makeup/products/3ce-mood-recipe-matte-lip-color-116", "https://prolisok-store.com/collections/makeup/products/3ce-mood-recipe-matte-lip-color-116")</f>
        <v/>
      </c>
      <c r="B225" s="2">
        <f>HYPERLINK("https://prolisok-store.com/products/3ce-mood-recipe-matte-lip-color-116", "https://prolisok-store.com/products/3ce-mood-recipe-matte-lip-color-116")</f>
        <v/>
      </c>
      <c r="C225" t="inlineStr">
        <is>
          <t>3CE Mood Recipe Matte Lip Color, 116</t>
        </is>
      </c>
      <c r="D225" t="inlineStr">
        <is>
          <t>3CE Mood Recipe Matte Lip Color, 116</t>
        </is>
      </c>
      <c r="E225" s="2">
        <f>HYPERLINK("https://www.amazon.com/3CE-Mood-Recipe-Matte-Color/dp/B079W98JCS/ref=sr_1_1?keywords=3CE+Mood+Recipe+Matte+Lip+Color%2C+116&amp;qid=1695259483&amp;sr=8-1", "https://www.amazon.com/3CE-Mood-Recipe-Matte-Color/dp/B079W98JCS/ref=sr_1_1?keywords=3CE+Mood+Recipe+Matte+Lip+Color%2C+116&amp;qid=1695259483&amp;sr=8-1")</f>
        <v/>
      </c>
      <c r="F225" t="inlineStr">
        <is>
          <t>B079W98JCS</t>
        </is>
      </c>
      <c r="G225">
        <f>IMAGE("https://prolisok-store.com/cdn/shop/files/31C87n4RBaL_300x.jpg?v=1693221452")</f>
        <v/>
      </c>
      <c r="H225">
        <f>IMAGE("https://m.media-amazon.com/images/I/31C87n4RBaL._AC_UL320_.jpg")</f>
        <v/>
      </c>
      <c r="I225" t="inlineStr">
        <is>
          <t>7.99</t>
        </is>
      </c>
      <c r="J225" t="n">
        <v>25.99</v>
      </c>
      <c r="K225" s="3" t="inlineStr">
        <is>
          <t>225.28%</t>
        </is>
      </c>
      <c r="L225" t="n">
        <v>4.2</v>
      </c>
      <c r="M225" t="n">
        <v>33</v>
      </c>
      <c r="O225" t="inlineStr">
        <is>
          <t>InStock</t>
        </is>
      </c>
      <c r="P225" t="inlineStr">
        <is>
          <t>undefined</t>
        </is>
      </c>
      <c r="Q225" t="inlineStr">
        <is>
          <t>6771911327816</t>
        </is>
      </c>
    </row>
    <row r="226">
      <c r="A226" s="2">
        <f>HYPERLINK("https://prolisok-store.com/collections/makeup/products/3ce-mood-recipe-matte-lip-color-3-concept-eyes-season-2-220-hit-me-up", "https://prolisok-store.com/collections/makeup/products/3ce-mood-recipe-matte-lip-color-3-concept-eyes-season-2-220-hit-me-up")</f>
        <v/>
      </c>
      <c r="B226" s="2">
        <f>HYPERLINK("https://prolisok-store.com/products/3ce-mood-recipe-matte-lip-color-3-concept-eyes-season-2-220-hit-me-up", "https://prolisok-store.com/products/3ce-mood-recipe-matte-lip-color-3-concept-eyes-season-2-220-hit-me-up")</f>
        <v/>
      </c>
      <c r="C226" t="inlineStr">
        <is>
          <t>3CE Mood Recipe Matte Lip Color 3 Concept Eyes Season 2 (#220 Hit Me Up)</t>
        </is>
      </c>
      <c r="D226" t="inlineStr">
        <is>
          <t>3CE NEW Mood Recipe Matte Lip Color (3 Concept Eyes) Season 2, 218, 219, 220, 221, 222 (218)</t>
        </is>
      </c>
      <c r="E226" s="2">
        <f>HYPERLINK("https://www.amazon.com/Recipe-Matte-Color-Concept-Season/dp/B077CLJGZG/ref=sr_1_5?keywords=3CE+Mood+Recipe+Matte+Lip+Color+3+Concept+Eyes+Season+2+%28&amp;qid=1695259496&amp;sr=8-5", "https://www.amazon.com/Recipe-Matte-Color-Concept-Season/dp/B077CLJGZG/ref=sr_1_5?keywords=3CE+Mood+Recipe+Matte+Lip+Color+3+Concept+Eyes+Season+2+%28&amp;qid=1695259496&amp;sr=8-5")</f>
        <v/>
      </c>
      <c r="F226" t="inlineStr">
        <is>
          <t>B077CLJGZG</t>
        </is>
      </c>
      <c r="G226">
        <f>IMAGE("https://prolisok-store.com/cdn/shop/files/41eAqvNQC-L._SL1000_300x.jpg?v=1693219330")</f>
        <v/>
      </c>
      <c r="H226">
        <f>IMAGE("https://m.media-amazon.com/images/I/518kiA+OAQL._AC_UL320_.jpg")</f>
        <v/>
      </c>
      <c r="I226" t="inlineStr">
        <is>
          <t>7.99</t>
        </is>
      </c>
      <c r="J226" t="n">
        <v>25.88</v>
      </c>
      <c r="K226" s="3" t="inlineStr">
        <is>
          <t>223.90%</t>
        </is>
      </c>
      <c r="L226" t="n">
        <v>4</v>
      </c>
      <c r="M226" t="n">
        <v>20</v>
      </c>
      <c r="O226" t="inlineStr">
        <is>
          <t>InStock</t>
        </is>
      </c>
      <c r="P226" t="inlineStr">
        <is>
          <t>undefined</t>
        </is>
      </c>
      <c r="Q226" t="inlineStr">
        <is>
          <t>6771911065672</t>
        </is>
      </c>
    </row>
    <row r="227">
      <c r="A227" s="2">
        <f>HYPERLINK("https://prolisok-store.com/collections/makeup/products/3ce-mood-recipe-matte-lip-color-909", "https://prolisok-store.com/collections/makeup/products/3ce-mood-recipe-matte-lip-color-909")</f>
        <v/>
      </c>
      <c r="B227" s="2">
        <f>HYPERLINK("https://prolisok-store.com/products/3ce-mood-recipe-matte-lip-color-909", "https://prolisok-store.com/products/3ce-mood-recipe-matte-lip-color-909")</f>
        <v/>
      </c>
      <c r="C227" t="inlineStr">
        <is>
          <t>3CE Mood Recipe Matte Lip Color, 909</t>
        </is>
      </c>
      <c r="D227" t="inlineStr">
        <is>
          <t>3CE NEW Mood Recipe Matte Lip Color (3 Concept Eyes) Season 2, 218, 219, 220, 221, 222 (218)</t>
        </is>
      </c>
      <c r="E227" s="2">
        <f>HYPERLINK("https://www.amazon.com/Recipe-Matte-Color-Concept-Season/dp/B077CLJGZG/ref=sr_1_6?keywords=3CE+Mood+Recipe+Matte+Lip+Color%2C+909&amp;qid=1695259481&amp;sr=8-6", "https://www.amazon.com/Recipe-Matte-Color-Concept-Season/dp/B077CLJGZG/ref=sr_1_6?keywords=3CE+Mood+Recipe+Matte+Lip+Color%2C+909&amp;qid=1695259481&amp;sr=8-6")</f>
        <v/>
      </c>
      <c r="F227" t="inlineStr">
        <is>
          <t>B077CLJGZG</t>
        </is>
      </c>
      <c r="G227">
        <f>IMAGE("https://prolisok-store.com/cdn/shop/files/41q_eA_m8iL._SL1000_300x.jpg?v=1693221579")</f>
        <v/>
      </c>
      <c r="H227">
        <f>IMAGE("https://m.media-amazon.com/images/I/518kiA+OAQL._AC_UL320_.jpg")</f>
        <v/>
      </c>
      <c r="I227" t="inlineStr">
        <is>
          <t>7.99</t>
        </is>
      </c>
      <c r="J227" t="n">
        <v>25.88</v>
      </c>
      <c r="K227" s="3" t="inlineStr">
        <is>
          <t>223.90%</t>
        </is>
      </c>
      <c r="L227" t="n">
        <v>4</v>
      </c>
      <c r="M227" t="n">
        <v>20</v>
      </c>
      <c r="O227" t="inlineStr">
        <is>
          <t>InStock</t>
        </is>
      </c>
      <c r="P227" t="inlineStr">
        <is>
          <t>undefined</t>
        </is>
      </c>
      <c r="Q227" t="inlineStr">
        <is>
          <t>6771911360584</t>
        </is>
      </c>
    </row>
    <row r="228">
      <c r="A228" s="2">
        <f>HYPERLINK("https://prolisok-store.com/collections/makeup/products/3ce-mood-recipe-matte-lip-color-116", "https://prolisok-store.com/collections/makeup/products/3ce-mood-recipe-matte-lip-color-116")</f>
        <v/>
      </c>
      <c r="B228" s="2">
        <f>HYPERLINK("https://prolisok-store.com/products/3ce-mood-recipe-matte-lip-color-116", "https://prolisok-store.com/products/3ce-mood-recipe-matte-lip-color-116")</f>
        <v/>
      </c>
      <c r="C228" t="inlineStr">
        <is>
          <t>3CE Mood Recipe Matte Lip Color, 116</t>
        </is>
      </c>
      <c r="D228" t="inlineStr">
        <is>
          <t>3CE NEW Mood Recipe Matte Lip Color (3 Concept Eyes) Season 2, 218, 219, 220, 221, 222 (218)</t>
        </is>
      </c>
      <c r="E228" s="2">
        <f>HYPERLINK("https://www.amazon.com/Recipe-Matte-Color-Concept-Season/dp/B077CLJGZG/ref=sr_1_9?keywords=3CE+Mood+Recipe+Matte+Lip+Color%2C+116&amp;qid=1695259483&amp;sr=8-9", "https://www.amazon.com/Recipe-Matte-Color-Concept-Season/dp/B077CLJGZG/ref=sr_1_9?keywords=3CE+Mood+Recipe+Matte+Lip+Color%2C+116&amp;qid=1695259483&amp;sr=8-9")</f>
        <v/>
      </c>
      <c r="F228" t="inlineStr">
        <is>
          <t>B077CLJGZG</t>
        </is>
      </c>
      <c r="G228">
        <f>IMAGE("https://prolisok-store.com/cdn/shop/files/31C87n4RBaL_300x.jpg?v=1693221452")</f>
        <v/>
      </c>
      <c r="H228">
        <f>IMAGE("https://m.media-amazon.com/images/I/518kiA+OAQL._AC_UL320_.jpg")</f>
        <v/>
      </c>
      <c r="I228" t="inlineStr">
        <is>
          <t>7.99</t>
        </is>
      </c>
      <c r="J228" t="n">
        <v>25.88</v>
      </c>
      <c r="K228" s="3" t="inlineStr">
        <is>
          <t>223.90%</t>
        </is>
      </c>
      <c r="L228" t="n">
        <v>4</v>
      </c>
      <c r="M228" t="n">
        <v>20</v>
      </c>
      <c r="O228" t="inlineStr">
        <is>
          <t>InStock</t>
        </is>
      </c>
      <c r="P228" t="inlineStr">
        <is>
          <t>undefined</t>
        </is>
      </c>
      <c r="Q228" t="inlineStr">
        <is>
          <t>6771911327816</t>
        </is>
      </c>
    </row>
    <row r="229">
      <c r="A229" s="2">
        <f>HYPERLINK("https://prolisok-store.com/collections/makeup/products/sisley-phyto-levres-perfect-lipliner-with-lip-brush-and-sharpener-6-chocolat-1-2g-0-04oz", "https://prolisok-store.com/collections/makeup/products/sisley-phyto-levres-perfect-lipliner-with-lip-brush-and-sharpener-6-chocolat-1-2g-0-04oz")</f>
        <v/>
      </c>
      <c r="B229" s="2">
        <f>HYPERLINK("https://prolisok-store.com/products/sisley-phyto-levres-perfect-lipliner-with-lip-brush-and-sharpener-6-chocolat-1-2g-0-04oz", "https://prolisok-store.com/products/sisley-phyto-levres-perfect-lipliner-with-lip-brush-and-sharpener-6-chocolat-1-2g-0-04oz")</f>
        <v/>
      </c>
      <c r="C229" t="inlineStr">
        <is>
          <t>Sisley phyto levres perfect lipliner with lip brush and sharpener - #6 chocolat 1.2g/0.04oz</t>
        </is>
      </c>
      <c r="D229" t="inlineStr">
        <is>
          <t>Sisley Phyto-Levres Perfect Lipliner with Lip Brush and Sharpener Ruby</t>
        </is>
      </c>
      <c r="E229" s="2">
        <f>HYPERLINK("https://www.amazon.com/Sisley-Phyto-Levres-Perfect-Lipliner-Sharpener/dp/B004EHRG0M/ref=sr_1_6?keywords=Sisley+phyto+levres+perfect+lipliner+with+lip+brush+and+sharpener+-+%236+chocolat+1.2g%2F0.04oz&amp;qid=1695259543&amp;sr=8-6", "https://www.amazon.com/Sisley-Phyto-Levres-Perfect-Lipliner-Sharpener/dp/B004EHRG0M/ref=sr_1_6?keywords=Sisley+phyto+levres+perfect+lipliner+with+lip+brush+and+sharpener+-+%236+chocolat+1.2g%2F0.04oz&amp;qid=1695259543&amp;sr=8-6")</f>
        <v/>
      </c>
      <c r="F229" t="inlineStr">
        <is>
          <t>B004EHRG0M</t>
        </is>
      </c>
      <c r="G229">
        <f>IMAGE("https://prolisok-store.com/cdn/shop/products/185462_300x.jpg?v=1690900901")</f>
        <v/>
      </c>
      <c r="H229">
        <f>IMAGE("https://m.media-amazon.com/images/I/61CL0U8J42L._AC_UL320_.jpg")</f>
        <v/>
      </c>
      <c r="I229" t="inlineStr">
        <is>
          <t>49.5</t>
        </is>
      </c>
      <c r="J229" t="n">
        <v>158.33</v>
      </c>
      <c r="K229" s="3" t="inlineStr">
        <is>
          <t>219.86%</t>
        </is>
      </c>
      <c r="L229" t="n">
        <v>5</v>
      </c>
      <c r="M229" t="n">
        <v>1</v>
      </c>
      <c r="O229" t="inlineStr">
        <is>
          <t>InStock</t>
        </is>
      </c>
      <c r="P229" t="inlineStr">
        <is>
          <t>undefined</t>
        </is>
      </c>
      <c r="Q229" t="inlineStr">
        <is>
          <t>6769986994248</t>
        </is>
      </c>
    </row>
    <row r="230">
      <c r="A230" s="2">
        <f>HYPERLINK("https://prolisok-store.com/collections/makeup/products/sisley-phyto-levres-perfect-lipliner-with-lip-brush-and-sharpener-1-nude-1-2g-0-04oz", "https://prolisok-store.com/collections/makeup/products/sisley-phyto-levres-perfect-lipliner-with-lip-brush-and-sharpener-1-nude-1-2g-0-04oz")</f>
        <v/>
      </c>
      <c r="B230" s="2">
        <f>HYPERLINK("https://prolisok-store.com/products/sisley-phyto-levres-perfect-lipliner-with-lip-brush-and-sharpener-1-nude-1-2g-0-04oz", "https://prolisok-store.com/products/sisley-phyto-levres-perfect-lipliner-with-lip-brush-and-sharpener-1-nude-1-2g-0-04oz")</f>
        <v/>
      </c>
      <c r="C230" t="inlineStr">
        <is>
          <t>Sisley phyto levres perfect lipliner with lip brush and sharpener - #1 nude 1.2g/0.04oz</t>
        </is>
      </c>
      <c r="D230" t="inlineStr">
        <is>
          <t>Sisley Phyto-Levres Perfect Lipliner with Lip Brush and Sharpener Ruby</t>
        </is>
      </c>
      <c r="E230" s="2">
        <f>HYPERLINK("https://www.amazon.com/Sisley-Phyto-Levres-Perfect-Lipliner-Sharpener/dp/B004EHRG0M/ref=sr_1_6?keywords=Sisley+phyto+levres+perfect+lipliner+with+lip+brush+and+sharpener+-+%231+nude+1.2g%2F0.04oz&amp;qid=1695259509&amp;sr=8-6", "https://www.amazon.com/Sisley-Phyto-Levres-Perfect-Lipliner-Sharpener/dp/B004EHRG0M/ref=sr_1_6?keywords=Sisley+phyto+levres+perfect+lipliner+with+lip+brush+and+sharpener+-+%231+nude+1.2g%2F0.04oz&amp;qid=1695259509&amp;sr=8-6")</f>
        <v/>
      </c>
      <c r="F230" t="inlineStr">
        <is>
          <t>B004EHRG0M</t>
        </is>
      </c>
      <c r="G230">
        <f>IMAGE("https://prolisok-store.com/cdn/shop/products/178979_300x.jpg?v=1690900912")</f>
        <v/>
      </c>
      <c r="H230">
        <f>IMAGE("https://m.media-amazon.com/images/I/61CL0U8J42L._AC_UL320_.jpg")</f>
        <v/>
      </c>
      <c r="I230" t="inlineStr">
        <is>
          <t>49.5</t>
        </is>
      </c>
      <c r="J230" t="n">
        <v>158.33</v>
      </c>
      <c r="K230" s="3" t="inlineStr">
        <is>
          <t>219.86%</t>
        </is>
      </c>
      <c r="L230" t="n">
        <v>5</v>
      </c>
      <c r="M230" t="n">
        <v>1</v>
      </c>
      <c r="O230" t="inlineStr">
        <is>
          <t>InStock</t>
        </is>
      </c>
      <c r="P230" t="inlineStr">
        <is>
          <t>undefined</t>
        </is>
      </c>
      <c r="Q230" t="inlineStr">
        <is>
          <t>6769987158088</t>
        </is>
      </c>
    </row>
    <row r="231">
      <c r="A231" s="2">
        <f>HYPERLINK("https://prolisok-store.com/collections/makeup/products/sisley-phyto-levres-perfect-lipliner-with-lip-brush-and-sharpener-5-burgundy-1-2g-0-04oz", "https://prolisok-store.com/collections/makeup/products/sisley-phyto-levres-perfect-lipliner-with-lip-brush-and-sharpener-5-burgundy-1-2g-0-04oz")</f>
        <v/>
      </c>
      <c r="B231" s="2">
        <f>HYPERLINK("https://prolisok-store.com/products/sisley-phyto-levres-perfect-lipliner-with-lip-brush-and-sharpener-5-burgundy-1-2g-0-04oz", "https://prolisok-store.com/products/sisley-phyto-levres-perfect-lipliner-with-lip-brush-and-sharpener-5-burgundy-1-2g-0-04oz")</f>
        <v/>
      </c>
      <c r="C231" t="inlineStr">
        <is>
          <t>Sisley phyto levres perfect lipliner with lip brush and sharpener - #5 burgundy 1.2g/0.04oz</t>
        </is>
      </c>
      <c r="D231" t="inlineStr">
        <is>
          <t>Sisley Phyto-Levres Perfect Lipliner with Lip Brush and Sharpener Ruby</t>
        </is>
      </c>
      <c r="E231" s="2">
        <f>HYPERLINK("https://www.amazon.com/Sisley-Phyto-Levres-Perfect-Lipliner-Sharpener/dp/B004EHRG0M/ref=sr_1_4?keywords=Sisley+phyto+levres+perfect+lipliner+with+lip+brush+and+sharpener+-+%235+burgundy+1.2g%2F0.04oz&amp;qid=1695259523&amp;sr=8-4", "https://www.amazon.com/Sisley-Phyto-Levres-Perfect-Lipliner-Sharpener/dp/B004EHRG0M/ref=sr_1_4?keywords=Sisley+phyto+levres+perfect+lipliner+with+lip+brush+and+sharpener+-+%235+burgundy+1.2g%2F0.04oz&amp;qid=1695259523&amp;sr=8-4")</f>
        <v/>
      </c>
      <c r="F231" t="inlineStr">
        <is>
          <t>B004EHRG0M</t>
        </is>
      </c>
      <c r="G231">
        <f>IMAGE("https://prolisok-store.com/cdn/shop/products/187944_300x.jpg?v=1690900896")</f>
        <v/>
      </c>
      <c r="H231">
        <f>IMAGE("https://m.media-amazon.com/images/I/61CL0U8J42L._AC_UL320_.jpg")</f>
        <v/>
      </c>
      <c r="I231" t="inlineStr">
        <is>
          <t>49.5</t>
        </is>
      </c>
      <c r="J231" t="n">
        <v>158.33</v>
      </c>
      <c r="K231" s="3" t="inlineStr">
        <is>
          <t>219.86%</t>
        </is>
      </c>
      <c r="L231" t="n">
        <v>5</v>
      </c>
      <c r="M231" t="n">
        <v>1</v>
      </c>
      <c r="O231" t="inlineStr">
        <is>
          <t>InStock</t>
        </is>
      </c>
      <c r="P231" t="inlineStr">
        <is>
          <t>undefined</t>
        </is>
      </c>
      <c r="Q231" t="inlineStr">
        <is>
          <t>6769986928712</t>
        </is>
      </c>
    </row>
    <row r="232">
      <c r="A232" s="2">
        <f>HYPERLINK("https://prolisok-store.com/collections/makeup/products/sisley-phyto-levres-perfect-lipliner-with-lip-brush-and-sharpener-10-auburn-1-2g-0-04oz", "https://prolisok-store.com/collections/makeup/products/sisley-phyto-levres-perfect-lipliner-with-lip-brush-and-sharpener-10-auburn-1-2g-0-04oz")</f>
        <v/>
      </c>
      <c r="B232" s="2">
        <f>HYPERLINK("https://prolisok-store.com/products/sisley-phyto-levres-perfect-lipliner-with-lip-brush-and-sharpener-10-auburn-1-2g-0-04oz", "https://prolisok-store.com/products/sisley-phyto-levres-perfect-lipliner-with-lip-brush-and-sharpener-10-auburn-1-2g-0-04oz")</f>
        <v/>
      </c>
      <c r="C232" t="inlineStr">
        <is>
          <t>Sisley phyto levres perfect lipliner with lip brush and sharpener - #10 auburn 1.2g/0.04oz</t>
        </is>
      </c>
      <c r="D232" t="inlineStr">
        <is>
          <t>Sisley Phyto-Levres Perfect Lipliner with Lip Brush and Sharpener Ruby</t>
        </is>
      </c>
      <c r="E232" s="2">
        <f>HYPERLINK("https://www.amazon.com/Sisley-Phyto-Levres-Perfect-Lipliner-Sharpener/dp/B004EHRG0M/ref=sr_1_4?keywords=Sisley+phyto+levres+perfect+lipliner+with+lip+brush+and+sharpener+-+%2310+auburn+1.2g%2F0.04oz&amp;qid=1695259518&amp;sr=8-4", "https://www.amazon.com/Sisley-Phyto-Levres-Perfect-Lipliner-Sharpener/dp/B004EHRG0M/ref=sr_1_4?keywords=Sisley+phyto+levres+perfect+lipliner+with+lip+brush+and+sharpener+-+%2310+auburn+1.2g%2F0.04oz&amp;qid=1695259518&amp;sr=8-4")</f>
        <v/>
      </c>
      <c r="F232" t="inlineStr">
        <is>
          <t>B004EHRG0M</t>
        </is>
      </c>
      <c r="G232">
        <f>IMAGE("https://prolisok-store.com/cdn/shop/products/288210_300x.jpg?v=1690900921")</f>
        <v/>
      </c>
      <c r="H232">
        <f>IMAGE("https://m.media-amazon.com/images/I/61CL0U8J42L._AC_UL320_.jpg")</f>
        <v/>
      </c>
      <c r="I232" t="inlineStr">
        <is>
          <t>49.5</t>
        </is>
      </c>
      <c r="J232" t="n">
        <v>158.33</v>
      </c>
      <c r="K232" s="3" t="inlineStr">
        <is>
          <t>219.86%</t>
        </is>
      </c>
      <c r="L232" t="n">
        <v>5</v>
      </c>
      <c r="M232" t="n">
        <v>1</v>
      </c>
      <c r="O232" t="inlineStr">
        <is>
          <t>InStock</t>
        </is>
      </c>
      <c r="P232" t="inlineStr">
        <is>
          <t>undefined</t>
        </is>
      </c>
      <c r="Q232" t="inlineStr">
        <is>
          <t>6769987354696</t>
        </is>
      </c>
    </row>
    <row r="233">
      <c r="A233" s="2">
        <f>HYPERLINK("https://prolisok-store.com/collections/makeup/products/3ce-mood-recipe-matte-lip-color-909", "https://prolisok-store.com/collections/makeup/products/3ce-mood-recipe-matte-lip-color-909")</f>
        <v/>
      </c>
      <c r="B233" s="2">
        <f>HYPERLINK("https://prolisok-store.com/products/3ce-mood-recipe-matte-lip-color-909", "https://prolisok-store.com/products/3ce-mood-recipe-matte-lip-color-909")</f>
        <v/>
      </c>
      <c r="C233" t="inlineStr">
        <is>
          <t>3CE Mood Recipe Matte Lip Color, 909</t>
        </is>
      </c>
      <c r="D233" t="inlineStr">
        <is>
          <t>3CE Mood Recipe Matte Lip Color, 909</t>
        </is>
      </c>
      <c r="E233" s="2">
        <f>HYPERLINK("https://www.amazon.com/3CE-Mood-Recipe-Matte-Color/dp/B079W9GLQL/ref=sr_1_1?keywords=3CE+Mood+Recipe+Matte+Lip+Color%2C+909&amp;qid=1695259481&amp;sr=8-1", "https://www.amazon.com/3CE-Mood-Recipe-Matte-Color/dp/B079W9GLQL/ref=sr_1_1?keywords=3CE+Mood+Recipe+Matte+Lip+Color%2C+909&amp;qid=1695259481&amp;sr=8-1")</f>
        <v/>
      </c>
      <c r="F233" t="inlineStr">
        <is>
          <t>B079W9GLQL</t>
        </is>
      </c>
      <c r="G233">
        <f>IMAGE("https://prolisok-store.com/cdn/shop/files/41q_eA_m8iL._SL1000_300x.jpg?v=1693221579")</f>
        <v/>
      </c>
      <c r="H233">
        <f>IMAGE("https://m.media-amazon.com/images/I/41q+eA+m8iL._AC_UL320_.jpg")</f>
        <v/>
      </c>
      <c r="I233" t="inlineStr">
        <is>
          <t>7.99</t>
        </is>
      </c>
      <c r="J233" t="n">
        <v>24.99</v>
      </c>
      <c r="K233" s="3" t="inlineStr">
        <is>
          <t>212.77%</t>
        </is>
      </c>
      <c r="L233" t="n">
        <v>4.2</v>
      </c>
      <c r="M233" t="n">
        <v>33</v>
      </c>
      <c r="O233" t="inlineStr">
        <is>
          <t>InStock</t>
        </is>
      </c>
      <c r="P233" t="inlineStr">
        <is>
          <t>undefined</t>
        </is>
      </c>
      <c r="Q233" t="inlineStr">
        <is>
          <t>6771911360584</t>
        </is>
      </c>
    </row>
    <row r="234">
      <c r="A234" s="2">
        <f>HYPERLINK("https://prolisok-store.com/collections/makeup/products/3ce-mood-recipe-matte-lip-color-116", "https://prolisok-store.com/collections/makeup/products/3ce-mood-recipe-matte-lip-color-116")</f>
        <v/>
      </c>
      <c r="B234" s="2">
        <f>HYPERLINK("https://prolisok-store.com/products/3ce-mood-recipe-matte-lip-color-116", "https://prolisok-store.com/products/3ce-mood-recipe-matte-lip-color-116")</f>
        <v/>
      </c>
      <c r="C234" t="inlineStr">
        <is>
          <t>3CE Mood Recipe Matte Lip Color, 116</t>
        </is>
      </c>
      <c r="D234" t="inlineStr">
        <is>
          <t>3CE NEW Mood Recipe Matte Lip Color (3 Concept Eyes) Season 2, 218, 219, 220, 221, 222 (221)</t>
        </is>
      </c>
      <c r="E234" s="2">
        <f>HYPERLINK("https://www.amazon.com/Recipe-Matte-Color-Concept-Season/dp/B077CMF9NB/ref=sr_1_10?keywords=3CE+Mood+Recipe+Matte+Lip+Color%2C+116&amp;qid=1695259483&amp;sr=8-10", "https://www.amazon.com/Recipe-Matte-Color-Concept-Season/dp/B077CMF9NB/ref=sr_1_10?keywords=3CE+Mood+Recipe+Matte+Lip+Color%2C+116&amp;qid=1695259483&amp;sr=8-10")</f>
        <v/>
      </c>
      <c r="F234" t="inlineStr">
        <is>
          <t>B077CMF9NB</t>
        </is>
      </c>
      <c r="G234">
        <f>IMAGE("https://prolisok-store.com/cdn/shop/files/31C87n4RBaL_300x.jpg?v=1693221452")</f>
        <v/>
      </c>
      <c r="H234">
        <f>IMAGE("https://m.media-amazon.com/images/I/31Mkk3Fv3nL._AC_UL320_.jpg")</f>
        <v/>
      </c>
      <c r="I234" t="inlineStr">
        <is>
          <t>7.99</t>
        </is>
      </c>
      <c r="J234" t="n">
        <v>23.22</v>
      </c>
      <c r="K234" s="3" t="inlineStr">
        <is>
          <t>190.61%</t>
        </is>
      </c>
      <c r="L234" t="n">
        <v>4.1</v>
      </c>
      <c r="M234" t="n">
        <v>43</v>
      </c>
      <c r="O234" t="inlineStr">
        <is>
          <t>InStock</t>
        </is>
      </c>
      <c r="P234" t="inlineStr">
        <is>
          <t>undefined</t>
        </is>
      </c>
      <c r="Q234" t="inlineStr">
        <is>
          <t>6771911327816</t>
        </is>
      </c>
    </row>
    <row r="235">
      <c r="A235" s="2">
        <f>HYPERLINK("https://prolisok-store.com/collections/makeup/products/3ce-mood-recipe-matte-lip-color-3-concept-eyes-season-2-220-hit-me-up", "https://prolisok-store.com/collections/makeup/products/3ce-mood-recipe-matte-lip-color-3-concept-eyes-season-2-220-hit-me-up")</f>
        <v/>
      </c>
      <c r="B235" s="2">
        <f>HYPERLINK("https://prolisok-store.com/products/3ce-mood-recipe-matte-lip-color-3-concept-eyes-season-2-220-hit-me-up", "https://prolisok-store.com/products/3ce-mood-recipe-matte-lip-color-3-concept-eyes-season-2-220-hit-me-up")</f>
        <v/>
      </c>
      <c r="C235" t="inlineStr">
        <is>
          <t>3CE Mood Recipe Matte Lip Color 3 Concept Eyes Season 2 (#220 Hit Me Up)</t>
        </is>
      </c>
      <c r="D235" t="inlineStr">
        <is>
          <t>3CE NEW Mood Recipe Matte Lip Color (3 Concept Eyes) Season 2, 218, 219, 220, 221, 222 (221)</t>
        </is>
      </c>
      <c r="E235" s="2">
        <f>HYPERLINK("https://www.amazon.com/Recipe-Matte-Color-Concept-Season/dp/B077CMF9NB/ref=sr_1_4?keywords=3CE+Mood+Recipe+Matte+Lip+Color+3+Concept+Eyes+Season+2+%28&amp;qid=1695259496&amp;sr=8-4", "https://www.amazon.com/Recipe-Matte-Color-Concept-Season/dp/B077CMF9NB/ref=sr_1_4?keywords=3CE+Mood+Recipe+Matte+Lip+Color+3+Concept+Eyes+Season+2+%28&amp;qid=1695259496&amp;sr=8-4")</f>
        <v/>
      </c>
      <c r="F235" t="inlineStr">
        <is>
          <t>B077CMF9NB</t>
        </is>
      </c>
      <c r="G235">
        <f>IMAGE("https://prolisok-store.com/cdn/shop/files/41eAqvNQC-L._SL1000_300x.jpg?v=1693219330")</f>
        <v/>
      </c>
      <c r="H235">
        <f>IMAGE("https://m.media-amazon.com/images/I/31Mkk3Fv3nL._AC_UL320_.jpg")</f>
        <v/>
      </c>
      <c r="I235" t="inlineStr">
        <is>
          <t>7.99</t>
        </is>
      </c>
      <c r="J235" t="n">
        <v>23.22</v>
      </c>
      <c r="K235" s="3" t="inlineStr">
        <is>
          <t>190.61%</t>
        </is>
      </c>
      <c r="L235" t="n">
        <v>4.1</v>
      </c>
      <c r="M235" t="n">
        <v>43</v>
      </c>
      <c r="O235" t="inlineStr">
        <is>
          <t>InStock</t>
        </is>
      </c>
      <c r="P235" t="inlineStr">
        <is>
          <t>undefined</t>
        </is>
      </c>
      <c r="Q235" t="inlineStr">
        <is>
          <t>6771911065672</t>
        </is>
      </c>
    </row>
    <row r="236">
      <c r="A236" s="2">
        <f>HYPERLINK("https://prolisok-store.com/collections/makeup/products/3ce-mood-recipe-face-blush-rose-beige", "https://prolisok-store.com/collections/makeup/products/3ce-mood-recipe-face-blush-rose-beige")</f>
        <v/>
      </c>
      <c r="B236" s="2">
        <f>HYPERLINK("https://prolisok-store.com/products/3ce-mood-recipe-face-blush-rose-beige", "https://prolisok-store.com/products/3ce-mood-recipe-face-blush-rose-beige")</f>
        <v/>
      </c>
      <c r="C236" t="inlineStr">
        <is>
          <t>3CE Mood Recipe Face Blush - #Rose Beige</t>
        </is>
      </c>
      <c r="D236" t="inlineStr">
        <is>
          <t>3CE Mood Recipe Face Blush - #Rose Beige</t>
        </is>
      </c>
      <c r="E236" s="2">
        <f>HYPERLINK("https://www.amazon.com/3CE-Mood-Recipe-Face-Blush/dp/B0777H6BSW/ref=sr_1_2?keywords=3CE+Mood+Recipe+Face+Blush+-&amp;qid=1695259482&amp;sr=8-2", "https://www.amazon.com/3CE-Mood-Recipe-Face-Blush/dp/B0777H6BSW/ref=sr_1_2?keywords=3CE+Mood+Recipe+Face+Blush+-&amp;qid=1695259482&amp;sr=8-2")</f>
        <v/>
      </c>
      <c r="F236" t="inlineStr">
        <is>
          <t>B0777H6BSW</t>
        </is>
      </c>
      <c r="G236">
        <f>IMAGE("https://prolisok-store.com/cdn/shop/files/31TTnrkqldL_300x.jpg?v=1683820558")</f>
        <v/>
      </c>
      <c r="H236">
        <f>IMAGE("https://m.media-amazon.com/images/I/31TTnrkqldL._AC_UL320_.jpg")</f>
        <v/>
      </c>
      <c r="I236" t="inlineStr">
        <is>
          <t>7.99</t>
        </is>
      </c>
      <c r="J236" t="n">
        <v>23</v>
      </c>
      <c r="K236" s="3" t="inlineStr">
        <is>
          <t>187.86%</t>
        </is>
      </c>
      <c r="L236" t="n">
        <v>4.6</v>
      </c>
      <c r="M236" t="n">
        <v>137</v>
      </c>
      <c r="O236" t="inlineStr">
        <is>
          <t>InStock</t>
        </is>
      </c>
      <c r="P236" t="inlineStr">
        <is>
          <t>undefined</t>
        </is>
      </c>
      <c r="Q236" t="inlineStr">
        <is>
          <t>6761036218440</t>
        </is>
      </c>
    </row>
    <row r="237">
      <c r="A237" s="2">
        <f>HYPERLINK("https://prolisok-store.com/collections/makeup/products/3ce-mood-recipe-matte-lip-color-3-concept-eyes-season-2-220-hit-me-up", "https://prolisok-store.com/collections/makeup/products/3ce-mood-recipe-matte-lip-color-3-concept-eyes-season-2-220-hit-me-up")</f>
        <v/>
      </c>
      <c r="B237" s="2">
        <f>HYPERLINK("https://prolisok-store.com/products/3ce-mood-recipe-matte-lip-color-3-concept-eyes-season-2-220-hit-me-up", "https://prolisok-store.com/products/3ce-mood-recipe-matte-lip-color-3-concept-eyes-season-2-220-hit-me-up")</f>
        <v/>
      </c>
      <c r="C237" t="inlineStr">
        <is>
          <t>3CE Mood Recipe Matte Lip Color 3 Concept Eyes Season 2 (#220 Hit Me Up)</t>
        </is>
      </c>
      <c r="D237" t="inlineStr">
        <is>
          <t>3CE NEW Mood Recipe Matte Lip Color (3 Concept Eyes) Season 2, 218, 219, 220, 221, 222 (222)</t>
        </is>
      </c>
      <c r="E237" s="2">
        <f>HYPERLINK("https://www.amazon.com/Recipe-Matte-Color-Concept-Season/dp/B077CJX6Z5/ref=sr_1_7?keywords=3CE+Mood+Recipe+Matte+Lip+Color+3+Concept+Eyes+Season+2+%28&amp;qid=1695259496&amp;sr=8-7", "https://www.amazon.com/Recipe-Matte-Color-Concept-Season/dp/B077CJX6Z5/ref=sr_1_7?keywords=3CE+Mood+Recipe+Matte+Lip+Color+3+Concept+Eyes+Season+2+%28&amp;qid=1695259496&amp;sr=8-7")</f>
        <v/>
      </c>
      <c r="F237" t="inlineStr">
        <is>
          <t>B077CJX6Z5</t>
        </is>
      </c>
      <c r="G237">
        <f>IMAGE("https://prolisok-store.com/cdn/shop/files/41eAqvNQC-L._SL1000_300x.jpg?v=1693219330")</f>
        <v/>
      </c>
      <c r="H237">
        <f>IMAGE("https://m.media-amazon.com/images/I/31JumltrZnL._AC_UL320_.jpg")</f>
        <v/>
      </c>
      <c r="I237" t="inlineStr">
        <is>
          <t>7.99</t>
        </is>
      </c>
      <c r="J237" t="n">
        <v>22.96</v>
      </c>
      <c r="K237" s="3" t="inlineStr">
        <is>
          <t>187.36%</t>
        </is>
      </c>
      <c r="L237" t="n">
        <v>4.2</v>
      </c>
      <c r="M237" t="n">
        <v>32</v>
      </c>
      <c r="O237" t="inlineStr">
        <is>
          <t>InStock</t>
        </is>
      </c>
      <c r="P237" t="inlineStr">
        <is>
          <t>undefined</t>
        </is>
      </c>
      <c r="Q237" t="inlineStr">
        <is>
          <t>6771911065672</t>
        </is>
      </c>
    </row>
    <row r="238">
      <c r="A238" s="2">
        <f>HYPERLINK("https://prolisok-store.com/collections/makeup/products/mac-small-eye-shadow-refill-pan-antiqued-1-5g-0-05oz", "https://prolisok-store.com/collections/makeup/products/mac-small-eye-shadow-refill-pan-antiqued-1-5g-0-05oz")</f>
        <v/>
      </c>
      <c r="B238" s="2">
        <f>HYPERLINK("https://prolisok-store.com/products/mac-small-eye-shadow-refill-pan-antiqued-1-5g-0-05oz", "https://prolisok-store.com/products/mac-small-eye-shadow-refill-pan-antiqued-1-5g-0-05oz")</f>
        <v/>
      </c>
      <c r="C238" t="inlineStr">
        <is>
          <t>MAC small eye shadow refill pan - antiqued -1.3g/0.04oz</t>
        </is>
      </c>
      <c r="D238" t="inlineStr">
        <is>
          <t>MAC Small Eye Shadow Refill Pan - Cork - 1.5g/0.05oz</t>
        </is>
      </c>
      <c r="E238" s="2">
        <f>HYPERLINK("https://www.amazon.com/MAC-Small-Eye-Shadow-Refill/dp/B008VFW4LY/ref=sr_1_4?keywords=MAC+small+eye+shadow+refill+pan+-+antiqued+-1.3g%2F0.04oz&amp;qid=1695259548&amp;sr=8-4", "https://www.amazon.com/MAC-Small-Eye-Shadow-Refill/dp/B008VFW4LY/ref=sr_1_4?keywords=MAC+small+eye+shadow+refill+pan+-+antiqued+-1.3g%2F0.04oz&amp;qid=1695259548&amp;sr=8-4")</f>
        <v/>
      </c>
      <c r="F238" t="inlineStr">
        <is>
          <t>B008VFW4LY</t>
        </is>
      </c>
      <c r="G238">
        <f>IMAGE("https://prolisok-store.com/cdn/shop/products/346006_300x.jpg?v=1690393889")</f>
        <v/>
      </c>
      <c r="H238">
        <f>IMAGE("https://m.media-amazon.com/images/I/31EjoKukrxL._AC_UL320_.jpg")</f>
        <v/>
      </c>
      <c r="I238" t="inlineStr">
        <is>
          <t>12.59</t>
        </is>
      </c>
      <c r="J238" t="n">
        <v>35.99</v>
      </c>
      <c r="K238" s="3" t="inlineStr">
        <is>
          <t>185.86%</t>
        </is>
      </c>
      <c r="L238" t="n">
        <v>5</v>
      </c>
      <c r="M238" t="n">
        <v>4</v>
      </c>
      <c r="O238" t="inlineStr">
        <is>
          <t>InStock</t>
        </is>
      </c>
      <c r="P238" t="inlineStr">
        <is>
          <t>undefined</t>
        </is>
      </c>
      <c r="Q238" t="inlineStr">
        <is>
          <t>6766504443976</t>
        </is>
      </c>
    </row>
    <row r="239">
      <c r="A239" s="2">
        <f>HYPERLINK("https://prolisok-store.com/collections/makeup/products/3ce-mood-recipe-matte-lip-color-3-concept-eyes-season-2-220-hit-me-up", "https://prolisok-store.com/collections/makeup/products/3ce-mood-recipe-matte-lip-color-3-concept-eyes-season-2-220-hit-me-up")</f>
        <v/>
      </c>
      <c r="B239" s="2">
        <f>HYPERLINK("https://prolisok-store.com/products/3ce-mood-recipe-matte-lip-color-3-concept-eyes-season-2-220-hit-me-up", "https://prolisok-store.com/products/3ce-mood-recipe-matte-lip-color-3-concept-eyes-season-2-220-hit-me-up")</f>
        <v/>
      </c>
      <c r="C239" t="inlineStr">
        <is>
          <t>3CE Mood Recipe Matte Lip Color 3 Concept Eyes Season 2 (#220 Hit Me Up)</t>
        </is>
      </c>
      <c r="D239" t="inlineStr">
        <is>
          <t>3CE Mood Recipe Matte Lip Color 3 Concept Eyes Season 2 (#220 Hit Me Up)</t>
        </is>
      </c>
      <c r="E239" s="2">
        <f>HYPERLINK("https://www.amazon.com/3CE-Recipe-Matte-Concept-Season/dp/B078T8881J/ref=sr_1_1?keywords=3CE+Mood+Recipe+Matte+Lip+Color+3+Concept+Eyes+Season+2+%28&amp;qid=1695259496&amp;sr=8-1", "https://www.amazon.com/3CE-Recipe-Matte-Concept-Season/dp/B078T8881J/ref=sr_1_1?keywords=3CE+Mood+Recipe+Matte+Lip+Color+3+Concept+Eyes+Season+2+%28&amp;qid=1695259496&amp;sr=8-1")</f>
        <v/>
      </c>
      <c r="F239" t="inlineStr">
        <is>
          <t>B078T8881J</t>
        </is>
      </c>
      <c r="G239">
        <f>IMAGE("https://prolisok-store.com/cdn/shop/files/41eAqvNQC-L._SL1000_300x.jpg?v=1693219330")</f>
        <v/>
      </c>
      <c r="H239">
        <f>IMAGE("https://m.media-amazon.com/images/I/41eAqvNQC-L._AC_UL320_.jpg")</f>
        <v/>
      </c>
      <c r="I239" t="inlineStr">
        <is>
          <t>7.99</t>
        </is>
      </c>
      <c r="J239" t="n">
        <v>22.5</v>
      </c>
      <c r="K239" s="3" t="inlineStr">
        <is>
          <t>181.60%</t>
        </is>
      </c>
      <c r="L239" t="n">
        <v>4.3</v>
      </c>
      <c r="M239" t="n">
        <v>5</v>
      </c>
      <c r="O239" t="inlineStr">
        <is>
          <t>InStock</t>
        </is>
      </c>
      <c r="P239" t="inlineStr">
        <is>
          <t>undefined</t>
        </is>
      </c>
      <c r="Q239" t="inlineStr">
        <is>
          <t>6771911065672</t>
        </is>
      </c>
    </row>
    <row r="240">
      <c r="A240" s="2">
        <f>HYPERLINK("https://prolisok-store.com/collections/makeup/products/3ce-mood-recipe-matte-lip-color-116", "https://prolisok-store.com/collections/makeup/products/3ce-mood-recipe-matte-lip-color-116")</f>
        <v/>
      </c>
      <c r="B240" s="2">
        <f>HYPERLINK("https://prolisok-store.com/products/3ce-mood-recipe-matte-lip-color-116", "https://prolisok-store.com/products/3ce-mood-recipe-matte-lip-color-116")</f>
        <v/>
      </c>
      <c r="C240" t="inlineStr">
        <is>
          <t>3CE Mood Recipe Matte Lip Color, 116</t>
        </is>
      </c>
      <c r="D240" t="inlineStr">
        <is>
          <t>3CE Mood Recipe Matte Lip Color 3 Concept Eyes Season 2 (#220 Hit Me Up)</t>
        </is>
      </c>
      <c r="E240" s="2">
        <f>HYPERLINK("https://www.amazon.com/3CE-Recipe-Matte-Concept-Season/dp/B078T8881J/ref=sr_1_8?keywords=3CE+Mood+Recipe+Matte+Lip+Color%2C+116&amp;qid=1695259483&amp;sr=8-8", "https://www.amazon.com/3CE-Recipe-Matte-Concept-Season/dp/B078T8881J/ref=sr_1_8?keywords=3CE+Mood+Recipe+Matte+Lip+Color%2C+116&amp;qid=1695259483&amp;sr=8-8")</f>
        <v/>
      </c>
      <c r="F240" t="inlineStr">
        <is>
          <t>B078T8881J</t>
        </is>
      </c>
      <c r="G240">
        <f>IMAGE("https://prolisok-store.com/cdn/shop/files/31C87n4RBaL_300x.jpg?v=1693221452")</f>
        <v/>
      </c>
      <c r="H240">
        <f>IMAGE("https://m.media-amazon.com/images/I/41eAqvNQC-L._AC_UL320_.jpg")</f>
        <v/>
      </c>
      <c r="I240" t="inlineStr">
        <is>
          <t>7.99</t>
        </is>
      </c>
      <c r="J240" t="n">
        <v>22.5</v>
      </c>
      <c r="K240" s="3" t="inlineStr">
        <is>
          <t>181.60%</t>
        </is>
      </c>
      <c r="L240" t="n">
        <v>4.3</v>
      </c>
      <c r="M240" t="n">
        <v>5</v>
      </c>
      <c r="O240" t="inlineStr">
        <is>
          <t>InStock</t>
        </is>
      </c>
      <c r="P240" t="inlineStr">
        <is>
          <t>undefined</t>
        </is>
      </c>
      <c r="Q240" t="inlineStr">
        <is>
          <t>6771911327816</t>
        </is>
      </c>
    </row>
    <row r="241">
      <c r="A241" s="2">
        <f>HYPERLINK("https://prolisok-store.com/collections/makeup/products/3ce-mood-recipe-matte-lip-color-909", "https://prolisok-store.com/collections/makeup/products/3ce-mood-recipe-matte-lip-color-909")</f>
        <v/>
      </c>
      <c r="B241" s="2">
        <f>HYPERLINK("https://prolisok-store.com/products/3ce-mood-recipe-matte-lip-color-909", "https://prolisok-store.com/products/3ce-mood-recipe-matte-lip-color-909")</f>
        <v/>
      </c>
      <c r="C241" t="inlineStr">
        <is>
          <t>3CE Mood Recipe Matte Lip Color, 909</t>
        </is>
      </c>
      <c r="D241" t="inlineStr">
        <is>
          <t>3CE Mood Recipe Matte Lip Color 3 Concept Eyes Season 2 (#220 Hit Me Up)</t>
        </is>
      </c>
      <c r="E241" s="2">
        <f>HYPERLINK("https://www.amazon.com/3CE-Recipe-Matte-Concept-Season/dp/B078T8881J/ref=sr_1_10?keywords=3CE+Mood+Recipe+Matte+Lip+Color%2C+909&amp;qid=1695259481&amp;sr=8-10", "https://www.amazon.com/3CE-Recipe-Matte-Concept-Season/dp/B078T8881J/ref=sr_1_10?keywords=3CE+Mood+Recipe+Matte+Lip+Color%2C+909&amp;qid=1695259481&amp;sr=8-10")</f>
        <v/>
      </c>
      <c r="F241" t="inlineStr">
        <is>
          <t>B078T8881J</t>
        </is>
      </c>
      <c r="G241">
        <f>IMAGE("https://prolisok-store.com/cdn/shop/files/41q_eA_m8iL._SL1000_300x.jpg?v=1693221579")</f>
        <v/>
      </c>
      <c r="H241">
        <f>IMAGE("https://m.media-amazon.com/images/I/41eAqvNQC-L._AC_UL320_.jpg")</f>
        <v/>
      </c>
      <c r="I241" t="inlineStr">
        <is>
          <t>7.99</t>
        </is>
      </c>
      <c r="J241" t="n">
        <v>22.5</v>
      </c>
      <c r="K241" s="3" t="inlineStr">
        <is>
          <t>181.60%</t>
        </is>
      </c>
      <c r="L241" t="n">
        <v>4.3</v>
      </c>
      <c r="M241" t="n">
        <v>5</v>
      </c>
      <c r="O241" t="inlineStr">
        <is>
          <t>InStock</t>
        </is>
      </c>
      <c r="P241" t="inlineStr">
        <is>
          <t>undefined</t>
        </is>
      </c>
      <c r="Q241" t="inlineStr">
        <is>
          <t>6771911360584</t>
        </is>
      </c>
    </row>
    <row r="242">
      <c r="A242" s="2">
        <f>HYPERLINK("https://prolisok-store.com/collections/makeup/products/3ce-velvet-lip-tint-4g-stylenanda-private", "https://prolisok-store.com/collections/makeup/products/3ce-velvet-lip-tint-4g-stylenanda-private")</f>
        <v/>
      </c>
      <c r="B242" s="2">
        <f>HYPERLINK("https://prolisok-store.com/products/3ce-velvet-lip-tint-4g-stylenanda-private", "https://prolisok-store.com/products/3ce-velvet-lip-tint-4g-stylenanda-private")</f>
        <v/>
      </c>
      <c r="C242" t="inlineStr">
        <is>
          <t>3CE Velvet Lip Tint (4g) Stylenanda (Private)</t>
        </is>
      </c>
      <c r="D242" t="inlineStr">
        <is>
          <t>3CE (Velvet Lip) (VELVET LIP TINT #PRIVATE)</t>
        </is>
      </c>
      <c r="E242" s="2">
        <f>HYPERLINK("https://www.amazon.com/3CE-Velvet-VELVET-TINT-PRIVATE/dp/B0795FH4GQ/ref=sr_1_5?keywords=3CE+Velvet+Lip+Tint+%284g%29+Stylenanda+%28Private%29&amp;qid=1695259491&amp;sr=8-5", "https://www.amazon.com/3CE-Velvet-VELVET-TINT-PRIVATE/dp/B0795FH4GQ/ref=sr_1_5?keywords=3CE+Velvet+Lip+Tint+%284g%29+Stylenanda+%28Private%29&amp;qid=1695259491&amp;sr=8-5")</f>
        <v/>
      </c>
      <c r="F242" t="inlineStr">
        <is>
          <t>B0795FH4GQ</t>
        </is>
      </c>
      <c r="G242">
        <f>IMAGE("https://prolisok-store.com/cdn/shop/files/51lsOgwPjWL._SL1000_300x.jpg?v=1683819884")</f>
        <v/>
      </c>
      <c r="H242">
        <f>IMAGE("https://m.media-amazon.com/images/I/31y0jY7-a6L._AC_UL320_.jpg")</f>
        <v/>
      </c>
      <c r="I242" t="inlineStr">
        <is>
          <t>7.99</t>
        </is>
      </c>
      <c r="J242" t="n">
        <v>22.44</v>
      </c>
      <c r="K242" s="3" t="inlineStr">
        <is>
          <t>180.85%</t>
        </is>
      </c>
      <c r="L242" t="n">
        <v>4.2</v>
      </c>
      <c r="M242" t="n">
        <v>20</v>
      </c>
      <c r="O242" t="inlineStr">
        <is>
          <t>InStock</t>
        </is>
      </c>
      <c r="P242" t="inlineStr">
        <is>
          <t>undefined</t>
        </is>
      </c>
      <c r="Q242" t="inlineStr">
        <is>
          <t>6761027764296</t>
        </is>
      </c>
    </row>
    <row r="243">
      <c r="A243" s="2">
        <f>HYPERLINK("https://prolisok-store.com/collections/makeup/products/the-soft-fluid-foundation-spf-20-1-oz-porcelain", "https://prolisok-store.com/collections/makeup/products/the-soft-fluid-foundation-spf-20-1-oz-porcelain")</f>
        <v/>
      </c>
      <c r="B243" s="2">
        <f>HYPERLINK("https://prolisok-store.com/products/the-soft-fluid-foundation-spf-20-1-oz-porcelain", "https://prolisok-store.com/products/the-soft-fluid-foundation-spf-20-1-oz-porcelain")</f>
        <v/>
      </c>
      <c r="C243" t="inlineStr">
        <is>
          <t>La Mer The Soft Fluid Foundation SPF 20-1 oz. Porcelain</t>
        </is>
      </c>
      <c r="D243" t="inlineStr">
        <is>
          <t>La Mer The Soft Fluid Long Wear Foundation SPF 20 - # 22 Neutral 30ml/1oz</t>
        </is>
      </c>
      <c r="E243" s="2">
        <f>HYPERLINK("https://www.amazon.com/Mer-Soft-Fluid-Long-Foundation/dp/B01MG45I4H/ref=sr_1_5?keywords=La+Mer+The+Soft+Fluid+Foundation+SPF+20-1+oz.+Porcelain&amp;qid=1695259454&amp;sr=8-5", "https://www.amazon.com/Mer-Soft-Fluid-Long-Foundation/dp/B01MG45I4H/ref=sr_1_5?keywords=La+Mer+The+Soft+Fluid+Foundation+SPF+20-1+oz.+Porcelain&amp;qid=1695259454&amp;sr=8-5")</f>
        <v/>
      </c>
      <c r="F243" t="inlineStr">
        <is>
          <t>B01MG45I4H</t>
        </is>
      </c>
      <c r="G243">
        <f>IMAGE("https://prolisok-store.com/cdn/shop/products/41wgXKYLRyL._SL1000_300x.jpg?v=1674109756")</f>
        <v/>
      </c>
      <c r="H243">
        <f>IMAGE("https://m.media-amazon.com/images/I/51oqFtChOJL._AC_UL320_.jpg")</f>
        <v/>
      </c>
      <c r="I243" t="inlineStr">
        <is>
          <t>49.99</t>
        </is>
      </c>
      <c r="J243" t="n">
        <v>140</v>
      </c>
      <c r="K243" s="3" t="inlineStr">
        <is>
          <t>180.06%</t>
        </is>
      </c>
      <c r="L243" t="n">
        <v>4.7</v>
      </c>
      <c r="M243" t="n">
        <v>29</v>
      </c>
      <c r="O243" t="inlineStr">
        <is>
          <t>InStock</t>
        </is>
      </c>
      <c r="P243" t="inlineStr">
        <is>
          <t>95.0</t>
        </is>
      </c>
      <c r="Q243" t="inlineStr">
        <is>
          <t>6709197045832</t>
        </is>
      </c>
    </row>
    <row r="244">
      <c r="A244" s="2">
        <f>HYPERLINK("https://prolisok-store.com/collections/makeup/products/estee-lauder-pure-color-envy-sculpting-lipstick-360-fierce-0-12-ounce", "https://prolisok-store.com/collections/makeup/products/estee-lauder-pure-color-envy-sculpting-lipstick-360-fierce-0-12-ounce")</f>
        <v/>
      </c>
      <c r="B244" s="2">
        <f>HYPERLINK("https://prolisok-store.com/products/estee-lauder-pure-color-envy-sculpting-lipstick-360-fierce-0-12-ounce", "https://prolisok-store.com/products/estee-lauder-pure-color-envy-sculpting-lipstick-360-fierce-0-12-ounce")</f>
        <v/>
      </c>
      <c r="C244" t="inlineStr">
        <is>
          <t>Estee Lauder Pure Color Envy Sculpting Lipstick #360 Fierce, 0.12 Ounce</t>
        </is>
      </c>
      <c r="D244" t="inlineStr">
        <is>
          <t>Estee Lauder Pure Color Envy Matte Sculpting Lipstick - 113 Raw Edge Lipstick Women 0.12 oz</t>
        </is>
      </c>
      <c r="E244" s="2">
        <f>HYPERLINK("https://www.amazon.com/Color-Velvet-Matte-Sculpting-Lipstick/dp/B072MN9LJM/ref=sr_1_2?keywords=Estee+Lauder+Pure+Color+Envy+Sculpting+Lipstick+%23360+Fierce%2C+0.12+Ounce&amp;qid=1695259450&amp;sr=8-2", "https://www.amazon.com/Color-Velvet-Matte-Sculpting-Lipstick/dp/B072MN9LJM/ref=sr_1_2?keywords=Estee+Lauder+Pure+Color+Envy+Sculpting+Lipstick+%23360+Fierce%2C+0.12+Ounce&amp;qid=1695259450&amp;sr=8-2")</f>
        <v/>
      </c>
      <c r="F244" t="inlineStr">
        <is>
          <t>B072MN9LJM</t>
        </is>
      </c>
      <c r="G244">
        <f>IMAGE("https://prolisok-store.com/cdn/shop/products/61OXcvCJbTL._SL1500_300x.jpg?v=1681307706")</f>
        <v/>
      </c>
      <c r="H244">
        <f>IMAGE("https://m.media-amazon.com/images/I/61wJFyz1YzL._AC_UL320_.jpg")</f>
        <v/>
      </c>
      <c r="I244" t="inlineStr">
        <is>
          <t>14.99</t>
        </is>
      </c>
      <c r="J244" t="n">
        <v>41.73</v>
      </c>
      <c r="K244" s="3" t="inlineStr">
        <is>
          <t>178.39%</t>
        </is>
      </c>
      <c r="L244" t="n">
        <v>4.4</v>
      </c>
      <c r="M244" t="n">
        <v>9</v>
      </c>
      <c r="O244" t="inlineStr">
        <is>
          <t>InStock</t>
        </is>
      </c>
      <c r="P244" t="inlineStr">
        <is>
          <t>undefined</t>
        </is>
      </c>
      <c r="Q244" t="inlineStr">
        <is>
          <t>6751779815496</t>
        </is>
      </c>
    </row>
    <row r="245">
      <c r="A245" s="2">
        <f>HYPERLINK("https://prolisok-store.com/collections/makeup/products/3ce-new-velvet-lip-tint-absorbed-love-long-lasting-matte-finish", "https://prolisok-store.com/collections/makeup/products/3ce-new-velvet-lip-tint-absorbed-love-long-lasting-matte-finish")</f>
        <v/>
      </c>
      <c r="B245" s="2">
        <f>HYPERLINK("https://prolisok-store.com/products/3ce-new-velvet-lip-tint-absorbed-love-long-lasting-matte-finish", "https://prolisok-store.com/products/3ce-new-velvet-lip-tint-absorbed-love-long-lasting-matte-finish")</f>
        <v/>
      </c>
      <c r="C245" t="inlineStr">
        <is>
          <t>3CE New Velvet Lip Tint #ABSORBED Love long lasting matte finish</t>
        </is>
      </c>
      <c r="D245" t="inlineStr">
        <is>
          <t>3CE New Velvet Lip Tint #ABSORBED Love long lasting matte finish</t>
        </is>
      </c>
      <c r="E245" s="2">
        <f>HYPERLINK("https://www.amazon.com/Velvet-ABSORBED-lasting-matte-finish/dp/B07DJ4BWFQ/ref=sr_1_2?keywords=3CE+New+Velvet+Lip+Tint&amp;qid=1695259511&amp;sr=8-2", "https://www.amazon.com/Velvet-ABSORBED-lasting-matte-finish/dp/B07DJ4BWFQ/ref=sr_1_2?keywords=3CE+New+Velvet+Lip+Tint&amp;qid=1695259511&amp;sr=8-2")</f>
        <v/>
      </c>
      <c r="F245" t="inlineStr">
        <is>
          <t>B07DJ4BWFQ</t>
        </is>
      </c>
      <c r="G245">
        <f>IMAGE("https://prolisok-store.com/cdn/shop/files/41TsD5LcYOL_300x.jpg?v=1683818722")</f>
        <v/>
      </c>
      <c r="H245">
        <f>IMAGE("https://m.media-amazon.com/images/I/41TsD5LcYOL._AC_UL320_.jpg")</f>
        <v/>
      </c>
      <c r="I245" t="inlineStr">
        <is>
          <t>7.99</t>
        </is>
      </c>
      <c r="J245" t="n">
        <v>22</v>
      </c>
      <c r="K245" s="3" t="inlineStr">
        <is>
          <t>175.34%</t>
        </is>
      </c>
      <c r="L245" t="n">
        <v>4.3</v>
      </c>
      <c r="M245" t="n">
        <v>8</v>
      </c>
      <c r="O245" t="inlineStr">
        <is>
          <t>InStock</t>
        </is>
      </c>
      <c r="P245" t="inlineStr">
        <is>
          <t>undefined</t>
        </is>
      </c>
      <c r="Q245" t="inlineStr">
        <is>
          <t>6761023963208</t>
        </is>
      </c>
    </row>
    <row r="246">
      <c r="A246" s="2">
        <f>HYPERLINK("https://prolisok-store.com/collections/makeup/products/3ce-mood-recipe-face-blush-rose-beige", "https://prolisok-store.com/collections/makeup/products/3ce-mood-recipe-face-blush-rose-beige")</f>
        <v/>
      </c>
      <c r="B246" s="2">
        <f>HYPERLINK("https://prolisok-store.com/products/3ce-mood-recipe-face-blush-rose-beige", "https://prolisok-store.com/products/3ce-mood-recipe-face-blush-rose-beige")</f>
        <v/>
      </c>
      <c r="C246" t="inlineStr">
        <is>
          <t>3CE Mood Recipe Face Blush - #Rose Beige</t>
        </is>
      </c>
      <c r="D246" t="inlineStr">
        <is>
          <t>3CE MOOD RECIPE FACE BLUSH (# NUDE PEACH)</t>
        </is>
      </c>
      <c r="E246" s="2">
        <f>HYPERLINK("https://www.amazon.com/MOOD-RECIPE-FACE-BLUSH-PEACH/dp/B0777FK974/ref=sr_1_3?keywords=3CE+Mood+Recipe+Face+Blush+-&amp;qid=1695259482&amp;sr=8-3", "https://www.amazon.com/MOOD-RECIPE-FACE-BLUSH-PEACH/dp/B0777FK974/ref=sr_1_3?keywords=3CE+Mood+Recipe+Face+Blush+-&amp;qid=1695259482&amp;sr=8-3")</f>
        <v/>
      </c>
      <c r="F246" t="inlineStr">
        <is>
          <t>B0777FK974</t>
        </is>
      </c>
      <c r="G246">
        <f>IMAGE("https://prolisok-store.com/cdn/shop/files/31TTnrkqldL_300x.jpg?v=1683820558")</f>
        <v/>
      </c>
      <c r="H246">
        <f>IMAGE("https://m.media-amazon.com/images/I/41p47yBnZFL._AC_UL320_.jpg")</f>
        <v/>
      </c>
      <c r="I246" t="inlineStr">
        <is>
          <t>7.99</t>
        </is>
      </c>
      <c r="J246" t="n">
        <v>21.18</v>
      </c>
      <c r="K246" s="3" t="inlineStr">
        <is>
          <t>165.08%</t>
        </is>
      </c>
      <c r="L246" t="n">
        <v>4.8</v>
      </c>
      <c r="M246" t="n">
        <v>25</v>
      </c>
      <c r="O246" t="inlineStr">
        <is>
          <t>InStock</t>
        </is>
      </c>
      <c r="P246" t="inlineStr">
        <is>
          <t>undefined</t>
        </is>
      </c>
      <c r="Q246" t="inlineStr">
        <is>
          <t>6761036218440</t>
        </is>
      </c>
    </row>
    <row r="247">
      <c r="A247" s="2">
        <f>HYPERLINK("https://prolisok-store.com/collections/makeup/products/3ce-velvet-lip-tint-4g-stylenanda-private", "https://prolisok-store.com/collections/makeup/products/3ce-velvet-lip-tint-4g-stylenanda-private")</f>
        <v/>
      </c>
      <c r="B247" s="2">
        <f>HYPERLINK("https://prolisok-store.com/products/3ce-velvet-lip-tint-4g-stylenanda-private", "https://prolisok-store.com/products/3ce-velvet-lip-tint-4g-stylenanda-private")</f>
        <v/>
      </c>
      <c r="C247" t="inlineStr">
        <is>
          <t>3CE Velvet Lip Tint (4g) Stylenanda (Private)</t>
        </is>
      </c>
      <c r="D247" t="inlineStr">
        <is>
          <t>3CE Velvet Lip Tint (4g/ea) 10 colors / Newly Launched / Mlbb / Mlbb Lips / Stylenanda (Best Ever)</t>
        </is>
      </c>
      <c r="E247" s="2">
        <f>HYPERLINK("https://www.amazon.com/Velvet-colors-Newly-Launched-Stylenanda/dp/B076J83H6F/ref=sr_1_2?keywords=3CE+Velvet+Lip+Tint+%284g%29+Stylenanda+%28Private%29&amp;qid=1695259491&amp;sr=8-2", "https://www.amazon.com/Velvet-colors-Newly-Launched-Stylenanda/dp/B076J83H6F/ref=sr_1_2?keywords=3CE+Velvet+Lip+Tint+%284g%29+Stylenanda+%28Private%29&amp;qid=1695259491&amp;sr=8-2")</f>
        <v/>
      </c>
      <c r="F247" t="inlineStr">
        <is>
          <t>B076J83H6F</t>
        </is>
      </c>
      <c r="G247">
        <f>IMAGE("https://prolisok-store.com/cdn/shop/files/51lsOgwPjWL._SL1000_300x.jpg?v=1683819884")</f>
        <v/>
      </c>
      <c r="H247">
        <f>IMAGE("https://m.media-amazon.com/images/I/51vrAPNxfqL._AC_UL320_.jpg")</f>
        <v/>
      </c>
      <c r="I247" t="inlineStr">
        <is>
          <t>7.99</t>
        </is>
      </c>
      <c r="J247" t="n">
        <v>21</v>
      </c>
      <c r="K247" s="3" t="inlineStr">
        <is>
          <t>162.83%</t>
        </is>
      </c>
      <c r="L247" t="n">
        <v>4.5</v>
      </c>
      <c r="M247" t="n">
        <v>4</v>
      </c>
      <c r="O247" t="inlineStr">
        <is>
          <t>InStock</t>
        </is>
      </c>
      <c r="P247" t="inlineStr">
        <is>
          <t>undefined</t>
        </is>
      </c>
      <c r="Q247" t="inlineStr">
        <is>
          <t>6761027764296</t>
        </is>
      </c>
    </row>
    <row r="248">
      <c r="A248" s="2">
        <f>HYPERLINK("https://prolisok-store.com/collections/makeup/products/3ce-velvet-lip-tint-4g-stylenanda-private", "https://prolisok-store.com/collections/makeup/products/3ce-velvet-lip-tint-4g-stylenanda-private")</f>
        <v/>
      </c>
      <c r="B248" s="2">
        <f>HYPERLINK("https://prolisok-store.com/products/3ce-velvet-lip-tint-4g-stylenanda-private", "https://prolisok-store.com/products/3ce-velvet-lip-tint-4g-stylenanda-private")</f>
        <v/>
      </c>
      <c r="C248" t="inlineStr">
        <is>
          <t>3CE Velvet Lip Tint (4g) Stylenanda (Private)</t>
        </is>
      </c>
      <c r="D248" t="inlineStr">
        <is>
          <t>3CE Velvet Lip Tint (4g/ea) 10 colors / Newly Launched / Mlbb / Mlbb Lips / Stylenanda (Private)</t>
        </is>
      </c>
      <c r="E248" s="2">
        <f>HYPERLINK("https://www.amazon.com/Velvet-colors-Launched-Stylenanda-Private/dp/B076J9P2Q5/ref=sr_1_1?keywords=3CE+Velvet+Lip+Tint+%284g%29+Stylenanda+%28Private%29&amp;qid=1695259491&amp;sr=8-1", "https://www.amazon.com/Velvet-colors-Launched-Stylenanda-Private/dp/B076J9P2Q5/ref=sr_1_1?keywords=3CE+Velvet+Lip+Tint+%284g%29+Stylenanda+%28Private%29&amp;qid=1695259491&amp;sr=8-1")</f>
        <v/>
      </c>
      <c r="F248" t="inlineStr">
        <is>
          <t>B076J9P2Q5</t>
        </is>
      </c>
      <c r="G248">
        <f>IMAGE("https://prolisok-store.com/cdn/shop/files/51lsOgwPjWL._SL1000_300x.jpg?v=1683819884")</f>
        <v/>
      </c>
      <c r="H248">
        <f>IMAGE("https://m.media-amazon.com/images/I/51lsOgwPjWL._AC_UL320_.jpg")</f>
        <v/>
      </c>
      <c r="I248" t="inlineStr">
        <is>
          <t>7.99</t>
        </is>
      </c>
      <c r="J248" t="n">
        <v>20.9</v>
      </c>
      <c r="K248" s="3" t="inlineStr">
        <is>
          <t>161.58%</t>
        </is>
      </c>
      <c r="L248" t="n">
        <v>4.4</v>
      </c>
      <c r="M248" t="n">
        <v>10</v>
      </c>
      <c r="O248" t="inlineStr">
        <is>
          <t>InStock</t>
        </is>
      </c>
      <c r="P248" t="inlineStr">
        <is>
          <t>undefined</t>
        </is>
      </c>
      <c r="Q248" t="inlineStr">
        <is>
          <t>6761027764296</t>
        </is>
      </c>
    </row>
    <row r="249">
      <c r="A249" s="2">
        <f>HYPERLINK("https://prolisok-store.com/collections/makeup/products/3ce-mood-recipe-matte-lip-color-909", "https://prolisok-store.com/collections/makeup/products/3ce-mood-recipe-matte-lip-color-909")</f>
        <v/>
      </c>
      <c r="B249" s="2">
        <f>HYPERLINK("https://prolisok-store.com/products/3ce-mood-recipe-matte-lip-color-909", "https://prolisok-store.com/products/3ce-mood-recipe-matte-lip-color-909")</f>
        <v/>
      </c>
      <c r="C249" t="inlineStr">
        <is>
          <t>3CE Mood Recipe Matte Lip Color, 909</t>
        </is>
      </c>
      <c r="D249" t="inlineStr">
        <is>
          <t>3CE NEW Mood Recipe Matte Lip Color (3 Concept Eyes) Season 2, 218, 219, 220, 221, 222 (220)</t>
        </is>
      </c>
      <c r="E249" s="2">
        <f>HYPERLINK("https://www.amazon.com/Recipe-Matte-Color-Concept-Season/dp/B077CL1Y59/ref=sr_1_9?keywords=3CE+Mood+Recipe+Matte+Lip+Color%2C+909&amp;qid=1695259481&amp;sr=8-9", "https://www.amazon.com/Recipe-Matte-Color-Concept-Season/dp/B077CL1Y59/ref=sr_1_9?keywords=3CE+Mood+Recipe+Matte+Lip+Color%2C+909&amp;qid=1695259481&amp;sr=8-9")</f>
        <v/>
      </c>
      <c r="F249" t="inlineStr">
        <is>
          <t>B077CL1Y59</t>
        </is>
      </c>
      <c r="G249">
        <f>IMAGE("https://prolisok-store.com/cdn/shop/files/41q_eA_m8iL._SL1000_300x.jpg?v=1693221579")</f>
        <v/>
      </c>
      <c r="H249">
        <f>IMAGE("https://m.media-amazon.com/images/I/21tv+5J12vL._AC_UL320_.jpg")</f>
        <v/>
      </c>
      <c r="I249" t="inlineStr">
        <is>
          <t>7.99</t>
        </is>
      </c>
      <c r="J249" t="n">
        <v>20.86</v>
      </c>
      <c r="K249" s="3" t="inlineStr">
        <is>
          <t>161.08%</t>
        </is>
      </c>
      <c r="L249" t="n">
        <v>4</v>
      </c>
      <c r="M249" t="n">
        <v>39</v>
      </c>
      <c r="O249" t="inlineStr">
        <is>
          <t>InStock</t>
        </is>
      </c>
      <c r="P249" t="inlineStr">
        <is>
          <t>undefined</t>
        </is>
      </c>
      <c r="Q249" t="inlineStr">
        <is>
          <t>6771911360584</t>
        </is>
      </c>
    </row>
    <row r="250">
      <c r="A250" s="2">
        <f>HYPERLINK("https://prolisok-store.com/collections/makeup/products/3ce-mood-recipe-matte-lip-color-3-concept-eyes-season-2-220-hit-me-up", "https://prolisok-store.com/collections/makeup/products/3ce-mood-recipe-matte-lip-color-3-concept-eyes-season-2-220-hit-me-up")</f>
        <v/>
      </c>
      <c r="B250" s="2">
        <f>HYPERLINK("https://prolisok-store.com/products/3ce-mood-recipe-matte-lip-color-3-concept-eyes-season-2-220-hit-me-up", "https://prolisok-store.com/products/3ce-mood-recipe-matte-lip-color-3-concept-eyes-season-2-220-hit-me-up")</f>
        <v/>
      </c>
      <c r="C250" t="inlineStr">
        <is>
          <t>3CE Mood Recipe Matte Lip Color 3 Concept Eyes Season 2 (#220 Hit Me Up)</t>
        </is>
      </c>
      <c r="D250" t="inlineStr">
        <is>
          <t>3CE NEW Mood Recipe Matte Lip Color (3 Concept Eyes) Season 2, 218, 219, 220, 221, 222 (220)</t>
        </is>
      </c>
      <c r="E250" s="2">
        <f>HYPERLINK("https://www.amazon.com/Recipe-Matte-Color-Concept-Season/dp/B077CL1Y59/ref=sr_1_3?keywords=3CE+Mood+Recipe+Matte+Lip+Color+3+Concept+Eyes+Season+2+%28&amp;qid=1695259496&amp;sr=8-3", "https://www.amazon.com/Recipe-Matte-Color-Concept-Season/dp/B077CL1Y59/ref=sr_1_3?keywords=3CE+Mood+Recipe+Matte+Lip+Color+3+Concept+Eyes+Season+2+%28&amp;qid=1695259496&amp;sr=8-3")</f>
        <v/>
      </c>
      <c r="F250" t="inlineStr">
        <is>
          <t>B077CL1Y59</t>
        </is>
      </c>
      <c r="G250">
        <f>IMAGE("https://prolisok-store.com/cdn/shop/files/41eAqvNQC-L._SL1000_300x.jpg?v=1693219330")</f>
        <v/>
      </c>
      <c r="H250">
        <f>IMAGE("https://m.media-amazon.com/images/I/21tv+5J12vL._AC_UL320_.jpg")</f>
        <v/>
      </c>
      <c r="I250" t="inlineStr">
        <is>
          <t>7.99</t>
        </is>
      </c>
      <c r="J250" t="n">
        <v>20.86</v>
      </c>
      <c r="K250" s="3" t="inlineStr">
        <is>
          <t>161.08%</t>
        </is>
      </c>
      <c r="L250" t="n">
        <v>4</v>
      </c>
      <c r="M250" t="n">
        <v>39</v>
      </c>
      <c r="O250" t="inlineStr">
        <is>
          <t>InStock</t>
        </is>
      </c>
      <c r="P250" t="inlineStr">
        <is>
          <t>undefined</t>
        </is>
      </c>
      <c r="Q250" t="inlineStr">
        <is>
          <t>6771911065672</t>
        </is>
      </c>
    </row>
    <row r="251">
      <c r="A251" s="2">
        <f>HYPERLINK("https://prolisok-store.com/collections/makeup/products/3ce-mood-recipe-matte-lip-color-116", "https://prolisok-store.com/collections/makeup/products/3ce-mood-recipe-matte-lip-color-116")</f>
        <v/>
      </c>
      <c r="B251" s="2">
        <f>HYPERLINK("https://prolisok-store.com/products/3ce-mood-recipe-matte-lip-color-116", "https://prolisok-store.com/products/3ce-mood-recipe-matte-lip-color-116")</f>
        <v/>
      </c>
      <c r="C251" t="inlineStr">
        <is>
          <t>3CE Mood Recipe Matte Lip Color, 116</t>
        </is>
      </c>
      <c r="D251" t="inlineStr">
        <is>
          <t>3CE NEW Mood Recipe Matte Lip Color (3 Concept Eyes) Season 2, 218, 219, 220, 221, 222 (220)</t>
        </is>
      </c>
      <c r="E251" s="2">
        <f>HYPERLINK("https://www.amazon.com/Recipe-Matte-Color-Concept-Season/dp/B077CL1Y59/ref=sr_1_6?keywords=3CE+Mood+Recipe+Matte+Lip+Color%2C+116&amp;qid=1695259483&amp;sr=8-6", "https://www.amazon.com/Recipe-Matte-Color-Concept-Season/dp/B077CL1Y59/ref=sr_1_6?keywords=3CE+Mood+Recipe+Matte+Lip+Color%2C+116&amp;qid=1695259483&amp;sr=8-6")</f>
        <v/>
      </c>
      <c r="F251" t="inlineStr">
        <is>
          <t>B077CL1Y59</t>
        </is>
      </c>
      <c r="G251">
        <f>IMAGE("https://prolisok-store.com/cdn/shop/files/31C87n4RBaL_300x.jpg?v=1693221452")</f>
        <v/>
      </c>
      <c r="H251">
        <f>IMAGE("https://m.media-amazon.com/images/I/21tv+5J12vL._AC_UL320_.jpg")</f>
        <v/>
      </c>
      <c r="I251" t="inlineStr">
        <is>
          <t>7.99</t>
        </is>
      </c>
      <c r="J251" t="n">
        <v>20.86</v>
      </c>
      <c r="K251" s="3" t="inlineStr">
        <is>
          <t>161.08%</t>
        </is>
      </c>
      <c r="L251" t="n">
        <v>4</v>
      </c>
      <c r="M251" t="n">
        <v>39</v>
      </c>
      <c r="O251" t="inlineStr">
        <is>
          <t>InStock</t>
        </is>
      </c>
      <c r="P251" t="inlineStr">
        <is>
          <t>undefined</t>
        </is>
      </c>
      <c r="Q251" t="inlineStr">
        <is>
          <t>6771911327816</t>
        </is>
      </c>
    </row>
    <row r="252">
      <c r="A252" s="2">
        <f>HYPERLINK("https://prolisok-store.com/collections/makeup/products/3ce-new-mood-recipe-face-blush-style-nanda-3-concept-eyes-mono-pink", "https://prolisok-store.com/collections/makeup/products/3ce-new-mood-recipe-face-blush-style-nanda-3-concept-eyes-mono-pink")</f>
        <v/>
      </c>
      <c r="B252" s="2">
        <f>HYPERLINK("https://prolisok-store.com/products/3ce-new-mood-recipe-face-blush-style-nanda-3-concept-eyes-mono-pink", "https://prolisok-store.com/products/3ce-new-mood-recipe-face-blush-style-nanda-3-concept-eyes-mono-pink")</f>
        <v/>
      </c>
      <c r="C252" t="inlineStr">
        <is>
          <t>3CE NEW Mood Recipe Face Blush Style Nanda 3 Concept Eyes (Mono Pink)</t>
        </is>
      </c>
      <c r="D252" t="inlineStr">
        <is>
          <t>3CE NEW Mood Recipe Face Blush Style Nanda 3 Concept Eyes (Season 2) (Nude Peach)</t>
        </is>
      </c>
      <c r="E252" s="2">
        <f>HYPERLINK("https://www.amazon.com/Recipe-Blush-Style-Concept-Season/dp/B077CKPKH1/ref=sr_1_2?keywords=3CE+NEW+Mood+Recipe+Face+Blush+Style+Nanda+3+Concept+Eyes+%28Mono+Pink%29&amp;qid=1695259487&amp;sr=8-2", "https://www.amazon.com/Recipe-Blush-Style-Concept-Season/dp/B077CKPKH1/ref=sr_1_2?keywords=3CE+NEW+Mood+Recipe+Face+Blush+Style+Nanda+3+Concept+Eyes+%28Mono+Pink%29&amp;qid=1695259487&amp;sr=8-2")</f>
        <v/>
      </c>
      <c r="F252" t="inlineStr">
        <is>
          <t>B077CKPKH1</t>
        </is>
      </c>
      <c r="G252">
        <f>IMAGE("https://prolisok-store.com/cdn/shop/files/41mwDCFhDfL_300x.jpg?v=1683820366")</f>
        <v/>
      </c>
      <c r="H252">
        <f>IMAGE("https://m.media-amazon.com/images/I/31BJ6j6MJLL._AC_UL320_.jpg")</f>
        <v/>
      </c>
      <c r="I252" t="inlineStr">
        <is>
          <t>7.99</t>
        </is>
      </c>
      <c r="J252" t="n">
        <v>20.29</v>
      </c>
      <c r="K252" s="3" t="inlineStr">
        <is>
          <t>153.94%</t>
        </is>
      </c>
      <c r="L252" t="n">
        <v>4.3</v>
      </c>
      <c r="M252" t="n">
        <v>45</v>
      </c>
      <c r="O252" t="inlineStr">
        <is>
          <t>InStock</t>
        </is>
      </c>
      <c r="P252" t="inlineStr">
        <is>
          <t>undefined</t>
        </is>
      </c>
      <c r="Q252" t="inlineStr">
        <is>
          <t>6761031467080</t>
        </is>
      </c>
    </row>
    <row r="253">
      <c r="A253" s="2">
        <f>HYPERLINK("https://prolisok-store.com/collections/makeup/products/3ce-mood-recipe-face-blush-rose-beige", "https://prolisok-store.com/collections/makeup/products/3ce-mood-recipe-face-blush-rose-beige")</f>
        <v/>
      </c>
      <c r="B253" s="2">
        <f>HYPERLINK("https://prolisok-store.com/products/3ce-mood-recipe-face-blush-rose-beige", "https://prolisok-store.com/products/3ce-mood-recipe-face-blush-rose-beige")</f>
        <v/>
      </c>
      <c r="C253" t="inlineStr">
        <is>
          <t>3CE Mood Recipe Face Blush - #Rose Beige</t>
        </is>
      </c>
      <c r="D253" t="inlineStr">
        <is>
          <t>3CE NEW Mood Recipe Face Blush Style Nanda 3 Concept Eyes (Season 2) (Nude Peach)</t>
        </is>
      </c>
      <c r="E253" s="2">
        <f>HYPERLINK("https://www.amazon.com/Recipe-Blush-Style-Concept-Season/dp/B077CKPKH1/ref=sr_1_5?keywords=3CE+Mood+Recipe+Face+Blush+-&amp;qid=1695259482&amp;sr=8-5", "https://www.amazon.com/Recipe-Blush-Style-Concept-Season/dp/B077CKPKH1/ref=sr_1_5?keywords=3CE+Mood+Recipe+Face+Blush+-&amp;qid=1695259482&amp;sr=8-5")</f>
        <v/>
      </c>
      <c r="F253" t="inlineStr">
        <is>
          <t>B077CKPKH1</t>
        </is>
      </c>
      <c r="G253">
        <f>IMAGE("https://prolisok-store.com/cdn/shop/files/31TTnrkqldL_300x.jpg?v=1683820558")</f>
        <v/>
      </c>
      <c r="H253">
        <f>IMAGE("https://m.media-amazon.com/images/I/31BJ6j6MJLL._AC_UL320_.jpg")</f>
        <v/>
      </c>
      <c r="I253" t="inlineStr">
        <is>
          <t>7.99</t>
        </is>
      </c>
      <c r="J253" t="n">
        <v>20.29</v>
      </c>
      <c r="K253" s="3" t="inlineStr">
        <is>
          <t>153.94%</t>
        </is>
      </c>
      <c r="L253" t="n">
        <v>4.3</v>
      </c>
      <c r="M253" t="n">
        <v>45</v>
      </c>
      <c r="O253" t="inlineStr">
        <is>
          <t>InStock</t>
        </is>
      </c>
      <c r="P253" t="inlineStr">
        <is>
          <t>undefined</t>
        </is>
      </c>
      <c r="Q253" t="inlineStr">
        <is>
          <t>6761036218440</t>
        </is>
      </c>
    </row>
    <row r="254">
      <c r="A254" s="2">
        <f>HYPERLINK("https://prolisok-store.com/collections/makeup/products/estee-lauder-pure-color-envy-sculpting-lipstick-360-fierce-0-12-ounce", "https://prolisok-store.com/collections/makeup/products/estee-lauder-pure-color-envy-sculpting-lipstick-360-fierce-0-12-ounce")</f>
        <v/>
      </c>
      <c r="B254" s="2">
        <f>HYPERLINK("https://prolisok-store.com/products/estee-lauder-pure-color-envy-sculpting-lipstick-360-fierce-0-12-ounce", "https://prolisok-store.com/products/estee-lauder-pure-color-envy-sculpting-lipstick-360-fierce-0-12-ounce")</f>
        <v/>
      </c>
      <c r="C254" t="inlineStr">
        <is>
          <t>Estee Lauder Pure Color Envy Sculpting Lipstick #360 Fierce, 0.12 Ounce</t>
        </is>
      </c>
      <c r="D254" t="inlineStr">
        <is>
          <t>Estee Lauder Pure Color Envy Velvet Matte Sculpting Lipstick, 0.12 oz Blush Crush</t>
        </is>
      </c>
      <c r="E254" s="2">
        <f>HYPERLINK("https://www.amazon.com/Color-Velvet-Matte-Sculpting-Lipstick/dp/B072K2F587/ref=sr_1_3?keywords=Estee+Lauder+Pure+Color+Envy+Sculpting+Lipstick+%23360+Fierce%2C+0.12+Ounce&amp;qid=1695259450&amp;sr=8-3", "https://www.amazon.com/Color-Velvet-Matte-Sculpting-Lipstick/dp/B072K2F587/ref=sr_1_3?keywords=Estee+Lauder+Pure+Color+Envy+Sculpting+Lipstick+%23360+Fierce%2C+0.12+Ounce&amp;qid=1695259450&amp;sr=8-3")</f>
        <v/>
      </c>
      <c r="F254" t="inlineStr">
        <is>
          <t>B072K2F587</t>
        </is>
      </c>
      <c r="G254">
        <f>IMAGE("https://prolisok-store.com/cdn/shop/products/61OXcvCJbTL._SL1500_300x.jpg?v=1681307706")</f>
        <v/>
      </c>
      <c r="H254">
        <f>IMAGE("https://m.media-amazon.com/images/I/61xoXvKnR+L._AC_UL320_.jpg")</f>
        <v/>
      </c>
      <c r="I254" t="inlineStr">
        <is>
          <t>14.99</t>
        </is>
      </c>
      <c r="J254" t="n">
        <v>35.95</v>
      </c>
      <c r="K254" s="3" t="inlineStr">
        <is>
          <t>139.83%</t>
        </is>
      </c>
      <c r="L254" t="n">
        <v>4.5</v>
      </c>
      <c r="M254" t="n">
        <v>16</v>
      </c>
      <c r="O254" t="inlineStr">
        <is>
          <t>InStock</t>
        </is>
      </c>
      <c r="P254" t="inlineStr">
        <is>
          <t>undefined</t>
        </is>
      </c>
      <c r="Q254" t="inlineStr">
        <is>
          <t>6751779815496</t>
        </is>
      </c>
    </row>
    <row r="255">
      <c r="A255" s="2">
        <f>HYPERLINK("https://prolisok-store.com/collections/makeup/products/3ce-velvet-lip-tint-4g-ea-stylenanda-childlike", "https://prolisok-store.com/collections/makeup/products/3ce-velvet-lip-tint-4g-ea-stylenanda-childlike")</f>
        <v/>
      </c>
      <c r="B255" s="2">
        <f>HYPERLINK("https://prolisok-store.com/products/3ce-velvet-lip-tint-4g-ea-stylenanda-childlike", "https://prolisok-store.com/products/3ce-velvet-lip-tint-4g-ea-stylenanda-childlike")</f>
        <v/>
      </c>
      <c r="C255" t="inlineStr">
        <is>
          <t>3CE Velvet Lip Tint (4g/ea) Stylenanda (Childlike)</t>
        </is>
      </c>
      <c r="D255" t="inlineStr">
        <is>
          <t>3CE Velvet Lip Tint (4g/ea) 10 colors / Newly Launched / Mlbb / Mlbb Lips / Stylenanda (Childlike)</t>
        </is>
      </c>
      <c r="E255" s="2">
        <f>HYPERLINK("https://www.amazon.com/3CE-Velvet-Launched-Stylenanda-Childlike/dp/B076J8T94Z/ref=sr_1_1?keywords=3CE+Velvet+Lip+Tint+%284g%2Fea%29+Stylenanda+%28Childlike%29&amp;qid=1695259456&amp;sr=8-1", "https://www.amazon.com/3CE-Velvet-Launched-Stylenanda-Childlike/dp/B076J8T94Z/ref=sr_1_1?keywords=3CE+Velvet+Lip+Tint+%284g%2Fea%29+Stylenanda+%28Childlike%29&amp;qid=1695259456&amp;sr=8-1")</f>
        <v/>
      </c>
      <c r="F255" t="inlineStr">
        <is>
          <t>B076J8T94Z</t>
        </is>
      </c>
      <c r="G255">
        <f>IMAGE("https://prolisok-store.com/cdn/shop/files/51jcI8m3SjL._SL1000_300x.jpg?v=1683818942")</f>
        <v/>
      </c>
      <c r="H255">
        <f>IMAGE("https://m.media-amazon.com/images/I/51jcI8m3SjL._AC_UL320_.jpg")</f>
        <v/>
      </c>
      <c r="I255" t="inlineStr">
        <is>
          <t>7.99</t>
        </is>
      </c>
      <c r="J255" t="n">
        <v>19</v>
      </c>
      <c r="K255" s="3" t="inlineStr">
        <is>
          <t>137.80%</t>
        </is>
      </c>
      <c r="L255" t="n">
        <v>3.8</v>
      </c>
      <c r="M255" t="n">
        <v>13</v>
      </c>
      <c r="O255" t="inlineStr">
        <is>
          <t>InStock</t>
        </is>
      </c>
      <c r="P255" t="inlineStr">
        <is>
          <t>undefined</t>
        </is>
      </c>
      <c r="Q255" t="inlineStr">
        <is>
          <t>6761024094280</t>
        </is>
      </c>
    </row>
    <row r="256">
      <c r="A256" s="2">
        <f>HYPERLINK("https://prolisok-store.com/collections/makeup/products/3ce-velvet-lip-tint-4g-stylenanda-private", "https://prolisok-store.com/collections/makeup/products/3ce-velvet-lip-tint-4g-stylenanda-private")</f>
        <v/>
      </c>
      <c r="B256" s="2">
        <f>HYPERLINK("https://prolisok-store.com/products/3ce-velvet-lip-tint-4g-stylenanda-private", "https://prolisok-store.com/products/3ce-velvet-lip-tint-4g-stylenanda-private")</f>
        <v/>
      </c>
      <c r="C256" t="inlineStr">
        <is>
          <t>3CE Velvet Lip Tint (4g) Stylenanda (Private)</t>
        </is>
      </c>
      <c r="D256" t="inlineStr">
        <is>
          <t>3CE Velvet Lip Tint (4g/ea) 10 colors / Newly Launched / Mlbb / Mlbb Lips / Stylenanda (Childlike)</t>
        </is>
      </c>
      <c r="E256" s="2">
        <f>HYPERLINK("https://www.amazon.com/3CE-Velvet-Launched-Stylenanda-Childlike/dp/B076J8T94Z/ref=sr_1_3?keywords=3CE+Velvet+Lip+Tint+%284g%29+Stylenanda+%28Private%29&amp;qid=1695259491&amp;sr=8-3", "https://www.amazon.com/3CE-Velvet-Launched-Stylenanda-Childlike/dp/B076J8T94Z/ref=sr_1_3?keywords=3CE+Velvet+Lip+Tint+%284g%29+Stylenanda+%28Private%29&amp;qid=1695259491&amp;sr=8-3")</f>
        <v/>
      </c>
      <c r="F256" t="inlineStr">
        <is>
          <t>B076J8T94Z</t>
        </is>
      </c>
      <c r="G256">
        <f>IMAGE("https://prolisok-store.com/cdn/shop/files/51lsOgwPjWL._SL1000_300x.jpg?v=1683819884")</f>
        <v/>
      </c>
      <c r="H256">
        <f>IMAGE("https://m.media-amazon.com/images/I/51jcI8m3SjL._AC_UL320_.jpg")</f>
        <v/>
      </c>
      <c r="I256" t="inlineStr">
        <is>
          <t>7.99</t>
        </is>
      </c>
      <c r="J256" t="n">
        <v>19</v>
      </c>
      <c r="K256" s="3" t="inlineStr">
        <is>
          <t>137.80%</t>
        </is>
      </c>
      <c r="L256" t="n">
        <v>3.8</v>
      </c>
      <c r="M256" t="n">
        <v>13</v>
      </c>
      <c r="O256" t="inlineStr">
        <is>
          <t>InStock</t>
        </is>
      </c>
      <c r="P256" t="inlineStr">
        <is>
          <t>undefined</t>
        </is>
      </c>
      <c r="Q256" t="inlineStr">
        <is>
          <t>6761027764296</t>
        </is>
      </c>
    </row>
    <row r="257">
      <c r="A257" s="2">
        <f>HYPERLINK("https://prolisok-store.com/collections/makeup/products/mac-small-eye-shadow-refill-pan-rule-1-5g-0-05oz", "https://prolisok-store.com/collections/makeup/products/mac-small-eye-shadow-refill-pan-rule-1-5g-0-05oz")</f>
        <v/>
      </c>
      <c r="B257" s="2">
        <f>HYPERLINK("https://prolisok-store.com/products/mac-small-eye-shadow-refill-pan-rule-1-5g-0-05oz", "https://prolisok-store.com/products/mac-small-eye-shadow-refill-pan-rule-1-5g-0-05oz")</f>
        <v/>
      </c>
      <c r="C257" t="inlineStr">
        <is>
          <t>MAC small eye shadow refill pan - rule -1.5g/0.05oz</t>
        </is>
      </c>
      <c r="D257" t="inlineStr">
        <is>
          <t>MAC Small Eye Shadow Refill Pan - Cork - 1.5g/0.05oz</t>
        </is>
      </c>
      <c r="E257" s="2">
        <f>HYPERLINK("https://www.amazon.com/MAC-Small-Eye-Shadow-Refill/dp/B008VFW4LY/ref=sr_1_5?keywords=MAC+small+eye+shadow+refill+pan+-+rule+-1.5g%2F0.05oz&amp;qid=1695259535&amp;sr=8-5", "https://www.amazon.com/MAC-Small-Eye-Shadow-Refill/dp/B008VFW4LY/ref=sr_1_5?keywords=MAC+small+eye+shadow+refill+pan+-+rule+-1.5g%2F0.05oz&amp;qid=1695259535&amp;sr=8-5")</f>
        <v/>
      </c>
      <c r="F257" t="inlineStr">
        <is>
          <t>B008VFW4LY</t>
        </is>
      </c>
      <c r="G257">
        <f>IMAGE("https://prolisok-store.com/cdn/shop/products/347316_300x.jpg?v=1690393893")</f>
        <v/>
      </c>
      <c r="H257">
        <f>IMAGE("https://m.media-amazon.com/images/I/31EjoKukrxL._AC_UL320_.jpg")</f>
        <v/>
      </c>
      <c r="I257" t="inlineStr">
        <is>
          <t>15.29</t>
        </is>
      </c>
      <c r="J257" t="n">
        <v>35.99</v>
      </c>
      <c r="K257" s="3" t="inlineStr">
        <is>
          <t>135.38%</t>
        </is>
      </c>
      <c r="L257" t="n">
        <v>5</v>
      </c>
      <c r="M257" t="n">
        <v>4</v>
      </c>
      <c r="O257" t="inlineStr">
        <is>
          <t>InStock</t>
        </is>
      </c>
      <c r="P257" t="inlineStr">
        <is>
          <t>undefined</t>
        </is>
      </c>
      <c r="Q257" t="inlineStr">
        <is>
          <t>6766504509512</t>
        </is>
      </c>
    </row>
    <row r="258">
      <c r="A258" s="2">
        <f>HYPERLINK("https://prolisok-store.com/collections/makeup/products/make-up-for-ever-ultra-hd-microfinishing-pressed-powder-translucent", "https://prolisok-store.com/collections/makeup/products/make-up-for-ever-ultra-hd-microfinishing-pressed-powder-translucent")</f>
        <v/>
      </c>
      <c r="B258" s="2">
        <f>HYPERLINK("https://prolisok-store.com/products/make-up-for-ever-ultra-hd-microfinishing-pressed-powder-translucent", "https://prolisok-store.com/products/make-up-for-ever-ultra-hd-microfinishing-pressed-powder-translucent")</f>
        <v/>
      </c>
      <c r="C258" t="inlineStr">
        <is>
          <t>MAKE UP FOR EVER Ultra HD Microfinishing Pressed Powder Translucent</t>
        </is>
      </c>
      <c r="D258" t="inlineStr">
        <is>
          <t>Make Up For Ever HD Microfinish Pressed Powder Travel size 2g/0.07 oz. (Compact)</t>
        </is>
      </c>
      <c r="E258" s="2">
        <f>HYPERLINK("https://www.amazon.com/Make-Up-Ever-Microfinish-Pressed/dp/B00IO92GU6/ref=sr_1_8?keywords=MAKE+UP+FOR+EVER+Ultra+HD+Microfinishing+Pressed+Powder+Translucent&amp;qid=1695259449&amp;sr=8-8", "https://www.amazon.com/Make-Up-Ever-Microfinish-Pressed/dp/B00IO92GU6/ref=sr_1_8?keywords=MAKE+UP+FOR+EVER+Ultra+HD+Microfinishing+Pressed+Powder+Translucent&amp;qid=1695259449&amp;sr=8-8")</f>
        <v/>
      </c>
      <c r="F258" t="inlineStr">
        <is>
          <t>B00IO92GU6</t>
        </is>
      </c>
      <c r="G258">
        <f>IMAGE("https://prolisok-store.com/cdn/shop/files/611llduh92L._SL1500_300x.jpg?v=1693220499")</f>
        <v/>
      </c>
      <c r="H258">
        <f>IMAGE("https://m.media-amazon.com/images/I/713Q6-WxD2L._AC_UL320_.jpg")</f>
        <v/>
      </c>
      <c r="I258" t="inlineStr">
        <is>
          <t>14.99</t>
        </is>
      </c>
      <c r="J258" t="n">
        <v>33.98</v>
      </c>
      <c r="K258" s="3" t="inlineStr">
        <is>
          <t>126.68%</t>
        </is>
      </c>
      <c r="L258" t="n">
        <v>4</v>
      </c>
      <c r="M258" t="n">
        <v>147</v>
      </c>
      <c r="O258" t="inlineStr">
        <is>
          <t>InStock</t>
        </is>
      </c>
      <c r="P258" t="inlineStr">
        <is>
          <t>undefined</t>
        </is>
      </c>
      <c r="Q258" t="inlineStr">
        <is>
          <t>6771911163976</t>
        </is>
      </c>
    </row>
    <row r="259">
      <c r="A259" s="2">
        <f>HYPERLINK("https://prolisok-store.com/collections/makeup/products/mac-small-eye-shadow-refill-pan-antiqued-1-5g-0-05oz", "https://prolisok-store.com/collections/makeup/products/mac-small-eye-shadow-refill-pan-antiqued-1-5g-0-05oz")</f>
        <v/>
      </c>
      <c r="B259" s="2">
        <f>HYPERLINK("https://prolisok-store.com/products/mac-small-eye-shadow-refill-pan-antiqued-1-5g-0-05oz", "https://prolisok-store.com/products/mac-small-eye-shadow-refill-pan-antiqued-1-5g-0-05oz")</f>
        <v/>
      </c>
      <c r="C259" t="inlineStr">
        <is>
          <t>MAC small eye shadow refill pan - antiqued -1.3g/0.04oz</t>
        </is>
      </c>
      <c r="D259" t="inlineStr">
        <is>
          <t>MAC Small Eye Shadow Refill Pan - All That Glitters 1.3g/0.04oz</t>
        </is>
      </c>
      <c r="E259" s="2">
        <f>HYPERLINK("https://www.amazon.com/MAC-Small-Eye-Shadow-Refill/dp/B00DST2YW2/ref=sr_1_10?keywords=MAC+small+eye+shadow+refill+pan+-+antiqued+-1.3g%2F0.04oz&amp;qid=1695259548&amp;sr=8-10", "https://www.amazon.com/MAC-Small-Eye-Shadow-Refill/dp/B00DST2YW2/ref=sr_1_10?keywords=MAC+small+eye+shadow+refill+pan+-+antiqued+-1.3g%2F0.04oz&amp;qid=1695259548&amp;sr=8-10")</f>
        <v/>
      </c>
      <c r="F259" t="inlineStr">
        <is>
          <t>B00DST2YW2</t>
        </is>
      </c>
      <c r="G259">
        <f>IMAGE("https://prolisok-store.com/cdn/shop/products/346006_300x.jpg?v=1690393889")</f>
        <v/>
      </c>
      <c r="H259">
        <f>IMAGE("https://m.media-amazon.com/images/I/31do7uc8NzL._AC_UL320_.jpg")</f>
        <v/>
      </c>
      <c r="I259" t="inlineStr">
        <is>
          <t>12.59</t>
        </is>
      </c>
      <c r="J259" t="n">
        <v>28.5</v>
      </c>
      <c r="K259" s="3" t="inlineStr">
        <is>
          <t>126.37%</t>
        </is>
      </c>
      <c r="L259" t="n">
        <v>4.9</v>
      </c>
      <c r="M259" t="n">
        <v>10</v>
      </c>
      <c r="O259" t="inlineStr">
        <is>
          <t>InStock</t>
        </is>
      </c>
      <c r="P259" t="inlineStr">
        <is>
          <t>undefined</t>
        </is>
      </c>
      <c r="Q259" t="inlineStr">
        <is>
          <t>6766504443976</t>
        </is>
      </c>
    </row>
    <row r="260">
      <c r="A260" s="2">
        <f>HYPERLINK("https://prolisok-store.com/collections/makeup/products/3ce-mood-recipe-face-blush-rose-beige", "https://prolisok-store.com/collections/makeup/products/3ce-mood-recipe-face-blush-rose-beige")</f>
        <v/>
      </c>
      <c r="B260" s="2">
        <f>HYPERLINK("https://prolisok-store.com/products/3ce-mood-recipe-face-blush-rose-beige", "https://prolisok-store.com/products/3ce-mood-recipe-face-blush-rose-beige")</f>
        <v/>
      </c>
      <c r="C260" t="inlineStr">
        <is>
          <t>3CE Mood Recipe Face Blush - #Rose Beige</t>
        </is>
      </c>
      <c r="D260" t="inlineStr">
        <is>
          <t>3CE NEW Mood Recipe Face Blush Style Nanda 3 Concept Eyes (Season 2) (Mono Pink)</t>
        </is>
      </c>
      <c r="E260" s="2">
        <f>HYPERLINK("https://www.amazon.com/Recipe-Blush-Style-Concept-Season/dp/B077CMDPZB/ref=sr_1_1?keywords=3CE+Mood+Recipe+Face+Blush+-&amp;qid=1695259482&amp;sr=8-1", "https://www.amazon.com/Recipe-Blush-Style-Concept-Season/dp/B077CMDPZB/ref=sr_1_1?keywords=3CE+Mood+Recipe+Face+Blush+-&amp;qid=1695259482&amp;sr=8-1")</f>
        <v/>
      </c>
      <c r="F260" t="inlineStr">
        <is>
          <t>B077CMDPZB</t>
        </is>
      </c>
      <c r="G260">
        <f>IMAGE("https://prolisok-store.com/cdn/shop/files/31TTnrkqldL_300x.jpg?v=1683820558")</f>
        <v/>
      </c>
      <c r="H260">
        <f>IMAGE("https://m.media-amazon.com/images/I/51qL5+W0qqL._AC_UL320_.jpg")</f>
        <v/>
      </c>
      <c r="I260" t="inlineStr">
        <is>
          <t>7.99</t>
        </is>
      </c>
      <c r="J260" t="n">
        <v>16.9</v>
      </c>
      <c r="K260" s="3" t="inlineStr">
        <is>
          <t>111.51%</t>
        </is>
      </c>
      <c r="L260" t="n">
        <v>4.3</v>
      </c>
      <c r="M260" t="n">
        <v>39</v>
      </c>
      <c r="O260" t="inlineStr">
        <is>
          <t>InStock</t>
        </is>
      </c>
      <c r="P260" t="inlineStr">
        <is>
          <t>undefined</t>
        </is>
      </c>
      <c r="Q260" t="inlineStr">
        <is>
          <t>6761036218440</t>
        </is>
      </c>
    </row>
    <row r="261">
      <c r="A261" s="2">
        <f>HYPERLINK("https://prolisok-store.com/collections/makeup/products/3ce-new-mood-recipe-face-blush-style-nanda-3-concept-eyes-mono-pink", "https://prolisok-store.com/collections/makeup/products/3ce-new-mood-recipe-face-blush-style-nanda-3-concept-eyes-mono-pink")</f>
        <v/>
      </c>
      <c r="B261" s="2">
        <f>HYPERLINK("https://prolisok-store.com/products/3ce-new-mood-recipe-face-blush-style-nanda-3-concept-eyes-mono-pink", "https://prolisok-store.com/products/3ce-new-mood-recipe-face-blush-style-nanda-3-concept-eyes-mono-pink")</f>
        <v/>
      </c>
      <c r="C261" t="inlineStr">
        <is>
          <t>3CE NEW Mood Recipe Face Blush Style Nanda 3 Concept Eyes (Mono Pink)</t>
        </is>
      </c>
      <c r="D261" t="inlineStr">
        <is>
          <t>3CE NEW Mood Recipe Face Blush Style Nanda 3 Concept Eyes (Season 2) (Mono Pink)</t>
        </is>
      </c>
      <c r="E261" s="2">
        <f>HYPERLINK("https://www.amazon.com/Recipe-Blush-Style-Concept-Season/dp/B077CMDPZB/ref=sr_1_1?keywords=3CE+NEW+Mood+Recipe+Face+Blush+Style+Nanda+3+Concept+Eyes+%28Mono+Pink%29&amp;qid=1695259487&amp;sr=8-1", "https://www.amazon.com/Recipe-Blush-Style-Concept-Season/dp/B077CMDPZB/ref=sr_1_1?keywords=3CE+NEW+Mood+Recipe+Face+Blush+Style+Nanda+3+Concept+Eyes+%28Mono+Pink%29&amp;qid=1695259487&amp;sr=8-1")</f>
        <v/>
      </c>
      <c r="F261" t="inlineStr">
        <is>
          <t>B077CMDPZB</t>
        </is>
      </c>
      <c r="G261">
        <f>IMAGE("https://prolisok-store.com/cdn/shop/files/41mwDCFhDfL_300x.jpg?v=1683820366")</f>
        <v/>
      </c>
      <c r="H261">
        <f>IMAGE("https://m.media-amazon.com/images/I/51qL5+W0qqL._AC_UL320_.jpg")</f>
        <v/>
      </c>
      <c r="I261" t="inlineStr">
        <is>
          <t>7.99</t>
        </is>
      </c>
      <c r="J261" t="n">
        <v>16.9</v>
      </c>
      <c r="K261" s="3" t="inlineStr">
        <is>
          <t>111.51%</t>
        </is>
      </c>
      <c r="L261" t="n">
        <v>4.3</v>
      </c>
      <c r="M261" t="n">
        <v>39</v>
      </c>
      <c r="O261" t="inlineStr">
        <is>
          <t>InStock</t>
        </is>
      </c>
      <c r="P261" t="inlineStr">
        <is>
          <t>undefined</t>
        </is>
      </c>
      <c r="Q261" t="inlineStr">
        <is>
          <t>6761031467080</t>
        </is>
      </c>
    </row>
    <row r="262">
      <c r="A262" s="2">
        <f>HYPERLINK("https://prolisok-store.com/collections/makeup/products/make-up-for-ever-ultra-hd-microfinishing-pressed-powder-translucent", "https://prolisok-store.com/collections/makeup/products/make-up-for-ever-ultra-hd-microfinishing-pressed-powder-translucent")</f>
        <v/>
      </c>
      <c r="B262" s="2">
        <f>HYPERLINK("https://prolisok-store.com/products/make-up-for-ever-ultra-hd-microfinishing-pressed-powder-translucent", "https://prolisok-store.com/products/make-up-for-ever-ultra-hd-microfinishing-pressed-powder-translucent")</f>
        <v/>
      </c>
      <c r="C262" t="inlineStr">
        <is>
          <t>MAKE UP FOR EVER Ultra HD Microfinishing Pressed Powder Translucent</t>
        </is>
      </c>
      <c r="D262" t="inlineStr">
        <is>
          <t>Make Up For Ever Ultra HD Microfinishing Loose Powder Full Size Translucent 0.29 uncji</t>
        </is>
      </c>
      <c r="E262" s="2">
        <f>HYPERLINK("https://www.amazon.com/Make-Up-Ever-Microfinishing-Translucent/dp/B0719RCNVQ/ref=sr_1_2?keywords=MAKE+UP+FOR+EVER+Ultra+HD+Microfinishing+Pressed+Powder+Translucent&amp;qid=1695259449&amp;sr=8-2", "https://www.amazon.com/Make-Up-Ever-Microfinishing-Translucent/dp/B0719RCNVQ/ref=sr_1_2?keywords=MAKE+UP+FOR+EVER+Ultra+HD+Microfinishing+Pressed+Powder+Translucent&amp;qid=1695259449&amp;sr=8-2")</f>
        <v/>
      </c>
      <c r="F262" t="inlineStr">
        <is>
          <t>B0719RCNVQ</t>
        </is>
      </c>
      <c r="G262">
        <f>IMAGE("https://prolisok-store.com/cdn/shop/files/611llduh92L._SL1500_300x.jpg?v=1693220499")</f>
        <v/>
      </c>
      <c r="H262">
        <f>IMAGE("https://m.media-amazon.com/images/I/41mRouLbOpL._AC_UL320_.jpg")</f>
        <v/>
      </c>
      <c r="I262" t="inlineStr">
        <is>
          <t>14.99</t>
        </is>
      </c>
      <c r="J262" t="n">
        <v>31.45</v>
      </c>
      <c r="K262" s="3" t="inlineStr">
        <is>
          <t>109.81%</t>
        </is>
      </c>
      <c r="L262" t="n">
        <v>4.5</v>
      </c>
      <c r="M262" t="n">
        <v>267</v>
      </c>
      <c r="O262" t="inlineStr">
        <is>
          <t>InStock</t>
        </is>
      </c>
      <c r="P262" t="inlineStr">
        <is>
          <t>undefined</t>
        </is>
      </c>
      <c r="Q262" t="inlineStr">
        <is>
          <t>6771911163976</t>
        </is>
      </c>
    </row>
    <row r="263">
      <c r="A263" s="2">
        <f>HYPERLINK("https://prolisok-store.com/collections/makeup/products/sisley-eye-and-lip-contour-balm-16ml-0-5oz", "https://prolisok-store.com/collections/makeup/products/sisley-eye-and-lip-contour-balm-16ml-0-5oz")</f>
        <v/>
      </c>
      <c r="B263" s="2">
        <f>HYPERLINK("https://prolisok-store.com/products/sisley-eye-and-lip-contour-balm-16ml-0-5oz", "https://prolisok-store.com/products/sisley-eye-and-lip-contour-balm-16ml-0-5oz")</f>
        <v/>
      </c>
      <c r="C263" t="inlineStr">
        <is>
          <t>Sisley eye &amp; lip contour balm 16ml/0.5oz</t>
        </is>
      </c>
      <c r="D263" t="inlineStr">
        <is>
          <t>Sisley by Sisley Sisley Botanical Eye &amp; Lip Contour Balm-30ml/1oz</t>
        </is>
      </c>
      <c r="E263" s="2">
        <f>HYPERLINK("https://www.amazon.com/Sisley-Botanical-Eye-Contour-Balm-30ml/dp/B00EOQ7PF4/ref=sr_1_2?keywords=Sisley+eye+%26+lip+contour+balm+16ml%2F0.5oz&amp;qid=1695259521&amp;sr=8-2", "https://www.amazon.com/Sisley-Botanical-Eye-Contour-Balm-30ml/dp/B00EOQ7PF4/ref=sr_1_2?keywords=Sisley+eye+%26+lip+contour+balm+16ml%2F0.5oz&amp;qid=1695259521&amp;sr=8-2")</f>
        <v/>
      </c>
      <c r="F263" t="inlineStr">
        <is>
          <t>B00EOQ7PF4</t>
        </is>
      </c>
      <c r="G263">
        <f>IMAGE("https://prolisok-store.com/cdn/shop/products/444353_300x.jpg?v=1690900668")</f>
        <v/>
      </c>
      <c r="H263">
        <f>IMAGE("https://m.media-amazon.com/images/I/5164Px9GS9L._AC_UL320_.jpg")</f>
        <v/>
      </c>
      <c r="I263" t="inlineStr">
        <is>
          <t>58.49</t>
        </is>
      </c>
      <c r="J263" t="n">
        <v>122.67</v>
      </c>
      <c r="K263" s="3" t="inlineStr">
        <is>
          <t>109.73%</t>
        </is>
      </c>
      <c r="L263" t="n">
        <v>5</v>
      </c>
      <c r="M263" t="n">
        <v>2</v>
      </c>
      <c r="O263" t="inlineStr">
        <is>
          <t>InStock</t>
        </is>
      </c>
      <c r="P263" t="inlineStr">
        <is>
          <t>undefined</t>
        </is>
      </c>
      <c r="Q263" t="inlineStr">
        <is>
          <t>6769983160392</t>
        </is>
      </c>
    </row>
    <row r="264">
      <c r="A264" s="2">
        <f>HYPERLINK("https://prolisok-store.com/collections/makeup/products/the-soft-fluid-foundation-spf-20-1-oz-porcelain", "https://prolisok-store.com/collections/makeup/products/the-soft-fluid-foundation-spf-20-1-oz-porcelain")</f>
        <v/>
      </c>
      <c r="B264" s="2">
        <f>HYPERLINK("https://prolisok-store.com/products/the-soft-fluid-foundation-spf-20-1-oz-porcelain", "https://prolisok-store.com/products/the-soft-fluid-foundation-spf-20-1-oz-porcelain")</f>
        <v/>
      </c>
      <c r="C264" t="inlineStr">
        <is>
          <t>La Mer The Soft Fluid Foundation SPF 20-1 oz. Porcelain</t>
        </is>
      </c>
      <c r="D264" t="inlineStr">
        <is>
          <t>La Mer The Soft Fluid Long Wear Foundation SPF 20 - # 42 Tan 30ml/1oz</t>
        </is>
      </c>
      <c r="E264" s="2">
        <f>HYPERLINK("https://www.amazon.com/Mer-Soft-Fluid-Long-Foundation/dp/B01MDNSIK4/ref=sr_1_2?keywords=La+Mer+The+Soft+Fluid+Foundation+SPF+20-1+oz.+Porcelain&amp;qid=1695259454&amp;sr=8-2", "https://www.amazon.com/Mer-Soft-Fluid-Long-Foundation/dp/B01MDNSIK4/ref=sr_1_2?keywords=La+Mer+The+Soft+Fluid+Foundation+SPF+20-1+oz.+Porcelain&amp;qid=1695259454&amp;sr=8-2")</f>
        <v/>
      </c>
      <c r="F264" t="inlineStr">
        <is>
          <t>B01MDNSIK4</t>
        </is>
      </c>
      <c r="G264">
        <f>IMAGE("https://prolisok-store.com/cdn/shop/products/41wgXKYLRyL._SL1000_300x.jpg?v=1674109756")</f>
        <v/>
      </c>
      <c r="H264">
        <f>IMAGE("https://m.media-amazon.com/images/I/51icv2b8-jL._AC_UL320_.jpg")</f>
        <v/>
      </c>
      <c r="I264" t="inlineStr">
        <is>
          <t>49.99</t>
        </is>
      </c>
      <c r="J264" t="n">
        <v>100</v>
      </c>
      <c r="K264" s="3" t="inlineStr">
        <is>
          <t>100.04%</t>
        </is>
      </c>
      <c r="L264" t="n">
        <v>5</v>
      </c>
      <c r="M264" t="n">
        <v>3</v>
      </c>
      <c r="O264" t="inlineStr">
        <is>
          <t>InStock</t>
        </is>
      </c>
      <c r="P264" t="inlineStr">
        <is>
          <t>95.0</t>
        </is>
      </c>
      <c r="Q264" t="inlineStr">
        <is>
          <t>6709197045832</t>
        </is>
      </c>
    </row>
    <row r="265">
      <c r="A265" s="2">
        <f>HYPERLINK("https://prolisok-store.com/collections/makeup/products/la-mer-soft-fluid-found-sf20-120", "https://prolisok-store.com/collections/makeup/products/la-mer-soft-fluid-found-sf20-120")</f>
        <v/>
      </c>
      <c r="B265" s="2">
        <f>HYPERLINK("https://prolisok-store.com/products/la-mer-soft-fluid-found-sf20-120", "https://prolisok-store.com/products/la-mer-soft-fluid-found-sf20-120")</f>
        <v/>
      </c>
      <c r="C265" t="inlineStr">
        <is>
          <t>La Mer Soft Fluid Foundation SF20 120</t>
        </is>
      </c>
      <c r="D265" t="inlineStr">
        <is>
          <t>La Mer The Soft Fluid Long Wear Foundation SPF 20 - # 42 Tan 30ml/1oz</t>
        </is>
      </c>
      <c r="E265" s="2">
        <f>HYPERLINK("https://www.amazon.com/Mer-Soft-Fluid-Long-Foundation/dp/B01MDNSIK4/ref=sr_1_5?keywords=La+Mer+Soft+Fluid+Foundation+SF20+120&amp;qid=1695259449&amp;sr=8-5", "https://www.amazon.com/Mer-Soft-Fluid-Long-Foundation/dp/B01MDNSIK4/ref=sr_1_5?keywords=La+Mer+Soft+Fluid+Foundation+SF20+120&amp;qid=1695259449&amp;sr=8-5")</f>
        <v/>
      </c>
      <c r="F265" t="inlineStr">
        <is>
          <t>B01MDNSIK4</t>
        </is>
      </c>
      <c r="G265">
        <f>IMAGE("https://prolisok-store.com/cdn/shop/products/41uQN86fQQL._SL1000_300x.jpg?v=1674030569")</f>
        <v/>
      </c>
      <c r="H265">
        <f>IMAGE("https://m.media-amazon.com/images/I/51icv2b8-jL._AC_UL320_.jpg")</f>
        <v/>
      </c>
      <c r="I265" t="inlineStr">
        <is>
          <t>49.99</t>
        </is>
      </c>
      <c r="J265" t="n">
        <v>100</v>
      </c>
      <c r="K265" s="3" t="inlineStr">
        <is>
          <t>100.04%</t>
        </is>
      </c>
      <c r="L265" t="n">
        <v>5</v>
      </c>
      <c r="M265" t="n">
        <v>3</v>
      </c>
      <c r="O265" t="inlineStr">
        <is>
          <t>InStock</t>
        </is>
      </c>
      <c r="P265" t="inlineStr">
        <is>
          <t>undefined</t>
        </is>
      </c>
      <c r="Q265" t="inlineStr">
        <is>
          <t>6708763459656</t>
        </is>
      </c>
    </row>
    <row r="266">
      <c r="A266" s="2">
        <f>HYPERLINK("https://prolisok-store.com/collections/makeup/products/ipsa-creative-concealer-ex-4-5g", "https://prolisok-store.com/collections/makeup/products/ipsa-creative-concealer-ex-4-5g")</f>
        <v/>
      </c>
      <c r="B266" s="2">
        <f>HYPERLINK("https://prolisok-store.com/products/ipsa-creative-concealer-ex-4-5g", "https://prolisok-store.com/products/ipsa-creative-concealer-ex-4-5g")</f>
        <v/>
      </c>
      <c r="C266" t="inlineStr">
        <is>
          <t>IPSA creative concealer ex 4.5g</t>
        </is>
      </c>
      <c r="D266" t="inlineStr">
        <is>
          <t>IPSA CREATIVE CONCEALER EX 4.5g</t>
        </is>
      </c>
      <c r="E266" s="2">
        <f>HYPERLINK("https://www.amazon.com/IPSA-CREATIVE-CONCEALER-EX-4-5g/dp/B01K7MW1IY/ref=sr_1_3?keywords=IPSA+creative+concealer+ex+4.5g&amp;qid=1695259483&amp;sr=8-3", "https://www.amazon.com/IPSA-CREATIVE-CONCEALER-EX-4-5g/dp/B01K7MW1IY/ref=sr_1_3?keywords=IPSA+creative+concealer+ex+4.5g&amp;qid=1695259483&amp;sr=8-3")</f>
        <v/>
      </c>
      <c r="F266" t="inlineStr">
        <is>
          <t>B01K7MW1IY</t>
        </is>
      </c>
      <c r="G266">
        <f>IMAGE("https://prolisok-store.com/cdn/shop/files/61Taf-7_nfL._AC_SL1500_300x.jpg?v=1689078688")</f>
        <v/>
      </c>
      <c r="H266">
        <f>IMAGE("https://m.media-amazon.com/images/I/61Taf-7+nfL._AC_UL320_.jpg")</f>
        <v/>
      </c>
      <c r="I266" t="inlineStr">
        <is>
          <t>19.99</t>
        </is>
      </c>
      <c r="J266" t="n">
        <v>39.51</v>
      </c>
      <c r="K266" s="3" t="inlineStr">
        <is>
          <t>97.65%</t>
        </is>
      </c>
      <c r="L266" t="n">
        <v>4.1</v>
      </c>
      <c r="M266" t="n">
        <v>61</v>
      </c>
      <c r="O266" t="inlineStr">
        <is>
          <t>InStock</t>
        </is>
      </c>
      <c r="P266" t="inlineStr">
        <is>
          <t>undefined</t>
        </is>
      </c>
      <c r="Q266" t="inlineStr">
        <is>
          <t>6765719650376</t>
        </is>
      </c>
    </row>
    <row r="267">
      <c r="A267" s="2">
        <f>HYPERLINK("https://prolisok-store.com/collections/makeup/products/ipsa-creative-concealer-ex-4-5g", "https://prolisok-store.com/collections/makeup/products/ipsa-creative-concealer-ex-4-5g")</f>
        <v/>
      </c>
      <c r="B267" s="2">
        <f>HYPERLINK("https://prolisok-store.com/products/ipsa-creative-concealer-ex-4-5g", "https://prolisok-store.com/products/ipsa-creative-concealer-ex-4-5g")</f>
        <v/>
      </c>
      <c r="C267" t="inlineStr">
        <is>
          <t>IPSA creative concealer ex 4.5g</t>
        </is>
      </c>
      <c r="D267" t="inlineStr">
        <is>
          <t>Ipsa Creative Concealer SPF25 4.5g/0.15oz</t>
        </is>
      </c>
      <c r="E267" s="2">
        <f>HYPERLINK("https://www.amazon.com/Ipsa-Creative-Concealer-SPF25-0-15oz/dp/B009ZBZIX4/ref=sr_1_4?keywords=IPSA+creative+concealer+ex+4.5g&amp;qid=1695259483&amp;sr=8-4", "https://www.amazon.com/Ipsa-Creative-Concealer-SPF25-0-15oz/dp/B009ZBZIX4/ref=sr_1_4?keywords=IPSA+creative+concealer+ex+4.5g&amp;qid=1695259483&amp;sr=8-4")</f>
        <v/>
      </c>
      <c r="F267" t="inlineStr">
        <is>
          <t>B009ZBZIX4</t>
        </is>
      </c>
      <c r="G267">
        <f>IMAGE("https://prolisok-store.com/cdn/shop/files/61Taf-7_nfL._AC_SL1500_300x.jpg?v=1689078688")</f>
        <v/>
      </c>
      <c r="H267">
        <f>IMAGE("https://m.media-amazon.com/images/I/61xnYFbYjwL._AC_UL320_.jpg")</f>
        <v/>
      </c>
      <c r="I267" t="inlineStr">
        <is>
          <t>19.99</t>
        </is>
      </c>
      <c r="J267" t="n">
        <v>37.99</v>
      </c>
      <c r="K267" s="3" t="inlineStr">
        <is>
          <t>90.05%</t>
        </is>
      </c>
      <c r="L267" t="n">
        <v>3.8</v>
      </c>
      <c r="M267" t="n">
        <v>10</v>
      </c>
      <c r="O267" t="inlineStr">
        <is>
          <t>InStock</t>
        </is>
      </c>
      <c r="P267" t="inlineStr">
        <is>
          <t>undefined</t>
        </is>
      </c>
      <c r="Q267" t="inlineStr">
        <is>
          <t>6765719650376</t>
        </is>
      </c>
    </row>
    <row r="268">
      <c r="A268" s="2">
        <f>HYPERLINK("https://prolisok-store.com/collections/makeup/products/mac-small-eye-shadow-refill-pan-antiqued-1-5g-0-05oz", "https://prolisok-store.com/collections/makeup/products/mac-small-eye-shadow-refill-pan-antiqued-1-5g-0-05oz")</f>
        <v/>
      </c>
      <c r="B268" s="2">
        <f>HYPERLINK("https://prolisok-store.com/products/mac-small-eye-shadow-refill-pan-antiqued-1-5g-0-05oz", "https://prolisok-store.com/products/mac-small-eye-shadow-refill-pan-antiqued-1-5g-0-05oz")</f>
        <v/>
      </c>
      <c r="C268" t="inlineStr">
        <is>
          <t>MAC small eye shadow refill pan - antiqued -1.3g/0.04oz</t>
        </is>
      </c>
      <c r="D268" t="inlineStr">
        <is>
          <t>MAC Small Eye Shadow Refill Pan - Shroom - 1.5g/0.05oz</t>
        </is>
      </c>
      <c r="E268" s="2">
        <f>HYPERLINK("https://www.amazon.com/MAC-Small-Eye-Shadow-Refill/dp/B01GR1R8ZU/ref=sr_1_3?keywords=MAC+small+eye+shadow+refill+pan+-+antiqued+-1.3g%2F0.04oz&amp;qid=1695259548&amp;sr=8-3", "https://www.amazon.com/MAC-Small-Eye-Shadow-Refill/dp/B01GR1R8ZU/ref=sr_1_3?keywords=MAC+small+eye+shadow+refill+pan+-+antiqued+-1.3g%2F0.04oz&amp;qid=1695259548&amp;sr=8-3")</f>
        <v/>
      </c>
      <c r="F268" t="inlineStr">
        <is>
          <t>B01GR1R8ZU</t>
        </is>
      </c>
      <c r="G268">
        <f>IMAGE("https://prolisok-store.com/cdn/shop/products/346006_300x.jpg?v=1690393889")</f>
        <v/>
      </c>
      <c r="H268">
        <f>IMAGE("https://m.media-amazon.com/images/I/51AFM5VsbAL._AC_UL320_.jpg")</f>
        <v/>
      </c>
      <c r="I268" t="inlineStr">
        <is>
          <t>12.59</t>
        </is>
      </c>
      <c r="J268" t="n">
        <v>23.71</v>
      </c>
      <c r="K268" s="3" t="inlineStr">
        <is>
          <t>88.32%</t>
        </is>
      </c>
      <c r="L268" t="n">
        <v>3.8</v>
      </c>
      <c r="M268" t="n">
        <v>14</v>
      </c>
      <c r="O268" t="inlineStr">
        <is>
          <t>InStock</t>
        </is>
      </c>
      <c r="P268" t="inlineStr">
        <is>
          <t>undefined</t>
        </is>
      </c>
      <c r="Q268" t="inlineStr">
        <is>
          <t>6766504443976</t>
        </is>
      </c>
    </row>
    <row r="269">
      <c r="A269" s="2">
        <f>HYPERLINK("https://prolisok-store.com/collections/makeup/products/la-mer-soft-fluid-found-sf20-120", "https://prolisok-store.com/collections/makeup/products/la-mer-soft-fluid-found-sf20-120")</f>
        <v/>
      </c>
      <c r="B269" s="2">
        <f>HYPERLINK("https://prolisok-store.com/products/la-mer-soft-fluid-found-sf20-120", "https://prolisok-store.com/products/la-mer-soft-fluid-found-sf20-120")</f>
        <v/>
      </c>
      <c r="C269" t="inlineStr">
        <is>
          <t>La Mer Soft Fluid Foundation SF20 120</t>
        </is>
      </c>
      <c r="D269" t="inlineStr">
        <is>
          <t>La Mer The Soft Fluid Long Wear Spf 20 Foundation for Women, 32 Beige, 1 Ounce</t>
        </is>
      </c>
      <c r="E269" s="2">
        <f>HYPERLINK("https://www.amazon.com/Mer-Soft-Fluid-Long-Foundation/dp/B01M4MTXYQ/ref=sr_1_2?keywords=La+Mer+Soft+Fluid+Foundation+SF20+120&amp;qid=1695259449&amp;sr=8-2", "https://www.amazon.com/Mer-Soft-Fluid-Long-Foundation/dp/B01M4MTXYQ/ref=sr_1_2?keywords=La+Mer+Soft+Fluid+Foundation+SF20+120&amp;qid=1695259449&amp;sr=8-2")</f>
        <v/>
      </c>
      <c r="F269" t="inlineStr">
        <is>
          <t>B01M4MTXYQ</t>
        </is>
      </c>
      <c r="G269">
        <f>IMAGE("https://prolisok-store.com/cdn/shop/products/41uQN86fQQL._SL1000_300x.jpg?v=1674030569")</f>
        <v/>
      </c>
      <c r="H269">
        <f>IMAGE("https://m.media-amazon.com/images/I/41-HkHGOXiL._AC_UL320_.jpg")</f>
        <v/>
      </c>
      <c r="I269" t="inlineStr">
        <is>
          <t>49.99</t>
        </is>
      </c>
      <c r="J269" t="n">
        <v>94</v>
      </c>
      <c r="K269" s="3" t="inlineStr">
        <is>
          <t>88.04%</t>
        </is>
      </c>
      <c r="L269" t="n">
        <v>4.2</v>
      </c>
      <c r="M269" t="n">
        <v>43</v>
      </c>
      <c r="O269" t="inlineStr">
        <is>
          <t>InStock</t>
        </is>
      </c>
      <c r="P269" t="inlineStr">
        <is>
          <t>undefined</t>
        </is>
      </c>
      <c r="Q269" t="inlineStr">
        <is>
          <t>6708763459656</t>
        </is>
      </c>
    </row>
    <row r="270">
      <c r="A270" s="2">
        <f>HYPERLINK("https://prolisok-store.com/collections/makeup/products/the-soft-fluid-foundation-spf-20-1-oz-porcelain", "https://prolisok-store.com/collections/makeup/products/the-soft-fluid-foundation-spf-20-1-oz-porcelain")</f>
        <v/>
      </c>
      <c r="B270" s="2">
        <f>HYPERLINK("https://prolisok-store.com/products/the-soft-fluid-foundation-spf-20-1-oz-porcelain", "https://prolisok-store.com/products/the-soft-fluid-foundation-spf-20-1-oz-porcelain")</f>
        <v/>
      </c>
      <c r="C270" t="inlineStr">
        <is>
          <t>La Mer The Soft Fluid Foundation SPF 20-1 oz. Porcelain</t>
        </is>
      </c>
      <c r="D270" t="inlineStr">
        <is>
          <t>La Mer The Soft Fluid Long Wear Spf 20 Foundation for Women, 32 Beige, 1 Ounce</t>
        </is>
      </c>
      <c r="E270" s="2">
        <f>HYPERLINK("https://www.amazon.com/Mer-Soft-Fluid-Long-Foundation/dp/B01M4MTXYQ/ref=sr_1_1?keywords=La+Mer+The+Soft+Fluid+Foundation+SPF+20-1+oz.+Porcelain&amp;qid=1695259454&amp;sr=8-1", "https://www.amazon.com/Mer-Soft-Fluid-Long-Foundation/dp/B01M4MTXYQ/ref=sr_1_1?keywords=La+Mer+The+Soft+Fluid+Foundation+SPF+20-1+oz.+Porcelain&amp;qid=1695259454&amp;sr=8-1")</f>
        <v/>
      </c>
      <c r="F270" t="inlineStr">
        <is>
          <t>B01M4MTXYQ</t>
        </is>
      </c>
      <c r="G270">
        <f>IMAGE("https://prolisok-store.com/cdn/shop/products/41wgXKYLRyL._SL1000_300x.jpg?v=1674109756")</f>
        <v/>
      </c>
      <c r="H270">
        <f>IMAGE("https://m.media-amazon.com/images/I/41-HkHGOXiL._AC_UL320_.jpg")</f>
        <v/>
      </c>
      <c r="I270" t="inlineStr">
        <is>
          <t>49.99</t>
        </is>
      </c>
      <c r="J270" t="n">
        <v>94</v>
      </c>
      <c r="K270" s="3" t="inlineStr">
        <is>
          <t>88.04%</t>
        </is>
      </c>
      <c r="L270" t="n">
        <v>4.2</v>
      </c>
      <c r="M270" t="n">
        <v>43</v>
      </c>
      <c r="O270" t="inlineStr">
        <is>
          <t>InStock</t>
        </is>
      </c>
      <c r="P270" t="inlineStr">
        <is>
          <t>95.0</t>
        </is>
      </c>
      <c r="Q270" t="inlineStr">
        <is>
          <t>6709197045832</t>
        </is>
      </c>
    </row>
    <row r="271">
      <c r="A271" s="2">
        <f>HYPERLINK("https://prolisok-store.com/collections/makeup/products/mac-small-eye-shadow-refill-pan-rule-1-5g-0-05oz", "https://prolisok-store.com/collections/makeup/products/mac-small-eye-shadow-refill-pan-rule-1-5g-0-05oz")</f>
        <v/>
      </c>
      <c r="B271" s="2">
        <f>HYPERLINK("https://prolisok-store.com/products/mac-small-eye-shadow-refill-pan-rule-1-5g-0-05oz", "https://prolisok-store.com/products/mac-small-eye-shadow-refill-pan-rule-1-5g-0-05oz")</f>
        <v/>
      </c>
      <c r="C271" t="inlineStr">
        <is>
          <t>MAC small eye shadow refill pan - rule -1.5g/0.05oz</t>
        </is>
      </c>
      <c r="D271" t="inlineStr">
        <is>
          <t>MAC Small Eye Shadow Refill Pan - All That Glitters 1.3g/0.04oz</t>
        </is>
      </c>
      <c r="E271" s="2">
        <f>HYPERLINK("https://www.amazon.com/MAC-Small-Eye-Shadow-Refill/dp/B00DST2YW2/ref=sr_1_7?keywords=MAC+small+eye+shadow+refill+pan+-+rule+-1.5g%2F0.05oz&amp;qid=1695259535&amp;sr=8-7", "https://www.amazon.com/MAC-Small-Eye-Shadow-Refill/dp/B00DST2YW2/ref=sr_1_7?keywords=MAC+small+eye+shadow+refill+pan+-+rule+-1.5g%2F0.05oz&amp;qid=1695259535&amp;sr=8-7")</f>
        <v/>
      </c>
      <c r="F271" t="inlineStr">
        <is>
          <t>B00DST2YW2</t>
        </is>
      </c>
      <c r="G271">
        <f>IMAGE("https://prolisok-store.com/cdn/shop/products/347316_300x.jpg?v=1690393893")</f>
        <v/>
      </c>
      <c r="H271">
        <f>IMAGE("https://m.media-amazon.com/images/I/31do7uc8NzL._AC_UL320_.jpg")</f>
        <v/>
      </c>
      <c r="I271" t="inlineStr">
        <is>
          <t>15.29</t>
        </is>
      </c>
      <c r="J271" t="n">
        <v>28.5</v>
      </c>
      <c r="K271" s="3" t="inlineStr">
        <is>
          <t>86.40%</t>
        </is>
      </c>
      <c r="L271" t="n">
        <v>4.9</v>
      </c>
      <c r="M271" t="n">
        <v>10</v>
      </c>
      <c r="O271" t="inlineStr">
        <is>
          <t>InStock</t>
        </is>
      </c>
      <c r="P271" t="inlineStr">
        <is>
          <t>undefined</t>
        </is>
      </c>
      <c r="Q271" t="inlineStr">
        <is>
          <t>6766504509512</t>
        </is>
      </c>
    </row>
    <row r="272">
      <c r="A272" s="2">
        <f>HYPERLINK("https://prolisok-store.com/collections/makeup/products/lilash-purified-eyelash-physician-formulated-serum-for-fuller-longer-looking-eyelashes-natural-eyelash-enhancer-safe-for-sensitive-eyes-contact-lens-wearers-90-day-supply-2ml", "https://prolisok-store.com/collections/makeup/products/lilash-purified-eyelash-physician-formulated-serum-for-fuller-longer-looking-eyelashes-natural-eyelash-enhancer-safe-for-sensitive-eyes-contact-lens-wearers-90-day-supply-2ml")</f>
        <v/>
      </c>
      <c r="B272" s="2">
        <f>HYPERLINK("https://prolisok-store.com/products/lilash-purified-eyelash-physician-formulated-serum-for-fuller-longer-looking-eyelashes-natural-eyelash-enhancer-safe-for-sensitive-eyes-contact-lens-wearers-90-day-supply-2ml", "https://prolisok-store.com/products/lilash-purified-eyelash-physician-formulated-serum-for-fuller-longer-looking-eyelashes-natural-eyelash-enhancer-safe-for-sensitive-eyes-contact-lens-wearers-90-day-supply-2ml")</f>
        <v/>
      </c>
      <c r="C272" t="inlineStr">
        <is>
          <t>LiLash Purified Eyelash Physician-Formulated Serum for Fuller &amp; Longer Looking Eyelashes (0.2 fl oz / 5.91 ml)</t>
        </is>
      </c>
      <c r="D272" t="inlineStr">
        <is>
          <t>LiLash Purified Eyelash Physician-Formulated Serum for Fuller &amp; Longer Looking Eyelashes | Natural Eyelash Enhancer Safe for Sensitive Eyes &amp; Contact Lens Wearers | 90-Day Supply (2mL)</t>
        </is>
      </c>
      <c r="E272" s="2">
        <f>HYPERLINK("https://www.amazon.com/Cosmetic-Alchemy-LiLash-Purified-Eyelash/dp/B07CVM7DLJ/ref=sr_1_1?keywords=LiLash+Purified+Eyelash+Physician-Formulated+Serum+for+Fuller&amp;qid=1695259448&amp;sr=8-1", "https://www.amazon.com/Cosmetic-Alchemy-LiLash-Purified-Eyelash/dp/B07CVM7DLJ/ref=sr_1_1?keywords=LiLash+Purified+Eyelash+Physician-Formulated+Serum+for+Fuller&amp;qid=1695259448&amp;sr=8-1")</f>
        <v/>
      </c>
      <c r="F272" t="inlineStr">
        <is>
          <t>B07CVM7DLJ</t>
        </is>
      </c>
      <c r="G272">
        <f>IMAGE("https://prolisok-store.com/cdn/shop/products/61HFfFbKf4L._SL1500_300x.jpg?v=1677603293")</f>
        <v/>
      </c>
      <c r="H272">
        <f>IMAGE("https://m.media-amazon.com/images/I/614z2MzHVML._AC_UL320_.jpg")</f>
        <v/>
      </c>
      <c r="I272" t="inlineStr">
        <is>
          <t>49.99</t>
        </is>
      </c>
      <c r="J272" t="n">
        <v>90</v>
      </c>
      <c r="K272" s="3" t="inlineStr">
        <is>
          <t>80.04%</t>
        </is>
      </c>
      <c r="L272" t="n">
        <v>4.5</v>
      </c>
      <c r="M272" t="n">
        <v>1348</v>
      </c>
      <c r="O272" t="inlineStr">
        <is>
          <t>InStock</t>
        </is>
      </c>
      <c r="P272" t="inlineStr">
        <is>
          <t>undefined</t>
        </is>
      </c>
      <c r="Q272" t="inlineStr">
        <is>
          <t>6729864314952</t>
        </is>
      </c>
    </row>
    <row r="273">
      <c r="A273" s="2">
        <f>HYPERLINK("https://prolisok-store.com/collections/makeup/products/la-mer-soft-fluid-found-sf20-120", "https://prolisok-store.com/collections/makeup/products/la-mer-soft-fluid-found-sf20-120")</f>
        <v/>
      </c>
      <c r="B273" s="2">
        <f>HYPERLINK("https://prolisok-store.com/products/la-mer-soft-fluid-found-sf20-120", "https://prolisok-store.com/products/la-mer-soft-fluid-found-sf20-120")</f>
        <v/>
      </c>
      <c r="C273" t="inlineStr">
        <is>
          <t>La Mer Soft Fluid Foundation SF20 120</t>
        </is>
      </c>
      <c r="D273" t="inlineStr">
        <is>
          <t>La Mer Soft Fluid Found SF20 120</t>
        </is>
      </c>
      <c r="E273" s="2">
        <f>HYPERLINK("https://www.amazon.com/Mer-Soft-Fluid-Long-Foundation/dp/B01M30X3VA/ref=sr_1_1?keywords=La+Mer+Soft+Fluid+Foundation+SF20+120&amp;qid=1695259449&amp;sr=8-1", "https://www.amazon.com/Mer-Soft-Fluid-Long-Foundation/dp/B01M30X3VA/ref=sr_1_1?keywords=La+Mer+Soft+Fluid+Foundation+SF20+120&amp;qid=1695259449&amp;sr=8-1")</f>
        <v/>
      </c>
      <c r="F273" t="inlineStr">
        <is>
          <t>B01M30X3VA</t>
        </is>
      </c>
      <c r="G273">
        <f>IMAGE("https://prolisok-store.com/cdn/shop/products/41uQN86fQQL._SL1000_300x.jpg?v=1674030569")</f>
        <v/>
      </c>
      <c r="H273">
        <f>IMAGE("https://m.media-amazon.com/images/I/41uQN86fQQL._AC_UL320_.jpg")</f>
        <v/>
      </c>
      <c r="I273" t="inlineStr">
        <is>
          <t>49.99</t>
        </is>
      </c>
      <c r="J273" t="n">
        <v>88.87</v>
      </c>
      <c r="K273" s="3" t="inlineStr">
        <is>
          <t>77.78%</t>
        </is>
      </c>
      <c r="L273" t="n">
        <v>4.7</v>
      </c>
      <c r="M273" t="n">
        <v>29</v>
      </c>
      <c r="O273" t="inlineStr">
        <is>
          <t>InStock</t>
        </is>
      </c>
      <c r="P273" t="inlineStr">
        <is>
          <t>undefined</t>
        </is>
      </c>
      <c r="Q273" t="inlineStr">
        <is>
          <t>6708763459656</t>
        </is>
      </c>
    </row>
    <row r="274">
      <c r="A274" s="2">
        <f>HYPERLINK("https://prolisok-store.com/collections/makeup/products/clinique-by-clinique-take-the-day-off-make-up-remover-125ml-4-2oz", "https://prolisok-store.com/collections/makeup/products/clinique-by-clinique-take-the-day-off-make-up-remover-125ml-4-2oz")</f>
        <v/>
      </c>
      <c r="B274" s="2">
        <f>HYPERLINK("https://prolisok-store.com/products/clinique-by-clinique-take-the-day-off-make-up-remover-125ml-4-2oz", "https://prolisok-store.com/products/clinique-by-clinique-take-the-day-off-make-up-remover-125ml-4-2oz")</f>
        <v/>
      </c>
      <c r="C274" t="inlineStr">
        <is>
          <t>Clinique take the day off make up remover --125ml/4.2oz</t>
        </is>
      </c>
      <c r="D274" t="inlineStr">
        <is>
          <t>2 PCS Clinique Take the Day Off Makeup Remover 125ml X2= 250ml Cleanser</t>
        </is>
      </c>
      <c r="E274" s="2">
        <f>HYPERLINK("https://www.amazon.com/Clinique-Makeup-Remover-125ml-Cleanser/dp/B00IUGQX7A/ref=sr_1_10?keywords=Clinique+take+the+day+off+make+up+remover+--125ml%2F4.2oz&amp;qid=1695259552&amp;sr=8-10", "https://www.amazon.com/Clinique-Makeup-Remover-125ml-Cleanser/dp/B00IUGQX7A/ref=sr_1_10?keywords=Clinique+take+the+day+off+make+up+remover+--125ml%2F4.2oz&amp;qid=1695259552&amp;sr=8-10")</f>
        <v/>
      </c>
      <c r="F274" t="inlineStr">
        <is>
          <t>B00IUGQX7A</t>
        </is>
      </c>
      <c r="G274">
        <f>IMAGE("https://prolisok-store.com/cdn/shop/products/129645_300x.jpg?v=1688060465")</f>
        <v/>
      </c>
      <c r="H274">
        <f>IMAGE("https://m.media-amazon.com/images/I/61nXryWVVQL._AC_UL320_.jpg")</f>
        <v/>
      </c>
      <c r="I274" t="inlineStr">
        <is>
          <t>23.39</t>
        </is>
      </c>
      <c r="J274" t="n">
        <v>40.42</v>
      </c>
      <c r="K274" s="3" t="inlineStr">
        <is>
          <t>72.81%</t>
        </is>
      </c>
      <c r="L274" t="n">
        <v>4.7</v>
      </c>
      <c r="M274" t="n">
        <v>111</v>
      </c>
      <c r="O274" t="inlineStr">
        <is>
          <t>InStock</t>
        </is>
      </c>
      <c r="P274" t="inlineStr">
        <is>
          <t>undefined</t>
        </is>
      </c>
      <c r="Q274" t="inlineStr">
        <is>
          <t>6764856311880</t>
        </is>
      </c>
    </row>
    <row r="275">
      <c r="A275" s="2">
        <f>HYPERLINK("https://prolisok-store.com/collections/makeup/products/dabalash-eye-lash-enhancer", "https://prolisok-store.com/collections/makeup/products/dabalash-eye-lash-enhancer")</f>
        <v/>
      </c>
      <c r="B275" s="2">
        <f>HYPERLINK("https://prolisok-store.com/products/dabalash-eye-lash-enhancer", "https://prolisok-store.com/products/dabalash-eye-lash-enhancer")</f>
        <v/>
      </c>
      <c r="C275" t="inlineStr">
        <is>
          <t>Dabalash Eye Lash Enhancer</t>
        </is>
      </c>
      <c r="D275" t="inlineStr">
        <is>
          <t>DabaLash Professional Eyelash Enhancer 0.18FL OZ/5.32 ml</t>
        </is>
      </c>
      <c r="E275" s="2">
        <f>HYPERLINK("https://www.amazon.com/DabaLash-Professional-Eyelash-Enhancer-0-18FL/dp/B07XRPJS1T/ref=sr_1_3?keywords=Dabalash+Eye+Lash+Enhancer&amp;qid=1695259453&amp;sr=8-3", "https://www.amazon.com/DabaLash-Professional-Eyelash-Enhancer-0-18FL/dp/B07XRPJS1T/ref=sr_1_3?keywords=Dabalash+Eye+Lash+Enhancer&amp;qid=1695259453&amp;sr=8-3")</f>
        <v/>
      </c>
      <c r="F275" t="inlineStr">
        <is>
          <t>B07XRPJS1T</t>
        </is>
      </c>
      <c r="G275">
        <f>IMAGE("https://prolisok-store.com/cdn/shop/files/71dLRMnmysL._AC_SL1500_300x.jpg?v=1692864868")</f>
        <v/>
      </c>
      <c r="H275">
        <f>IMAGE("https://m.media-amazon.com/images/I/512M+GxCY5L._AC_UL320_.jpg")</f>
        <v/>
      </c>
      <c r="I275" t="inlineStr">
        <is>
          <t>19.99</t>
        </is>
      </c>
      <c r="J275" t="n">
        <v>34.4</v>
      </c>
      <c r="K275" s="3" t="inlineStr">
        <is>
          <t>72.09%</t>
        </is>
      </c>
      <c r="L275" t="n">
        <v>5</v>
      </c>
      <c r="M275" t="n">
        <v>1</v>
      </c>
      <c r="O275" t="inlineStr">
        <is>
          <t>InStock</t>
        </is>
      </c>
      <c r="P275" t="inlineStr">
        <is>
          <t>undefined</t>
        </is>
      </c>
      <c r="Q275" t="inlineStr">
        <is>
          <t>6771755581512</t>
        </is>
      </c>
    </row>
    <row r="276">
      <c r="A276" s="2">
        <f>HYPERLINK("https://prolisok-store.com/collections/skin-care/products/sisley-white-ginger-contouring-oil-for-legs-sample-8ml-0-27oz", "https://prolisok-store.com/collections/skin-care/products/sisley-white-ginger-contouring-oil-for-legs-sample-8ml-0-27oz")</f>
        <v/>
      </c>
      <c r="B276" s="2">
        <f>HYPERLINK("https://prolisok-store.com/products/sisley-white-ginger-contouring-oil-for-legs-sample-8ml-0-27oz", "https://prolisok-store.com/products/sisley-white-ginger-contouring-oil-for-legs-sample-8ml-0-27oz")</f>
        <v/>
      </c>
      <c r="C276" t="inlineStr">
        <is>
          <t>Sisley white ginger contouring oil for legs sample 8ml/0.27oz</t>
        </is>
      </c>
      <c r="D276" t="inlineStr">
        <is>
          <t>Sisley Sisley white ginger contouring oil for legs, 5oz, 5 Ounce</t>
        </is>
      </c>
      <c r="E276" s="2">
        <f>HYPERLINK("https://www.amazon.com/Sisley-white-ginger-contouring-Ounce/dp/B06WRPJ3NH/ref=sr_1_1?keywords=Sisley+white+ginger+contouring+oil+for+legs+sample+8ml%2F0.27oz&amp;qid=1695259685&amp;sr=8-1", "https://www.amazon.com/Sisley-white-ginger-contouring-Ounce/dp/B06WRPJ3NH/ref=sr_1_1?keywords=Sisley+white+ginger+contouring+oil+for+legs+sample+8ml%2F0.27oz&amp;qid=1695259685&amp;sr=8-1")</f>
        <v/>
      </c>
      <c r="F276" t="inlineStr">
        <is>
          <t>B06WRPJ3NH</t>
        </is>
      </c>
      <c r="G276">
        <f>IMAGE("https://prolisok-store.com/cdn/shop/products/428854_300x.jpg?v=1690900634")</f>
        <v/>
      </c>
      <c r="H276">
        <f>IMAGE("https://m.media-amazon.com/images/I/41EYAofQ8zL._AC_UL320_.jpg")</f>
        <v/>
      </c>
      <c r="I276" t="inlineStr">
        <is>
          <t>7.19</t>
        </is>
      </c>
      <c r="J276" t="n">
        <v>198.9</v>
      </c>
      <c r="K276" s="3" t="inlineStr">
        <is>
          <t>2666.34%</t>
        </is>
      </c>
      <c r="L276" t="n">
        <v>4.3</v>
      </c>
      <c r="M276" t="n">
        <v>26</v>
      </c>
      <c r="O276" t="inlineStr">
        <is>
          <t>InStock</t>
        </is>
      </c>
      <c r="P276" t="inlineStr">
        <is>
          <t>undefined</t>
        </is>
      </c>
      <c r="Q276" t="inlineStr">
        <is>
          <t>6769982603336</t>
        </is>
      </c>
    </row>
    <row r="277">
      <c r="A277" s="2">
        <f>HYPERLINK("https://prolisok-store.com/collections/skin-care/products/elixir-superieur-enrich-wrinkle-cream-l-22g", "https://prolisok-store.com/collections/skin-care/products/elixir-superieur-enrich-wrinkle-cream-l-22g")</f>
        <v/>
      </c>
      <c r="B277" s="2">
        <f>HYPERLINK("https://prolisok-store.com/products/elixir-superieur-enrich-wrinkle-cream-l-22g", "https://prolisok-store.com/products/elixir-superieur-enrich-wrinkle-cream-l-22g")</f>
        <v/>
      </c>
      <c r="C277" t="inlineStr">
        <is>
          <t>ELIXIR SUPERIEUR Enriched Wrinkle Cream L 22g</t>
        </is>
      </c>
      <c r="D277" t="inlineStr">
        <is>
          <t>Japan Health and Beauty - Shiseido Elixir Superieur Enriched cream CB 45g csAF27</t>
        </is>
      </c>
      <c r="E277" s="2">
        <f>HYPERLINK("https://www.amazon.com/Japan-Health-Beauty-Shiseido-Superieur/dp/B016VYIAYQ/ref=sr_1_2?keywords=ELIXIR+SUPERIEUR+Enriched+Wrinkle+Cream+L+22g&amp;qid=1695259670&amp;sr=8-2", "https://www.amazon.com/Japan-Health-Beauty-Shiseido-Superieur/dp/B016VYIAYQ/ref=sr_1_2?keywords=ELIXIR+SUPERIEUR+Enriched+Wrinkle+Cream+L+22g&amp;qid=1695259670&amp;sr=8-2")</f>
        <v/>
      </c>
      <c r="F277" t="inlineStr">
        <is>
          <t>B016VYIAYQ</t>
        </is>
      </c>
      <c r="G277">
        <f>IMAGE("https://prolisok-store.com/cdn/shop/files/61mKag_0VYL._SL1500_300x.jpg?v=1692865233")</f>
        <v/>
      </c>
      <c r="H277">
        <f>IMAGE("https://m.media-amazon.com/images/I/71b6HQpuekL._AC_UL320_.jpg")</f>
        <v/>
      </c>
      <c r="I277" t="inlineStr">
        <is>
          <t>39.99</t>
        </is>
      </c>
      <c r="J277" t="n">
        <v>154.99</v>
      </c>
      <c r="K277" s="3" t="inlineStr">
        <is>
          <t>287.57%</t>
        </is>
      </c>
      <c r="L277" t="n">
        <v>4.2</v>
      </c>
      <c r="M277" t="n">
        <v>46</v>
      </c>
      <c r="O277" t="inlineStr">
        <is>
          <t>InStock</t>
        </is>
      </c>
      <c r="P277" t="inlineStr">
        <is>
          <t>undefined</t>
        </is>
      </c>
      <c r="Q277" t="inlineStr">
        <is>
          <t>6771755614280</t>
        </is>
      </c>
    </row>
    <row r="278">
      <c r="A278" s="2">
        <f>HYPERLINK("https://prolisok-store.com/collections/skin-care/products/drunk-elephant-lala-retro-whipped-cream-50-milliliters", "https://prolisok-store.com/collections/skin-care/products/drunk-elephant-lala-retro-whipped-cream-50-milliliters")</f>
        <v/>
      </c>
      <c r="B278" s="2">
        <f>HYPERLINK("https://prolisok-store.com/products/drunk-elephant-lala-retro-whipped-cream-50-milliliters", "https://prolisok-store.com/products/drunk-elephant-lala-retro-whipped-cream-50-milliliters")</f>
        <v/>
      </c>
      <c r="C278" t="inlineStr">
        <is>
          <t>Drunk Elephant Lala Retro Whipped Cream 50 Milliliters</t>
        </is>
      </c>
      <c r="D278" t="inlineStr">
        <is>
          <t>Drunk Elephant Full Sized Retro Renew Facial Duo - Skin Renewal Facial Duo. T.L.C. Sukari Babyfacial (50 mL / 1.69 Fl Oz) Lala Retro Whipped Cream Facial Moisturizer (50 mL / 1.69 Fl Oz)</t>
        </is>
      </c>
      <c r="E278" s="2">
        <f>HYPERLINK("https://www.amazon.com/Drunk-Elephant-Renewal-Babyfacial-Moisturizer/dp/B07CH6Y844/ref=sr_1_3?keywords=Drunk+Elephant+Lala+Retro+Whipped+Cream+50+Milliliters&amp;qid=1695259593&amp;sr=8-3", "https://www.amazon.com/Drunk-Elephant-Renewal-Babyfacial-Moisturizer/dp/B07CH6Y844/ref=sr_1_3?keywords=Drunk+Elephant+Lala+Retro+Whipped+Cream+50+Milliliters&amp;qid=1695259593&amp;sr=8-3")</f>
        <v/>
      </c>
      <c r="F278" t="inlineStr">
        <is>
          <t>B07CH6Y844</t>
        </is>
      </c>
      <c r="G278">
        <f>IMAGE("https://prolisok-store.com/cdn/shop/files/51ybUrn6ZWL._SL1500_300x.jpg?v=1686223860")</f>
        <v/>
      </c>
      <c r="H278">
        <f>IMAGE("https://m.media-amazon.com/images/I/51F8VPkHiXL._AC_UL320_.jpg")</f>
        <v/>
      </c>
      <c r="I278" t="inlineStr">
        <is>
          <t>34.99</t>
        </is>
      </c>
      <c r="J278" t="n">
        <v>129.99</v>
      </c>
      <c r="K278" s="3" t="inlineStr">
        <is>
          <t>271.51%</t>
        </is>
      </c>
      <c r="L278" t="n">
        <v>4.5</v>
      </c>
      <c r="M278" t="n">
        <v>97</v>
      </c>
      <c r="O278" t="inlineStr">
        <is>
          <t>InStock</t>
        </is>
      </c>
      <c r="P278" t="inlineStr">
        <is>
          <t>60.0</t>
        </is>
      </c>
      <c r="Q278" t="inlineStr">
        <is>
          <t>6762921427016</t>
        </is>
      </c>
    </row>
    <row r="279">
      <c r="A279" s="2">
        <f>HYPERLINK("https://prolisok-store.com/collections/skin-care/products/zo-skin-health-daily-power-defense", "https://prolisok-store.com/collections/skin-care/products/zo-skin-health-daily-power-defense")</f>
        <v/>
      </c>
      <c r="B279" s="2">
        <f>HYPERLINK("https://prolisok-store.com/products/zo-skin-health-daily-power-defense", "https://prolisok-store.com/products/zo-skin-health-daily-power-defense")</f>
        <v/>
      </c>
      <c r="C279" t="inlineStr">
        <is>
          <t>ZO Skin Health Daily Power Defense</t>
        </is>
      </c>
      <c r="D279" t="inlineStr">
        <is>
          <t>ZO SKIN HEALTH Daily Power Defense (50ml / 1.7 Fl Oz)</t>
        </is>
      </c>
      <c r="E279" s="2">
        <f>HYPERLINK("https://www.amazon.com/ZO-SKIN-HEALTH-Daily-Defense/dp/B0C3WFQFCD/ref=sr_1_1?keywords=ZO+Skin+Health+Daily+Power+Defense&amp;qid=1695259592&amp;sr=8-1", "https://www.amazon.com/ZO-SKIN-HEALTH-Daily-Defense/dp/B0C3WFQFCD/ref=sr_1_1?keywords=ZO+Skin+Health+Daily+Power+Defense&amp;qid=1695259592&amp;sr=8-1")</f>
        <v/>
      </c>
      <c r="F279" t="inlineStr">
        <is>
          <t>B0C3WFQFCD</t>
        </is>
      </c>
      <c r="G279">
        <f>IMAGE("https://prolisok-store.com/cdn/shop/files/dpd.mob.pdp.gbl_300x.png?v=1682669514")</f>
        <v/>
      </c>
      <c r="H279">
        <f>IMAGE("https://m.media-amazon.com/images/I/51rIjPg9UYL._AC_UL320_.jpg")</f>
        <v/>
      </c>
      <c r="I279" t="inlineStr">
        <is>
          <t>29.99</t>
        </is>
      </c>
      <c r="J279" t="n">
        <v>110.48</v>
      </c>
      <c r="K279" s="3" t="inlineStr">
        <is>
          <t>268.39%</t>
        </is>
      </c>
      <c r="L279" t="n">
        <v>4.4</v>
      </c>
      <c r="M279" t="n">
        <v>33</v>
      </c>
      <c r="O279" t="inlineStr">
        <is>
          <t>InStock</t>
        </is>
      </c>
      <c r="P279" t="inlineStr">
        <is>
          <t>undefined</t>
        </is>
      </c>
      <c r="Q279" t="inlineStr">
        <is>
          <t>6758899220552</t>
        </is>
      </c>
    </row>
    <row r="280">
      <c r="A280" s="2">
        <f>HYPERLINK("https://prolisok-store.com/collections/skin-care/products/lextase-nina-ricci-body-lotion-3-4-oz", "https://prolisok-store.com/collections/skin-care/products/lextase-nina-ricci-body-lotion-3-4-oz")</f>
        <v/>
      </c>
      <c r="B280" s="2">
        <f>HYPERLINK("https://prolisok-store.com/products/lextase-nina-ricci-body-lotion-3-4-oz", "https://prolisok-store.com/products/lextase-nina-ricci-body-lotion-3-4-oz")</f>
        <v/>
      </c>
      <c r="C280" t="inlineStr">
        <is>
          <t>L'extase nina ricci body lotion 3.4 oz</t>
        </is>
      </c>
      <c r="D280" t="inlineStr">
        <is>
          <t>Nina Ricci L'air du Temps for Women 3 Piece Set Includes: 3.4 oz Eau de Toilette Spray + 3.5 oz Caressing Body Soap + 3.4 oz Body Lotion</t>
        </is>
      </c>
      <c r="E280" s="2">
        <f>HYPERLINK("https://www.amazon.com/Nina-Ricci-Temps-Toilette-Women/dp/B091WZVG17/ref=sr_1_4?keywords=L%27extase+nina+ricci+body+lotion+3.4+oz&amp;qid=1695259659&amp;sr=8-4", "https://www.amazon.com/Nina-Ricci-Temps-Toilette-Women/dp/B091WZVG17/ref=sr_1_4?keywords=L%27extase+nina+ricci+body+lotion+3.4+oz&amp;qid=1695259659&amp;sr=8-4")</f>
        <v/>
      </c>
      <c r="F280" t="inlineStr">
        <is>
          <t>B091WZVG17</t>
        </is>
      </c>
      <c r="G280">
        <f>IMAGE("https://prolisok-store.com/cdn/shop/products/422181_300x.jpg?v=1693407494")</f>
        <v/>
      </c>
      <c r="H280">
        <f>IMAGE("https://m.media-amazon.com/images/I/51OKH3lFv7L._AC_UL320_.jpg")</f>
        <v/>
      </c>
      <c r="I280" t="inlineStr">
        <is>
          <t>26.99</t>
        </is>
      </c>
      <c r="J280" t="n">
        <v>94.98999999999999</v>
      </c>
      <c r="K280" s="3" t="inlineStr">
        <is>
          <t>251.95%</t>
        </is>
      </c>
      <c r="L280" t="n">
        <v>5</v>
      </c>
      <c r="M280" t="n">
        <v>3</v>
      </c>
      <c r="O280" t="inlineStr">
        <is>
          <t>InStock</t>
        </is>
      </c>
      <c r="P280" t="inlineStr">
        <is>
          <t>undefined</t>
        </is>
      </c>
      <c r="Q280" t="inlineStr">
        <is>
          <t>6772305428552</t>
        </is>
      </c>
    </row>
    <row r="281">
      <c r="A281" s="2">
        <f>HYPERLINK("https://prolisok-store.com/collections/skin-care/products/lextase-nina-ricci-body-lotion-3-4-oz", "https://prolisok-store.com/collections/skin-care/products/lextase-nina-ricci-body-lotion-3-4-oz")</f>
        <v/>
      </c>
      <c r="B281" s="2">
        <f>HYPERLINK("https://prolisok-store.com/products/lextase-nina-ricci-body-lotion-3-4-oz", "https://prolisok-store.com/products/lextase-nina-ricci-body-lotion-3-4-oz")</f>
        <v/>
      </c>
      <c r="C281" t="inlineStr">
        <is>
          <t>L'extase nina ricci body lotion 3.4 oz</t>
        </is>
      </c>
      <c r="D281" t="inlineStr">
        <is>
          <t>NINA ROUGE BY NINA RICCI 2.7 OZ.EDT SPRAY + 3.4 OZ.CREAMY BODY LOTION.</t>
        </is>
      </c>
      <c r="E281" s="2">
        <f>HYPERLINK("https://www.amazon.com/ROUGE-RICCI-OZ-EDT-OZ-CREAMY-LOTION/dp/B09J1NNXTN/ref=sr_1_10?keywords=L%27extase+nina+ricci+body+lotion+3.4+oz&amp;qid=1695259659&amp;sr=8-10", "https://www.amazon.com/ROUGE-RICCI-OZ-EDT-OZ-CREAMY-LOTION/dp/B09J1NNXTN/ref=sr_1_10?keywords=L%27extase+nina+ricci+body+lotion+3.4+oz&amp;qid=1695259659&amp;sr=8-10")</f>
        <v/>
      </c>
      <c r="F281" t="inlineStr">
        <is>
          <t>B09J1NNXTN</t>
        </is>
      </c>
      <c r="G281">
        <f>IMAGE("https://prolisok-store.com/cdn/shop/products/422181_300x.jpg?v=1693407494")</f>
        <v/>
      </c>
      <c r="H281">
        <f>IMAGE("https://m.media-amazon.com/images/I/21PMjmrnk6L._AC_UL320_.jpg")</f>
        <v/>
      </c>
      <c r="I281" t="inlineStr">
        <is>
          <t>26.99</t>
        </is>
      </c>
      <c r="J281" t="n">
        <v>89.59</v>
      </c>
      <c r="K281" s="3" t="inlineStr">
        <is>
          <t>231.94%</t>
        </is>
      </c>
      <c r="L281" t="n">
        <v>5</v>
      </c>
      <c r="M281" t="n">
        <v>2</v>
      </c>
      <c r="O281" t="inlineStr">
        <is>
          <t>InStock</t>
        </is>
      </c>
      <c r="P281" t="inlineStr">
        <is>
          <t>undefined</t>
        </is>
      </c>
      <c r="Q281" t="inlineStr">
        <is>
          <t>6772305428552</t>
        </is>
      </c>
    </row>
    <row r="282">
      <c r="A282" s="2">
        <f>HYPERLINK("https://prolisok-store.com/collections/skin-care/products/white-tea-wild-rose-by-elizabeth-arden-body-cream-13-5-oz", "https://prolisok-store.com/collections/skin-care/products/white-tea-wild-rose-by-elizabeth-arden-body-cream-13-5-oz")</f>
        <v/>
      </c>
      <c r="B282" s="2">
        <f>HYPERLINK("https://prolisok-store.com/products/white-tea-wild-rose-by-elizabeth-arden-body-cream-13-5-oz", "https://prolisok-store.com/products/white-tea-wild-rose-by-elizabeth-arden-body-cream-13-5-oz")</f>
        <v/>
      </c>
      <c r="C282" t="inlineStr">
        <is>
          <t>White tea wild rose by elizabeth arden body cream 13.5 oz</t>
        </is>
      </c>
      <c r="D282" t="inlineStr">
        <is>
          <t>White Tea by Elizabeth Arden, Women's Perfume, Eau de Toilette Spray, Wild Rose, 3.3 Fl Oz</t>
        </is>
      </c>
      <c r="E282" s="2">
        <f>HYPERLINK("https://www.amazon.com/Elizabeth-Arden-White-Toilette-Perfume/dp/B07ND5W2PF/ref=sr_1_5?keywords=White+tea+wild+rose+by+elizabeth+arden+body+cream+13.5+oz&amp;qid=1695259655&amp;sr=8-5", "https://www.amazon.com/Elizabeth-Arden-White-Toilette-Perfume/dp/B07ND5W2PF/ref=sr_1_5?keywords=White+tea+wild+rose+by+elizabeth+arden+body+cream+13.5+oz&amp;qid=1695259655&amp;sr=8-5")</f>
        <v/>
      </c>
      <c r="F282" t="inlineStr">
        <is>
          <t>B07ND5W2PF</t>
        </is>
      </c>
      <c r="G282">
        <f>IMAGE("https://prolisok-store.com/cdn/shop/products/406391_300x.jpg?v=1693407441")</f>
        <v/>
      </c>
      <c r="H282">
        <f>IMAGE("https://m.media-amazon.com/images/I/31yC5V3W5pL._AC_UL320_.jpg")</f>
        <v/>
      </c>
      <c r="I282" t="inlineStr">
        <is>
          <t>22.49</t>
        </is>
      </c>
      <c r="J282" t="n">
        <v>68</v>
      </c>
      <c r="K282" s="3" t="inlineStr">
        <is>
          <t>202.36%</t>
        </is>
      </c>
      <c r="L282" t="n">
        <v>4.4</v>
      </c>
      <c r="M282" t="n">
        <v>341</v>
      </c>
      <c r="O282" t="inlineStr">
        <is>
          <t>InStock</t>
        </is>
      </c>
      <c r="P282" t="inlineStr">
        <is>
          <t>undefined</t>
        </is>
      </c>
      <c r="Q282" t="inlineStr">
        <is>
          <t>6772304412744</t>
        </is>
      </c>
    </row>
    <row r="283">
      <c r="A283" s="2">
        <f>HYPERLINK("https://prolisok-store.com/collections/skin-care/products/elizabeth-arden-eight-hour-cream-intensive-moisturizing-hand-treatment-30ml-1oz", "https://prolisok-store.com/collections/skin-care/products/elizabeth-arden-eight-hour-cream-intensive-moisturizing-hand-treatment-30ml-1oz")</f>
        <v/>
      </c>
      <c r="B283" s="2">
        <f>HYPERLINK("https://prolisok-store.com/products/elizabeth-arden-eight-hour-cream-intensive-moisturizing-hand-treatment-30ml-1oz", "https://prolisok-store.com/products/elizabeth-arden-eight-hour-cream-intensive-moisturizing-hand-treatment-30ml-1oz")</f>
        <v/>
      </c>
      <c r="C283" t="inlineStr">
        <is>
          <t>Elizabeth Arden eight hour cream intensive moisturizing hand treatment 30ml/1oz</t>
        </is>
      </c>
      <c r="D283" t="inlineStr">
        <is>
          <t>Elizabeth Arden Eight Hour Cream Intensive Moisturizing Body Treatment, Body Lotion, Skin Care for Women</t>
        </is>
      </c>
      <c r="E283" s="2">
        <f>HYPERLINK("https://www.amazon.com/Elizabeth-Arden-Intensive-Moisturizing-Treatment/dp/B0BC1QC9XF/ref=sr_1_2?keywords=Elizabeth+Arden+eight+hour+cream+intensive+moisturizing+hand+treatment+30ml%2F1oz&amp;qid=1695259636&amp;sr=8-2", "https://www.amazon.com/Elizabeth-Arden-Intensive-Moisturizing-Treatment/dp/B0BC1QC9XF/ref=sr_1_2?keywords=Elizabeth+Arden+eight+hour+cream+intensive+moisturizing+hand+treatment+30ml%2F1oz&amp;qid=1695259636&amp;sr=8-2")</f>
        <v/>
      </c>
      <c r="F283" t="inlineStr">
        <is>
          <t>B0BC1QC9XF</t>
        </is>
      </c>
      <c r="G283">
        <f>IMAGE("https://prolisok-store.com/cdn/shop/products/233058_300x.jpg?v=1693407136")</f>
        <v/>
      </c>
      <c r="H283">
        <f>IMAGE("https://m.media-amazon.com/images/I/61J+wyEAo-L._AC_UL320_.jpg")</f>
        <v/>
      </c>
      <c r="I283" t="inlineStr">
        <is>
          <t>13.49</t>
        </is>
      </c>
      <c r="J283" t="n">
        <v>36</v>
      </c>
      <c r="K283" s="3" t="inlineStr">
        <is>
          <t>166.86%</t>
        </is>
      </c>
      <c r="L283" t="n">
        <v>4.3</v>
      </c>
      <c r="M283" t="n">
        <v>1183</v>
      </c>
      <c r="O283" t="inlineStr">
        <is>
          <t>InStock</t>
        </is>
      </c>
      <c r="P283" t="inlineStr">
        <is>
          <t>undefined</t>
        </is>
      </c>
      <c r="Q283" t="inlineStr">
        <is>
          <t>6772298121288</t>
        </is>
      </c>
    </row>
    <row r="284">
      <c r="A284" s="2">
        <f>HYPERLINK("https://prolisok-store.com/collections/skin-care/products/drunk-elephant-lala-retro-whipped-cream-50-milliliters", "https://prolisok-store.com/collections/skin-care/products/drunk-elephant-lala-retro-whipped-cream-50-milliliters")</f>
        <v/>
      </c>
      <c r="B284" s="2">
        <f>HYPERLINK("https://prolisok-store.com/products/drunk-elephant-lala-retro-whipped-cream-50-milliliters", "https://prolisok-store.com/products/drunk-elephant-lala-retro-whipped-cream-50-milliliters")</f>
        <v/>
      </c>
      <c r="C284" t="inlineStr">
        <is>
          <t>Drunk Elephant Lala Retro Whipped Cream 50 Milliliters</t>
        </is>
      </c>
      <c r="D284" t="inlineStr">
        <is>
          <t>Drunk Elephant Hit It Off Face Wash and Facial Moisturizer Set Beste No. 9 Jelly Cleanser (150 mL / 5 Fl Oz) and Lala Retro Whipped Cream (50 mL / 1.69 Fl Oz)</t>
        </is>
      </c>
      <c r="E284" s="2">
        <f>HYPERLINK("https://www.amazon.com/Drunk-Elephant-Moisturizer-Cleanser-Whipped/dp/B07CH346S8/ref=sr_1_4?keywords=Drunk+Elephant+Lala+Retro+Whipped+Cream+50+Milliliters&amp;qid=1695259593&amp;sr=8-4", "https://www.amazon.com/Drunk-Elephant-Moisturizer-Cleanser-Whipped/dp/B07CH346S8/ref=sr_1_4?keywords=Drunk+Elephant+Lala+Retro+Whipped+Cream+50+Milliliters&amp;qid=1695259593&amp;sr=8-4")</f>
        <v/>
      </c>
      <c r="F284" t="inlineStr">
        <is>
          <t>B07CH346S8</t>
        </is>
      </c>
      <c r="G284">
        <f>IMAGE("https://prolisok-store.com/cdn/shop/files/51ybUrn6ZWL._SL1500_300x.jpg?v=1686223860")</f>
        <v/>
      </c>
      <c r="H284">
        <f>IMAGE("https://m.media-amazon.com/images/I/71kkfZpaOjL._AC_UL320_.jpg")</f>
        <v/>
      </c>
      <c r="I284" t="inlineStr">
        <is>
          <t>34.99</t>
        </is>
      </c>
      <c r="J284" t="n">
        <v>92</v>
      </c>
      <c r="K284" s="3" t="inlineStr">
        <is>
          <t>162.93%</t>
        </is>
      </c>
      <c r="L284" t="n">
        <v>4.3</v>
      </c>
      <c r="M284" t="n">
        <v>31</v>
      </c>
      <c r="O284" t="inlineStr">
        <is>
          <t>InStock</t>
        </is>
      </c>
      <c r="P284" t="inlineStr">
        <is>
          <t>60.0</t>
        </is>
      </c>
      <c r="Q284" t="inlineStr">
        <is>
          <t>6762921427016</t>
        </is>
      </c>
    </row>
    <row r="285">
      <c r="A285" s="2">
        <f>HYPERLINK("https://prolisok-store.com/collections/skin-care/products/green-tea-by-elizabeth-arden-body-lotion-6-8-oz", "https://prolisok-store.com/collections/skin-care/products/green-tea-by-elizabeth-arden-body-lotion-6-8-oz")</f>
        <v/>
      </c>
      <c r="B285" s="2">
        <f>HYPERLINK("https://prolisok-store.com/products/green-tea-by-elizabeth-arden-body-lotion-6-8-oz", "https://prolisok-store.com/products/green-tea-by-elizabeth-arden-body-lotion-6-8-oz")</f>
        <v/>
      </c>
      <c r="C285" t="inlineStr">
        <is>
          <t>Green tea by elizabeth arden body lotion 6.8 oz</t>
        </is>
      </c>
      <c r="D285" t="inlineStr">
        <is>
          <t>White Tea by Elizabeth Arden, Women's Body Lotion, Pure Indulgence, 13.5 Oz</t>
        </is>
      </c>
      <c r="E285" s="2">
        <f>HYPERLINK("https://www.amazon.com/Elizabeth-Arden-White-Indulgence-Cream/dp/B01N4LCTIY/ref=sr_1_4?keywords=Green+tea+by+elizabeth+arden+body+lotion+6.8+oz&amp;qid=1695259649&amp;sr=8-4", "https://www.amazon.com/Elizabeth-Arden-White-Indulgence-Cream/dp/B01N4LCTIY/ref=sr_1_4?keywords=Green+tea+by+elizabeth+arden+body+lotion+6.8+oz&amp;qid=1695259649&amp;sr=8-4")</f>
        <v/>
      </c>
      <c r="F285" t="inlineStr">
        <is>
          <t>B01N4LCTIY</t>
        </is>
      </c>
      <c r="G285">
        <f>IMAGE("https://prolisok-store.com/cdn/shop/products/115439_300x.jpg?v=1693407288")</f>
        <v/>
      </c>
      <c r="H285">
        <f>IMAGE("https://m.media-amazon.com/images/I/41H9bJt20fL._AC_UL320_.jpg")</f>
        <v/>
      </c>
      <c r="I285" t="inlineStr">
        <is>
          <t>13.49</t>
        </is>
      </c>
      <c r="J285" t="n">
        <v>34</v>
      </c>
      <c r="K285" s="3" t="inlineStr">
        <is>
          <t>152.04%</t>
        </is>
      </c>
      <c r="L285" t="n">
        <v>4.5</v>
      </c>
      <c r="M285" t="n">
        <v>2164</v>
      </c>
      <c r="O285" t="inlineStr">
        <is>
          <t>InStock</t>
        </is>
      </c>
      <c r="P285" t="inlineStr">
        <is>
          <t>undefined</t>
        </is>
      </c>
      <c r="Q285" t="inlineStr">
        <is>
          <t>6772301234248</t>
        </is>
      </c>
    </row>
    <row r="286">
      <c r="A286" s="2">
        <f>HYPERLINK("https://prolisok-store.com/collections/skin-care/products/estee-lauder-advanced-night-repair-synchronized-multi-recovery-complex-unisex-1-7-oz", "https://prolisok-store.com/collections/skin-care/products/estee-lauder-advanced-night-repair-synchronized-multi-recovery-complex-unisex-1-7-oz")</f>
        <v/>
      </c>
      <c r="B286" s="2">
        <f>HYPERLINK("https://prolisok-store.com/products/estee-lauder-advanced-night-repair-synchronized-multi-recovery-complex-unisex-1-7-oz", "https://prolisok-store.com/products/estee-lauder-advanced-night-repair-synchronized-multi-recovery-complex-unisex-1-7-oz")</f>
        <v/>
      </c>
      <c r="C286" t="inlineStr">
        <is>
          <t>Estee Lauder Advanced Night Repair Synchronized Multi-Recovery Complex, Unisex, 1.7 Oz</t>
        </is>
      </c>
      <c r="D286" t="inlineStr">
        <is>
          <t>Estée Lauder Advanced Night Repair Synchronized Multi-Recovery Complex Duo 2x 1.7 oz / 50 mL</t>
        </is>
      </c>
      <c r="E286" s="2">
        <f>HYPERLINK("https://www.amazon.com/Lauder-Advanced-Synchronized-Multi-Recovery-Complex/dp/B08HRNFY49/ref=sr_1_4?keywords=Estee+Lauder+Advanced+Night+Repair+Synchronized+Multi-Recovery+Complex%2C+Unisex%2C+1.7+Oz&amp;qid=1695259592&amp;sr=8-4", "https://www.amazon.com/Lauder-Advanced-Synchronized-Multi-Recovery-Complex/dp/B08HRNFY49/ref=sr_1_4?keywords=Estee+Lauder+Advanced+Night+Repair+Synchronized+Multi-Recovery+Complex%2C+Unisex%2C+1.7+Oz&amp;qid=1695259592&amp;sr=8-4")</f>
        <v/>
      </c>
      <c r="F286" t="inlineStr">
        <is>
          <t>B08HRNFY49</t>
        </is>
      </c>
      <c r="G286">
        <f>IMAGE("https://prolisok-store.com/cdn/shop/files/511qVnU1eNL._SL1000_300x.jpg?v=1687507525")</f>
        <v/>
      </c>
      <c r="H286">
        <f>IMAGE("https://m.media-amazon.com/images/I/611NuVh5ikL._AC_UL320_.jpg")</f>
        <v/>
      </c>
      <c r="I286" t="inlineStr">
        <is>
          <t>39.99</t>
        </is>
      </c>
      <c r="J286" t="n">
        <v>99.95</v>
      </c>
      <c r="K286" s="3" t="inlineStr">
        <is>
          <t>149.94%</t>
        </is>
      </c>
      <c r="L286" t="n">
        <v>4.3</v>
      </c>
      <c r="M286" t="n">
        <v>62</v>
      </c>
      <c r="O286" t="inlineStr">
        <is>
          <t>InStock</t>
        </is>
      </c>
      <c r="P286" t="inlineStr">
        <is>
          <t>undefined</t>
        </is>
      </c>
      <c r="Q286" t="inlineStr">
        <is>
          <t>6763953520712</t>
        </is>
      </c>
    </row>
    <row r="287">
      <c r="A287" s="2">
        <f>HYPERLINK("https://prolisok-store.com/collections/skin-care/products/clarins-extra-firming-neck-and-decollete-cream", "https://prolisok-store.com/collections/skin-care/products/clarins-extra-firming-neck-and-decollete-cream")</f>
        <v/>
      </c>
      <c r="B287" s="2">
        <f>HYPERLINK("https://prolisok-store.com/products/clarins-extra-firming-neck-and-decollete-cream", "https://prolisok-store.com/products/clarins-extra-firming-neck-and-decollete-cream")</f>
        <v/>
      </c>
      <c r="C287" t="inlineStr">
        <is>
          <t>Clarins Extra-Firming Neck and Décolleté Cream</t>
        </is>
      </c>
      <c r="D287" t="inlineStr">
        <is>
          <t>Clarins Super Restorative Décolleté and Neck Concentrate | Deeply Replenishing, Anti-Aging Cream For Mature Skin | Skin Texture Is Refined and Chest Creases Are Visibly Diminished After 4 Weeks*</t>
        </is>
      </c>
      <c r="E287" s="2">
        <f>HYPERLINK("https://www.amazon.com/Clarins-Super-Restorative-D%C3%A9colett%C3%A9-Concentrate/dp/B01BG0SS4M/ref=sr_1_2?keywords=Clarins+Extra-Firming+Neck+and+D%C3%A9collet%C3%A9+Cream&amp;qid=1695259631&amp;sr=8-2", "https://www.amazon.com/Clarins-Super-Restorative-D%C3%A9colett%C3%A9-Concentrate/dp/B01BG0SS4M/ref=sr_1_2?keywords=Clarins+Extra-Firming+Neck+and+D%C3%A9collet%C3%A9+Cream&amp;qid=1695259631&amp;sr=8-2")</f>
        <v/>
      </c>
      <c r="F287" t="inlineStr">
        <is>
          <t>B01BG0SS4M</t>
        </is>
      </c>
      <c r="G287">
        <f>IMAGE("https://prolisok-store.com/cdn/shop/files/6188DnkFSjL._SL1500_300x.jpg?v=1682417456")</f>
        <v/>
      </c>
      <c r="H287">
        <f>IMAGE("https://m.media-amazon.com/images/I/51Jpj2StusL._AC_UL320_.jpg")</f>
        <v/>
      </c>
      <c r="I287" t="inlineStr">
        <is>
          <t>49.99</t>
        </is>
      </c>
      <c r="J287" t="n">
        <v>118</v>
      </c>
      <c r="K287" s="3" t="inlineStr">
        <is>
          <t>136.05%</t>
        </is>
      </c>
      <c r="L287" t="n">
        <v>4.6</v>
      </c>
      <c r="M287" t="n">
        <v>1219</v>
      </c>
      <c r="O287" t="inlineStr">
        <is>
          <t>InStock</t>
        </is>
      </c>
      <c r="P287" t="inlineStr">
        <is>
          <t>undefined</t>
        </is>
      </c>
      <c r="Q287" t="inlineStr">
        <is>
          <t>6757626347592</t>
        </is>
      </c>
    </row>
    <row r="288">
      <c r="A288" s="2">
        <f>HYPERLINK("https://prolisok-store.com/collections/skin-care/products/la-mer-the-moisturizing-soft-lotion", "https://prolisok-store.com/collections/skin-care/products/la-mer-the-moisturizing-soft-lotion")</f>
        <v/>
      </c>
      <c r="B288" s="2">
        <f>HYPERLINK("https://prolisok-store.com/products/la-mer-the-moisturizing-soft-lotion", "https://prolisok-store.com/products/la-mer-the-moisturizing-soft-lotion")</f>
        <v/>
      </c>
      <c r="C288" t="inlineStr">
        <is>
          <t>La Mer The Moisturizing Soft Lotion</t>
        </is>
      </c>
      <c r="D288" t="inlineStr">
        <is>
          <t>La Mer The Moisturizing Matte Lotion, 1.7 Fl Oz</t>
        </is>
      </c>
      <c r="E288" s="2">
        <f>HYPERLINK("https://www.amazon.com/Mer-Moisturizing-Matte-Lotion-1-7oz/dp/B071K9Q21H/ref=sr_1_3?keywords=La+Mer+The+Moisturizing+Soft+Lotion&amp;qid=1695259606&amp;sr=8-3", "https://www.amazon.com/Mer-Moisturizing-Matte-Lotion-1-7oz/dp/B071K9Q21H/ref=sr_1_3?keywords=La+Mer+The+Moisturizing+Soft+Lotion&amp;qid=1695259606&amp;sr=8-3")</f>
        <v/>
      </c>
      <c r="F288" t="inlineStr">
        <is>
          <t>B071K9Q21H</t>
        </is>
      </c>
      <c r="G288">
        <f>IMAGE("https://prolisok-store.com/cdn/shop/products/61uLYCnMy9L._SL1500_300x.jpg?v=1667997816")</f>
        <v/>
      </c>
      <c r="H288">
        <f>IMAGE("https://m.media-amazon.com/images/I/51nCt5bhYbL._AC_UL320_.jpg")</f>
        <v/>
      </c>
      <c r="I288" t="inlineStr">
        <is>
          <t>69.99</t>
        </is>
      </c>
      <c r="J288" t="n">
        <v>159.36</v>
      </c>
      <c r="K288" s="3" t="inlineStr">
        <is>
          <t>127.69%</t>
        </is>
      </c>
      <c r="L288" t="n">
        <v>3.9</v>
      </c>
      <c r="M288" t="n">
        <v>19</v>
      </c>
      <c r="O288" t="inlineStr">
        <is>
          <t>InStock</t>
        </is>
      </c>
      <c r="P288" t="inlineStr">
        <is>
          <t>undefined</t>
        </is>
      </c>
      <c r="Q288" t="inlineStr">
        <is>
          <t>6674655084616</t>
        </is>
      </c>
    </row>
    <row r="289">
      <c r="A289" s="2">
        <f>HYPERLINK("https://prolisok-store.com/collections/skin-care/products/la-mer-the-cleansing-foam-oz-4-2-ounce", "https://prolisok-store.com/collections/skin-care/products/la-mer-the-cleansing-foam-oz-4-2-ounce")</f>
        <v/>
      </c>
      <c r="B289" s="2">
        <f>HYPERLINK("https://prolisok-store.com/products/la-mer-the-cleansing-foam-oz-4-2-ounce", "https://prolisok-store.com/products/la-mer-the-cleansing-foam-oz-4-2-ounce")</f>
        <v/>
      </c>
      <c r="C289" t="inlineStr">
        <is>
          <t>La Mer The Cleansing Foam, Oz 4.2 Ounce</t>
        </is>
      </c>
      <c r="D289" t="inlineStr">
        <is>
          <t>La Mer The Cleansing Foam, 4.2 oz</t>
        </is>
      </c>
      <c r="E289" s="2">
        <f>HYPERLINK("https://www.amazon.com/The-Cleansing-Foam-1-oz/dp/B078WLQJVQ/ref=sr_1_2?keywords=La+Mer+The+Cleansing+Foam%2C+Oz+4.2+Ounce&amp;qid=1695259592&amp;sr=8-2", "https://www.amazon.com/The-Cleansing-Foam-1-oz/dp/B078WLQJVQ/ref=sr_1_2?keywords=La+Mer+The+Cleansing+Foam%2C+Oz+4.2+Ounce&amp;qid=1695259592&amp;sr=8-2")</f>
        <v/>
      </c>
      <c r="F289" t="inlineStr">
        <is>
          <t>B078WLQJVQ</t>
        </is>
      </c>
      <c r="G289">
        <f>IMAGE("https://prolisok-store.com/cdn/shop/products/61jRwk3Ar7L._SL1500_300x.jpg?v=1673868613")</f>
        <v/>
      </c>
      <c r="H289">
        <f>IMAGE("https://m.media-amazon.com/images/I/61jRwk3Ar7L._AC_UL320_.jpg")</f>
        <v/>
      </c>
      <c r="I289" t="inlineStr">
        <is>
          <t>47.99</t>
        </is>
      </c>
      <c r="J289" t="n">
        <v>105</v>
      </c>
      <c r="K289" s="3" t="inlineStr">
        <is>
          <t>118.80%</t>
        </is>
      </c>
      <c r="L289" t="n">
        <v>4.6</v>
      </c>
      <c r="M289" t="n">
        <v>3</v>
      </c>
      <c r="O289" t="inlineStr">
        <is>
          <t>InStock</t>
        </is>
      </c>
      <c r="P289" t="inlineStr">
        <is>
          <t>undefined</t>
        </is>
      </c>
      <c r="Q289" t="inlineStr">
        <is>
          <t>6707064766536</t>
        </is>
      </c>
    </row>
    <row r="290">
      <c r="A290" s="2">
        <f>HYPERLINK("https://prolisok-store.com/collections/skin-care/products/zo-skin-health-wrinkle-texture-repair-0-5-retinol-1-7-oz-50ml-formerly-called-zo-medical-retamax%E2%84%A2-active-vitamin-a-micro-emulsion-0-5-retinol", "https://prolisok-store.com/collections/skin-care/products/zo-skin-health-wrinkle-texture-repair-0-5-retinol-1-7-oz-50ml-formerly-called-zo-medical-retamax%E2%84%A2-active-vitamin-a-micro-emulsion-0-5-retinol")</f>
        <v/>
      </c>
      <c r="B290" s="2">
        <f>HYPERLINK("https://prolisok-store.com/products/zo-skin-health-wrinkle-texture-repair-0-5-retinol-1-7-oz-50ml-formerly-called-zo-medical-retamax%e2%84%a2-active-vitamin-a-micro-emulsion-0-5-retinol", "https://prolisok-store.com/products/zo-skin-health-wrinkle-texture-repair-0-5-retinol-1-7-oz-50ml-formerly-called-zo-medical-retamax%e2%84%a2-active-vitamin-a-micro-emulsion-0-5-retinol")</f>
        <v/>
      </c>
      <c r="C290" t="inlineStr">
        <is>
          <t>ZO Skin Health Wrinkle + Texture Repair</t>
        </is>
      </c>
      <c r="D290" t="inlineStr">
        <is>
          <t>ZO SKIN HEALTH WRINKLE + TEXTURE REPAIR</t>
        </is>
      </c>
      <c r="E290" s="2">
        <f>HYPERLINK("https://www.amazon.com/ZO-SKIN-HEALTH-WRINKLE-TEXTURE/dp/B08R282JKQ/ref=sr_1_1?keywords=ZO+Skin+Health+Wrinkle+Texture+Repair&amp;qid=1695259593&amp;sr=8-1", "https://www.amazon.com/ZO-SKIN-HEALTH-WRINKLE-TEXTURE/dp/B08R282JKQ/ref=sr_1_1?keywords=ZO+Skin+Health+Wrinkle+Texture+Repair&amp;qid=1695259593&amp;sr=8-1")</f>
        <v/>
      </c>
      <c r="F290" t="inlineStr">
        <is>
          <t>B08R282JKQ</t>
        </is>
      </c>
      <c r="G290">
        <f>IMAGE("https://prolisok-store.com/cdn/shop/products/41Sp6bw4ThL_300x.jpg?v=1674059188")</f>
        <v/>
      </c>
      <c r="H290">
        <f>IMAGE("https://m.media-amazon.com/images/I/51b5qqh70OL._AC_UL320_.jpg")</f>
        <v/>
      </c>
      <c r="I290" t="inlineStr">
        <is>
          <t>29.99</t>
        </is>
      </c>
      <c r="J290" t="n">
        <v>64.98999999999999</v>
      </c>
      <c r="K290" s="3" t="inlineStr">
        <is>
          <t>116.71%</t>
        </is>
      </c>
      <c r="L290" t="n">
        <v>4.1</v>
      </c>
      <c r="M290" t="n">
        <v>51</v>
      </c>
      <c r="O290" t="inlineStr">
        <is>
          <t>InStock</t>
        </is>
      </c>
      <c r="P290" t="inlineStr">
        <is>
          <t>undefined</t>
        </is>
      </c>
      <c r="Q290" t="inlineStr">
        <is>
          <t>6708910030920</t>
        </is>
      </c>
    </row>
    <row r="291">
      <c r="A291" s="2">
        <f>HYPERLINK("https://prolisok-store.com/collections/skin-care/products/zo-skin-health-daily-power-defense", "https://prolisok-store.com/collections/skin-care/products/zo-skin-health-daily-power-defense")</f>
        <v/>
      </c>
      <c r="B291" s="2">
        <f>HYPERLINK("https://prolisok-store.com/products/zo-skin-health-daily-power-defense", "https://prolisok-store.com/products/zo-skin-health-daily-power-defense")</f>
        <v/>
      </c>
      <c r="C291" t="inlineStr">
        <is>
          <t>ZO Skin Health Daily Power Defense</t>
        </is>
      </c>
      <c r="D291" t="inlineStr">
        <is>
          <t>ZO Skin Health Daily Power Defense 1 Fl. Oz. 30mL Softgel</t>
        </is>
      </c>
      <c r="E291" s="2">
        <f>HYPERLINK("https://www.amazon.com/ZO-Health-Daily-Defense-Softgel/dp/B07QF1B66M/ref=sr_1_2?keywords=ZO+Skin+Health+Daily+Power+Defense&amp;qid=1695259592&amp;sr=8-2", "https://www.amazon.com/ZO-Health-Daily-Defense-Softgel/dp/B07QF1B66M/ref=sr_1_2?keywords=ZO+Skin+Health+Daily+Power+Defense&amp;qid=1695259592&amp;sr=8-2")</f>
        <v/>
      </c>
      <c r="F291" t="inlineStr">
        <is>
          <t>B07QF1B66M</t>
        </is>
      </c>
      <c r="G291">
        <f>IMAGE("https://prolisok-store.com/cdn/shop/files/dpd.mob.pdp.gbl_300x.png?v=1682669514")</f>
        <v/>
      </c>
      <c r="H291">
        <f>IMAGE("https://m.media-amazon.com/images/I/61qSFJrh1bL._AC_UL320_.jpg")</f>
        <v/>
      </c>
      <c r="I291" t="inlineStr">
        <is>
          <t>29.99</t>
        </is>
      </c>
      <c r="J291" t="n">
        <v>59.99</v>
      </c>
      <c r="K291" s="3" t="inlineStr">
        <is>
          <t>100.03%</t>
        </is>
      </c>
      <c r="L291" t="n">
        <v>4.6</v>
      </c>
      <c r="M291" t="n">
        <v>821</v>
      </c>
      <c r="O291" t="inlineStr">
        <is>
          <t>InStock</t>
        </is>
      </c>
      <c r="P291" t="inlineStr">
        <is>
          <t>undefined</t>
        </is>
      </c>
      <c r="Q291" t="inlineStr">
        <is>
          <t>6758899220552</t>
        </is>
      </c>
    </row>
    <row r="292">
      <c r="A292" s="2">
        <f>HYPERLINK("https://prolisok-store.com/collections/skin-care/products/elizabeth-arden-capsules-serum", "https://prolisok-store.com/collections/skin-care/products/elizabeth-arden-capsules-serum")</f>
        <v/>
      </c>
      <c r="B292" s="2">
        <f>HYPERLINK("https://prolisok-store.com/products/elizabeth-arden-capsules-serum", "https://prolisok-store.com/products/elizabeth-arden-capsules-serum")</f>
        <v/>
      </c>
      <c r="C292" t="inlineStr">
        <is>
          <t>Elizabeth Arden Capsules Serum</t>
        </is>
      </c>
      <c r="D292" t="inlineStr">
        <is>
          <t>Elizabeth Arden Retinol Ceramide Capsule Serum, Night Skin Care, Fine Line and Wrinkle Erasing Face Serum, 90 Count</t>
        </is>
      </c>
      <c r="E292" s="2">
        <f>HYPERLINK("https://www.amazon.com/Elizabeth-Arden-Retinol-Ceramide-Capsules/dp/B07TN8WFZJ/ref=sr_1_4?keywords=Elizabeth+Arden+Capsules+Serum&amp;qid=1695259597&amp;sr=8-4", "https://www.amazon.com/Elizabeth-Arden-Retinol-Ceramide-Capsules/dp/B07TN8WFZJ/ref=sr_1_4?keywords=Elizabeth+Arden+Capsules+Serum&amp;qid=1695259597&amp;sr=8-4")</f>
        <v/>
      </c>
      <c r="F292" t="inlineStr">
        <is>
          <t>B07TN8WFZJ</t>
        </is>
      </c>
      <c r="G292">
        <f>IMAGE("https://prolisok-store.com/cdn/shop/files/71roxz2sB-L._SL1500_300x.jpg?v=1683266294")</f>
        <v/>
      </c>
      <c r="H292">
        <f>IMAGE("https://m.media-amazon.com/images/I/71-zjzKULCL._AC_UL320_.jpg")</f>
        <v/>
      </c>
      <c r="I292" t="inlineStr">
        <is>
          <t>59.99</t>
        </is>
      </c>
      <c r="J292" t="n">
        <v>120</v>
      </c>
      <c r="K292" s="3" t="inlineStr">
        <is>
          <t>100.03%</t>
        </is>
      </c>
      <c r="L292" t="n">
        <v>4.5</v>
      </c>
      <c r="M292" t="n">
        <v>440</v>
      </c>
      <c r="O292" t="inlineStr">
        <is>
          <t>InStock</t>
        </is>
      </c>
      <c r="P292" t="inlineStr">
        <is>
          <t>undefined</t>
        </is>
      </c>
      <c r="Q292" t="inlineStr">
        <is>
          <t>6759943700552</t>
        </is>
      </c>
    </row>
    <row r="293">
      <c r="A293" s="2">
        <f>HYPERLINK("https://prolisok-store.com/collections/skin-care/products/elizabeth-arden-capsules-serum", "https://prolisok-store.com/collections/skin-care/products/elizabeth-arden-capsules-serum")</f>
        <v/>
      </c>
      <c r="B293" s="2">
        <f>HYPERLINK("https://prolisok-store.com/products/elizabeth-arden-capsules-serum", "https://prolisok-store.com/products/elizabeth-arden-capsules-serum")</f>
        <v/>
      </c>
      <c r="C293" t="inlineStr">
        <is>
          <t>Elizabeth Arden Capsules Serum</t>
        </is>
      </c>
      <c r="D293" t="inlineStr">
        <is>
          <t>Elizabeth Arden Ceramide Skin Care Set, Advanced Ceramide Capsules Serum, Advanced Ceramide Eye Capsule Serum, Ceramide Cleanser and Superstart</t>
        </is>
      </c>
      <c r="E293" s="2">
        <f>HYPERLINK("https://www.amazon.com/Elizabeth-Arden-Advanced-Ceramide-Restoring/dp/B01N5HLNB8/ref=sr_1_1?keywords=Elizabeth+Arden+Capsules+Serum&amp;qid=1695259597&amp;sr=8-1", "https://www.amazon.com/Elizabeth-Arden-Advanced-Ceramide-Restoring/dp/B01N5HLNB8/ref=sr_1_1?keywords=Elizabeth+Arden+Capsules+Serum&amp;qid=1695259597&amp;sr=8-1")</f>
        <v/>
      </c>
      <c r="F293" t="inlineStr">
        <is>
          <t>B01N5HLNB8</t>
        </is>
      </c>
      <c r="G293">
        <f>IMAGE("https://prolisok-store.com/cdn/shop/files/71roxz2sB-L._SL1500_300x.jpg?v=1683266294")</f>
        <v/>
      </c>
      <c r="H293">
        <f>IMAGE("https://m.media-amazon.com/images/I/71PpHwZRRuL._AC_UL320_.jpg")</f>
        <v/>
      </c>
      <c r="I293" t="inlineStr">
        <is>
          <t>59.99</t>
        </is>
      </c>
      <c r="J293" t="n">
        <v>120</v>
      </c>
      <c r="K293" s="3" t="inlineStr">
        <is>
          <t>100.03%</t>
        </is>
      </c>
      <c r="L293" t="n">
        <v>4.7</v>
      </c>
      <c r="M293" t="n">
        <v>2049</v>
      </c>
      <c r="O293" t="inlineStr">
        <is>
          <t>InStock</t>
        </is>
      </c>
      <c r="P293" t="inlineStr">
        <is>
          <t>undefined</t>
        </is>
      </c>
      <c r="Q293" t="inlineStr">
        <is>
          <t>6759943700552</t>
        </is>
      </c>
    </row>
    <row r="294">
      <c r="A294" s="2">
        <f>HYPERLINK("https://prolisok-store.com/collections/skin-care/products/clarins-extra-firming-neck-and-decollete-cream", "https://prolisok-store.com/collections/skin-care/products/clarins-extra-firming-neck-and-decollete-cream")</f>
        <v/>
      </c>
      <c r="B294" s="2">
        <f>HYPERLINK("https://prolisok-store.com/products/clarins-extra-firming-neck-and-decollete-cream", "https://prolisok-store.com/products/clarins-extra-firming-neck-and-decollete-cream")</f>
        <v/>
      </c>
      <c r="C294" t="inlineStr">
        <is>
          <t>Clarins Extra-Firming Neck and Décolleté Cream</t>
        </is>
      </c>
      <c r="D294" t="inlineStr">
        <is>
          <t>Clarins Extra-Firming Neck and Décolleté Cream | Award-Winning | Anti-Aging Moisturizer | Visibly Firms, Smoothes and Lifts | Minimizes Appearance Of Wrinkles | Targets Dark Spots | 2.5 Ounces</t>
        </is>
      </c>
      <c r="E294" s="2">
        <f>HYPERLINK("https://www.amazon.com/Clarins-Extra-Firming-Award-Winning-Anti-Aging-Moisturizer/dp/B084MDRPPJ/ref=sr_1_1?keywords=Clarins+Extra-Firming+Neck+and+D%C3%A9collet%C3%A9+Cream&amp;qid=1695259631&amp;sr=8-1", "https://www.amazon.com/Clarins-Extra-Firming-Award-Winning-Anti-Aging-Moisturizer/dp/B084MDRPPJ/ref=sr_1_1?keywords=Clarins+Extra-Firming+Neck+and+D%C3%A9collet%C3%A9+Cream&amp;qid=1695259631&amp;sr=8-1")</f>
        <v/>
      </c>
      <c r="F294" t="inlineStr">
        <is>
          <t>B084MDRPPJ</t>
        </is>
      </c>
      <c r="G294">
        <f>IMAGE("https://prolisok-store.com/cdn/shop/files/6188DnkFSjL._SL1500_300x.jpg?v=1682417456")</f>
        <v/>
      </c>
      <c r="H294">
        <f>IMAGE("https://m.media-amazon.com/images/I/6188DnkFSjL._AC_UL320_.jpg")</f>
        <v/>
      </c>
      <c r="I294" t="inlineStr">
        <is>
          <t>49.99</t>
        </is>
      </c>
      <c r="J294" t="n">
        <v>98</v>
      </c>
      <c r="K294" s="3" t="inlineStr">
        <is>
          <t>96.04%</t>
        </is>
      </c>
      <c r="L294" t="n">
        <v>4.3</v>
      </c>
      <c r="M294" t="n">
        <v>168</v>
      </c>
      <c r="O294" t="inlineStr">
        <is>
          <t>InStock</t>
        </is>
      </c>
      <c r="P294" t="inlineStr">
        <is>
          <t>undefined</t>
        </is>
      </c>
      <c r="Q294" t="inlineStr">
        <is>
          <t>6757626347592</t>
        </is>
      </c>
    </row>
    <row r="295">
      <c r="A295" s="2">
        <f>HYPERLINK("https://prolisok-store.com/collections/skin-care/products/clarins-double-serum", "https://prolisok-store.com/collections/skin-care/products/clarins-double-serum")</f>
        <v/>
      </c>
      <c r="B295" s="2">
        <f>HYPERLINK("https://prolisok-store.com/products/clarins-double-serum", "https://prolisok-store.com/products/clarins-double-serum")</f>
        <v/>
      </c>
      <c r="C295" t="inlineStr">
        <is>
          <t>Clarins Double Serum</t>
        </is>
      </c>
      <c r="D295" t="inlineStr">
        <is>
          <t>Clarins Double Serum | Anti-Aging | Visibly Firms, Smoothes and Boosts Radiance in Just 7 Days* | 21 Plant Ingredients, Including Turmeric | All Skin Types, Ages and Ethnicities</t>
        </is>
      </c>
      <c r="E295" s="2">
        <f>HYPERLINK("https://www.amazon.com/Clarins-Award-Winning-Anti-Aging-Ingredients-Ethnicities/dp/B07CRK4J3S/ref=sr_1_1?keywords=Clarins+Double+Serum&amp;qid=1695259593&amp;sr=8-1", "https://www.amazon.com/Clarins-Award-Winning-Anti-Aging-Ingredients-Ethnicities/dp/B07CRK4J3S/ref=sr_1_1?keywords=Clarins+Double+Serum&amp;qid=1695259593&amp;sr=8-1")</f>
        <v/>
      </c>
      <c r="F295" t="inlineStr">
        <is>
          <t>B07CRK4J3S</t>
        </is>
      </c>
      <c r="G295">
        <f>IMAGE("https://prolisok-store.com/cdn/shop/products/717T_LvJhvL._SL1500_300x.jpg?v=1681306763")</f>
        <v/>
      </c>
      <c r="H295">
        <f>IMAGE("https://m.media-amazon.com/images/I/717T+LvJhvL._AC_UL320_.jpg")</f>
        <v/>
      </c>
      <c r="I295" t="inlineStr">
        <is>
          <t>69.99</t>
        </is>
      </c>
      <c r="J295" t="n">
        <v>134</v>
      </c>
      <c r="K295" s="3" t="inlineStr">
        <is>
          <t>91.46%</t>
        </is>
      </c>
      <c r="L295" t="n">
        <v>4.6</v>
      </c>
      <c r="M295" t="n">
        <v>1831</v>
      </c>
      <c r="O295" t="inlineStr">
        <is>
          <t>InStock</t>
        </is>
      </c>
      <c r="P295" t="inlineStr">
        <is>
          <t>112.2</t>
        </is>
      </c>
      <c r="Q295" t="inlineStr">
        <is>
          <t>6751779586120</t>
        </is>
      </c>
    </row>
    <row r="296">
      <c r="A296" s="2">
        <f>HYPERLINK("https://prolisok-store.com/collections/skin-care/products/clarins-double-serum", "https://prolisok-store.com/collections/skin-care/products/clarins-double-serum")</f>
        <v/>
      </c>
      <c r="B296" s="2">
        <f>HYPERLINK("https://prolisok-store.com/products/clarins-double-serum", "https://prolisok-store.com/products/clarins-double-serum")</f>
        <v/>
      </c>
      <c r="C296" t="inlineStr">
        <is>
          <t>Clarins Double Serum</t>
        </is>
      </c>
      <c r="D296" t="inlineStr">
        <is>
          <t>Clarins Double Serum Light | Anti Aging | Visibly Firms, Smoothes &amp; Boosts Radiance in 7 Days* | 21 Plant Ingredients | Turmeric | Lighter Texture | Great for Oily Skin and Humid Climates</t>
        </is>
      </c>
      <c r="E296" s="2">
        <f>HYPERLINK("https://www.amazon.com/Clarins-Smoothes-Radiance-Ingredients-Turmeric/dp/B0BRR1ML5C/ref=sr_1_3?keywords=Clarins+Double+Serum&amp;qid=1695259593&amp;sr=8-3", "https://www.amazon.com/Clarins-Smoothes-Radiance-Ingredients-Turmeric/dp/B0BRR1ML5C/ref=sr_1_3?keywords=Clarins+Double+Serum&amp;qid=1695259593&amp;sr=8-3")</f>
        <v/>
      </c>
      <c r="F296" t="inlineStr">
        <is>
          <t>B0BRR1ML5C</t>
        </is>
      </c>
      <c r="G296">
        <f>IMAGE("https://prolisok-store.com/cdn/shop/products/717T_LvJhvL._SL1500_300x.jpg?v=1681306763")</f>
        <v/>
      </c>
      <c r="H296">
        <f>IMAGE("https://m.media-amazon.com/images/I/51i5jqShicL._AC_UL320_.jpg")</f>
        <v/>
      </c>
      <c r="I296" t="inlineStr">
        <is>
          <t>69.99</t>
        </is>
      </c>
      <c r="J296" t="n">
        <v>134</v>
      </c>
      <c r="K296" s="3" t="inlineStr">
        <is>
          <t>91.46%</t>
        </is>
      </c>
      <c r="L296" t="n">
        <v>4.5</v>
      </c>
      <c r="M296" t="n">
        <v>43</v>
      </c>
      <c r="O296" t="inlineStr">
        <is>
          <t>InStock</t>
        </is>
      </c>
      <c r="P296" t="inlineStr">
        <is>
          <t>112.2</t>
        </is>
      </c>
      <c r="Q296" t="inlineStr">
        <is>
          <t>6751779586120</t>
        </is>
      </c>
    </row>
    <row r="297">
      <c r="A297" s="2">
        <f>HYPERLINK("https://prolisok-store.com/collections/skin-care/products/la-mer-the-lifting-contour-serum-1-ounce", "https://prolisok-store.com/collections/skin-care/products/la-mer-the-lifting-contour-serum-1-ounce")</f>
        <v/>
      </c>
      <c r="B297" s="2">
        <f>HYPERLINK("https://prolisok-store.com/products/la-mer-the-lifting-contour-serum-1-ounce", "https://prolisok-store.com/products/la-mer-the-lifting-contour-serum-1-ounce")</f>
        <v/>
      </c>
      <c r="C297" t="inlineStr">
        <is>
          <t>La Mer The Lifting Contour Serum - 1 Ounce</t>
        </is>
      </c>
      <c r="D297" t="inlineStr">
        <is>
          <t>La Mer The Lifting Contour Serum - 1 Ounce</t>
        </is>
      </c>
      <c r="E297" s="2">
        <f>HYPERLINK("https://www.amazon.com/Mer-Lifting-Contour-Serum-Ounce/dp/B00HKGBS1M/ref=sr_1_1?keywords=La+Mer+The+Lifting+Contour+Serum+-+1+Ounce&amp;qid=1695259600&amp;sr=8-1", "https://www.amazon.com/Mer-Lifting-Contour-Serum-Ounce/dp/B00HKGBS1M/ref=sr_1_1?keywords=La+Mer+The+Lifting+Contour+Serum+-+1+Ounce&amp;qid=1695259600&amp;sr=8-1")</f>
        <v/>
      </c>
      <c r="F297" t="inlineStr">
        <is>
          <t>B00HKGBS1M</t>
        </is>
      </c>
      <c r="G297">
        <f>IMAGE("https://prolisok-store.com/cdn/shop/products/717bDV5rGCL._SL1500_300x.jpg?v=1668000446")</f>
        <v/>
      </c>
      <c r="H297">
        <f>IMAGE("https://m.media-amazon.com/images/I/717bDV5rGCL._AC_UL320_.jpg")</f>
        <v/>
      </c>
      <c r="I297" t="inlineStr">
        <is>
          <t>129.99</t>
        </is>
      </c>
      <c r="J297" t="n">
        <v>245.99</v>
      </c>
      <c r="K297" s="3" t="inlineStr">
        <is>
          <t>89.24%</t>
        </is>
      </c>
      <c r="L297" t="n">
        <v>4.2</v>
      </c>
      <c r="M297" t="n">
        <v>44</v>
      </c>
      <c r="O297" t="inlineStr">
        <is>
          <t>InStock</t>
        </is>
      </c>
      <c r="P297" t="inlineStr">
        <is>
          <t>undefined</t>
        </is>
      </c>
      <c r="Q297" t="inlineStr">
        <is>
          <t>6674673238088</t>
        </is>
      </c>
    </row>
    <row r="298">
      <c r="A298" s="2">
        <f>HYPERLINK("https://prolisok-store.com/collections/skin-care/products/la-mer-brume-de-the-mist-100ml-3-4oz", "https://prolisok-store.com/collections/skin-care/products/la-mer-brume-de-the-mist-100ml-3-4oz")</f>
        <v/>
      </c>
      <c r="B298" s="2">
        <f>HYPERLINK("https://prolisok-store.com/products/la-mer-brume-de-the-mist-100ml-3-4oz", "https://prolisok-store.com/products/la-mer-brume-de-the-mist-100ml-3-4oz")</f>
        <v/>
      </c>
      <c r="C298" t="inlineStr">
        <is>
          <t>La Mer Brume De The Mist 100ml/3.4oz</t>
        </is>
      </c>
      <c r="D298" t="inlineStr">
        <is>
          <t>La Mer Brume De La Mer - The Mist 100ml/3.4oz</t>
        </is>
      </c>
      <c r="E298" s="2">
        <f>HYPERLINK("https://www.amazon.com/Mer-Brume-Mist-100ml-3-4oz/dp/B00NM6S7ZE/ref=sr_1_1?keywords=La+Mer+Brume+De+The+Mist+100ml%2F3.4oz&amp;qid=1695259607&amp;sr=8-1", "https://www.amazon.com/Mer-Brume-Mist-100ml-3-4oz/dp/B00NM6S7ZE/ref=sr_1_1?keywords=La+Mer+Brume+De+The+Mist+100ml%2F3.4oz&amp;qid=1695259607&amp;sr=8-1")</f>
        <v/>
      </c>
      <c r="F298" t="inlineStr">
        <is>
          <t>B00NM6S7ZE</t>
        </is>
      </c>
      <c r="G298">
        <f>IMAGE("https://prolisok-store.com/cdn/shop/products/712TGv3btkL._SL1500_300x.jpg?v=1673880914")</f>
        <v/>
      </c>
      <c r="H298">
        <f>IMAGE("https://m.media-amazon.com/images/I/51LoIimQnDL._AC_UL320_.jpg")</f>
        <v/>
      </c>
      <c r="I298" t="inlineStr">
        <is>
          <t>39.99</t>
        </is>
      </c>
      <c r="J298" t="n">
        <v>71.41</v>
      </c>
      <c r="K298" s="3" t="inlineStr">
        <is>
          <t>78.57%</t>
        </is>
      </c>
      <c r="L298" t="n">
        <v>4.5</v>
      </c>
      <c r="M298" t="n">
        <v>62</v>
      </c>
      <c r="O298" t="inlineStr">
        <is>
          <t>InStock</t>
        </is>
      </c>
      <c r="P298" t="inlineStr">
        <is>
          <t>undefined</t>
        </is>
      </c>
      <c r="Q298" t="inlineStr">
        <is>
          <t>6707152126024</t>
        </is>
      </c>
    </row>
    <row r="299">
      <c r="A299" s="2">
        <f>HYPERLINK("https://prolisok-store.com/collections/skin-care/products/facial-treatment-mask-10-pc", "https://prolisok-store.com/collections/skin-care/products/facial-treatment-mask-10-pc")</f>
        <v/>
      </c>
      <c r="B299" s="2">
        <f>HYPERLINK("https://prolisok-store.com/products/facial-treatment-mask-10-pc", "https://prolisok-store.com/products/facial-treatment-mask-10-pc")</f>
        <v/>
      </c>
      <c r="C299" t="inlineStr">
        <is>
          <t>SK-II Facial Treatment Mask/10 pc.</t>
        </is>
      </c>
      <c r="D299" t="inlineStr">
        <is>
          <t>SK-II FACIAL TREATMENT MASK (10 SHEET)</t>
        </is>
      </c>
      <c r="E299" s="2">
        <f>HYPERLINK("https://www.amazon.com/SK-II-FACIAL-TREATMENT-MASK-SHEET/dp/B01M6YV69X/ref=sr_1_3?keywords=SK-II+Facial+Treatment+Mask%2F10+pc.&amp;qid=1695259593&amp;sr=8-3", "https://www.amazon.com/SK-II-FACIAL-TREATMENT-MASK-SHEET/dp/B01M6YV69X/ref=sr_1_3?keywords=SK-II+Facial+Treatment+Mask%2F10+pc.&amp;qid=1695259593&amp;sr=8-3")</f>
        <v/>
      </c>
      <c r="F299" t="inlineStr">
        <is>
          <t>B01M6YV69X</t>
        </is>
      </c>
      <c r="G299">
        <f>IMAGE("https://prolisok-store.com/cdn/shop/products/41oxreg7WTL_300x.jpg?v=1673964595")</f>
        <v/>
      </c>
      <c r="H299">
        <f>IMAGE("https://m.media-amazon.com/images/I/61L4A4vc9aL._AC_UL320_.jpg")</f>
        <v/>
      </c>
      <c r="I299" t="inlineStr">
        <is>
          <t>49.99</t>
        </is>
      </c>
      <c r="J299" t="n">
        <v>88</v>
      </c>
      <c r="K299" s="3" t="inlineStr">
        <is>
          <t>76.04%</t>
        </is>
      </c>
      <c r="L299" t="n">
        <v>4.1</v>
      </c>
      <c r="M299" t="n">
        <v>79</v>
      </c>
      <c r="O299" t="inlineStr">
        <is>
          <t>InStock</t>
        </is>
      </c>
      <c r="P299" t="inlineStr">
        <is>
          <t>84.99</t>
        </is>
      </c>
      <c r="Q299" t="inlineStr">
        <is>
          <t>6708131070024</t>
        </is>
      </c>
    </row>
    <row r="300">
      <c r="A300" s="2">
        <f>HYPERLINK("https://prolisok-store.com/collections/skin-care/products/elixir-superieur-enrich-wrinkle-cream-l-22g", "https://prolisok-store.com/collections/skin-care/products/elixir-superieur-enrich-wrinkle-cream-l-22g")</f>
        <v/>
      </c>
      <c r="B300" s="2">
        <f>HYPERLINK("https://prolisok-store.com/products/elixir-superieur-enrich-wrinkle-cream-l-22g", "https://prolisok-store.com/products/elixir-superieur-enrich-wrinkle-cream-l-22g")</f>
        <v/>
      </c>
      <c r="C300" t="inlineStr">
        <is>
          <t>ELIXIR SUPERIEUR Enriched Wrinkle Cream L 22g</t>
        </is>
      </c>
      <c r="D300" t="inlineStr">
        <is>
          <t>ELIXIR SUPERIEUR Enrich Wrinkle Cream L 22g</t>
        </is>
      </c>
      <c r="E300" s="2">
        <f>HYPERLINK("https://www.amazon.com/ELIXIR-SUPERIEUR-Superieur-Enriched-Wrinkle/dp/B07CPWRYKB/ref=sr_1_1?keywords=ELIXIR+SUPERIEUR+Enriched+Wrinkle+Cream+L+22g&amp;qid=1695259670&amp;sr=8-1", "https://www.amazon.com/ELIXIR-SUPERIEUR-Superieur-Enriched-Wrinkle/dp/B07CPWRYKB/ref=sr_1_1?keywords=ELIXIR+SUPERIEUR+Enriched+Wrinkle+Cream+L+22g&amp;qid=1695259670&amp;sr=8-1")</f>
        <v/>
      </c>
      <c r="F300" t="inlineStr">
        <is>
          <t>B07CPWRYKB</t>
        </is>
      </c>
      <c r="G300">
        <f>IMAGE("https://prolisok-store.com/cdn/shop/files/61mKag_0VYL._SL1500_300x.jpg?v=1692865233")</f>
        <v/>
      </c>
      <c r="H300">
        <f>IMAGE("https://m.media-amazon.com/images/I/61mKag+0VYL._AC_UL320_.jpg")</f>
        <v/>
      </c>
      <c r="I300" t="inlineStr">
        <is>
          <t>39.99</t>
        </is>
      </c>
      <c r="J300" t="n">
        <v>69.98999999999999</v>
      </c>
      <c r="K300" s="3" t="inlineStr">
        <is>
          <t>75.02%</t>
        </is>
      </c>
      <c r="L300" t="n">
        <v>4.2</v>
      </c>
      <c r="M300" t="n">
        <v>444</v>
      </c>
      <c r="O300" t="inlineStr">
        <is>
          <t>InStock</t>
        </is>
      </c>
      <c r="P300" t="inlineStr">
        <is>
          <t>undefined</t>
        </is>
      </c>
      <c r="Q300" t="inlineStr">
        <is>
          <t>6771755614280</t>
        </is>
      </c>
    </row>
    <row r="301">
      <c r="A301" s="2">
        <f>HYPERLINK("https://prolisok-store.com/collections/skin-care/products/clarins-re-move-micellar-cleansing-water-200ml-6-8oz", "https://prolisok-store.com/collections/skin-care/products/clarins-re-move-micellar-cleansing-water-200ml-6-8oz")</f>
        <v/>
      </c>
      <c r="B301" s="2">
        <f>HYPERLINK("https://prolisok-store.com/products/clarins-re-move-micellar-cleansing-water-200ml-6-8oz", "https://prolisok-store.com/products/clarins-re-move-micellar-cleansing-water-200ml-6-8oz")</f>
        <v/>
      </c>
      <c r="C301" t="inlineStr">
        <is>
          <t>Clarins remove micellar cleansing water 200ml/6.8oz</t>
        </is>
      </c>
      <c r="D301" t="inlineStr">
        <is>
          <t>Clarins Cleansing Micellar Water | Quickly Removes Make-Up, Pollution and Grime | No Rinse Needed | Preserves Skin's Microbiota | Safe For Use on Eyes, Face and Lips | Dermatologist Tested</t>
        </is>
      </c>
      <c r="E301" s="2">
        <f>HYPERLINK("https://www.amazon.com/Clarins-Micellar-Cleansing-Water-200ml/dp/B08B847XJS/ref=sr_1_1?keywords=Clarins+remove+micellar+cleansing+water+200ml%2F6.8oz&amp;qid=1695259668&amp;sr=8-1", "https://www.amazon.com/Clarins-Micellar-Cleansing-Water-200ml/dp/B08B847XJS/ref=sr_1_1?keywords=Clarins+remove+micellar+cleansing+water+200ml%2F6.8oz&amp;qid=1695259668&amp;sr=8-1")</f>
        <v/>
      </c>
      <c r="F301" t="inlineStr">
        <is>
          <t>B08B847XJS</t>
        </is>
      </c>
      <c r="G301">
        <f>IMAGE("https://prolisok-store.com/cdn/shop/products/378038_300x.jpg?v=1693406758")</f>
        <v/>
      </c>
      <c r="H301">
        <f>IMAGE("https://m.media-amazon.com/images/I/61M7tP3YDZL._AC_UL320_.jpg")</f>
        <v/>
      </c>
      <c r="I301" t="inlineStr">
        <is>
          <t>18.89</t>
        </is>
      </c>
      <c r="J301" t="n">
        <v>33</v>
      </c>
      <c r="K301" s="3" t="inlineStr">
        <is>
          <t>74.70%</t>
        </is>
      </c>
      <c r="L301" t="n">
        <v>4.6</v>
      </c>
      <c r="M301" t="n">
        <v>65</v>
      </c>
      <c r="O301" t="inlineStr">
        <is>
          <t>InStock</t>
        </is>
      </c>
      <c r="P301" t="inlineStr">
        <is>
          <t>undefined</t>
        </is>
      </c>
      <c r="Q301" t="inlineStr">
        <is>
          <t>6772291108936</t>
        </is>
      </c>
    </row>
    <row r="302">
      <c r="A302" s="2">
        <f>HYPERLINK("https://prolisok-store.com/collections/skin-care/products/elizabeth-arden-eight-hour-cream-lip-protectant-13ml-0-43oz", "https://prolisok-store.com/collections/skin-care/products/elizabeth-arden-eight-hour-cream-lip-protectant-13ml-0-43oz")</f>
        <v/>
      </c>
      <c r="B302" s="2">
        <f>HYPERLINK("https://prolisok-store.com/products/elizabeth-arden-eight-hour-cream-lip-protectant-13ml-0-43oz", "https://prolisok-store.com/products/elizabeth-arden-eight-hour-cream-lip-protectant-13ml-0-43oz")</f>
        <v/>
      </c>
      <c r="C302" t="inlineStr">
        <is>
          <t>Elizabeth Arden eight hour cream lip protectant 13ml/0.43oz</t>
        </is>
      </c>
      <c r="D302" t="inlineStr">
        <is>
          <t>Elizabeth Arden Eight Hour Cream Lip Protectant Stick, Moisturizing Lip Balm, Sheer with Sunscreen, SPF 15, 0.13 Oz</t>
        </is>
      </c>
      <c r="E302" s="2">
        <f>HYPERLINK("https://www.amazon.com/Elizabeth-Arden-Eight-Protectant-Sunscreen/dp/B00375L8R4/ref=sr_1_2?keywords=Elizabeth+Arden+eight+hour+cream+lip+protectant+13ml%2F0.43oz&amp;qid=1695259641&amp;sr=8-2", "https://www.amazon.com/Elizabeth-Arden-Eight-Protectant-Sunscreen/dp/B00375L8R4/ref=sr_1_2?keywords=Elizabeth+Arden+eight+hour+cream+lip+protectant+13ml%2F0.43oz&amp;qid=1695259641&amp;sr=8-2")</f>
        <v/>
      </c>
      <c r="F302" t="inlineStr">
        <is>
          <t>B00375L8R4</t>
        </is>
      </c>
      <c r="G302">
        <f>IMAGE("https://prolisok-store.com/cdn/shop/products/253579_300x.jpg?v=1693407140")</f>
        <v/>
      </c>
      <c r="H302">
        <f>IMAGE("https://m.media-amazon.com/images/I/61O-2zI9cgL._AC_UL320_.jpg")</f>
        <v/>
      </c>
      <c r="I302" t="inlineStr">
        <is>
          <t>14.4</t>
        </is>
      </c>
      <c r="J302" t="n">
        <v>25</v>
      </c>
      <c r="K302" s="3" t="inlineStr">
        <is>
          <t>73.61%</t>
        </is>
      </c>
      <c r="L302" t="n">
        <v>4.4</v>
      </c>
      <c r="M302" t="n">
        <v>4316</v>
      </c>
      <c r="O302" t="inlineStr">
        <is>
          <t>InStock</t>
        </is>
      </c>
      <c r="P302" t="inlineStr">
        <is>
          <t>undefined</t>
        </is>
      </c>
      <c r="Q302" t="inlineStr">
        <is>
          <t>6772298186824</t>
        </is>
      </c>
    </row>
    <row r="303">
      <c r="A303" s="2">
        <f>HYPERLINK("https://prolisok-store.com/collections/skin-care/products/elizabeth-arden-capsules-serum", "https://prolisok-store.com/collections/skin-care/products/elizabeth-arden-capsules-serum")</f>
        <v/>
      </c>
      <c r="B303" s="2">
        <f>HYPERLINK("https://prolisok-store.com/products/elizabeth-arden-capsules-serum", "https://prolisok-store.com/products/elizabeth-arden-capsules-serum")</f>
        <v/>
      </c>
      <c r="C303" t="inlineStr">
        <is>
          <t>Elizabeth Arden Capsules Serum</t>
        </is>
      </c>
      <c r="D303" t="inlineStr">
        <is>
          <t>Elizabeth Arden 5 Piece Ceramide Capsule Serum Skin Care Set, Twist &amp; Lift Ceramide Capsules, Face Lift and Firm, Anti Aging Serum, 5 Piece Skin Care Set</t>
        </is>
      </c>
      <c r="E303" s="2">
        <f>HYPERLINK("https://www.amazon.com/Elizabeth-Arden-Ceramide-Capsules-Skincare/dp/B09BP4ZQMX/ref=sr_1_8?keywords=Elizabeth+Arden+Capsules+Serum&amp;qid=1695259597&amp;sr=8-8", "https://www.amazon.com/Elizabeth-Arden-Ceramide-Capsules-Skincare/dp/B09BP4ZQMX/ref=sr_1_8?keywords=Elizabeth+Arden+Capsules+Serum&amp;qid=1695259597&amp;sr=8-8")</f>
        <v/>
      </c>
      <c r="F303" t="inlineStr">
        <is>
          <t>B09BP4ZQMX</t>
        </is>
      </c>
      <c r="G303">
        <f>IMAGE("https://prolisok-store.com/cdn/shop/files/71roxz2sB-L._SL1500_300x.jpg?v=1683266294")</f>
        <v/>
      </c>
      <c r="H303">
        <f>IMAGE("https://m.media-amazon.com/images/I/61mIX4sU8HL._AC_UL320_.jpg")</f>
        <v/>
      </c>
      <c r="I303" t="inlineStr">
        <is>
          <t>59.99</t>
        </is>
      </c>
      <c r="J303" t="n">
        <v>104</v>
      </c>
      <c r="K303" s="3" t="inlineStr">
        <is>
          <t>73.36%</t>
        </is>
      </c>
      <c r="L303" t="n">
        <v>4.7</v>
      </c>
      <c r="M303" t="n">
        <v>21</v>
      </c>
      <c r="O303" t="inlineStr">
        <is>
          <t>InStock</t>
        </is>
      </c>
      <c r="P303" t="inlineStr">
        <is>
          <t>undefined</t>
        </is>
      </c>
      <c r="Q303" t="inlineStr">
        <is>
          <t>6759943700552</t>
        </is>
      </c>
    </row>
    <row r="304">
      <c r="A304" s="2">
        <f>HYPERLINK("https://prolisok-store.com/collections/skin-care/products/la-mer-the-moisturizing-soft-lotion", "https://prolisok-store.com/collections/skin-care/products/la-mer-the-moisturizing-soft-lotion")</f>
        <v/>
      </c>
      <c r="B304" s="2">
        <f>HYPERLINK("https://prolisok-store.com/products/la-mer-the-moisturizing-soft-lotion", "https://prolisok-store.com/products/la-mer-the-moisturizing-soft-lotion")</f>
        <v/>
      </c>
      <c r="C304" t="inlineStr">
        <is>
          <t>La Mer The Moisturizing Soft Lotion</t>
        </is>
      </c>
      <c r="D304" t="inlineStr">
        <is>
          <t>La Mer The Moisturizing Soft Lotion</t>
        </is>
      </c>
      <c r="E304" s="2">
        <f>HYPERLINK("https://www.amazon.com/Mer-Moisturizing-Soft-Lotion/dp/B01HTZJWNY/ref=sr_1_2?keywords=La+Mer+The+Moisturizing+Soft+Lotion&amp;qid=1695259606&amp;sr=8-2", "https://www.amazon.com/Mer-Moisturizing-Soft-Lotion/dp/B01HTZJWNY/ref=sr_1_2?keywords=La+Mer+The+Moisturizing+Soft+Lotion&amp;qid=1695259606&amp;sr=8-2")</f>
        <v/>
      </c>
      <c r="F304" t="inlineStr">
        <is>
          <t>B01HTZJWNY</t>
        </is>
      </c>
      <c r="G304">
        <f>IMAGE("https://prolisok-store.com/cdn/shop/products/61uLYCnMy9L._SL1500_300x.jpg?v=1667997816")</f>
        <v/>
      </c>
      <c r="H304">
        <f>IMAGE("https://m.media-amazon.com/images/I/519r-aIFaHL._AC_UL320_.jpg")</f>
        <v/>
      </c>
      <c r="I304" t="inlineStr">
        <is>
          <t>69.99</t>
        </is>
      </c>
      <c r="J304" t="n">
        <v>120</v>
      </c>
      <c r="K304" s="3" t="inlineStr">
        <is>
          <t>71.45%</t>
        </is>
      </c>
      <c r="L304" t="n">
        <v>3.8</v>
      </c>
      <c r="M304" t="n">
        <v>45</v>
      </c>
      <c r="O304" t="inlineStr">
        <is>
          <t>InStock</t>
        </is>
      </c>
      <c r="P304" t="inlineStr">
        <is>
          <t>undefined</t>
        </is>
      </c>
      <c r="Q304" t="inlineStr">
        <is>
          <t>6674655084616</t>
        </is>
      </c>
    </row>
    <row r="305">
      <c r="A305" s="2">
        <f>HYPERLINK("https://prolisok-store.com/collections/skin-care/products/elizabeth-arden-superstart-skin-renewal-booster-30ml-1oz", "https://prolisok-store.com/collections/skin-care/products/elizabeth-arden-superstart-skin-renewal-booster-30ml-1oz")</f>
        <v/>
      </c>
      <c r="B305" s="2">
        <f>HYPERLINK("https://prolisok-store.com/products/elizabeth-arden-superstart-skin-renewal-booster-30ml-1oz", "https://prolisok-store.com/products/elizabeth-arden-superstart-skin-renewal-booster-30ml-1oz")</f>
        <v/>
      </c>
      <c r="C305" t="inlineStr">
        <is>
          <t>Elizabeth Arden superstart skin renewal booster 30ml/1oz</t>
        </is>
      </c>
      <c r="D305" t="inlineStr">
        <is>
          <t>Elizabeth Arden SUPERSTART Skin Renewal Booster</t>
        </is>
      </c>
      <c r="E305" s="2">
        <f>HYPERLINK("https://www.amazon.com/Elizabeth-Arden-SUPERSTART-Renewal-Booster/dp/B01IBQHY6M/ref=sr_1_1?keywords=Elizabeth+Arden+superstart+skin+renewal+booster+30ml%2F1oz&amp;qid=1695259626&amp;sr=8-1", "https://www.amazon.com/Elizabeth-Arden-SUPERSTART-Renewal-Booster/dp/B01IBQHY6M/ref=sr_1_1?keywords=Elizabeth+Arden+superstart+skin+renewal+booster+30ml%2F1oz&amp;qid=1695259626&amp;sr=8-1")</f>
        <v/>
      </c>
      <c r="F305" t="inlineStr">
        <is>
          <t>B01IBQHY6M</t>
        </is>
      </c>
      <c r="G305">
        <f>IMAGE("https://prolisok-store.com/cdn/shop/products/288039_300x.jpg?v=1693407194")</f>
        <v/>
      </c>
      <c r="H305">
        <f>IMAGE("https://m.media-amazon.com/images/I/811nyYCW9gL._AC_UL320_.jpg")</f>
        <v/>
      </c>
      <c r="I305" t="inlineStr">
        <is>
          <t>63.0</t>
        </is>
      </c>
      <c r="J305" t="n">
        <v>105</v>
      </c>
      <c r="K305" s="3" t="inlineStr">
        <is>
          <t>66.67%</t>
        </is>
      </c>
      <c r="L305" t="n">
        <v>4.5</v>
      </c>
      <c r="M305" t="n">
        <v>620</v>
      </c>
      <c r="O305" t="inlineStr">
        <is>
          <t>InStock</t>
        </is>
      </c>
      <c r="P305" t="inlineStr">
        <is>
          <t>undefined</t>
        </is>
      </c>
      <c r="Q305" t="inlineStr">
        <is>
          <t>6772299300936</t>
        </is>
      </c>
    </row>
    <row r="306">
      <c r="A306" s="2">
        <f>HYPERLINK("https://purlisse.com/collections/makeup/products/travel-ageless-glow-serum-bb-cream-spf-40?variant=41152819232946", "https://purlisse.com/collections/makeup/products/travel-ageless-glow-serum-bb-cream-spf-40?variant=41152819232946")</f>
        <v/>
      </c>
      <c r="B306" s="2">
        <f>HYPERLINK("https://purlisse.com/products/travel-ageless-glow-serum-bb-cream-spf-40", "https://purlisse.com/products/travel-ageless-glow-serum-bb-cream-spf-40")</f>
        <v/>
      </c>
      <c r="C306" t="inlineStr">
        <is>
          <t>TRAVEL - Ageless Glow Serum BB Cream SPF 40</t>
        </is>
      </c>
      <c r="D306" t="inlineStr">
        <is>
          <t>purlisse Ageless Glow Serum BB Cream SPF 40 : Clean &amp; Cruelty-Free, Full &amp; Flawless Coverage, Hydrates with Collagen | Medium 1.4oz</t>
        </is>
      </c>
      <c r="E306" s="2">
        <f>HYPERLINK("https://www.amazon.com/purlisse-Ageless-Glow-Serum-Cream/dp/B09BY1SDWG/ref=sr_1_1?keywords=TRAVEL+-+Ageless+Glow+Serum+BB+Cream+SPF+40&amp;qid=1695259772&amp;sr=8-1", "https://www.amazon.com/purlisse-Ageless-Glow-Serum-Cream/dp/B09BY1SDWG/ref=sr_1_1?keywords=TRAVEL+-+Ageless+Glow+Serum+BB+Cream+SPF+40&amp;qid=1695259772&amp;sr=8-1")</f>
        <v/>
      </c>
      <c r="F306" t="inlineStr">
        <is>
          <t>B09BY1SDWG</t>
        </is>
      </c>
      <c r="G306">
        <f>IMAGE("https://purlisse.com/cdn/shop/products/travel_ageless_glow.png?v=1651774355")</f>
        <v/>
      </c>
      <c r="H306">
        <f>IMAGE("https://m.media-amazon.com/images/I/71s23Paa5PL._AC_UL320_.jpg")</f>
        <v/>
      </c>
      <c r="I306" t="inlineStr">
        <is>
          <t>10.0</t>
        </is>
      </c>
      <c r="J306" t="n">
        <v>39</v>
      </c>
      <c r="K306" s="3" t="inlineStr">
        <is>
          <t>290.00%</t>
        </is>
      </c>
      <c r="L306" t="n">
        <v>4.6</v>
      </c>
      <c r="M306" t="n">
        <v>1492</v>
      </c>
      <c r="O306" t="inlineStr">
        <is>
          <t>InStock</t>
        </is>
      </c>
      <c r="P306" t="inlineStr">
        <is>
          <t>undefined</t>
        </is>
      </c>
      <c r="Q306" t="inlineStr">
        <is>
          <t>7085142278322</t>
        </is>
      </c>
    </row>
    <row r="307">
      <c r="A307" s="2">
        <f>HYPERLINK("https://purlisse.com/collections/makeup/products/travel-silk-glow-bb-base-primer", "https://purlisse.com/collections/makeup/products/travel-silk-glow-bb-base-primer")</f>
        <v/>
      </c>
      <c r="B307" s="2">
        <f>HYPERLINK("https://purlisse.com/products/travel-silk-glow-bb-base-primer", "https://purlisse.com/products/travel-silk-glow-bb-base-primer")</f>
        <v/>
      </c>
      <c r="C307" t="inlineStr">
        <is>
          <t>TRAVEL - Silk Glow BB Base Primer</t>
        </is>
      </c>
      <c r="D307" t="inlineStr">
        <is>
          <t>purlisse Silk Glow BB Base Primer: Cruelty-Free &amp; Clean, Paraben &amp; Sulfate-Free, Oil-Free, Illuminating Primer with Calming Chamomile|1oz</t>
        </is>
      </c>
      <c r="E307" s="2">
        <f>HYPERLINK("https://www.amazon.com/Silk-Glow-Primer-Purlisse-Beauty/dp/B08WRHRPF7/ref=sr_1_1?keywords=TRAVEL+-+Silk+Glow+BB+Base+Primer&amp;qid=1695259771&amp;sr=8-1", "https://www.amazon.com/Silk-Glow-Primer-Purlisse-Beauty/dp/B08WRHRPF7/ref=sr_1_1?keywords=TRAVEL+-+Silk+Glow+BB+Base+Primer&amp;qid=1695259771&amp;sr=8-1")</f>
        <v/>
      </c>
      <c r="F307" t="inlineStr">
        <is>
          <t>B08WRHRPF7</t>
        </is>
      </c>
      <c r="G307">
        <f>IMAGE("https://purlisse.com/cdn/shop/products/Travel-SilkGlowBBPrimer.png?v=1646306034")</f>
        <v/>
      </c>
      <c r="H307">
        <f>IMAGE("https://m.media-amazon.com/images/I/41EXx3Z6vwL._AC_UL320_.jpg")</f>
        <v/>
      </c>
      <c r="I307" t="inlineStr">
        <is>
          <t>12.0</t>
        </is>
      </c>
      <c r="J307" t="n">
        <v>28</v>
      </c>
      <c r="K307" s="3" t="inlineStr">
        <is>
          <t>133.33%</t>
        </is>
      </c>
      <c r="L307" t="n">
        <v>4.6</v>
      </c>
      <c r="M307" t="n">
        <v>268</v>
      </c>
      <c r="O307" t="inlineStr">
        <is>
          <t>InStock</t>
        </is>
      </c>
      <c r="P307" t="inlineStr">
        <is>
          <t>undefined</t>
        </is>
      </c>
      <c r="Q307" t="inlineStr">
        <is>
          <t>7137238515890</t>
        </is>
      </c>
    </row>
    <row r="308">
      <c r="A308" s="2">
        <f>HYPERLINK("https://richardkroll.com/product/pure-nv-balancing-shampoo-250ml/", "https://richardkroll.com/product/pure-nv-balancing-shampoo-250ml/")</f>
        <v/>
      </c>
      <c r="B308" s="2">
        <f>HYPERLINK("https://richardkroll.com/product/pure-nv-balancing-shampoo-250ml/", "https://richardkroll.com/product/pure-nv-balancing-shampoo-250ml/")</f>
        <v/>
      </c>
      <c r="C308" t="inlineStr">
        <is>
          <t>Pure NV Balancing Shampoo 250ml</t>
        </is>
      </c>
      <c r="D308" t="inlineStr">
        <is>
          <t>Pure NV Balancing Shampoo &amp; Conditioner Balance Moisture Levels &amp; Intensify Shine, Made From Natural Vitamins &amp; Minerals, Keratin, Collagen &amp; Argan Oil Infused To Repair, Restore &amp; Strengthen 33.8 Oz</t>
        </is>
      </c>
      <c r="E308" s="2">
        <f>HYPERLINK("https://www.amazon.com/Pure-Natures-Vitamins-Balancing-Conditioner/dp/B09B12SQNL/ref=sr_1_3?keywords=Pure+NV+Balancing+Shampoo+250ml&amp;qid=1695259830&amp;sr=8-3", "https://www.amazon.com/Pure-Natures-Vitamins-Balancing-Conditioner/dp/B09B12SQNL/ref=sr_1_3?keywords=Pure+NV+Balancing+Shampoo+250ml&amp;qid=1695259830&amp;sr=8-3")</f>
        <v/>
      </c>
      <c r="F308" t="inlineStr">
        <is>
          <t>B09B12SQNL</t>
        </is>
      </c>
      <c r="G308">
        <f>IMAGE("https://richardkroll.com/wp-content/uploads/2021/09/pure-nv-balancing-shampoo-600x800.webp")</f>
        <v/>
      </c>
      <c r="H308">
        <f>IMAGE("https://m.media-amazon.com/images/I/71m8sgbfrtL._AC_UL320_.jpg")</f>
        <v/>
      </c>
      <c r="I308" t="inlineStr">
        <is>
          <t>25.95</t>
        </is>
      </c>
      <c r="J308" t="n">
        <v>120</v>
      </c>
      <c r="K308" s="3" t="inlineStr">
        <is>
          <t>362.43%</t>
        </is>
      </c>
      <c r="L308" t="n">
        <v>5</v>
      </c>
      <c r="M308" t="n">
        <v>2</v>
      </c>
      <c r="O308" t="inlineStr">
        <is>
          <t>InStock</t>
        </is>
      </c>
      <c r="P308" t="inlineStr">
        <is>
          <t>undefined</t>
        </is>
      </c>
      <c r="Q308" t="inlineStr">
        <is>
          <t>undefined</t>
        </is>
      </c>
    </row>
    <row r="309">
      <c r="A309" s="2">
        <f>HYPERLINK("https://richardkroll.com/product/pure-nv-balancing-conditioner-250ml/", "https://richardkroll.com/product/pure-nv-balancing-conditioner-250ml/")</f>
        <v/>
      </c>
      <c r="B309" s="2">
        <f>HYPERLINK("https://richardkroll.com/product/pure-nv-balancing-conditioner-250ml/", "https://richardkroll.com/product/pure-nv-balancing-conditioner-250ml/")</f>
        <v/>
      </c>
      <c r="C309" t="inlineStr">
        <is>
          <t>Pure NV Balancing Conditioner 250ml</t>
        </is>
      </c>
      <c r="D309" t="inlineStr">
        <is>
          <t>Pure NV Balancing Shampoo &amp; Conditioner Balance Moisture Levels &amp; Intensify Shine, Made From Natural Vitamins &amp; Minerals, Keratin, Collagen &amp; Argan Oil Infused To Repair, Restore &amp; Strengthen 33.8 Oz</t>
        </is>
      </c>
      <c r="E309" s="2">
        <f>HYPERLINK("https://www.amazon.com/Pure-Natures-Vitamins-Balancing-Conditioner/dp/B09B12SQNL/ref=sr_1_fkmr0_1?keywords=Pure+NV+Balancing+Conditioner+250ml&amp;qid=1695259829&amp;sr=8-1-fkmr0", "https://www.amazon.com/Pure-Natures-Vitamins-Balancing-Conditioner/dp/B09B12SQNL/ref=sr_1_fkmr0_1?keywords=Pure+NV+Balancing+Conditioner+250ml&amp;qid=1695259829&amp;sr=8-1-fkmr0")</f>
        <v/>
      </c>
      <c r="F309" t="inlineStr">
        <is>
          <t>B09B12SQNL</t>
        </is>
      </c>
      <c r="G309">
        <f>IMAGE("https://richardkroll.com/wp-content/uploads/2021/09/Pure-NV-Balancing-Conditioner-600x800.jpg")</f>
        <v/>
      </c>
      <c r="H309">
        <f>IMAGE("https://m.media-amazon.com/images/I/71m8sgbfrtL._AC_UL320_.jpg")</f>
        <v/>
      </c>
      <c r="I309" t="inlineStr">
        <is>
          <t>25.95</t>
        </is>
      </c>
      <c r="J309" t="n">
        <v>120</v>
      </c>
      <c r="K309" s="3" t="inlineStr">
        <is>
          <t>362.43%</t>
        </is>
      </c>
      <c r="L309" t="n">
        <v>5</v>
      </c>
      <c r="M309" t="n">
        <v>2</v>
      </c>
      <c r="O309" t="inlineStr">
        <is>
          <t>InStock</t>
        </is>
      </c>
      <c r="P309" t="inlineStr">
        <is>
          <t>undefined</t>
        </is>
      </c>
      <c r="Q309" t="inlineStr">
        <is>
          <t>undefined</t>
        </is>
      </c>
    </row>
    <row r="310">
      <c r="A310" s="2">
        <f>HYPERLINK("https://richardkroll.com/product/wella-elements-shampoo-250ml/", "https://richardkroll.com/product/wella-elements-shampoo-250ml/")</f>
        <v/>
      </c>
      <c r="B310" s="2">
        <f>HYPERLINK("https://richardkroll.com/product/wella-elements-shampoo-250ml/", "https://richardkroll.com/product/wella-elements-shampoo-250ml/")</f>
        <v/>
      </c>
      <c r="C310" t="inlineStr">
        <is>
          <t>Wella Elements Shampoo 250ml</t>
        </is>
      </c>
      <c r="D310" t="inlineStr">
        <is>
          <t>Wella Professionals Elements Renewing Shampoo + Conditioner Set, Sulfate &amp; Silicone Free, Instant Detangling, For All Hair Types, Liter Sizes</t>
        </is>
      </c>
      <c r="E310" s="2">
        <f>HYPERLINK("https://www.amazon.com/Professionals-Elements-Renewing-Conditioner-Detangling/dp/B0BS7WXXM7/ref=sr_1_6?keywords=Wella+Elements+Shampoo+250ml&amp;qid=1695259844&amp;sr=8-6", "https://www.amazon.com/Professionals-Elements-Renewing-Conditioner-Detangling/dp/B0BS7WXXM7/ref=sr_1_6?keywords=Wella+Elements+Shampoo+250ml&amp;qid=1695259844&amp;sr=8-6")</f>
        <v/>
      </c>
      <c r="F310" t="inlineStr">
        <is>
          <t>B0BS7WXXM7</t>
        </is>
      </c>
      <c r="G310">
        <f>IMAGE("https://richardkroll.com/wp-content/uploads/2022/04/62D6864A-36A5-4B22-9191-42BD61F06642-600x800.png")</f>
        <v/>
      </c>
      <c r="H310">
        <f>IMAGE("https://m.media-amazon.com/images/I/71gfOZKpV6L._AC_UL320_.jpg")</f>
        <v/>
      </c>
      <c r="I310" t="inlineStr">
        <is>
          <t>24.0</t>
        </is>
      </c>
      <c r="J310" t="n">
        <v>108.6</v>
      </c>
      <c r="K310" s="3" t="inlineStr">
        <is>
          <t>352.50%</t>
        </is>
      </c>
      <c r="L310" t="n">
        <v>5</v>
      </c>
      <c r="M310" t="n">
        <v>1</v>
      </c>
      <c r="O310" t="inlineStr">
        <is>
          <t>InStock</t>
        </is>
      </c>
      <c r="P310" t="inlineStr">
        <is>
          <t>undefined</t>
        </is>
      </c>
      <c r="Q310" t="inlineStr">
        <is>
          <t>undefined</t>
        </is>
      </c>
    </row>
    <row r="311">
      <c r="A311" s="2">
        <f>HYPERLINK("https://richardkroll.com/product/sebastian-dark-oil-lightweight-shampoo-250ml/", "https://richardkroll.com/product/sebastian-dark-oil-lightweight-shampoo-250ml/")</f>
        <v/>
      </c>
      <c r="B311" s="2">
        <f>HYPERLINK("https://richardkroll.com/product/sebastian-dark-oil-lightweight-shampoo-250ml/", "https://richardkroll.com/product/sebastian-dark-oil-lightweight-shampoo-250ml/")</f>
        <v/>
      </c>
      <c r="C311" t="inlineStr">
        <is>
          <t>Sebastian Dark Oil Lightweight Shampoo 250ml</t>
        </is>
      </c>
      <c r="D311" t="inlineStr">
        <is>
          <t>Sebastian Professional Dark Oil Lightweight Shampoo and Conditioner, Infused With Jojoba Oil &amp; Argan Oil, Liter Set</t>
        </is>
      </c>
      <c r="E311" s="2">
        <f>HYPERLINK("https://www.amazon.com/Sebastian-Lightweight-Shampoo-33-8oz-Conditioner/dp/B08KL2ZKRQ/ref=sr_1_4?keywords=Sebastian+Dark+Oil+Lightweight+Shampoo+250ml&amp;qid=1695259828&amp;sr=8-4", "https://www.amazon.com/Sebastian-Lightweight-Shampoo-33-8oz-Conditioner/dp/B08KL2ZKRQ/ref=sr_1_4?keywords=Sebastian+Dark+Oil+Lightweight+Shampoo+250ml&amp;qid=1695259828&amp;sr=8-4")</f>
        <v/>
      </c>
      <c r="F311" t="inlineStr">
        <is>
          <t>B08KL2ZKRQ</t>
        </is>
      </c>
      <c r="G311">
        <f>IMAGE("https://richardkroll.com/wp-content/uploads/2022/04/Dark-Oil-Shampoo-600x800.jpg")</f>
        <v/>
      </c>
      <c r="H311">
        <f>IMAGE("https://m.media-amazon.com/images/I/41ARyX8rSNL._AC_UL320_.jpg")</f>
        <v/>
      </c>
      <c r="I311" t="inlineStr">
        <is>
          <t>19.0</t>
        </is>
      </c>
      <c r="J311" t="n">
        <v>85.92</v>
      </c>
      <c r="K311" s="3" t="inlineStr">
        <is>
          <t>352.21%</t>
        </is>
      </c>
      <c r="L311" t="n">
        <v>4.7</v>
      </c>
      <c r="M311" t="n">
        <v>126</v>
      </c>
      <c r="O311" t="inlineStr">
        <is>
          <t>InStock</t>
        </is>
      </c>
      <c r="P311" t="inlineStr">
        <is>
          <t>undefined</t>
        </is>
      </c>
      <c r="Q311" t="inlineStr">
        <is>
          <t>undefined</t>
        </is>
      </c>
    </row>
    <row r="312">
      <c r="A312" s="2">
        <f>HYPERLINK("https://richardkroll.com/product/nutrifuse-nourishing-shampoo-300ml/", "https://richardkroll.com/product/nutrifuse-nourishing-shampoo-300ml/")</f>
        <v/>
      </c>
      <c r="B312" s="2">
        <f>HYPERLINK("https://richardkroll.com/product/nutrifuse-nourishing-shampoo-300ml/", "https://richardkroll.com/product/nutrifuse-nourishing-shampoo-300ml/")</f>
        <v/>
      </c>
      <c r="C312" t="inlineStr">
        <is>
          <t>Nutrifuse Nourishing Shampoo 300ml</t>
        </is>
      </c>
      <c r="D312" t="inlineStr">
        <is>
          <t>Nutrifuse M Nourishing Shampoo - 34 fl oz.</t>
        </is>
      </c>
      <c r="E312" s="2">
        <f>HYPERLINK("https://www.amazon.com/Nutrifuse-Nourishing-Shampoo-34-oz/dp/B07L45XHQ3/ref=sr_1_6?keywords=Nutrifuse+Nourishing+Shampoo+300ml&amp;qid=1695259832&amp;sr=8-6", "https://www.amazon.com/Nutrifuse-Nourishing-Shampoo-34-oz/dp/B07L45XHQ3/ref=sr_1_6?keywords=Nutrifuse+Nourishing+Shampoo+300ml&amp;qid=1695259832&amp;sr=8-6")</f>
        <v/>
      </c>
      <c r="F312" t="inlineStr">
        <is>
          <t>B07L45XHQ3</t>
        </is>
      </c>
      <c r="G312">
        <f>IMAGE("https://richardkroll.com/wp-content/uploads/2021/09/Nutrifuse-Nourishing-Shampoo-for-Men-600x800.jpg")</f>
        <v/>
      </c>
      <c r="H312">
        <f>IMAGE("https://m.media-amazon.com/images/I/51pbQmYaO3L._AC_UL320_.jpg")</f>
        <v/>
      </c>
      <c r="I312" t="inlineStr">
        <is>
          <t>23.5</t>
        </is>
      </c>
      <c r="J312" t="n">
        <v>103.95</v>
      </c>
      <c r="K312" s="3" t="inlineStr">
        <is>
          <t>342.34%</t>
        </is>
      </c>
      <c r="L312" t="n">
        <v>5</v>
      </c>
      <c r="M312" t="n">
        <v>1</v>
      </c>
      <c r="O312" t="inlineStr">
        <is>
          <t>InStock</t>
        </is>
      </c>
      <c r="P312" t="inlineStr">
        <is>
          <t>undefined</t>
        </is>
      </c>
      <c r="Q312" t="inlineStr">
        <is>
          <t>undefined</t>
        </is>
      </c>
    </row>
    <row r="313">
      <c r="A313" s="2">
        <f>HYPERLINK("https://richardkroll.com/product/wella-invigo-shampoo-300ml/", "https://richardkroll.com/product/wella-invigo-shampoo-300ml/")</f>
        <v/>
      </c>
      <c r="B313" s="2">
        <f>HYPERLINK("https://richardkroll.com/product/wella-invigo-shampoo-300ml/", "https://richardkroll.com/product/wella-invigo-shampoo-300ml/")</f>
        <v/>
      </c>
      <c r="C313" t="inlineStr">
        <is>
          <t>Wella Invigo Shampoo 300ml</t>
        </is>
      </c>
      <c r="D313" t="inlineStr">
        <is>
          <t>Wella Professionals Invigo Brilliance Shampoo + Conditioner Set, for Fine Normal Colored Hair, Professional Color Protecting &amp; Color Vibrancy</t>
        </is>
      </c>
      <c r="E313" s="2">
        <f>HYPERLINK("https://www.amazon.com/Professionals-Brilliance-Conditioner-Professional-Protecting/dp/B0BS8BZMX1/ref=sr_1_9?keywords=Wella+Invigo+Shampoo+300ml&amp;qid=1695259854&amp;sr=8-9", "https://www.amazon.com/Professionals-Brilliance-Conditioner-Professional-Protecting/dp/B0BS8BZMX1/ref=sr_1_9?keywords=Wella+Invigo+Shampoo+300ml&amp;qid=1695259854&amp;sr=8-9")</f>
        <v/>
      </c>
      <c r="F313" t="inlineStr">
        <is>
          <t>B0BS8BZMX1</t>
        </is>
      </c>
      <c r="G313">
        <f>IMAGE("https://richardkroll.com/wp-content/uploads/2022/04/CD51E0C3-1E5C-4FDC-81A9-942D102BED21-600x800.png")</f>
        <v/>
      </c>
      <c r="H313">
        <f>IMAGE("https://m.media-amazon.com/images/I/71bkfIv+tuL._AC_UL320_.jpg")</f>
        <v/>
      </c>
      <c r="I313" t="inlineStr">
        <is>
          <t>17.5</t>
        </is>
      </c>
      <c r="J313" t="n">
        <v>76.8</v>
      </c>
      <c r="K313" s="3" t="inlineStr">
        <is>
          <t>338.86%</t>
        </is>
      </c>
      <c r="L313" t="n">
        <v>4.9</v>
      </c>
      <c r="M313" t="n">
        <v>26</v>
      </c>
      <c r="O313" t="inlineStr">
        <is>
          <t>InStock</t>
        </is>
      </c>
      <c r="P313" t="inlineStr">
        <is>
          <t>undefined</t>
        </is>
      </c>
      <c r="Q313" t="inlineStr">
        <is>
          <t>undefined</t>
        </is>
      </c>
    </row>
    <row r="314">
      <c r="A314" s="2">
        <f>HYPERLINK("https://richardkroll.com/product/wella-invigo-shampoo-300ml/", "https://richardkroll.com/product/wella-invigo-shampoo-300ml/")</f>
        <v/>
      </c>
      <c r="B314" s="2">
        <f>HYPERLINK("https://richardkroll.com/product/wella-invigo-shampoo-300ml/", "https://richardkroll.com/product/wella-invigo-shampoo-300ml/")</f>
        <v/>
      </c>
      <c r="C314" t="inlineStr">
        <is>
          <t>Wella Invigo Shampoo 300ml</t>
        </is>
      </c>
      <c r="D314" t="inlineStr">
        <is>
          <t>Wella Professionals Invigo Nutri-Enrich Shampoo &amp; Conditioner Set, Deep Moisturizing, For Dry &amp; Damaged Hair, Liter Sizes</t>
        </is>
      </c>
      <c r="E314" s="2">
        <f>HYPERLINK("https://www.amazon.com/Professionals-Nutri-Enrich-Shampoo-Conditioner-Moisturizing/dp/B0BVSK8WCF/ref=sr_1_2?keywords=Wella+Invigo+Shampoo+300ml&amp;qid=1695259854&amp;sr=8-2", "https://www.amazon.com/Professionals-Nutri-Enrich-Shampoo-Conditioner-Moisturizing/dp/B0BVSK8WCF/ref=sr_1_2?keywords=Wella+Invigo+Shampoo+300ml&amp;qid=1695259854&amp;sr=8-2")</f>
        <v/>
      </c>
      <c r="F314" t="inlineStr">
        <is>
          <t>B0BVSK8WCF</t>
        </is>
      </c>
      <c r="G314">
        <f>IMAGE("https://richardkroll.com/wp-content/uploads/2022/04/CD51E0C3-1E5C-4FDC-81A9-942D102BED21-600x800.png")</f>
        <v/>
      </c>
      <c r="H314">
        <f>IMAGE("https://m.media-amazon.com/images/I/61DBmYhhDyL._AC_UL320_.jpg")</f>
        <v/>
      </c>
      <c r="I314" t="inlineStr">
        <is>
          <t>17.5</t>
        </is>
      </c>
      <c r="J314" t="n">
        <v>76.8</v>
      </c>
      <c r="K314" s="3" t="inlineStr">
        <is>
          <t>338.86%</t>
        </is>
      </c>
      <c r="L314" t="n">
        <v>5</v>
      </c>
      <c r="M314" t="n">
        <v>10</v>
      </c>
      <c r="O314" t="inlineStr">
        <is>
          <t>InStock</t>
        </is>
      </c>
      <c r="P314" t="inlineStr">
        <is>
          <t>undefined</t>
        </is>
      </c>
      <c r="Q314" t="inlineStr">
        <is>
          <t>undefined</t>
        </is>
      </c>
    </row>
    <row r="315">
      <c r="A315" s="2">
        <f>HYPERLINK("https://richardkroll.com/product/wella-invigo-conditioner-250ml/", "https://richardkroll.com/product/wella-invigo-conditioner-250ml/")</f>
        <v/>
      </c>
      <c r="B315" s="2">
        <f>HYPERLINK("https://richardkroll.com/product/wella-invigo-conditioner-250ml/", "https://richardkroll.com/product/wella-invigo-conditioner-250ml/")</f>
        <v/>
      </c>
      <c r="C315" t="inlineStr">
        <is>
          <t>Wella Invigo Conditioner 250ml</t>
        </is>
      </c>
      <c r="D315" t="inlineStr">
        <is>
          <t>Wella Professionals Invigo Nutri-Enrich Shampoo &amp; Conditioner Set, Deep Moisturizing, For Dry &amp; Damaged Hair, Liter Sizes</t>
        </is>
      </c>
      <c r="E315" s="2">
        <f>HYPERLINK("https://www.amazon.com/Professionals-Nutri-Enrich-Shampoo-Conditioner-Moisturizing/dp/B0BVSK8WCF/ref=sr_1_5?keywords=Wella+Invigo+Conditioner+250ml&amp;qid=1695259847&amp;sr=8-5", "https://www.amazon.com/Professionals-Nutri-Enrich-Shampoo-Conditioner-Moisturizing/dp/B0BVSK8WCF/ref=sr_1_5?keywords=Wella+Invigo+Conditioner+250ml&amp;qid=1695259847&amp;sr=8-5")</f>
        <v/>
      </c>
      <c r="F315" t="inlineStr">
        <is>
          <t>B0BVSK8WCF</t>
        </is>
      </c>
      <c r="G315">
        <f>IMAGE("https://richardkroll.com/wp-content/uploads/2022/04/022430A8-0823-491B-9268-47802C77086C-600x800.png")</f>
        <v/>
      </c>
      <c r="H315">
        <f>IMAGE("https://m.media-amazon.com/images/I/61DBmYhhDyL._AC_UL320_.jpg")</f>
        <v/>
      </c>
      <c r="I315" t="inlineStr">
        <is>
          <t>18.5</t>
        </is>
      </c>
      <c r="J315" t="n">
        <v>76.8</v>
      </c>
      <c r="K315" s="3" t="inlineStr">
        <is>
          <t>315.14%</t>
        </is>
      </c>
      <c r="L315" t="n">
        <v>5</v>
      </c>
      <c r="M315" t="n">
        <v>10</v>
      </c>
      <c r="O315" t="inlineStr">
        <is>
          <t>InStock</t>
        </is>
      </c>
      <c r="P315" t="inlineStr">
        <is>
          <t>undefined</t>
        </is>
      </c>
      <c r="Q315" t="inlineStr">
        <is>
          <t>undefined</t>
        </is>
      </c>
    </row>
    <row r="316">
      <c r="A316" s="2">
        <f>HYPERLINK("https://richardkroll.com/product/sebastian-penetraitt-shampoo-250ml/", "https://richardkroll.com/product/sebastian-penetraitt-shampoo-250ml/")</f>
        <v/>
      </c>
      <c r="B316" s="2">
        <f>HYPERLINK("https://richardkroll.com/product/sebastian-penetraitt-shampoo-250ml/", "https://richardkroll.com/product/sebastian-penetraitt-shampoo-250ml/")</f>
        <v/>
      </c>
      <c r="C316" t="inlineStr">
        <is>
          <t>Sebastian Penetraitt Shampoo 250ml</t>
        </is>
      </c>
      <c r="D316" t="inlineStr">
        <is>
          <t>Sebastian Professional Penetraitt, Hair Strengthening and Deep Repair Shampoo, Conditioner &amp; Treatment</t>
        </is>
      </c>
      <c r="E316" s="2">
        <f>HYPERLINK("https://www.amazon.com/Sebastian-Penetraitt-Strenghtening-Shampoo-Conditioner/dp/B08KL7Q5W6/ref=sr_1_5?keywords=Sebastian+Penetraitt+Shampoo+250ml&amp;qid=1695259846&amp;sr=8-5", "https://www.amazon.com/Sebastian-Penetraitt-Strenghtening-Shampoo-Conditioner/dp/B08KL7Q5W6/ref=sr_1_5?keywords=Sebastian+Penetraitt+Shampoo+250ml&amp;qid=1695259846&amp;sr=8-5")</f>
        <v/>
      </c>
      <c r="F316" t="inlineStr">
        <is>
          <t>B08KL7Q5W6</t>
        </is>
      </c>
      <c r="G316">
        <f>IMAGE("https://richardkroll.com/wp-content/uploads/2016/08/sebastian-penetraitt-250g-600x800.jpg")</f>
        <v/>
      </c>
      <c r="H316">
        <f>IMAGE("https://m.media-amazon.com/images/I/61ke1qPC4eL._AC_UL320_.jpg")</f>
        <v/>
      </c>
      <c r="I316" t="inlineStr">
        <is>
          <t>19.75</t>
        </is>
      </c>
      <c r="J316" t="n">
        <v>77.92</v>
      </c>
      <c r="K316" s="3" t="inlineStr">
        <is>
          <t>294.53%</t>
        </is>
      </c>
      <c r="L316" t="n">
        <v>4.7</v>
      </c>
      <c r="M316" t="n">
        <v>206</v>
      </c>
      <c r="O316" t="inlineStr">
        <is>
          <t>InStock</t>
        </is>
      </c>
      <c r="P316" t="inlineStr">
        <is>
          <t>undefined</t>
        </is>
      </c>
      <c r="Q316" t="inlineStr">
        <is>
          <t>undefined</t>
        </is>
      </c>
    </row>
    <row r="317">
      <c r="A317" s="2">
        <f>HYPERLINK("https://richardkroll.com/product/sebastian-dark-oil-conditioner-250ml/", "https://richardkroll.com/product/sebastian-dark-oil-conditioner-250ml/")</f>
        <v/>
      </c>
      <c r="B317" s="2">
        <f>HYPERLINK("https://richardkroll.com/product/sebastian-dark-oil-conditioner-250ml/", "https://richardkroll.com/product/sebastian-dark-oil-conditioner-250ml/")</f>
        <v/>
      </c>
      <c r="C317" t="inlineStr">
        <is>
          <t>Sebastian Dark Oil Conditioner 250ml</t>
        </is>
      </c>
      <c r="D317" t="inlineStr">
        <is>
          <t>Sebastian Professional Dark Oil Lightweight Shampoo and Conditioner, Infused With Jojoba Oil &amp; Argan Oil, Liter Set</t>
        </is>
      </c>
      <c r="E317" s="2">
        <f>HYPERLINK("https://www.amazon.com/Sebastian-Lightweight-Shampoo-33-8oz-Conditioner/dp/B08KL2ZKRQ/ref=sr_1_3?keywords=Sebastian+Dark+Oil+Conditioner+250ml&amp;qid=1695259838&amp;sr=8-3", "https://www.amazon.com/Sebastian-Lightweight-Shampoo-33-8oz-Conditioner/dp/B08KL2ZKRQ/ref=sr_1_3?keywords=Sebastian+Dark+Oil+Conditioner+250ml&amp;qid=1695259838&amp;sr=8-3")</f>
        <v/>
      </c>
      <c r="F317" t="inlineStr">
        <is>
          <t>B08KL2ZKRQ</t>
        </is>
      </c>
      <c r="G317">
        <f>IMAGE("https://richardkroll.com/wp-content/uploads/2022/04/Dark-Oil-Conditioner-600x800.jpg")</f>
        <v/>
      </c>
      <c r="H317">
        <f>IMAGE("https://m.media-amazon.com/images/I/41ARyX8rSNL._AC_UL320_.jpg")</f>
        <v/>
      </c>
      <c r="I317" t="inlineStr">
        <is>
          <t>22.0</t>
        </is>
      </c>
      <c r="J317" t="n">
        <v>85.92</v>
      </c>
      <c r="K317" s="3" t="inlineStr">
        <is>
          <t>290.55%</t>
        </is>
      </c>
      <c r="L317" t="n">
        <v>4.7</v>
      </c>
      <c r="M317" t="n">
        <v>126</v>
      </c>
      <c r="O317" t="inlineStr">
        <is>
          <t>InStock</t>
        </is>
      </c>
      <c r="P317" t="inlineStr">
        <is>
          <t>undefined</t>
        </is>
      </c>
      <c r="Q317" t="inlineStr">
        <is>
          <t>undefined</t>
        </is>
      </c>
    </row>
    <row r="318">
      <c r="A318" s="2">
        <f>HYPERLINK("https://richardkroll.com/product/nutrifuse-nourishing-shampoo-300ml/", "https://richardkroll.com/product/nutrifuse-nourishing-shampoo-300ml/")</f>
        <v/>
      </c>
      <c r="B318" s="2">
        <f>HYPERLINK("https://richardkroll.com/product/nutrifuse-nourishing-shampoo-300ml/", "https://richardkroll.com/product/nutrifuse-nourishing-shampoo-300ml/")</f>
        <v/>
      </c>
      <c r="C318" t="inlineStr">
        <is>
          <t>Nutrifuse Nourishing Shampoo 300ml</t>
        </is>
      </c>
      <c r="D318" t="inlineStr">
        <is>
          <t>Nutrifuse M Nourishing Shampoo - 10oz Bundled with Nutrifuse M Moisture-Rich Conditioner 10oz</t>
        </is>
      </c>
      <c r="E318" s="2">
        <f>HYPERLINK("https://www.amazon.com/Nutrifuse-Nourishing-Shampoo-Moisture-Rich-Conditioner/dp/B07FYNNLMF/ref=sr_1_2?keywords=Nutrifuse+Nourishing+Shampoo+300ml&amp;qid=1695259832&amp;sr=8-2", "https://www.amazon.com/Nutrifuse-Nourishing-Shampoo-Moisture-Rich-Conditioner/dp/B07FYNNLMF/ref=sr_1_2?keywords=Nutrifuse+Nourishing+Shampoo+300ml&amp;qid=1695259832&amp;sr=8-2")</f>
        <v/>
      </c>
      <c r="F318" t="inlineStr">
        <is>
          <t>B07FYNNLMF</t>
        </is>
      </c>
      <c r="G318">
        <f>IMAGE("https://richardkroll.com/wp-content/uploads/2021/09/Nutrifuse-Nourishing-Shampoo-for-Men-600x800.jpg")</f>
        <v/>
      </c>
      <c r="H318">
        <f>IMAGE("https://m.media-amazon.com/images/I/51xTzu2f+xL._AC_UL320_.jpg")</f>
        <v/>
      </c>
      <c r="I318" t="inlineStr">
        <is>
          <t>23.5</t>
        </is>
      </c>
      <c r="J318" t="n">
        <v>81.95</v>
      </c>
      <c r="K318" s="3" t="inlineStr">
        <is>
          <t>248.72%</t>
        </is>
      </c>
      <c r="L318" t="n">
        <v>4.7</v>
      </c>
      <c r="M318" t="n">
        <v>2</v>
      </c>
      <c r="O318" t="inlineStr">
        <is>
          <t>InStock</t>
        </is>
      </c>
      <c r="P318" t="inlineStr">
        <is>
          <t>undefined</t>
        </is>
      </c>
      <c r="Q318" t="inlineStr">
        <is>
          <t>undefined</t>
        </is>
      </c>
    </row>
    <row r="319">
      <c r="A319" s="2">
        <f>HYPERLINK("https://richardkroll.com/product/nutrifuse-nourishing-shampoo-300ml/", "https://richardkroll.com/product/nutrifuse-nourishing-shampoo-300ml/")</f>
        <v/>
      </c>
      <c r="B319" s="2">
        <f>HYPERLINK("https://richardkroll.com/product/nutrifuse-nourishing-shampoo-300ml/", "https://richardkroll.com/product/nutrifuse-nourishing-shampoo-300ml/")</f>
        <v/>
      </c>
      <c r="C319" t="inlineStr">
        <is>
          <t>Nutrifuse Nourishing Shampoo 300ml</t>
        </is>
      </c>
      <c r="D319" t="inlineStr">
        <is>
          <t>Nutrifuse W Nourishing Shampoo - 10oz Bundled with Nutrifuse W Moisture-Rich Conditioner 10oz</t>
        </is>
      </c>
      <c r="E319" s="2">
        <f>HYPERLINK("https://www.amazon.com/Nutrifuse-Nourishing-Shampoo-Moisture-Rich-Conditioner/dp/B07FYRHNS9/ref=sr_1_1?keywords=Nutrifuse+Nourishing+Shampoo+300ml&amp;qid=1695259832&amp;sr=8-1", "https://www.amazon.com/Nutrifuse-Nourishing-Shampoo-Moisture-Rich-Conditioner/dp/B07FYRHNS9/ref=sr_1_1?keywords=Nutrifuse+Nourishing+Shampoo+300ml&amp;qid=1695259832&amp;sr=8-1")</f>
        <v/>
      </c>
      <c r="F319" t="inlineStr">
        <is>
          <t>B07FYRHNS9</t>
        </is>
      </c>
      <c r="G319">
        <f>IMAGE("https://richardkroll.com/wp-content/uploads/2021/09/Nutrifuse-Nourishing-Shampoo-for-Men-600x800.jpg")</f>
        <v/>
      </c>
      <c r="H319">
        <f>IMAGE("https://m.media-amazon.com/images/I/51GuWA7zKQL._AC_UL320_.jpg")</f>
        <v/>
      </c>
      <c r="I319" t="inlineStr">
        <is>
          <t>23.5</t>
        </is>
      </c>
      <c r="J319" t="n">
        <v>81.95</v>
      </c>
      <c r="K319" s="3" t="inlineStr">
        <is>
          <t>248.72%</t>
        </is>
      </c>
      <c r="L319" t="n">
        <v>5</v>
      </c>
      <c r="M319" t="n">
        <v>5</v>
      </c>
      <c r="O319" t="inlineStr">
        <is>
          <t>InStock</t>
        </is>
      </c>
      <c r="P319" t="inlineStr">
        <is>
          <t>undefined</t>
        </is>
      </c>
      <c r="Q319" t="inlineStr">
        <is>
          <t>undefined</t>
        </is>
      </c>
    </row>
    <row r="320">
      <c r="A320" s="2">
        <f>HYPERLINK("https://richardkroll.com/product/wella-color-motion-shampoo-250ml/", "https://richardkroll.com/product/wella-color-motion-shampoo-250ml/")</f>
        <v/>
      </c>
      <c r="B320" s="2">
        <f>HYPERLINK("https://richardkroll.com/product/wella-color-motion-shampoo-250ml/", "https://richardkroll.com/product/wella-color-motion-shampoo-250ml/")</f>
        <v/>
      </c>
      <c r="C320" t="inlineStr">
        <is>
          <t>Wella Color Motion Shampoo 250ml</t>
        </is>
      </c>
      <c r="D320" t="inlineStr">
        <is>
          <t>Wella Professionals ColorMotion+, Color Protection Shampoo + Conditioner + Structure+ Mask Set, For Colored Hair, Preserves Smoothness &amp; Shine While Strengthening &amp; Moisturizing Hair</t>
        </is>
      </c>
      <c r="E320" s="2">
        <f>HYPERLINK("https://www.amazon.com/Professionals-ColorMotion-Conditioner-Strengthening-Moisturizing/dp/B0BZGL8YCK/ref=sr_1_5?keywords=Wella+Color+Motion+Shampoo+250ml&amp;qid=1695259840&amp;sr=8-5", "https://www.amazon.com/Professionals-ColorMotion-Conditioner-Strengthening-Moisturizing/dp/B0BZGL8YCK/ref=sr_1_5?keywords=Wella+Color+Motion+Shampoo+250ml&amp;qid=1695259840&amp;sr=8-5")</f>
        <v/>
      </c>
      <c r="F320" t="inlineStr">
        <is>
          <t>B0BZGL8YCK</t>
        </is>
      </c>
      <c r="G320">
        <f>IMAGE("https://richardkroll.com/wp-content/uploads/2022/04/74E9BA1C-0B1C-4AAF-981F-58BC4FA77B4B-600x800.png")</f>
        <v/>
      </c>
      <c r="H320">
        <f>IMAGE("https://m.media-amazon.com/images/I/51oG2-CwXpL._AC_UL320_.jpg")</f>
        <v/>
      </c>
      <c r="I320" t="inlineStr">
        <is>
          <t>24.0</t>
        </is>
      </c>
      <c r="J320" t="n">
        <v>75</v>
      </c>
      <c r="K320" s="3" t="inlineStr">
        <is>
          <t>212.50%</t>
        </is>
      </c>
      <c r="L320" t="n">
        <v>4</v>
      </c>
      <c r="M320" t="n">
        <v>2</v>
      </c>
      <c r="O320" t="inlineStr">
        <is>
          <t>InStock</t>
        </is>
      </c>
      <c r="P320" t="inlineStr">
        <is>
          <t>undefined</t>
        </is>
      </c>
      <c r="Q320" t="inlineStr">
        <is>
          <t>undefined</t>
        </is>
      </c>
    </row>
    <row r="321">
      <c r="A321" s="2">
        <f>HYPERLINK("https://richardkroll.com/product/all-nutrient-volumize-conditioner-raspbody/", "https://richardkroll.com/product/all-nutrient-volumize-conditioner-raspbody/")</f>
        <v/>
      </c>
      <c r="B321" s="2">
        <f>HYPERLINK("https://richardkroll.com/product/all-nutrient-volumize-conditioner-raspbody/", "https://richardkroll.com/product/all-nutrient-volumize-conditioner-raspbody/")</f>
        <v/>
      </c>
      <c r="C321" t="inlineStr">
        <is>
          <t>All Nutrient Volumize Conditioner</t>
        </is>
      </c>
      <c r="D321" t="inlineStr">
        <is>
          <t>All-Nutrient VOLUMIZE Shampoo &amp; Conditioner DUO SET, For Added Hair Volume &amp; Dimension (w/Sleek Comb) UV+ Color Protection, 100% Vegan (12 oz + 12 oz DUO KIT)</t>
        </is>
      </c>
      <c r="E321" s="2">
        <f>HYPERLINK("https://www.amazon.com/All-Nutrient-VOLUMIZE-Conditioner-Dimension-Protection/dp/B0872KJSY6/ref=sr_1_1?keywords=All+Nutrient+Volumize+Conditioner&amp;qid=1695259821&amp;sr=8-1", "https://www.amazon.com/All-Nutrient-VOLUMIZE-Conditioner-Dimension-Protection/dp/B0872KJSY6/ref=sr_1_1?keywords=All+Nutrient+Volumize+Conditioner&amp;qid=1695259821&amp;sr=8-1")</f>
        <v/>
      </c>
      <c r="F321" t="inlineStr">
        <is>
          <t>B0872KJSY6</t>
        </is>
      </c>
      <c r="G321">
        <f>IMAGE("https://richardkroll.com/wp-content/uploads/2016/08/Volumize-Conditioner-600x800.jpg")</f>
        <v/>
      </c>
      <c r="H321">
        <f>IMAGE("https://m.media-amazon.com/images/I/71Pe1KcZo1L._AC_UL320_.jpg")</f>
        <v/>
      </c>
      <c r="I321" t="inlineStr">
        <is>
          <t>16.0</t>
        </is>
      </c>
      <c r="J321" t="n">
        <v>44.5</v>
      </c>
      <c r="K321" s="3" t="inlineStr">
        <is>
          <t>178.12%</t>
        </is>
      </c>
      <c r="L321" t="n">
        <v>4.1</v>
      </c>
      <c r="M321" t="n">
        <v>19</v>
      </c>
      <c r="O321" t="inlineStr">
        <is>
          <t>InStock</t>
        </is>
      </c>
      <c r="P321" t="inlineStr">
        <is>
          <t>undefined</t>
        </is>
      </c>
      <c r="Q321" t="inlineStr">
        <is>
          <t>ALVC</t>
        </is>
      </c>
    </row>
    <row r="322">
      <c r="A322" s="2">
        <f>HYPERLINK("https://richardkroll.com/product/pure-nv-balancing-shampoo-250ml/", "https://richardkroll.com/product/pure-nv-balancing-shampoo-250ml/")</f>
        <v/>
      </c>
      <c r="B322" s="2">
        <f>HYPERLINK("https://richardkroll.com/product/pure-nv-balancing-shampoo-250ml/", "https://richardkroll.com/product/pure-nv-balancing-shampoo-250ml/")</f>
        <v/>
      </c>
      <c r="C322" t="inlineStr">
        <is>
          <t>Pure NV Balancing Shampoo 250ml</t>
        </is>
      </c>
      <c r="D322" t="inlineStr">
        <is>
          <t>Pure NV Balancing Shampoo Balances Moisture Levels &amp; Intensifies Shine, Made From Natural Vitamins &amp; Minerals, Keratin, Collagen &amp; Argan Oil Infused To Repair, Restore &amp; Strengthen 33.8 Oz.</t>
        </is>
      </c>
      <c r="E322" s="2">
        <f>HYPERLINK("https://www.amazon.com/Pure-NV-BKT-Balancing-Shampoo/dp/B00J4QFW9U/ref=sr_1_1?keywords=Pure+NV+Balancing+Shampoo+250ml&amp;qid=1695259830&amp;sr=8-1", "https://www.amazon.com/Pure-NV-BKT-Balancing-Shampoo/dp/B00J4QFW9U/ref=sr_1_1?keywords=Pure+NV+Balancing+Shampoo+250ml&amp;qid=1695259830&amp;sr=8-1")</f>
        <v/>
      </c>
      <c r="F322" t="inlineStr">
        <is>
          <t>B00J4QFW9U</t>
        </is>
      </c>
      <c r="G322">
        <f>IMAGE("https://richardkroll.com/wp-content/uploads/2021/09/pure-nv-balancing-shampoo-600x800.webp")</f>
        <v/>
      </c>
      <c r="H322">
        <f>IMAGE("https://m.media-amazon.com/images/I/71fHg+raW8L._AC_UL320_.jpg")</f>
        <v/>
      </c>
      <c r="I322" t="inlineStr">
        <is>
          <t>25.95</t>
        </is>
      </c>
      <c r="J322" t="n">
        <v>70</v>
      </c>
      <c r="K322" s="3" t="inlineStr">
        <is>
          <t>169.75%</t>
        </is>
      </c>
      <c r="L322" t="n">
        <v>5</v>
      </c>
      <c r="M322" t="n">
        <v>2</v>
      </c>
      <c r="O322" t="inlineStr">
        <is>
          <t>InStock</t>
        </is>
      </c>
      <c r="P322" t="inlineStr">
        <is>
          <t>undefined</t>
        </is>
      </c>
      <c r="Q322" t="inlineStr">
        <is>
          <t>undefined</t>
        </is>
      </c>
    </row>
    <row r="323">
      <c r="A323" s="2">
        <f>HYPERLINK("https://richardkroll.com/product/pure-nv-balancing-conditioner-250ml/", "https://richardkroll.com/product/pure-nv-balancing-conditioner-250ml/")</f>
        <v/>
      </c>
      <c r="B323" s="2">
        <f>HYPERLINK("https://richardkroll.com/product/pure-nv-balancing-conditioner-250ml/", "https://richardkroll.com/product/pure-nv-balancing-conditioner-250ml/")</f>
        <v/>
      </c>
      <c r="C323" t="inlineStr">
        <is>
          <t>Pure NV Balancing Conditioner 250ml</t>
        </is>
      </c>
      <c r="D323" t="inlineStr">
        <is>
          <t>Pure NV Balancing Conditioner Balances Moisture Levels &amp; Intensifies Shine, Made From Natural Vitamins &amp; Minerals, Keratin, Collagen &amp; Argan Oil Infused To Repair, Restore &amp; Strengthen 33.8 Oz.</t>
        </is>
      </c>
      <c r="E323" s="2">
        <f>HYPERLINK("https://www.amazon.com/Pure-NV-BKT-Balancing-Conditioner/dp/B00J4QGOVA/ref=sr_1_2?keywords=Pure+NV+Balancing+Conditioner+250ml&amp;qid=1695259829&amp;sr=8-2", "https://www.amazon.com/Pure-NV-BKT-Balancing-Conditioner/dp/B00J4QGOVA/ref=sr_1_2?keywords=Pure+NV+Balancing+Conditioner+250ml&amp;qid=1695259829&amp;sr=8-2")</f>
        <v/>
      </c>
      <c r="F323" t="inlineStr">
        <is>
          <t>B00J4QGOVA</t>
        </is>
      </c>
      <c r="G323">
        <f>IMAGE("https://richardkroll.com/wp-content/uploads/2021/09/Pure-NV-Balancing-Conditioner-600x800.jpg")</f>
        <v/>
      </c>
      <c r="H323">
        <f>IMAGE("https://m.media-amazon.com/images/I/61MX5gMd6UL._AC_UL320_.jpg")</f>
        <v/>
      </c>
      <c r="I323" t="inlineStr">
        <is>
          <t>25.95</t>
        </is>
      </c>
      <c r="J323" t="n">
        <v>70</v>
      </c>
      <c r="K323" s="3" t="inlineStr">
        <is>
          <t>169.75%</t>
        </is>
      </c>
      <c r="L323" t="n">
        <v>4.6</v>
      </c>
      <c r="M323" t="n">
        <v>20</v>
      </c>
      <c r="O323" t="inlineStr">
        <is>
          <t>InStock</t>
        </is>
      </c>
      <c r="P323" t="inlineStr">
        <is>
          <t>undefined</t>
        </is>
      </c>
      <c r="Q323" t="inlineStr">
        <is>
          <t>undefined</t>
        </is>
      </c>
    </row>
    <row r="324">
      <c r="A324" s="2">
        <f>HYPERLINK("https://richardkroll.com/product/pure-nv-hydrating-conditioner-250ml/", "https://richardkroll.com/product/pure-nv-hydrating-conditioner-250ml/")</f>
        <v/>
      </c>
      <c r="B324" s="2">
        <f>HYPERLINK("https://richardkroll.com/product/pure-nv-hydrating-conditioner-250ml/", "https://richardkroll.com/product/pure-nv-hydrating-conditioner-250ml/")</f>
        <v/>
      </c>
      <c r="C324" t="inlineStr">
        <is>
          <t>Pure NV Hydrating Conditioner 250ml</t>
        </is>
      </c>
      <c r="D324" t="inlineStr">
        <is>
          <t>Pure NV Hydrating Conditioner For Ultimate Hydration, Softness &amp; Shine, Made From Natural Vitamins &amp; Minerals, Keratin, Collagen &amp; Argan Oil Infused To Repair, Restore &amp; Strengthen 33.8 Oz.</t>
        </is>
      </c>
      <c r="E324" s="2">
        <f>HYPERLINK("https://www.amazon.com/Pure-NV-BKT-Hydrating-Conditioner/dp/B01885YPNG/ref=sr_1_1?keywords=Pure+NV+Hydrating+Conditioner+250ml&amp;qid=1695259832&amp;sr=8-1", "https://www.amazon.com/Pure-NV-BKT-Hydrating-Conditioner/dp/B01885YPNG/ref=sr_1_1?keywords=Pure+NV+Hydrating+Conditioner+250ml&amp;qid=1695259832&amp;sr=8-1")</f>
        <v/>
      </c>
      <c r="F324" t="inlineStr">
        <is>
          <t>B01885YPNG</t>
        </is>
      </c>
      <c r="G324">
        <f>IMAGE("https://richardkroll.com/wp-content/uploads/2021/09/Pure-NV-Hydrating-Conditioner-600x800.jpg")</f>
        <v/>
      </c>
      <c r="H324">
        <f>IMAGE("https://m.media-amazon.com/images/I/61NjmoOp34L._AC_UL320_.jpg")</f>
        <v/>
      </c>
      <c r="I324" t="inlineStr">
        <is>
          <t>26.0</t>
        </is>
      </c>
      <c r="J324" t="n">
        <v>70</v>
      </c>
      <c r="K324" s="3" t="inlineStr">
        <is>
          <t>169.23%</t>
        </is>
      </c>
      <c r="L324" t="n">
        <v>4.2</v>
      </c>
      <c r="M324" t="n">
        <v>4</v>
      </c>
      <c r="O324" t="inlineStr">
        <is>
          <t>InStock</t>
        </is>
      </c>
      <c r="P324" t="inlineStr">
        <is>
          <t>undefined</t>
        </is>
      </c>
      <c r="Q324" t="inlineStr">
        <is>
          <t>undefined</t>
        </is>
      </c>
    </row>
    <row r="325">
      <c r="A325" s="2">
        <f>HYPERLINK("https://richardkroll.com/product/all-nutrient-volumize-shampoo/", "https://richardkroll.com/product/all-nutrient-volumize-shampoo/")</f>
        <v/>
      </c>
      <c r="B325" s="2">
        <f>HYPERLINK("https://richardkroll.com/product/all-nutrient-volumize-shampoo/", "https://richardkroll.com/product/all-nutrient-volumize-shampoo/")</f>
        <v/>
      </c>
      <c r="C325" t="inlineStr">
        <is>
          <t>All Nutrient Volumize Shampoo (Raspbody)</t>
        </is>
      </c>
      <c r="D325" t="inlineStr">
        <is>
          <t>All-Nutrient VOLUMIZE Shampoo &amp; Conditioner DUO SET, For Added Hair Volume &amp; Dimension (w/Sleek Comb) UV+ Color Protection, 100% Vegan (12 oz + 12 oz DUO KIT)</t>
        </is>
      </c>
      <c r="E325" s="2">
        <f>HYPERLINK("https://www.amazon.com/All-Nutrient-VOLUMIZE-Conditioner-Dimension-Protection/dp/B0872KJSY6/ref=sr_1_fkmr1_2?keywords=All+Nutrient+Volumize+Shampoo+%28Raspbody%29&amp;qid=1695259821&amp;sr=8-2-fkmr1", "https://www.amazon.com/All-Nutrient-VOLUMIZE-Conditioner-Dimension-Protection/dp/B0872KJSY6/ref=sr_1_fkmr1_2?keywords=All+Nutrient+Volumize+Shampoo+%28Raspbody%29&amp;qid=1695259821&amp;sr=8-2-fkmr1")</f>
        <v/>
      </c>
      <c r="F325" t="inlineStr">
        <is>
          <t>B0872KJSY6</t>
        </is>
      </c>
      <c r="G325">
        <f>IMAGE("https://richardkroll.com/wp-content/uploads/2016/08/AN-Volumize-Shampoo-600x600.jpg")</f>
        <v/>
      </c>
      <c r="H325">
        <f>IMAGE("https://m.media-amazon.com/images/I/71Pe1KcZo1L._AC_UL320_.jpg")</f>
        <v/>
      </c>
      <c r="I325" t="inlineStr">
        <is>
          <t>17.0</t>
        </is>
      </c>
      <c r="J325" t="n">
        <v>44.5</v>
      </c>
      <c r="K325" s="3" t="inlineStr">
        <is>
          <t>161.76%</t>
        </is>
      </c>
      <c r="L325" t="n">
        <v>4.1</v>
      </c>
      <c r="M325" t="n">
        <v>19</v>
      </c>
      <c r="O325" t="inlineStr">
        <is>
          <t>InStock</t>
        </is>
      </c>
      <c r="P325" t="inlineStr">
        <is>
          <t>undefined</t>
        </is>
      </c>
      <c r="Q325" t="inlineStr">
        <is>
          <t>21112</t>
        </is>
      </c>
    </row>
    <row r="326">
      <c r="A326" s="2">
        <f>HYPERLINK("https://richardkroll.com/product/sebastian-light-conditioner-250ml/", "https://richardkroll.com/product/sebastian-light-conditioner-250ml/")</f>
        <v/>
      </c>
      <c r="B326" s="2">
        <f>HYPERLINK("https://richardkroll.com/product/sebastian-light-conditioner-250ml/", "https://richardkroll.com/product/sebastian-light-conditioner-250ml/")</f>
        <v/>
      </c>
      <c r="C326" t="inlineStr">
        <is>
          <t>Sebastian Light Conditioner 250ml</t>
        </is>
      </c>
      <c r="D326" t="inlineStr">
        <is>
          <t>Sebastian Professional Dark Oil Lightweight Conditioner, Infused With Jojoba Oil &amp; Argan Oil, 33.8 fl oz</t>
        </is>
      </c>
      <c r="E326" s="2">
        <f>HYPERLINK("https://www.amazon.com/Lightweight-Conditioner-Jojoba-Argan-33-79/dp/B07TFVCPBS/ref=sr_1_2?keywords=Sebastian+Light+Conditioner+250ml&amp;qid=1695259866&amp;sr=8-2", "https://www.amazon.com/Lightweight-Conditioner-Jojoba-Argan-33-79/dp/B07TFVCPBS/ref=sr_1_2?keywords=Sebastian+Light+Conditioner+250ml&amp;qid=1695259866&amp;sr=8-2")</f>
        <v/>
      </c>
      <c r="F326" t="inlineStr">
        <is>
          <t>B07TFVCPBS</t>
        </is>
      </c>
      <c r="G326">
        <f>IMAGE("https://richardkroll.com/wp-content/uploads/2021/08/sebastian-light-conditoner-250ml-600x775.jpg")</f>
        <v/>
      </c>
      <c r="H326">
        <f>IMAGE("https://m.media-amazon.com/images/I/71L9cznJMfL._AC_UL320_.jpg")</f>
        <v/>
      </c>
      <c r="I326" t="inlineStr">
        <is>
          <t>18.5</t>
        </is>
      </c>
      <c r="J326" t="n">
        <v>48</v>
      </c>
      <c r="K326" s="3" t="inlineStr">
        <is>
          <t>159.46%</t>
        </is>
      </c>
      <c r="L326" t="n">
        <v>4.6</v>
      </c>
      <c r="M326" t="n">
        <v>411</v>
      </c>
      <c r="O326" t="inlineStr">
        <is>
          <t>InStock</t>
        </is>
      </c>
      <c r="P326" t="inlineStr">
        <is>
          <t>undefined</t>
        </is>
      </c>
      <c r="Q326" t="inlineStr">
        <is>
          <t>undefined</t>
        </is>
      </c>
    </row>
    <row r="327">
      <c r="A327" s="2">
        <f>HYPERLINK("https://richardkroll.com/product/all-nutrient-protect-conditioner-colorsafe-12oz/", "https://richardkroll.com/product/all-nutrient-protect-conditioner-colorsafe-12oz/")</f>
        <v/>
      </c>
      <c r="B327" s="2">
        <f>HYPERLINK("https://richardkroll.com/product/all-nutrient-protect-conditioner-colorsafe-12oz/", "https://richardkroll.com/product/all-nutrient-protect-conditioner-colorsafe-12oz/")</f>
        <v/>
      </c>
      <c r="C327" t="inlineStr">
        <is>
          <t>All-Nutrient Colorsafe Conditioner 350ml</t>
        </is>
      </c>
      <c r="D327" t="inlineStr">
        <is>
          <t>All Nutrient COLOR SAFE Shampoo &amp; Conditioner DUO Set, extends color life (with Sleek Compact Mirror) (12 oz / 350ml Retail DUO Kit)</t>
        </is>
      </c>
      <c r="E327" s="2">
        <f>HYPERLINK("https://www.amazon.com/All-Nutrient-Shampoo-Conditioner-extends/dp/B077SCZK5R/ref=sr_1_1?keywords=All-Nutrient+Colorsafe+Conditioner+350ml&amp;qid=1695259823&amp;sr=8-1", "https://www.amazon.com/All-Nutrient-Shampoo-Conditioner-extends/dp/B077SCZK5R/ref=sr_1_1?keywords=All-Nutrient+Colorsafe+Conditioner+350ml&amp;qid=1695259823&amp;sr=8-1")</f>
        <v/>
      </c>
      <c r="F327" t="inlineStr">
        <is>
          <t>B077SCZK5R</t>
        </is>
      </c>
      <c r="G327">
        <f>IMAGE("https://richardkroll.com/wp-content/uploads/2021/09/all-nutrient-colorsafe-conditioner-600x800.webp")</f>
        <v/>
      </c>
      <c r="H327">
        <f>IMAGE("https://m.media-amazon.com/images/I/411VFwI1BdL._AC_UL320_.jpg")</f>
        <v/>
      </c>
      <c r="I327" t="inlineStr">
        <is>
          <t>16.0</t>
        </is>
      </c>
      <c r="J327" t="n">
        <v>40</v>
      </c>
      <c r="K327" s="3" t="inlineStr">
        <is>
          <t>150.00%</t>
        </is>
      </c>
      <c r="L327" t="n">
        <v>4.4</v>
      </c>
      <c r="M327" t="n">
        <v>59</v>
      </c>
      <c r="O327" t="inlineStr">
        <is>
          <t>InStock</t>
        </is>
      </c>
      <c r="P327" t="inlineStr">
        <is>
          <t>undefined</t>
        </is>
      </c>
      <c r="Q327" t="inlineStr">
        <is>
          <t>ANPC</t>
        </is>
      </c>
    </row>
    <row r="328">
      <c r="A328" s="2">
        <f>HYPERLINK("https://richardkroll.com/product/all-nutrient-protect-shampoo-colorsafe-12oz/", "https://richardkroll.com/product/all-nutrient-protect-shampoo-colorsafe-12oz/")</f>
        <v/>
      </c>
      <c r="B328" s="2">
        <f>HYPERLINK("https://richardkroll.com/product/all-nutrient-protect-shampoo-colorsafe-12oz/", "https://richardkroll.com/product/all-nutrient-protect-shampoo-colorsafe-12oz/")</f>
        <v/>
      </c>
      <c r="C328" t="inlineStr">
        <is>
          <t>All-Nutrient Colorsafe Shampoo 350ml</t>
        </is>
      </c>
      <c r="D328" t="inlineStr">
        <is>
          <t>All Nutrient COLOR SAFE Shampoo &amp; Conditioner DUO Set, extends color life (with Sleek Compact Mirror) (12 oz / 350ml Retail DUO Kit)</t>
        </is>
      </c>
      <c r="E328" s="2">
        <f>HYPERLINK("https://www.amazon.com/All-Nutrient-Shampoo-Conditioner-extends/dp/B077SCZK5R/ref=sr_1_1?keywords=All-Nutrient+Colorsafe+Shampoo+350ml&amp;qid=1695259833&amp;sr=8-1", "https://www.amazon.com/All-Nutrient-Shampoo-Conditioner-extends/dp/B077SCZK5R/ref=sr_1_1?keywords=All-Nutrient+Colorsafe+Shampoo+350ml&amp;qid=1695259833&amp;sr=8-1")</f>
        <v/>
      </c>
      <c r="F328" t="inlineStr">
        <is>
          <t>B077SCZK5R</t>
        </is>
      </c>
      <c r="G328">
        <f>IMAGE("https://richardkroll.com/wp-content/uploads/2021/09/all-nutrient-colorsafe-shampoo-600x800.webp")</f>
        <v/>
      </c>
      <c r="H328">
        <f>IMAGE("https://m.media-amazon.com/images/I/411VFwI1BdL._AC_UL320_.jpg")</f>
        <v/>
      </c>
      <c r="I328" t="inlineStr">
        <is>
          <t>16.0</t>
        </is>
      </c>
      <c r="J328" t="n">
        <v>40</v>
      </c>
      <c r="K328" s="3" t="inlineStr">
        <is>
          <t>150.00%</t>
        </is>
      </c>
      <c r="L328" t="n">
        <v>4.4</v>
      </c>
      <c r="M328" t="n">
        <v>59</v>
      </c>
      <c r="O328" t="inlineStr">
        <is>
          <t>InStock</t>
        </is>
      </c>
      <c r="P328" t="inlineStr">
        <is>
          <t>undefined</t>
        </is>
      </c>
      <c r="Q328" t="inlineStr">
        <is>
          <t>ANPS</t>
        </is>
      </c>
    </row>
    <row r="329">
      <c r="A329" s="2">
        <f>HYPERLINK("https://richardkroll.com/product/all-nutrient-volumize-conditioner-raspbody/", "https://richardkroll.com/product/all-nutrient-volumize-conditioner-raspbody/")</f>
        <v/>
      </c>
      <c r="B329" s="2">
        <f>HYPERLINK("https://richardkroll.com/product/all-nutrient-volumize-conditioner-raspbody/", "https://richardkroll.com/product/all-nutrient-volumize-conditioner-raspbody/")</f>
        <v/>
      </c>
      <c r="C329" t="inlineStr">
        <is>
          <t>All Nutrient Volumize Conditioner</t>
        </is>
      </c>
      <c r="D329" t="inlineStr">
        <is>
          <t>All-Nutrient RESTORE Shampoo &amp; Conditioner DUO SET, Repairs Dry-Damaged Hair (w/Sleek Comb) UV+ Color Protection, 100% Vegan (12 oz + 12 oz DUO KIT)</t>
        </is>
      </c>
      <c r="E329" s="2">
        <f>HYPERLINK("https://www.amazon.com/All-Nutrient-RESTORE-Conditioner-Dry-Damaged-Protection/dp/B0872KQFRT/ref=sr_1_9?keywords=All+Nutrient+Volumize+Conditioner&amp;qid=1695259821&amp;sr=8-9", "https://www.amazon.com/All-Nutrient-RESTORE-Conditioner-Dry-Damaged-Protection/dp/B0872KQFRT/ref=sr_1_9?keywords=All+Nutrient+Volumize+Conditioner&amp;qid=1695259821&amp;sr=8-9")</f>
        <v/>
      </c>
      <c r="F329" t="inlineStr">
        <is>
          <t>B0872KQFRT</t>
        </is>
      </c>
      <c r="G329">
        <f>IMAGE("https://richardkroll.com/wp-content/uploads/2016/08/Volumize-Conditioner-600x800.jpg")</f>
        <v/>
      </c>
      <c r="H329">
        <f>IMAGE("https://m.media-amazon.com/images/I/71ko5TVfk1L._AC_UL320_.jpg")</f>
        <v/>
      </c>
      <c r="I329" t="inlineStr">
        <is>
          <t>16.0</t>
        </is>
      </c>
      <c r="J329" t="n">
        <v>39.99</v>
      </c>
      <c r="K329" s="3" t="inlineStr">
        <is>
          <t>149.94%</t>
        </is>
      </c>
      <c r="L329" t="n">
        <v>4.2</v>
      </c>
      <c r="M329" t="n">
        <v>26</v>
      </c>
      <c r="O329" t="inlineStr">
        <is>
          <t>InStock</t>
        </is>
      </c>
      <c r="P329" t="inlineStr">
        <is>
          <t>undefined</t>
        </is>
      </c>
      <c r="Q329" t="inlineStr">
        <is>
          <t>ALVC</t>
        </is>
      </c>
    </row>
    <row r="330">
      <c r="A330" s="2">
        <f>HYPERLINK("https://richardkroll.com/product/sebastian-dark-oil-lightweight-shampoo-250ml/", "https://richardkroll.com/product/sebastian-dark-oil-lightweight-shampoo-250ml/")</f>
        <v/>
      </c>
      <c r="B330" s="2">
        <f>HYPERLINK("https://richardkroll.com/product/sebastian-dark-oil-lightweight-shampoo-250ml/", "https://richardkroll.com/product/sebastian-dark-oil-lightweight-shampoo-250ml/")</f>
        <v/>
      </c>
      <c r="C330" t="inlineStr">
        <is>
          <t>Sebastian Dark Oil Lightweight Shampoo 250ml</t>
        </is>
      </c>
      <c r="D330" t="inlineStr">
        <is>
          <t>Sebastian Professional Dark Oil Lightweight Shampoo &amp; Conditioner, Infused With Jojoba &amp; Argan Oil</t>
        </is>
      </c>
      <c r="E330" s="2">
        <f>HYPERLINK("https://www.amazon.com/Lightweight-Shampoo-Jojoba-Argan-33-79/dp/B07TDR1H6H/ref=sr_1_1?keywords=Sebastian+Dark+Oil+Lightweight+Shampoo+250ml&amp;qid=1695259828&amp;sr=8-1", "https://www.amazon.com/Lightweight-Shampoo-Jojoba-Argan-33-79/dp/B07TDR1H6H/ref=sr_1_1?keywords=Sebastian+Dark+Oil+Lightweight+Shampoo+250ml&amp;qid=1695259828&amp;sr=8-1")</f>
        <v/>
      </c>
      <c r="F330" t="inlineStr">
        <is>
          <t>B07TDR1H6H</t>
        </is>
      </c>
      <c r="G330">
        <f>IMAGE("https://richardkroll.com/wp-content/uploads/2022/04/Dark-Oil-Shampoo-600x800.jpg")</f>
        <v/>
      </c>
      <c r="H330">
        <f>IMAGE("https://m.media-amazon.com/images/I/61vs5x1aRAL._AC_UL320_.jpg")</f>
        <v/>
      </c>
      <c r="I330" t="inlineStr">
        <is>
          <t>19.0</t>
        </is>
      </c>
      <c r="J330" t="n">
        <v>46</v>
      </c>
      <c r="K330" s="3" t="inlineStr">
        <is>
          <t>142.11%</t>
        </is>
      </c>
      <c r="L330" t="n">
        <v>4.7</v>
      </c>
      <c r="M330" t="n">
        <v>1345</v>
      </c>
      <c r="O330" t="inlineStr">
        <is>
          <t>InStock</t>
        </is>
      </c>
      <c r="P330" t="inlineStr">
        <is>
          <t>undefined</t>
        </is>
      </c>
      <c r="Q330" t="inlineStr">
        <is>
          <t>undefined</t>
        </is>
      </c>
    </row>
    <row r="331">
      <c r="A331" s="2">
        <f>HYPERLINK("https://richardkroll.com/product/wella-elements-renewing-conditioner-200ml/", "https://richardkroll.com/product/wella-elements-renewing-conditioner-200ml/")</f>
        <v/>
      </c>
      <c r="B331" s="2">
        <f>HYPERLINK("https://richardkroll.com/product/wella-elements-renewing-conditioner-200ml/", "https://richardkroll.com/product/wella-elements-renewing-conditioner-200ml/")</f>
        <v/>
      </c>
      <c r="C331" t="inlineStr">
        <is>
          <t>Wella Elements Renewing Conditioner 200ml</t>
        </is>
      </c>
      <c r="D331" t="inlineStr">
        <is>
          <t>Wella Professionals Elements Gentle Renewing Conditioner, Gentle, Silicone Free, Instant Detangling Conditioner, 1 Liter Pouch</t>
        </is>
      </c>
      <c r="E331" s="2">
        <f>HYPERLINK("https://www.amazon.com/Wella-Professionals-Elements-Conditioner-Detangling/dp/B09KQL21XF/ref=sr_1_1?keywords=Wella+Elements+Renewing+Conditioner+200ml&amp;qid=1695259843&amp;sr=8-1", "https://www.amazon.com/Wella-Professionals-Elements-Conditioner-Detangling/dp/B09KQL21XF/ref=sr_1_1?keywords=Wella+Elements+Renewing+Conditioner+200ml&amp;qid=1695259843&amp;sr=8-1")</f>
        <v/>
      </c>
      <c r="F331" t="inlineStr">
        <is>
          <t>B09KQL21XF</t>
        </is>
      </c>
      <c r="G331">
        <f>IMAGE("https://richardkroll.com/wp-content/uploads/2022/04/79CD8322-8F41-4718-8D2E-9BAA3422A4F4-600x800.png")</f>
        <v/>
      </c>
      <c r="H331">
        <f>IMAGE("https://m.media-amazon.com/images/I/61Yx57opdAL._AC_UL320_.jpg")</f>
        <v/>
      </c>
      <c r="I331" t="inlineStr">
        <is>
          <t>23.0</t>
        </is>
      </c>
      <c r="J331" t="n">
        <v>54.3</v>
      </c>
      <c r="K331" s="3" t="inlineStr">
        <is>
          <t>136.09%</t>
        </is>
      </c>
      <c r="L331" t="n">
        <v>4.1</v>
      </c>
      <c r="M331" t="n">
        <v>9</v>
      </c>
      <c r="O331" t="inlineStr">
        <is>
          <t>InStock</t>
        </is>
      </c>
      <c r="P331" t="inlineStr">
        <is>
          <t>undefined</t>
        </is>
      </c>
      <c r="Q331" t="inlineStr">
        <is>
          <t>undefined</t>
        </is>
      </c>
    </row>
    <row r="332">
      <c r="A332" s="2">
        <f>HYPERLINK("https://richardkroll.com/product/wella-color-motion-conditioner-200ml/", "https://richardkroll.com/product/wella-color-motion-conditioner-200ml/")</f>
        <v/>
      </c>
      <c r="B332" s="2">
        <f>HYPERLINK("https://richardkroll.com/product/wella-color-motion-conditioner-200ml/", "https://richardkroll.com/product/wella-color-motion-conditioner-200ml/")</f>
        <v/>
      </c>
      <c r="C332" t="inlineStr">
        <is>
          <t>Wella Color Motion Conditioner 200ml</t>
        </is>
      </c>
      <c r="D332" t="inlineStr">
        <is>
          <t>Wella Professionals ColorMotion+ Moisturizing Color Reflection Conditioner, Intense Nourishment and Moisture for Stronger Hair, 33.8 oz</t>
        </is>
      </c>
      <c r="E332" s="2">
        <f>HYPERLINK("https://www.amazon.com/Professionals-ColorMotion-Moisturizing-Conditioner-Nourishment/dp/B0BYBLFTDR/ref=sr_1_2?keywords=Wella+Color+Motion+Conditioner+200ml&amp;qid=1695259863&amp;sr=8-2", "https://www.amazon.com/Professionals-ColorMotion-Moisturizing-Conditioner-Nourishment/dp/B0BYBLFTDR/ref=sr_1_2?keywords=Wella+Color+Motion+Conditioner+200ml&amp;qid=1695259863&amp;sr=8-2")</f>
        <v/>
      </c>
      <c r="F332" t="inlineStr">
        <is>
          <t>B0BYBLFTDR</t>
        </is>
      </c>
      <c r="G332">
        <f>IMAGE("https://richardkroll.com/wp-content/uploads/2022/04/F00F4F8F-3005-44A0-BBCB-276161396FED-600x800.png")</f>
        <v/>
      </c>
      <c r="H332">
        <f>IMAGE("https://m.media-amazon.com/images/I/71XBF1O2wdL._AC_UL320_.jpg")</f>
        <v/>
      </c>
      <c r="I332" t="inlineStr">
        <is>
          <t>23.0</t>
        </is>
      </c>
      <c r="J332" t="n">
        <v>54.3</v>
      </c>
      <c r="K332" s="3" t="inlineStr">
        <is>
          <t>136.09%</t>
        </is>
      </c>
      <c r="L332" t="n">
        <v>3.8</v>
      </c>
      <c r="M332" t="n">
        <v>6</v>
      </c>
      <c r="O332" t="inlineStr">
        <is>
          <t>InStock</t>
        </is>
      </c>
      <c r="P332" t="inlineStr">
        <is>
          <t>undefined</t>
        </is>
      </c>
      <c r="Q332" t="inlineStr">
        <is>
          <t>undefined</t>
        </is>
      </c>
    </row>
    <row r="333">
      <c r="A333" s="2">
        <f>HYPERLINK("https://richardkroll.com/product/all-nutrient-restore-shampoo-kiwi-botanical-12oz/", "https://richardkroll.com/product/all-nutrient-restore-shampoo-kiwi-botanical-12oz/")</f>
        <v/>
      </c>
      <c r="B333" s="2">
        <f>HYPERLINK("https://richardkroll.com/product/all-nutrient-restore-shampoo-kiwi-botanical-12oz/", "https://richardkroll.com/product/all-nutrient-restore-shampoo-kiwi-botanical-12oz/")</f>
        <v/>
      </c>
      <c r="C333" t="inlineStr">
        <is>
          <t>All-Nutrient Restore Shampoo 350ml</t>
        </is>
      </c>
      <c r="D333" t="inlineStr">
        <is>
          <t>All Nutrient COLOR SAFE Shampoo &amp; Conditioner DUO Set, extends color life (with Sleek Compact Mirror) (12 oz / 350ml Retail DUO Kit)</t>
        </is>
      </c>
      <c r="E333" s="2">
        <f>HYPERLINK("https://www.amazon.com/All-Nutrient-Shampoo-Conditioner-extends/dp/B077SCZK5R/ref=sr_1_4?keywords=All-Nutrient+Restore+Shampoo+350ml&amp;qid=1695259839&amp;sr=8-4", "https://www.amazon.com/All-Nutrient-Shampoo-Conditioner-extends/dp/B077SCZK5R/ref=sr_1_4?keywords=All-Nutrient+Restore+Shampoo+350ml&amp;qid=1695259839&amp;sr=8-4")</f>
        <v/>
      </c>
      <c r="F333" t="inlineStr">
        <is>
          <t>B077SCZK5R</t>
        </is>
      </c>
      <c r="G333">
        <f>IMAGE("https://richardkroll.com/wp-content/uploads/2021/09/all-nutrient-restore-shampoo-600x800.webp")</f>
        <v/>
      </c>
      <c r="H333">
        <f>IMAGE("https://m.media-amazon.com/images/I/411VFwI1BdL._AC_UL320_.jpg")</f>
        <v/>
      </c>
      <c r="I333" t="inlineStr">
        <is>
          <t>17.0</t>
        </is>
      </c>
      <c r="J333" t="n">
        <v>40</v>
      </c>
      <c r="K333" s="3" t="inlineStr">
        <is>
          <t>135.29%</t>
        </is>
      </c>
      <c r="L333" t="n">
        <v>4.4</v>
      </c>
      <c r="M333" t="n">
        <v>59</v>
      </c>
      <c r="O333" t="inlineStr">
        <is>
          <t>InStock</t>
        </is>
      </c>
      <c r="P333" t="inlineStr">
        <is>
          <t>undefined</t>
        </is>
      </c>
      <c r="Q333" t="inlineStr">
        <is>
          <t>ANRSKB</t>
        </is>
      </c>
    </row>
    <row r="334">
      <c r="A334" s="2">
        <f>HYPERLINK("https://richardkroll.com/product/wella-invigo-shampoo-300ml/", "https://richardkroll.com/product/wella-invigo-shampoo-300ml/")</f>
        <v/>
      </c>
      <c r="B334" s="2">
        <f>HYPERLINK("https://richardkroll.com/product/wella-invigo-shampoo-300ml/", "https://richardkroll.com/product/wella-invigo-shampoo-300ml/")</f>
        <v/>
      </c>
      <c r="C334" t="inlineStr">
        <is>
          <t>Wella Invigo Shampoo 300ml</t>
        </is>
      </c>
      <c r="D334" t="inlineStr">
        <is>
          <t>Wella Professionals Invigo Brilliance Shampoo &amp; Conditioner Set, Color Protection &amp; Color Vibrancy for Fine/Normal Hair, Retail Sizes</t>
        </is>
      </c>
      <c r="E334" s="2">
        <f>HYPERLINK("https://www.amazon.com/Professionals-Brilliance-Conditioner-Protection-Vibrancy/dp/B0B91ZLL1R/ref=sr_1_4?keywords=Wella+Invigo+Shampoo+300ml&amp;qid=1695259854&amp;sr=8-4", "https://www.amazon.com/Professionals-Brilliance-Conditioner-Protection-Vibrancy/dp/B0B91ZLL1R/ref=sr_1_4?keywords=Wella+Invigo+Shampoo+300ml&amp;qid=1695259854&amp;sr=8-4")</f>
        <v/>
      </c>
      <c r="F334" t="inlineStr">
        <is>
          <t>B0B91ZLL1R</t>
        </is>
      </c>
      <c r="G334">
        <f>IMAGE("https://richardkroll.com/wp-content/uploads/2022/04/CD51E0C3-1E5C-4FDC-81A9-942D102BED21-600x800.png")</f>
        <v/>
      </c>
      <c r="H334">
        <f>IMAGE("https://m.media-amazon.com/images/I/616exuH4IYL._AC_UL320_.jpg")</f>
        <v/>
      </c>
      <c r="I334" t="inlineStr">
        <is>
          <t>17.5</t>
        </is>
      </c>
      <c r="J334" t="n">
        <v>39.8</v>
      </c>
      <c r="K334" s="3" t="inlineStr">
        <is>
          <t>127.43%</t>
        </is>
      </c>
      <c r="L334" t="n">
        <v>4.6</v>
      </c>
      <c r="M334" t="n">
        <v>78</v>
      </c>
      <c r="O334" t="inlineStr">
        <is>
          <t>InStock</t>
        </is>
      </c>
      <c r="P334" t="inlineStr">
        <is>
          <t>undefined</t>
        </is>
      </c>
      <c r="Q334" t="inlineStr">
        <is>
          <t>undefined</t>
        </is>
      </c>
    </row>
    <row r="335">
      <c r="A335" s="2">
        <f>HYPERLINK("https://richardkroll.com/product/wella-invigo-shampoo-300ml/", "https://richardkroll.com/product/wella-invigo-shampoo-300ml/")</f>
        <v/>
      </c>
      <c r="B335" s="2">
        <f>HYPERLINK("https://richardkroll.com/product/wella-invigo-shampoo-300ml/", "https://richardkroll.com/product/wella-invigo-shampoo-300ml/")</f>
        <v/>
      </c>
      <c r="C335" t="inlineStr">
        <is>
          <t>Wella Invigo Shampoo 300ml</t>
        </is>
      </c>
      <c r="D335" t="inlineStr">
        <is>
          <t>Wella Professionals Invigo Brilliance Shampoo &amp; Conditioner Set For Coarse Hair, For Color Protection &amp; Color Vibrancy</t>
        </is>
      </c>
      <c r="E335" s="2">
        <f>HYPERLINK("https://www.amazon.com/Wella-Professionals-Brilliance-Conditioner-Protection/dp/B0B92RMWFN/ref=sr_1_5?keywords=Wella+Invigo+Shampoo+300ml&amp;qid=1695259854&amp;sr=8-5", "https://www.amazon.com/Wella-Professionals-Brilliance-Conditioner-Protection/dp/B0B92RMWFN/ref=sr_1_5?keywords=Wella+Invigo+Shampoo+300ml&amp;qid=1695259854&amp;sr=8-5")</f>
        <v/>
      </c>
      <c r="F335" t="inlineStr">
        <is>
          <t>B0B92RMWFN</t>
        </is>
      </c>
      <c r="G335">
        <f>IMAGE("https://richardkroll.com/wp-content/uploads/2022/04/CD51E0C3-1E5C-4FDC-81A9-942D102BED21-600x800.png")</f>
        <v/>
      </c>
      <c r="H335">
        <f>IMAGE("https://m.media-amazon.com/images/I/61aEWUf7+fL._AC_UL320_.jpg")</f>
        <v/>
      </c>
      <c r="I335" t="inlineStr">
        <is>
          <t>17.5</t>
        </is>
      </c>
      <c r="J335" t="n">
        <v>39.8</v>
      </c>
      <c r="K335" s="3" t="inlineStr">
        <is>
          <t>127.43%</t>
        </is>
      </c>
      <c r="L335" t="n">
        <v>4.5</v>
      </c>
      <c r="M335" t="n">
        <v>42</v>
      </c>
      <c r="O335" t="inlineStr">
        <is>
          <t>InStock</t>
        </is>
      </c>
      <c r="P335" t="inlineStr">
        <is>
          <t>undefined</t>
        </is>
      </c>
      <c r="Q335" t="inlineStr">
        <is>
          <t>undefined</t>
        </is>
      </c>
    </row>
    <row r="336">
      <c r="A336" s="2">
        <f>HYPERLINK("https://richardkroll.com/product/wella-invigo-shampoo-300ml/", "https://richardkroll.com/product/wella-invigo-shampoo-300ml/")</f>
        <v/>
      </c>
      <c r="B336" s="2">
        <f>HYPERLINK("https://richardkroll.com/product/wella-invigo-shampoo-300ml/", "https://richardkroll.com/product/wella-invigo-shampoo-300ml/")</f>
        <v/>
      </c>
      <c r="C336" t="inlineStr">
        <is>
          <t>Wella Invigo Shampoo 300ml</t>
        </is>
      </c>
      <c r="D336" t="inlineStr">
        <is>
          <t>Wella Professionals Invigo Nutri-Enrich Shampoo &amp; Conditioner Set, Deep Moisturizing, For Dry &amp; Damaged Hair</t>
        </is>
      </c>
      <c r="E336" s="2">
        <f>HYPERLINK("https://www.amazon.com/Wella-Professionals-Nutri-Enrich-Conditioner-Moisturizing/dp/B0B91YPTQ2/ref=sr_1_7?keywords=Wella+Invigo+Shampoo+300ml&amp;qid=1695259854&amp;sr=8-7", "https://www.amazon.com/Wella-Professionals-Nutri-Enrich-Conditioner-Moisturizing/dp/B0B91YPTQ2/ref=sr_1_7?keywords=Wella+Invigo+Shampoo+300ml&amp;qid=1695259854&amp;sr=8-7")</f>
        <v/>
      </c>
      <c r="F336" t="inlineStr">
        <is>
          <t>B0B91YPTQ2</t>
        </is>
      </c>
      <c r="G336">
        <f>IMAGE("https://richardkroll.com/wp-content/uploads/2022/04/CD51E0C3-1E5C-4FDC-81A9-942D102BED21-600x800.png")</f>
        <v/>
      </c>
      <c r="H336">
        <f>IMAGE("https://m.media-amazon.com/images/I/61b5YyC8PVL._AC_UL320_.jpg")</f>
        <v/>
      </c>
      <c r="I336" t="inlineStr">
        <is>
          <t>17.5</t>
        </is>
      </c>
      <c r="J336" t="n">
        <v>39.8</v>
      </c>
      <c r="K336" s="3" t="inlineStr">
        <is>
          <t>127.43%</t>
        </is>
      </c>
      <c r="L336" t="n">
        <v>4.4</v>
      </c>
      <c r="M336" t="n">
        <v>64</v>
      </c>
      <c r="O336" t="inlineStr">
        <is>
          <t>InStock</t>
        </is>
      </c>
      <c r="P336" t="inlineStr">
        <is>
          <t>undefined</t>
        </is>
      </c>
      <c r="Q336" t="inlineStr">
        <is>
          <t>undefined</t>
        </is>
      </c>
    </row>
    <row r="337">
      <c r="A337" s="2">
        <f>HYPERLINK("https://richardkroll.com/product/wella-color-motion-shampoo-250ml/", "https://richardkroll.com/product/wella-color-motion-shampoo-250ml/")</f>
        <v/>
      </c>
      <c r="B337" s="2">
        <f>HYPERLINK("https://richardkroll.com/product/wella-color-motion-shampoo-250ml/", "https://richardkroll.com/product/wella-color-motion-shampoo-250ml/")</f>
        <v/>
      </c>
      <c r="C337" t="inlineStr">
        <is>
          <t>Wella Color Motion Shampoo 250ml</t>
        </is>
      </c>
      <c r="D337" t="inlineStr">
        <is>
          <t>Wella Professionals ColorMotion+, Color Protection Shampoo For Colored Hair, Preserves Smoothness and Shine While Strengthening Hair, 33.8oz</t>
        </is>
      </c>
      <c r="E337" s="2">
        <f>HYPERLINK("https://www.amazon.com/Color-Motion-Protection-Moisturizing-Conditioner/dp/B08JD3GYH1/ref=sr_1_2?keywords=Wella+Color+Motion+Shampoo+250ml&amp;qid=1695259840&amp;sr=8-2", "https://www.amazon.com/Color-Motion-Protection-Moisturizing-Conditioner/dp/B08JD3GYH1/ref=sr_1_2?keywords=Wella+Color+Motion+Shampoo+250ml&amp;qid=1695259840&amp;sr=8-2")</f>
        <v/>
      </c>
      <c r="F337" t="inlineStr">
        <is>
          <t>B08JD3GYH1</t>
        </is>
      </c>
      <c r="G337">
        <f>IMAGE("https://richardkroll.com/wp-content/uploads/2022/04/74E9BA1C-0B1C-4AAF-981F-58BC4FA77B4B-600x800.png")</f>
        <v/>
      </c>
      <c r="H337">
        <f>IMAGE("https://m.media-amazon.com/images/I/71u3AfApmjL._AC_UL320_.jpg")</f>
        <v/>
      </c>
      <c r="I337" t="inlineStr">
        <is>
          <t>24.0</t>
        </is>
      </c>
      <c r="J337" t="n">
        <v>54.3</v>
      </c>
      <c r="K337" s="3" t="inlineStr">
        <is>
          <t>126.25%</t>
        </is>
      </c>
      <c r="L337" t="n">
        <v>4.5</v>
      </c>
      <c r="M337" t="n">
        <v>60</v>
      </c>
      <c r="O337" t="inlineStr">
        <is>
          <t>InStock</t>
        </is>
      </c>
      <c r="P337" t="inlineStr">
        <is>
          <t>undefined</t>
        </is>
      </c>
      <c r="Q337" t="inlineStr">
        <is>
          <t>undefined</t>
        </is>
      </c>
    </row>
    <row r="338">
      <c r="A338" s="2">
        <f>HYPERLINK("https://richardkroll.com/product/wella-elements-shampoo-250ml/", "https://richardkroll.com/product/wella-elements-shampoo-250ml/")</f>
        <v/>
      </c>
      <c r="B338" s="2">
        <f>HYPERLINK("https://richardkroll.com/product/wella-elements-shampoo-250ml/", "https://richardkroll.com/product/wella-elements-shampoo-250ml/")</f>
        <v/>
      </c>
      <c r="C338" t="inlineStr">
        <is>
          <t>Wella Elements Shampoo 250ml</t>
        </is>
      </c>
      <c r="D338" t="inlineStr">
        <is>
          <t>Wella Professionals Elements Renewing Shampoo, Formulated with Natural Ingredients, Sulfate and Silicone Free Shampoo, For All Hair Types</t>
        </is>
      </c>
      <c r="E338" s="2">
        <f>HYPERLINK("https://www.amazon.com/Professionals-Elements-Renewing-Shampoo-Silicone/dp/B0B258JPHC/ref=sr_1_3?keywords=Wella+Elements+Shampoo+250ml&amp;qid=1695259844&amp;sr=8-3", "https://www.amazon.com/Professionals-Elements-Renewing-Shampoo-Silicone/dp/B0B258JPHC/ref=sr_1_3?keywords=Wella+Elements+Shampoo+250ml&amp;qid=1695259844&amp;sr=8-3")</f>
        <v/>
      </c>
      <c r="F338" t="inlineStr">
        <is>
          <t>B0B258JPHC</t>
        </is>
      </c>
      <c r="G338">
        <f>IMAGE("https://richardkroll.com/wp-content/uploads/2022/04/62D6864A-36A5-4B22-9191-42BD61F06642-600x800.png")</f>
        <v/>
      </c>
      <c r="H338">
        <f>IMAGE("https://m.media-amazon.com/images/I/61hUbxmrIxL._AC_UL320_.jpg")</f>
        <v/>
      </c>
      <c r="I338" t="inlineStr">
        <is>
          <t>24.0</t>
        </is>
      </c>
      <c r="J338" t="n">
        <v>54.3</v>
      </c>
      <c r="K338" s="3" t="inlineStr">
        <is>
          <t>126.25%</t>
        </is>
      </c>
      <c r="L338" t="n">
        <v>5</v>
      </c>
      <c r="M338" t="n">
        <v>8</v>
      </c>
      <c r="O338" t="inlineStr">
        <is>
          <t>InStock</t>
        </is>
      </c>
      <c r="P338" t="inlineStr">
        <is>
          <t>undefined</t>
        </is>
      </c>
      <c r="Q338" t="inlineStr">
        <is>
          <t>undefined</t>
        </is>
      </c>
    </row>
    <row r="339">
      <c r="A339" s="2">
        <f>HYPERLINK("https://richardkroll.com/product/all-nutrient-protect-shampoo-colorsafe-12oz/", "https://richardkroll.com/product/all-nutrient-protect-shampoo-colorsafe-12oz/")</f>
        <v/>
      </c>
      <c r="B339" s="2">
        <f>HYPERLINK("https://richardkroll.com/product/all-nutrient-protect-shampoo-colorsafe-12oz/", "https://richardkroll.com/product/all-nutrient-protect-shampoo-colorsafe-12oz/")</f>
        <v/>
      </c>
      <c r="C339" t="inlineStr">
        <is>
          <t>All-Nutrient Colorsafe Shampoo 350ml</t>
        </is>
      </c>
      <c r="D339" t="inlineStr">
        <is>
          <t>All-Nutrient Colorsafe Nourishing Shampoo &amp; Conditioner 12 Oz</t>
        </is>
      </c>
      <c r="E339" s="2">
        <f>HYPERLINK("https://www.amazon.com/All-Nutrient-Colorsafe-Nourishing-Shampoo-Conditioner/dp/B0085XI8QW/ref=sr_1_2?keywords=All-Nutrient+Colorsafe+Shampoo+350ml&amp;qid=1695259833&amp;sr=8-2", "https://www.amazon.com/All-Nutrient-Colorsafe-Nourishing-Shampoo-Conditioner/dp/B0085XI8QW/ref=sr_1_2?keywords=All-Nutrient+Colorsafe+Shampoo+350ml&amp;qid=1695259833&amp;sr=8-2")</f>
        <v/>
      </c>
      <c r="F339" t="inlineStr">
        <is>
          <t>B0085XI8QW</t>
        </is>
      </c>
      <c r="G339">
        <f>IMAGE("https://richardkroll.com/wp-content/uploads/2021/09/all-nutrient-colorsafe-shampoo-600x800.webp")</f>
        <v/>
      </c>
      <c r="H339">
        <f>IMAGE("https://m.media-amazon.com/images/I/31ba8MCAz1L._AC_UL320_.jpg")</f>
        <v/>
      </c>
      <c r="I339" t="inlineStr">
        <is>
          <t>16.0</t>
        </is>
      </c>
      <c r="J339" t="n">
        <v>35.99</v>
      </c>
      <c r="K339" s="3" t="inlineStr">
        <is>
          <t>124.94%</t>
        </is>
      </c>
      <c r="L339" t="n">
        <v>4.3</v>
      </c>
      <c r="M339" t="n">
        <v>46</v>
      </c>
      <c r="O339" t="inlineStr">
        <is>
          <t>InStock</t>
        </is>
      </c>
      <c r="P339" t="inlineStr">
        <is>
          <t>undefined</t>
        </is>
      </c>
      <c r="Q339" t="inlineStr">
        <is>
          <t>ANPS</t>
        </is>
      </c>
    </row>
    <row r="340">
      <c r="A340" s="2">
        <f>HYPERLINK("https://richardkroll.com/product/all-nutrient-volumize-conditioner-raspbody/", "https://richardkroll.com/product/all-nutrient-volumize-conditioner-raspbody/")</f>
        <v/>
      </c>
      <c r="B340" s="2">
        <f>HYPERLINK("https://richardkroll.com/product/all-nutrient-volumize-conditioner-raspbody/", "https://richardkroll.com/product/all-nutrient-volumize-conditioner-raspbody/")</f>
        <v/>
      </c>
      <c r="C340" t="inlineStr">
        <is>
          <t>All Nutrient Volumize Conditioner</t>
        </is>
      </c>
      <c r="D340" t="inlineStr">
        <is>
          <t>All-Nutrient Colorsafe Nourishing Shampoo &amp; Conditioner 12 Oz</t>
        </is>
      </c>
      <c r="E340" s="2">
        <f>HYPERLINK("https://www.amazon.com/All-Nutrient-Colorsafe-Nourishing-Shampoo-Conditioner/dp/B0085XI8QW/ref=sr_1_7?keywords=All+Nutrient+Volumize+Conditioner&amp;qid=1695259821&amp;sr=8-7", "https://www.amazon.com/All-Nutrient-Colorsafe-Nourishing-Shampoo-Conditioner/dp/B0085XI8QW/ref=sr_1_7?keywords=All+Nutrient+Volumize+Conditioner&amp;qid=1695259821&amp;sr=8-7")</f>
        <v/>
      </c>
      <c r="F340" t="inlineStr">
        <is>
          <t>B0085XI8QW</t>
        </is>
      </c>
      <c r="G340">
        <f>IMAGE("https://richardkroll.com/wp-content/uploads/2016/08/Volumize-Conditioner-600x800.jpg")</f>
        <v/>
      </c>
      <c r="H340">
        <f>IMAGE("https://m.media-amazon.com/images/I/31ba8MCAz1L._AC_UL320_.jpg")</f>
        <v/>
      </c>
      <c r="I340" t="inlineStr">
        <is>
          <t>16.0</t>
        </is>
      </c>
      <c r="J340" t="n">
        <v>35.99</v>
      </c>
      <c r="K340" s="3" t="inlineStr">
        <is>
          <t>124.94%</t>
        </is>
      </c>
      <c r="L340" t="n">
        <v>4.3</v>
      </c>
      <c r="M340" t="n">
        <v>46</v>
      </c>
      <c r="O340" t="inlineStr">
        <is>
          <t>InStock</t>
        </is>
      </c>
      <c r="P340" t="inlineStr">
        <is>
          <t>undefined</t>
        </is>
      </c>
      <c r="Q340" t="inlineStr">
        <is>
          <t>ALVC</t>
        </is>
      </c>
    </row>
    <row r="341">
      <c r="A341" s="2">
        <f>HYPERLINK("https://richardkroll.com/product/all-nutrient-volumize-conditioner-raspbody/", "https://richardkroll.com/product/all-nutrient-volumize-conditioner-raspbody/")</f>
        <v/>
      </c>
      <c r="B341" s="2">
        <f>HYPERLINK("https://richardkroll.com/product/all-nutrient-volumize-conditioner-raspbody/", "https://richardkroll.com/product/all-nutrient-volumize-conditioner-raspbody/")</f>
        <v/>
      </c>
      <c r="C341" t="inlineStr">
        <is>
          <t>All Nutrient Volumize Conditioner</t>
        </is>
      </c>
      <c r="D341" t="inlineStr">
        <is>
          <t>All Nutrient Volumize Conditioner 25oz</t>
        </is>
      </c>
      <c r="E341" s="2">
        <f>HYPERLINK("https://www.amazon.com/All-Nutrient-Volumize-Conditioner-25oz/dp/B0143NQXGE/ref=sr_1_3?keywords=All+Nutrient+Volumize+Conditioner&amp;qid=1695259821&amp;sr=8-3", "https://www.amazon.com/All-Nutrient-Volumize-Conditioner-25oz/dp/B0143NQXGE/ref=sr_1_3?keywords=All+Nutrient+Volumize+Conditioner&amp;qid=1695259821&amp;sr=8-3")</f>
        <v/>
      </c>
      <c r="F341" t="inlineStr">
        <is>
          <t>B0143NQXGE</t>
        </is>
      </c>
      <c r="G341">
        <f>IMAGE("https://richardkroll.com/wp-content/uploads/2016/08/Volumize-Conditioner-600x800.jpg")</f>
        <v/>
      </c>
      <c r="H341">
        <f>IMAGE("https://m.media-amazon.com/images/I/71M3TSbrqWL._AC_UL320_.jpg")</f>
        <v/>
      </c>
      <c r="I341" t="inlineStr">
        <is>
          <t>16.0</t>
        </is>
      </c>
      <c r="J341" t="n">
        <v>35.82</v>
      </c>
      <c r="K341" s="3" t="inlineStr">
        <is>
          <t>123.88%</t>
        </is>
      </c>
      <c r="L341" t="n">
        <v>4.8</v>
      </c>
      <c r="M341" t="n">
        <v>9</v>
      </c>
      <c r="O341" t="inlineStr">
        <is>
          <t>InStock</t>
        </is>
      </c>
      <c r="P341" t="inlineStr">
        <is>
          <t>undefined</t>
        </is>
      </c>
      <c r="Q341" t="inlineStr">
        <is>
          <t>ALVC</t>
        </is>
      </c>
    </row>
    <row r="342">
      <c r="A342" s="2">
        <f>HYPERLINK("https://richardkroll.com/product/sebastian-light-shampoo-250ml/", "https://richardkroll.com/product/sebastian-light-shampoo-250ml/")</f>
        <v/>
      </c>
      <c r="B342" s="2">
        <f>HYPERLINK("https://richardkroll.com/product/sebastian-light-shampoo-250ml/", "https://richardkroll.com/product/sebastian-light-shampoo-250ml/")</f>
        <v/>
      </c>
      <c r="C342" t="inlineStr">
        <is>
          <t>Sebastian Light Shampoo 250ml</t>
        </is>
      </c>
      <c r="D342" t="inlineStr">
        <is>
          <t>Sebastian Professional Dark Oil Lightweight Shampoo &amp; Conditioner Set, Infused With Jojoba &amp; Argan Oil</t>
        </is>
      </c>
      <c r="E342" s="2">
        <f>HYPERLINK("https://www.amazon.com/Sebastian-Professional-Lightweight-Shampoo-Conditioner/dp/B09Z7DT3X9/ref=sr_1_10?keywords=Sebastian+Light+Shampoo+250ml&amp;qid=1695259831&amp;sr=8-10", "https://www.amazon.com/Sebastian-Professional-Lightweight-Shampoo-Conditioner/dp/B09Z7DT3X9/ref=sr_1_10?keywords=Sebastian+Light+Shampoo+250ml&amp;qid=1695259831&amp;sr=8-10")</f>
        <v/>
      </c>
      <c r="F342" t="inlineStr">
        <is>
          <t>B09Z7DT3X9</t>
        </is>
      </c>
      <c r="G342">
        <f>IMAGE("https://richardkroll.com/wp-content/uploads/2021/09/Sebastian-Light-Shampoo-600x800.png")</f>
        <v/>
      </c>
      <c r="H342">
        <f>IMAGE("https://m.media-amazon.com/images/I/718Pi2SXkDL._AC_UL320_.jpg")</f>
        <v/>
      </c>
      <c r="I342" t="inlineStr">
        <is>
          <t>18.5</t>
        </is>
      </c>
      <c r="J342" t="n">
        <v>41</v>
      </c>
      <c r="K342" s="3" t="inlineStr">
        <is>
          <t>121.62%</t>
        </is>
      </c>
      <c r="L342" t="n">
        <v>4.8</v>
      </c>
      <c r="M342" t="n">
        <v>205</v>
      </c>
      <c r="O342" t="inlineStr">
        <is>
          <t>InStock</t>
        </is>
      </c>
      <c r="P342" t="inlineStr">
        <is>
          <t>undefined</t>
        </is>
      </c>
      <c r="Q342" t="inlineStr">
        <is>
          <t>undefined</t>
        </is>
      </c>
    </row>
    <row r="343">
      <c r="A343" s="2">
        <f>HYPERLINK("https://richardkroll.com/product/wella-invigo-shampoo-300ml/", "https://richardkroll.com/product/wella-invigo-shampoo-300ml/")</f>
        <v/>
      </c>
      <c r="B343" s="2">
        <f>HYPERLINK("https://richardkroll.com/product/wella-invigo-shampoo-300ml/", "https://richardkroll.com/product/wella-invigo-shampoo-300ml/")</f>
        <v/>
      </c>
      <c r="C343" t="inlineStr">
        <is>
          <t>Wella Invigo Shampoo 300ml</t>
        </is>
      </c>
      <c r="D343" t="inlineStr">
        <is>
          <t>WELLA PROFESSIONALS Invigo Brilliance Shampoo for Fine Normal Colored Hair, Professional Color Protecting &amp; Color Vibrancy Shampoo, 33.8 Fl oz</t>
        </is>
      </c>
      <c r="E343" s="2">
        <f>HYPERLINK("https://www.amazon.com/Professionals-Brilliance-Professional-Protecting-Vibrancy/dp/B0BQ3FGHDQ/ref=sr_1_1?keywords=Wella+Invigo+Shampoo+300ml&amp;qid=1695259854&amp;sr=8-1", "https://www.amazon.com/Professionals-Brilliance-Professional-Protecting-Vibrancy/dp/B0BQ3FGHDQ/ref=sr_1_1?keywords=Wella+Invigo+Shampoo+300ml&amp;qid=1695259854&amp;sr=8-1")</f>
        <v/>
      </c>
      <c r="F343" t="inlineStr">
        <is>
          <t>B0BQ3FGHDQ</t>
        </is>
      </c>
      <c r="G343">
        <f>IMAGE("https://richardkroll.com/wp-content/uploads/2022/04/CD51E0C3-1E5C-4FDC-81A9-942D102BED21-600x800.png")</f>
        <v/>
      </c>
      <c r="H343">
        <f>IMAGE("https://m.media-amazon.com/images/I/61W2mQFVZ1L._AC_UL320_.jpg")</f>
        <v/>
      </c>
      <c r="I343" t="inlineStr">
        <is>
          <t>17.5</t>
        </is>
      </c>
      <c r="J343" t="n">
        <v>38.4</v>
      </c>
      <c r="K343" s="3" t="inlineStr">
        <is>
          <t>119.43%</t>
        </is>
      </c>
      <c r="L343" t="n">
        <v>4.5</v>
      </c>
      <c r="M343" t="n">
        <v>123</v>
      </c>
      <c r="O343" t="inlineStr">
        <is>
          <t>InStock</t>
        </is>
      </c>
      <c r="P343" t="inlineStr">
        <is>
          <t>undefined</t>
        </is>
      </c>
      <c r="Q343" t="inlineStr">
        <is>
          <t>undefined</t>
        </is>
      </c>
    </row>
    <row r="344">
      <c r="A344" s="2">
        <f>HYPERLINK("https://richardkroll.com/product/wella-invigo-shampoo-300ml/", "https://richardkroll.com/product/wella-invigo-shampoo-300ml/")</f>
        <v/>
      </c>
      <c r="B344" s="2">
        <f>HYPERLINK("https://richardkroll.com/product/wella-invigo-shampoo-300ml/", "https://richardkroll.com/product/wella-invigo-shampoo-300ml/")</f>
        <v/>
      </c>
      <c r="C344" t="inlineStr">
        <is>
          <t>Wella Invigo Shampoo 300ml</t>
        </is>
      </c>
      <c r="D344" t="inlineStr">
        <is>
          <t>WELLA PROFESSIONALS Invigo Nutri-Enrich Shampoo, Professional Deep Nourishing Shampoo For Dry &amp; Damaged Hair, 33.8 Fl oz</t>
        </is>
      </c>
      <c r="E344" s="2">
        <f>HYPERLINK("https://www.amazon.com/Wella-Invigo-Nutri-Enrich-Nourishing-Shampoo/dp/B08BZXBKFY/ref=sr_1_3?keywords=Wella+Invigo+Shampoo+300ml&amp;qid=1695259854&amp;sr=8-3", "https://www.amazon.com/Wella-Invigo-Nutri-Enrich-Nourishing-Shampoo/dp/B08BZXBKFY/ref=sr_1_3?keywords=Wella+Invigo+Shampoo+300ml&amp;qid=1695259854&amp;sr=8-3")</f>
        <v/>
      </c>
      <c r="F344" t="inlineStr">
        <is>
          <t>B08BZXBKFY</t>
        </is>
      </c>
      <c r="G344">
        <f>IMAGE("https://richardkroll.com/wp-content/uploads/2022/04/CD51E0C3-1E5C-4FDC-81A9-942D102BED21-600x800.png")</f>
        <v/>
      </c>
      <c r="H344">
        <f>IMAGE("https://m.media-amazon.com/images/I/61eUwv2nqUL._AC_UL320_.jpg")</f>
        <v/>
      </c>
      <c r="I344" t="inlineStr">
        <is>
          <t>17.5</t>
        </is>
      </c>
      <c r="J344" t="n">
        <v>38.4</v>
      </c>
      <c r="K344" s="3" t="inlineStr">
        <is>
          <t>119.43%</t>
        </is>
      </c>
      <c r="L344" t="n">
        <v>4.5</v>
      </c>
      <c r="M344" t="n">
        <v>357</v>
      </c>
      <c r="O344" t="inlineStr">
        <is>
          <t>InStock</t>
        </is>
      </c>
      <c r="P344" t="inlineStr">
        <is>
          <t>undefined</t>
        </is>
      </c>
      <c r="Q344" t="inlineStr">
        <is>
          <t>undefined</t>
        </is>
      </c>
    </row>
    <row r="345">
      <c r="A345" s="2">
        <f>HYPERLINK("https://richardkroll.com/product/sebastian-dark-oil-conditioner-250ml/", "https://richardkroll.com/product/sebastian-dark-oil-conditioner-250ml/")</f>
        <v/>
      </c>
      <c r="B345" s="2">
        <f>HYPERLINK("https://richardkroll.com/product/sebastian-dark-oil-conditioner-250ml/", "https://richardkroll.com/product/sebastian-dark-oil-conditioner-250ml/")</f>
        <v/>
      </c>
      <c r="C345" t="inlineStr">
        <is>
          <t>Sebastian Dark Oil Conditioner 250ml</t>
        </is>
      </c>
      <c r="D345" t="inlineStr">
        <is>
          <t>Sebastian Professional Dark Oil Lightweight Conditioner, Infused With Jojoba Oil &amp; Argan Oil, 33.8 fl oz</t>
        </is>
      </c>
      <c r="E345" s="2">
        <f>HYPERLINK("https://www.amazon.com/Lightweight-Conditioner-Jojoba-Argan-33-79/dp/B07TFVCPBS/ref=sr_1_1?keywords=Sebastian+Dark+Oil+Conditioner+250ml&amp;qid=1695259838&amp;sr=8-1", "https://www.amazon.com/Lightweight-Conditioner-Jojoba-Argan-33-79/dp/B07TFVCPBS/ref=sr_1_1?keywords=Sebastian+Dark+Oil+Conditioner+250ml&amp;qid=1695259838&amp;sr=8-1")</f>
        <v/>
      </c>
      <c r="F345" t="inlineStr">
        <is>
          <t>B07TFVCPBS</t>
        </is>
      </c>
      <c r="G345">
        <f>IMAGE("https://richardkroll.com/wp-content/uploads/2022/04/Dark-Oil-Conditioner-600x800.jpg")</f>
        <v/>
      </c>
      <c r="H345">
        <f>IMAGE("https://m.media-amazon.com/images/I/71L9cznJMfL._AC_UL320_.jpg")</f>
        <v/>
      </c>
      <c r="I345" t="inlineStr">
        <is>
          <t>22.0</t>
        </is>
      </c>
      <c r="J345" t="n">
        <v>48</v>
      </c>
      <c r="K345" s="3" t="inlineStr">
        <is>
          <t>118.18%</t>
        </is>
      </c>
      <c r="L345" t="n">
        <v>4.6</v>
      </c>
      <c r="M345" t="n">
        <v>411</v>
      </c>
      <c r="O345" t="inlineStr">
        <is>
          <t>InStock</t>
        </is>
      </c>
      <c r="P345" t="inlineStr">
        <is>
          <t>undefined</t>
        </is>
      </c>
      <c r="Q345" t="inlineStr">
        <is>
          <t>undefined</t>
        </is>
      </c>
    </row>
    <row r="346">
      <c r="A346" s="2">
        <f>HYPERLINK("https://richardkroll.com/product/sebastian-dark-oil-lightweight-shampoo-250ml/", "https://richardkroll.com/product/sebastian-dark-oil-lightweight-shampoo-250ml/")</f>
        <v/>
      </c>
      <c r="B346" s="2">
        <f>HYPERLINK("https://richardkroll.com/product/sebastian-dark-oil-lightweight-shampoo-250ml/", "https://richardkroll.com/product/sebastian-dark-oil-lightweight-shampoo-250ml/")</f>
        <v/>
      </c>
      <c r="C346" t="inlineStr">
        <is>
          <t>Sebastian Dark Oil Lightweight Shampoo 250ml</t>
        </is>
      </c>
      <c r="D346" t="inlineStr">
        <is>
          <t>Sebastian Professional Dark Oil Lightweight Shampoo &amp; Conditioner Set, Infused With Jojoba &amp; Argan Oil</t>
        </is>
      </c>
      <c r="E346" s="2">
        <f>HYPERLINK("https://www.amazon.com/Sebastian-Professional-Lightweight-Shampoo-Conditioner/dp/B09Z7DT3X9/ref=sr_1_3?keywords=Sebastian+Dark+Oil+Lightweight+Shampoo+250ml&amp;qid=1695259828&amp;sr=8-3", "https://www.amazon.com/Sebastian-Professional-Lightweight-Shampoo-Conditioner/dp/B09Z7DT3X9/ref=sr_1_3?keywords=Sebastian+Dark+Oil+Lightweight+Shampoo+250ml&amp;qid=1695259828&amp;sr=8-3")</f>
        <v/>
      </c>
      <c r="F346" t="inlineStr">
        <is>
          <t>B09Z7DT3X9</t>
        </is>
      </c>
      <c r="G346">
        <f>IMAGE("https://richardkroll.com/wp-content/uploads/2022/04/Dark-Oil-Shampoo-600x800.jpg")</f>
        <v/>
      </c>
      <c r="H346">
        <f>IMAGE("https://m.media-amazon.com/images/I/718Pi2SXkDL._AC_UL320_.jpg")</f>
        <v/>
      </c>
      <c r="I346" t="inlineStr">
        <is>
          <t>19.0</t>
        </is>
      </c>
      <c r="J346" t="n">
        <v>41</v>
      </c>
      <c r="K346" s="3" t="inlineStr">
        <is>
          <t>115.79%</t>
        </is>
      </c>
      <c r="L346" t="n">
        <v>4.8</v>
      </c>
      <c r="M346" t="n">
        <v>205</v>
      </c>
      <c r="O346" t="inlineStr">
        <is>
          <t>InStock</t>
        </is>
      </c>
      <c r="P346" t="inlineStr">
        <is>
          <t>undefined</t>
        </is>
      </c>
      <c r="Q346" t="inlineStr">
        <is>
          <t>undefined</t>
        </is>
      </c>
    </row>
    <row r="347">
      <c r="A347" s="2">
        <f>HYPERLINK("https://richardkroll.com/product/sebastian-penetraitt-shampoo-250ml/", "https://richardkroll.com/product/sebastian-penetraitt-shampoo-250ml/")</f>
        <v/>
      </c>
      <c r="B347" s="2">
        <f>HYPERLINK("https://richardkroll.com/product/sebastian-penetraitt-shampoo-250ml/", "https://richardkroll.com/product/sebastian-penetraitt-shampoo-250ml/")</f>
        <v/>
      </c>
      <c r="C347" t="inlineStr">
        <is>
          <t>Sebastian Penetraitt Shampoo 250ml</t>
        </is>
      </c>
      <c r="D347" t="inlineStr">
        <is>
          <t>Sebastian Professional Penetraitt Shampoo &amp; Conditioner, Strengthening &amp; Repair, For Damaged &amp; Colored Treated Hair</t>
        </is>
      </c>
      <c r="E347" s="2">
        <f>HYPERLINK("https://www.amazon.com/Sebastian-Penetraitt-Stengthening-and-Repair-Conditioner/dp/B07WZRNRZ2/ref=sr_1_1?keywords=Sebastian+Penetraitt+Shampoo+250ml&amp;qid=1695259846&amp;sr=8-1", "https://www.amazon.com/Sebastian-Penetraitt-Stengthening-and-Repair-Conditioner/dp/B07WZRNRZ2/ref=sr_1_1?keywords=Sebastian+Penetraitt+Shampoo+250ml&amp;qid=1695259846&amp;sr=8-1")</f>
        <v/>
      </c>
      <c r="F347" t="inlineStr">
        <is>
          <t>B07WZRNRZ2</t>
        </is>
      </c>
      <c r="G347">
        <f>IMAGE("https://richardkroll.com/wp-content/uploads/2016/08/sebastian-penetraitt-250g-600x800.jpg")</f>
        <v/>
      </c>
      <c r="H347">
        <f>IMAGE("https://m.media-amazon.com/images/I/51+-iIqb0bL._AC_UL320_.jpg")</f>
        <v/>
      </c>
      <c r="I347" t="inlineStr">
        <is>
          <t>19.75</t>
        </is>
      </c>
      <c r="J347" t="n">
        <v>42</v>
      </c>
      <c r="K347" s="3" t="inlineStr">
        <is>
          <t>112.66%</t>
        </is>
      </c>
      <c r="L347" t="n">
        <v>4.8</v>
      </c>
      <c r="M347" t="n">
        <v>1279</v>
      </c>
      <c r="O347" t="inlineStr">
        <is>
          <t>InStock</t>
        </is>
      </c>
      <c r="P347" t="inlineStr">
        <is>
          <t>undefined</t>
        </is>
      </c>
      <c r="Q347" t="inlineStr">
        <is>
          <t>undefined</t>
        </is>
      </c>
    </row>
    <row r="348">
      <c r="A348" s="2">
        <f>HYPERLINK("https://richardkroll.com/product/sebastian-dark-oil-conditioner-250ml/", "https://richardkroll.com/product/sebastian-dark-oil-conditioner-250ml/")</f>
        <v/>
      </c>
      <c r="B348" s="2">
        <f>HYPERLINK("https://richardkroll.com/product/sebastian-dark-oil-conditioner-250ml/", "https://richardkroll.com/product/sebastian-dark-oil-conditioner-250ml/")</f>
        <v/>
      </c>
      <c r="C348" t="inlineStr">
        <is>
          <t>Sebastian Dark Oil Conditioner 250ml</t>
        </is>
      </c>
      <c r="D348" t="inlineStr">
        <is>
          <t>Sebastian Professional Dark Oil Lightweight Shampoo &amp; Conditioner, Infused With Jojoba &amp; Argan Oil</t>
        </is>
      </c>
      <c r="E348" s="2">
        <f>HYPERLINK("https://www.amazon.com/Lightweight-Shampoo-Jojoba-Argan-33-79/dp/B07TDR1H6H/ref=sr_1_4?keywords=Sebastian+Dark+Oil+Conditioner+250ml&amp;qid=1695259838&amp;sr=8-4", "https://www.amazon.com/Lightweight-Shampoo-Jojoba-Argan-33-79/dp/B07TDR1H6H/ref=sr_1_4?keywords=Sebastian+Dark+Oil+Conditioner+250ml&amp;qid=1695259838&amp;sr=8-4")</f>
        <v/>
      </c>
      <c r="F348" t="inlineStr">
        <is>
          <t>B07TDR1H6H</t>
        </is>
      </c>
      <c r="G348">
        <f>IMAGE("https://richardkroll.com/wp-content/uploads/2022/04/Dark-Oil-Conditioner-600x800.jpg")</f>
        <v/>
      </c>
      <c r="H348">
        <f>IMAGE("https://m.media-amazon.com/images/I/61vs5x1aRAL._AC_UL320_.jpg")</f>
        <v/>
      </c>
      <c r="I348" t="inlineStr">
        <is>
          <t>22.0</t>
        </is>
      </c>
      <c r="J348" t="n">
        <v>46</v>
      </c>
      <c r="K348" s="3" t="inlineStr">
        <is>
          <t>109.09%</t>
        </is>
      </c>
      <c r="L348" t="n">
        <v>4.7</v>
      </c>
      <c r="M348" t="n">
        <v>1345</v>
      </c>
      <c r="O348" t="inlineStr">
        <is>
          <t>InStock</t>
        </is>
      </c>
      <c r="P348" t="inlineStr">
        <is>
          <t>undefined</t>
        </is>
      </c>
      <c r="Q348" t="inlineStr">
        <is>
          <t>undefined</t>
        </is>
      </c>
    </row>
    <row r="349">
      <c r="A349" s="2">
        <f>HYPERLINK("https://richardkroll.com/product/wella-color-motion-shampoo-250ml/", "https://richardkroll.com/product/wella-color-motion-shampoo-250ml/")</f>
        <v/>
      </c>
      <c r="B349" s="2">
        <f>HYPERLINK("https://richardkroll.com/product/wella-color-motion-shampoo-250ml/", "https://richardkroll.com/product/wella-color-motion-shampoo-250ml/")</f>
        <v/>
      </c>
      <c r="C349" t="inlineStr">
        <is>
          <t>Wella Color Motion Shampoo 250ml</t>
        </is>
      </c>
      <c r="D349" t="inlineStr">
        <is>
          <t>Wella Professionals ColorMotion+, Color Protection Shampoo + Conditioner Set, For Colored Hair, Preserves Smoothness and Shine While Strengthening + Moisturizing Hair</t>
        </is>
      </c>
      <c r="E349" s="2">
        <f>HYPERLINK("https://www.amazon.com/Professionals-ColorMotion-Conditioner-Strengthening-Moisturizing/dp/B0BZGT2HBB/ref=sr_1_1?keywords=Wella+Color+Motion+Shampoo+250ml&amp;qid=1695259840&amp;sr=8-1", "https://www.amazon.com/Professionals-ColorMotion-Conditioner-Strengthening-Moisturizing/dp/B0BZGT2HBB/ref=sr_1_1?keywords=Wella+Color+Motion+Shampoo+250ml&amp;qid=1695259840&amp;sr=8-1")</f>
        <v/>
      </c>
      <c r="F349" t="inlineStr">
        <is>
          <t>B0BZGT2HBB</t>
        </is>
      </c>
      <c r="G349">
        <f>IMAGE("https://richardkroll.com/wp-content/uploads/2022/04/74E9BA1C-0B1C-4AAF-981F-58BC4FA77B4B-600x800.png")</f>
        <v/>
      </c>
      <c r="H349">
        <f>IMAGE("https://m.media-amazon.com/images/I/71izm6fuDlL._AC_UL320_.jpg")</f>
        <v/>
      </c>
      <c r="I349" t="inlineStr">
        <is>
          <t>24.0</t>
        </is>
      </c>
      <c r="J349" t="n">
        <v>50</v>
      </c>
      <c r="K349" s="3" t="inlineStr">
        <is>
          <t>108.33%</t>
        </is>
      </c>
      <c r="L349" t="n">
        <v>5</v>
      </c>
      <c r="M349" t="n">
        <v>2</v>
      </c>
      <c r="O349" t="inlineStr">
        <is>
          <t>InStock</t>
        </is>
      </c>
      <c r="P349" t="inlineStr">
        <is>
          <t>undefined</t>
        </is>
      </c>
      <c r="Q349" t="inlineStr">
        <is>
          <t>undefined</t>
        </is>
      </c>
    </row>
    <row r="350">
      <c r="A350" s="2">
        <f>HYPERLINK("https://richardkroll.com/product/wella-elements-shampoo-250ml/", "https://richardkroll.com/product/wella-elements-shampoo-250ml/")</f>
        <v/>
      </c>
      <c r="B350" s="2">
        <f>HYPERLINK("https://richardkroll.com/product/wella-elements-shampoo-250ml/", "https://richardkroll.com/product/wella-elements-shampoo-250ml/")</f>
        <v/>
      </c>
      <c r="C350" t="inlineStr">
        <is>
          <t>Wella Elements Shampoo 250ml</t>
        </is>
      </c>
      <c r="D350" t="inlineStr">
        <is>
          <t>Wella Professionals Elements Renewing Shampoo &amp; Conditioner Set, Sulfate &amp; Silicone Free, Instant Detangling, For All Hair Types, Retail Sizes</t>
        </is>
      </c>
      <c r="E350" s="2">
        <f>HYPERLINK("https://www.amazon.com/Professionals-Elements-Renewing-Conditioner-Detangling/dp/B0B92LNJTK/ref=sr_1_4?keywords=Wella+Elements+Shampoo+250ml&amp;qid=1695259844&amp;sr=8-4", "https://www.amazon.com/Professionals-Elements-Renewing-Conditioner-Detangling/dp/B0B92LNJTK/ref=sr_1_4?keywords=Wella+Elements+Shampoo+250ml&amp;qid=1695259844&amp;sr=8-4")</f>
        <v/>
      </c>
      <c r="F350" t="inlineStr">
        <is>
          <t>B0B92LNJTK</t>
        </is>
      </c>
      <c r="G350">
        <f>IMAGE("https://richardkroll.com/wp-content/uploads/2022/04/62D6864A-36A5-4B22-9191-42BD61F06642-600x800.png")</f>
        <v/>
      </c>
      <c r="H350">
        <f>IMAGE("https://m.media-amazon.com/images/I/616Uj+atFpL._AC_UL320_.jpg")</f>
        <v/>
      </c>
      <c r="I350" t="inlineStr">
        <is>
          <t>24.0</t>
        </is>
      </c>
      <c r="J350" t="n">
        <v>50</v>
      </c>
      <c r="K350" s="3" t="inlineStr">
        <is>
          <t>108.33%</t>
        </is>
      </c>
      <c r="L350" t="n">
        <v>4.4</v>
      </c>
      <c r="M350" t="n">
        <v>7</v>
      </c>
      <c r="O350" t="inlineStr">
        <is>
          <t>InStock</t>
        </is>
      </c>
      <c r="P350" t="inlineStr">
        <is>
          <t>undefined</t>
        </is>
      </c>
      <c r="Q350" t="inlineStr">
        <is>
          <t>undefined</t>
        </is>
      </c>
    </row>
    <row r="351">
      <c r="A351" s="2">
        <f>HYPERLINK("https://richardkroll.com/product/wella-invigo-conditioner-250ml/", "https://richardkroll.com/product/wella-invigo-conditioner-250ml/")</f>
        <v/>
      </c>
      <c r="B351" s="2">
        <f>HYPERLINK("https://richardkroll.com/product/wella-invigo-conditioner-250ml/", "https://richardkroll.com/product/wella-invigo-conditioner-250ml/")</f>
        <v/>
      </c>
      <c r="C351" t="inlineStr">
        <is>
          <t>Wella Invigo Conditioner 250ml</t>
        </is>
      </c>
      <c r="D351" t="inlineStr">
        <is>
          <t>WELLA PROFESSIONALS Invigo Brilliance Conditioner for Coarse Hair, Color Protecting &amp; Color Vibrancy Conditioner, 33.8 Fl oz</t>
        </is>
      </c>
      <c r="E351" s="2">
        <f>HYPERLINK("https://www.amazon.com/Professionals-Brilliance-Conditioner-Protecting-Vibrancy/dp/B0BQCHFCKH/ref=sr_1_1?keywords=Wella+Invigo+Conditioner+250ml&amp;qid=1695259847&amp;sr=8-1", "https://www.amazon.com/Professionals-Brilliance-Conditioner-Protecting-Vibrancy/dp/B0BQCHFCKH/ref=sr_1_1?keywords=Wella+Invigo+Conditioner+250ml&amp;qid=1695259847&amp;sr=8-1")</f>
        <v/>
      </c>
      <c r="F351" t="inlineStr">
        <is>
          <t>B0BQCHFCKH</t>
        </is>
      </c>
      <c r="G351">
        <f>IMAGE("https://richardkroll.com/wp-content/uploads/2022/04/022430A8-0823-491B-9268-47802C77086C-600x800.png")</f>
        <v/>
      </c>
      <c r="H351">
        <f>IMAGE("https://m.media-amazon.com/images/I/61Pg-dxnQKL._AC_UL320_.jpg")</f>
        <v/>
      </c>
      <c r="I351" t="inlineStr">
        <is>
          <t>18.5</t>
        </is>
      </c>
      <c r="J351" t="n">
        <v>38.4</v>
      </c>
      <c r="K351" s="3" t="inlineStr">
        <is>
          <t>107.57%</t>
        </is>
      </c>
      <c r="L351" t="n">
        <v>4.6</v>
      </c>
      <c r="M351" t="n">
        <v>34</v>
      </c>
      <c r="O351" t="inlineStr">
        <is>
          <t>InStock</t>
        </is>
      </c>
      <c r="P351" t="inlineStr">
        <is>
          <t>undefined</t>
        </is>
      </c>
      <c r="Q351" t="inlineStr">
        <is>
          <t>undefined</t>
        </is>
      </c>
    </row>
    <row r="352">
      <c r="A352" s="2">
        <f>HYPERLINK("https://richardkroll.com/product/wella-invigo-conditioner-250ml/", "https://richardkroll.com/product/wella-invigo-conditioner-250ml/")</f>
        <v/>
      </c>
      <c r="B352" s="2">
        <f>HYPERLINK("https://richardkroll.com/product/wella-invigo-conditioner-250ml/", "https://richardkroll.com/product/wella-invigo-conditioner-250ml/")</f>
        <v/>
      </c>
      <c r="C352" t="inlineStr">
        <is>
          <t>Wella Invigo Conditioner 250ml</t>
        </is>
      </c>
      <c r="D352" t="inlineStr">
        <is>
          <t>Wella Professionals Invigo Brilliance Conditioner for Fine Normal Colored Hair, Color Protecting &amp; Color Vibrancy Conditioner, 33.8 Fl oz</t>
        </is>
      </c>
      <c r="E352" s="2">
        <f>HYPERLINK("https://www.amazon.com/Professionals-Brilliance-Conditioner-Protecting-Vibrancy/dp/B0BQCJYK9F/ref=sr_1_3?keywords=Wella+Invigo+Conditioner+250ml&amp;qid=1695259847&amp;sr=8-3", "https://www.amazon.com/Professionals-Brilliance-Conditioner-Protecting-Vibrancy/dp/B0BQCJYK9F/ref=sr_1_3?keywords=Wella+Invigo+Conditioner+250ml&amp;qid=1695259847&amp;sr=8-3")</f>
        <v/>
      </c>
      <c r="F352" t="inlineStr">
        <is>
          <t>B0BQCJYK9F</t>
        </is>
      </c>
      <c r="G352">
        <f>IMAGE("https://richardkroll.com/wp-content/uploads/2022/04/022430A8-0823-491B-9268-47802C77086C-600x800.png")</f>
        <v/>
      </c>
      <c r="H352">
        <f>IMAGE("https://m.media-amazon.com/images/I/619hSqr+sjL._AC_UL320_.jpg")</f>
        <v/>
      </c>
      <c r="I352" t="inlineStr">
        <is>
          <t>18.5</t>
        </is>
      </c>
      <c r="J352" t="n">
        <v>38.4</v>
      </c>
      <c r="K352" s="3" t="inlineStr">
        <is>
          <t>107.57%</t>
        </is>
      </c>
      <c r="L352" t="n">
        <v>4.6</v>
      </c>
      <c r="M352" t="n">
        <v>96</v>
      </c>
      <c r="O352" t="inlineStr">
        <is>
          <t>InStock</t>
        </is>
      </c>
      <c r="P352" t="inlineStr">
        <is>
          <t>undefined</t>
        </is>
      </c>
      <c r="Q352" t="inlineStr">
        <is>
          <t>undefined</t>
        </is>
      </c>
    </row>
    <row r="353">
      <c r="A353" s="2">
        <f>HYPERLINK("https://richardkroll.com/product/sebastian-penetraitt-shampoo-250ml/", "https://richardkroll.com/product/sebastian-penetraitt-shampoo-250ml/")</f>
        <v/>
      </c>
      <c r="B353" s="2">
        <f>HYPERLINK("https://richardkroll.com/product/sebastian-penetraitt-shampoo-250ml/", "https://richardkroll.com/product/sebastian-penetraitt-shampoo-250ml/")</f>
        <v/>
      </c>
      <c r="C353" t="inlineStr">
        <is>
          <t>Sebastian Penetraitt Shampoo 250ml</t>
        </is>
      </c>
      <c r="D353" t="inlineStr">
        <is>
          <t>Sebastian Professional Penetraitt Shampoo, Strengthening &amp; Repair, For Damaged &amp; Colored Hair, 33.8 fl oz</t>
        </is>
      </c>
      <c r="E353" s="2">
        <f>HYPERLINK("https://www.amazon.com/Sebastian-Penetraitt-Shampoo-33-8-oz/dp/B001PYO3PI/ref=sr_1_2?keywords=Sebastian+Penetraitt+Shampoo+250ml&amp;qid=1695259846&amp;sr=8-2", "https://www.amazon.com/Sebastian-Penetraitt-Shampoo-33-8-oz/dp/B001PYO3PI/ref=sr_1_2?keywords=Sebastian+Penetraitt+Shampoo+250ml&amp;qid=1695259846&amp;sr=8-2")</f>
        <v/>
      </c>
      <c r="F353" t="inlineStr">
        <is>
          <t>B001PYO3PI</t>
        </is>
      </c>
      <c r="G353">
        <f>IMAGE("https://richardkroll.com/wp-content/uploads/2016/08/sebastian-penetraitt-250g-600x800.jpg")</f>
        <v/>
      </c>
      <c r="H353">
        <f>IMAGE("https://m.media-amazon.com/images/I/61Fstexfu9L._AC_UL320_.jpg")</f>
        <v/>
      </c>
      <c r="I353" t="inlineStr">
        <is>
          <t>19.75</t>
        </is>
      </c>
      <c r="J353" t="n">
        <v>40</v>
      </c>
      <c r="K353" s="3" t="inlineStr">
        <is>
          <t>102.53%</t>
        </is>
      </c>
      <c r="L353" t="n">
        <v>4.7</v>
      </c>
      <c r="M353" t="n">
        <v>916</v>
      </c>
      <c r="O353" t="inlineStr">
        <is>
          <t>InStock</t>
        </is>
      </c>
      <c r="P353" t="inlineStr">
        <is>
          <t>undefined</t>
        </is>
      </c>
      <c r="Q353" t="inlineStr">
        <is>
          <t>undefined</t>
        </is>
      </c>
    </row>
    <row r="354">
      <c r="A354" s="2">
        <f>HYPERLINK("https://richardkroll.com/product/all-nutrient-volumize-conditioner-raspbody/", "https://richardkroll.com/product/all-nutrient-volumize-conditioner-raspbody/")</f>
        <v/>
      </c>
      <c r="B354" s="2">
        <f>HYPERLINK("https://richardkroll.com/product/all-nutrient-volumize-conditioner-raspbody/", "https://richardkroll.com/product/all-nutrient-volumize-conditioner-raspbody/")</f>
        <v/>
      </c>
      <c r="C354" t="inlineStr">
        <is>
          <t>All Nutrient Volumize Conditioner</t>
        </is>
      </c>
      <c r="D354" t="inlineStr">
        <is>
          <t>All Nutrient Restore Conditioner 25oz</t>
        </is>
      </c>
      <c r="E354" s="2">
        <f>HYPERLINK("https://www.amazon.com/All-Nutrient-Restore-Conditioner-25oz/dp/B014N3QPCG/ref=sr_1_8?keywords=All+Nutrient+Volumize+Conditioner&amp;qid=1695259821&amp;sr=8-8", "https://www.amazon.com/All-Nutrient-Restore-Conditioner-25oz/dp/B014N3QPCG/ref=sr_1_8?keywords=All+Nutrient+Volumize+Conditioner&amp;qid=1695259821&amp;sr=8-8")</f>
        <v/>
      </c>
      <c r="F354" t="inlineStr">
        <is>
          <t>B014N3QPCG</t>
        </is>
      </c>
      <c r="G354">
        <f>IMAGE("https://richardkroll.com/wp-content/uploads/2016/08/Volumize-Conditioner-600x800.jpg")</f>
        <v/>
      </c>
      <c r="H354">
        <f>IMAGE("https://m.media-amazon.com/images/I/21lurHT6OyL._AC_UL320_.jpg")</f>
        <v/>
      </c>
      <c r="I354" t="inlineStr">
        <is>
          <t>16.0</t>
        </is>
      </c>
      <c r="J354" t="n">
        <v>32.01</v>
      </c>
      <c r="K354" s="3" t="inlineStr">
        <is>
          <t>100.06%</t>
        </is>
      </c>
      <c r="L354" t="n">
        <v>4.8</v>
      </c>
      <c r="M354" t="n">
        <v>23</v>
      </c>
      <c r="O354" t="inlineStr">
        <is>
          <t>InStock</t>
        </is>
      </c>
      <c r="P354" t="inlineStr">
        <is>
          <t>undefined</t>
        </is>
      </c>
      <c r="Q354" t="inlineStr">
        <is>
          <t>ALVC</t>
        </is>
      </c>
    </row>
    <row r="355">
      <c r="A355" s="2">
        <f>HYPERLINK("https://richardkroll.com/product/sebastian-penetraitt-repair-masque/", "https://richardkroll.com/product/sebastian-penetraitt-repair-masque/")</f>
        <v/>
      </c>
      <c r="B355" s="2">
        <f>HYPERLINK("https://richardkroll.com/product/sebastian-penetraitt-repair-masque/", "https://richardkroll.com/product/sebastian-penetraitt-repair-masque/")</f>
        <v/>
      </c>
      <c r="C355" t="inlineStr">
        <is>
          <t>Sebastian Penetraitt Repair Masque</t>
        </is>
      </c>
      <c r="D355" t="inlineStr">
        <is>
          <t>Sebastian Professional Penetraitt Shampoo, Strengthening &amp; Repair, For Damaged &amp; Colored Hair, 33.8 fl oz</t>
        </is>
      </c>
      <c r="E355" s="2">
        <f>HYPERLINK("https://www.amazon.com/Sebastian-Penetraitt-Shampoo-33-8-oz/dp/B001PYO3PI/ref=sr_1_10?keywords=Sebastian+Penetraitt+Repair+Masque&amp;qid=1695259857&amp;sr=8-10", "https://www.amazon.com/Sebastian-Penetraitt-Shampoo-33-8-oz/dp/B001PYO3PI/ref=sr_1_10?keywords=Sebastian+Penetraitt+Repair+Masque&amp;qid=1695259857&amp;sr=8-10")</f>
        <v/>
      </c>
      <c r="F355" t="inlineStr">
        <is>
          <t>B001PYO3PI</t>
        </is>
      </c>
      <c r="G355">
        <f>IMAGE("https://richardkroll.com/wp-content/uploads/2016/08/Penetraitt-Masque-600x800.jpg")</f>
        <v/>
      </c>
      <c r="H355">
        <f>IMAGE("https://m.media-amazon.com/images/I/61Fstexfu9L._AC_UL320_.jpg")</f>
        <v/>
      </c>
      <c r="I355" t="inlineStr">
        <is>
          <t>20.0</t>
        </is>
      </c>
      <c r="J355" t="n">
        <v>40</v>
      </c>
      <c r="K355" s="3" t="inlineStr">
        <is>
          <t>100.00%</t>
        </is>
      </c>
      <c r="L355" t="n">
        <v>4.7</v>
      </c>
      <c r="M355" t="n">
        <v>916</v>
      </c>
      <c r="O355" t="inlineStr">
        <is>
          <t>InStock</t>
        </is>
      </c>
      <c r="P355" t="inlineStr">
        <is>
          <t>undefined</t>
        </is>
      </c>
      <c r="Q355" t="inlineStr">
        <is>
          <t>SPRM</t>
        </is>
      </c>
    </row>
    <row r="356">
      <c r="A356" s="2">
        <f>HYPERLINK("https://richardkroll.com/product/nioxin-thickening-spray-gel/", "https://richardkroll.com/product/nioxin-thickening-spray-gel/")</f>
        <v/>
      </c>
      <c r="B356" s="2">
        <f>HYPERLINK("https://richardkroll.com/product/nioxin-thickening-spray-gel/", "https://richardkroll.com/product/nioxin-thickening-spray-gel/")</f>
        <v/>
      </c>
      <c r="C356" t="inlineStr">
        <is>
          <t>Nioxin Thickening Spray Gel</t>
        </is>
      </c>
      <c r="D356" t="inlineStr">
        <is>
          <t>Nioxin Thickening Spray + Thickening Gel Bundle, For Volume and Texture, 5.1 oz</t>
        </is>
      </c>
      <c r="E356" s="2">
        <f>HYPERLINK("https://www.amazon.com/Nioxin-Thickening-Spray-Bundle-Texture/dp/B0BF25R5WM/ref=sr_1_2?keywords=Nioxin+Thickening+Spray+Gel&amp;qid=1695259834&amp;sr=8-2", "https://www.amazon.com/Nioxin-Thickening-Spray-Bundle-Texture/dp/B0BF25R5WM/ref=sr_1_2?keywords=Nioxin+Thickening+Spray+Gel&amp;qid=1695259834&amp;sr=8-2")</f>
        <v/>
      </c>
      <c r="F356" t="inlineStr">
        <is>
          <t>B0BF25R5WM</t>
        </is>
      </c>
      <c r="G356">
        <f>IMAGE("https://richardkroll.com/wp-content/uploads/2016/08/Nioxin-Spray-Gel-600x800.jpg")</f>
        <v/>
      </c>
      <c r="H356">
        <f>IMAGE("https://m.media-amazon.com/images/I/612YyoqQ8+L._AC_UL320_.jpg")</f>
        <v/>
      </c>
      <c r="I356" t="inlineStr">
        <is>
          <t>22.0</t>
        </is>
      </c>
      <c r="J356" t="n">
        <v>42</v>
      </c>
      <c r="K356" s="3" t="inlineStr">
        <is>
          <t>90.91%</t>
        </is>
      </c>
      <c r="L356" t="n">
        <v>4.3</v>
      </c>
      <c r="M356" t="n">
        <v>16</v>
      </c>
      <c r="O356" t="inlineStr">
        <is>
          <t>InStock</t>
        </is>
      </c>
      <c r="P356" t="inlineStr">
        <is>
          <t>undefined</t>
        </is>
      </c>
      <c r="Q356" t="inlineStr">
        <is>
          <t>NTSG</t>
        </is>
      </c>
    </row>
    <row r="357">
      <c r="A357" s="2">
        <f>HYPERLINK("https://richardkroll.com/product/all-nutrient-restore-conditioner-kiwi-botanical-12oz/", "https://richardkroll.com/product/all-nutrient-restore-conditioner-kiwi-botanical-12oz/")</f>
        <v/>
      </c>
      <c r="B357" s="2">
        <f>HYPERLINK("https://richardkroll.com/product/all-nutrient-restore-conditioner-kiwi-botanical-12oz/", "https://richardkroll.com/product/all-nutrient-restore-conditioner-kiwi-botanical-12oz/")</f>
        <v/>
      </c>
      <c r="C357" t="inlineStr">
        <is>
          <t>All-Nutrient Restore Conditioner 12oz</t>
        </is>
      </c>
      <c r="D357" t="inlineStr">
        <is>
          <t>All Nutrient Restore Conditioner 25oz</t>
        </is>
      </c>
      <c r="E357" s="2">
        <f>HYPERLINK("https://www.amazon.com/All-Nutrient-Restore-Conditioner-25oz/dp/B014N3QPCG/ref=sr_1_7?keywords=All-Nutrient+Restore+Conditioner+12oz&amp;qid=1695259835&amp;sr=8-7", "https://www.amazon.com/All-Nutrient-Restore-Conditioner-25oz/dp/B014N3QPCG/ref=sr_1_7?keywords=All-Nutrient+Restore+Conditioner+12oz&amp;qid=1695259835&amp;sr=8-7")</f>
        <v/>
      </c>
      <c r="F357" t="inlineStr">
        <is>
          <t>B014N3QPCG</t>
        </is>
      </c>
      <c r="G357">
        <f>IMAGE("https://richardkroll.com/wp-content/uploads/2021/09/all-nutrient-restore-conditioner-600x800.webp")</f>
        <v/>
      </c>
      <c r="H357">
        <f>IMAGE("https://m.media-amazon.com/images/I/21lurHT6OyL._AC_UL320_.jpg")</f>
        <v/>
      </c>
      <c r="I357" t="inlineStr">
        <is>
          <t>17.0</t>
        </is>
      </c>
      <c r="J357" t="n">
        <v>32.01</v>
      </c>
      <c r="K357" s="3" t="inlineStr">
        <is>
          <t>88.29%</t>
        </is>
      </c>
      <c r="L357" t="n">
        <v>4.8</v>
      </c>
      <c r="M357" t="n">
        <v>23</v>
      </c>
      <c r="O357" t="inlineStr">
        <is>
          <t>InStock</t>
        </is>
      </c>
      <c r="P357" t="inlineStr">
        <is>
          <t>undefined</t>
        </is>
      </c>
      <c r="Q357" t="inlineStr">
        <is>
          <t>ANRC</t>
        </is>
      </c>
    </row>
    <row r="358">
      <c r="A358" s="2">
        <f>HYPERLINK("https://richardkroll.com/product/all-nutrient-volumize-conditioner-raspbody/", "https://richardkroll.com/product/all-nutrient-volumize-conditioner-raspbody/")</f>
        <v/>
      </c>
      <c r="B358" s="2">
        <f>HYPERLINK("https://richardkroll.com/product/all-nutrient-volumize-conditioner-raspbody/", "https://richardkroll.com/product/all-nutrient-volumize-conditioner-raspbody/")</f>
        <v/>
      </c>
      <c r="C358" t="inlineStr">
        <is>
          <t>All Nutrient Volumize Conditioner</t>
        </is>
      </c>
      <c r="D358" t="inlineStr">
        <is>
          <t>All Nutrient Hydrate Conditioner 25 fl</t>
        </is>
      </c>
      <c r="E358" s="2">
        <f>HYPERLINK("https://www.amazon.com/All-Nutrient-Hydrate-Conditioner-25/dp/B01K5LCIH6/ref=sr_1_10?keywords=All+Nutrient+Volumize+Conditioner&amp;qid=1695259821&amp;sr=8-10", "https://www.amazon.com/All-Nutrient-Hydrate-Conditioner-25/dp/B01K5LCIH6/ref=sr_1_10?keywords=All+Nutrient+Volumize+Conditioner&amp;qid=1695259821&amp;sr=8-10")</f>
        <v/>
      </c>
      <c r="F358" t="inlineStr">
        <is>
          <t>B01K5LCIH6</t>
        </is>
      </c>
      <c r="G358">
        <f>IMAGE("https://richardkroll.com/wp-content/uploads/2016/08/Volumize-Conditioner-600x800.jpg")</f>
        <v/>
      </c>
      <c r="H358">
        <f>IMAGE("https://m.media-amazon.com/images/I/51tNKn7a-CL._AC_UL320_.jpg")</f>
        <v/>
      </c>
      <c r="I358" t="inlineStr">
        <is>
          <t>16.0</t>
        </is>
      </c>
      <c r="J358" t="n">
        <v>29.99</v>
      </c>
      <c r="K358" s="3" t="inlineStr">
        <is>
          <t>87.44%</t>
        </is>
      </c>
      <c r="L358" t="n">
        <v>4.5</v>
      </c>
      <c r="M358" t="n">
        <v>40</v>
      </c>
      <c r="O358" t="inlineStr">
        <is>
          <t>InStock</t>
        </is>
      </c>
      <c r="P358" t="inlineStr">
        <is>
          <t>undefined</t>
        </is>
      </c>
      <c r="Q358" t="inlineStr">
        <is>
          <t>ALVC</t>
        </is>
      </c>
    </row>
    <row r="359">
      <c r="A359" s="2">
        <f>HYPERLINK("https://richardkroll.com/product/sebastian-penetraitt-shampoo-250ml/", "https://richardkroll.com/product/sebastian-penetraitt-shampoo-250ml/")</f>
        <v/>
      </c>
      <c r="B359" s="2">
        <f>HYPERLINK("https://richardkroll.com/product/sebastian-penetraitt-shampoo-250ml/", "https://richardkroll.com/product/sebastian-penetraitt-shampoo-250ml/")</f>
        <v/>
      </c>
      <c r="C359" t="inlineStr">
        <is>
          <t>Sebastian Penetraitt Shampoo 250ml</t>
        </is>
      </c>
      <c r="D359" t="inlineStr">
        <is>
          <t>Sebastian Professional Penetraitt Shampoo &amp; Conditioner | Strengthening &amp; Repair | For Damaged &amp; Colored Hair | 8.4 fl oz, BUNDLE*</t>
        </is>
      </c>
      <c r="E359" s="2">
        <f>HYPERLINK("https://www.amazon.com/Sebastian-Professional-Penetraitt-Conditioner-Strengthening/dp/B09Z7G1XJM/ref=sr_1_4?keywords=Sebastian+Penetraitt+Shampoo+250ml&amp;qid=1695259846&amp;sr=8-4", "https://www.amazon.com/Sebastian-Professional-Penetraitt-Conditioner-Strengthening/dp/B09Z7G1XJM/ref=sr_1_4?keywords=Sebastian+Penetraitt+Shampoo+250ml&amp;qid=1695259846&amp;sr=8-4")</f>
        <v/>
      </c>
      <c r="F359" t="inlineStr">
        <is>
          <t>B09Z7G1XJM</t>
        </is>
      </c>
      <c r="G359">
        <f>IMAGE("https://richardkroll.com/wp-content/uploads/2016/08/sebastian-penetraitt-250g-600x800.jpg")</f>
        <v/>
      </c>
      <c r="H359">
        <f>IMAGE("https://m.media-amazon.com/images/I/61mPLe8MqoL._AC_UL320_.jpg")</f>
        <v/>
      </c>
      <c r="I359" t="inlineStr">
        <is>
          <t>19.75</t>
        </is>
      </c>
      <c r="J359" t="n">
        <v>37</v>
      </c>
      <c r="K359" s="3" t="inlineStr">
        <is>
          <t>87.34%</t>
        </is>
      </c>
      <c r="L359" t="n">
        <v>4.7</v>
      </c>
      <c r="M359" t="n">
        <v>109</v>
      </c>
      <c r="O359" t="inlineStr">
        <is>
          <t>InStock</t>
        </is>
      </c>
      <c r="P359" t="inlineStr">
        <is>
          <t>undefined</t>
        </is>
      </c>
      <c r="Q359" t="inlineStr">
        <is>
          <t>undefined</t>
        </is>
      </c>
    </row>
    <row r="360">
      <c r="A360" s="2">
        <f>HYPERLINK("https://richardkroll.com/product/sebastian-penetraitt-repair-masque/", "https://richardkroll.com/product/sebastian-penetraitt-repair-masque/")</f>
        <v/>
      </c>
      <c r="B360" s="2">
        <f>HYPERLINK("https://richardkroll.com/product/sebastian-penetraitt-repair-masque/", "https://richardkroll.com/product/sebastian-penetraitt-repair-masque/")</f>
        <v/>
      </c>
      <c r="C360" t="inlineStr">
        <is>
          <t>Sebastian Penetraitt Repair Masque</t>
        </is>
      </c>
      <c r="D360" t="inlineStr">
        <is>
          <t>Sebastian Professional Penetraitt Shampoo &amp; Conditioner | Strengthening &amp; Repair | For Damaged &amp; Colored Hair | 8.4 fl oz, BUNDLE*</t>
        </is>
      </c>
      <c r="E360" s="2">
        <f>HYPERLINK("https://www.amazon.com/Sebastian-Professional-Penetraitt-Conditioner-Strengthening/dp/B09Z7G1XJM/ref=sr_1_6?keywords=Sebastian+Penetraitt+Repair+Masque&amp;qid=1695259857&amp;sr=8-6", "https://www.amazon.com/Sebastian-Professional-Penetraitt-Conditioner-Strengthening/dp/B09Z7G1XJM/ref=sr_1_6?keywords=Sebastian+Penetraitt+Repair+Masque&amp;qid=1695259857&amp;sr=8-6")</f>
        <v/>
      </c>
      <c r="F360" t="inlineStr">
        <is>
          <t>B09Z7G1XJM</t>
        </is>
      </c>
      <c r="G360">
        <f>IMAGE("https://richardkroll.com/wp-content/uploads/2016/08/Penetraitt-Masque-600x800.jpg")</f>
        <v/>
      </c>
      <c r="H360">
        <f>IMAGE("https://m.media-amazon.com/images/I/61mPLe8MqoL._AC_UL320_.jpg")</f>
        <v/>
      </c>
      <c r="I360" t="inlineStr">
        <is>
          <t>20.0</t>
        </is>
      </c>
      <c r="J360" t="n">
        <v>37</v>
      </c>
      <c r="K360" s="3" t="inlineStr">
        <is>
          <t>85.00%</t>
        </is>
      </c>
      <c r="L360" t="n">
        <v>4.7</v>
      </c>
      <c r="M360" t="n">
        <v>109</v>
      </c>
      <c r="O360" t="inlineStr">
        <is>
          <t>InStock</t>
        </is>
      </c>
      <c r="P360" t="inlineStr">
        <is>
          <t>undefined</t>
        </is>
      </c>
      <c r="Q360" t="inlineStr">
        <is>
          <t>SPRM</t>
        </is>
      </c>
    </row>
    <row r="361">
      <c r="A361" s="2">
        <f>HYPERLINK("https://richardkroll.com/product/all-nutrient-restore-shampoo-kiwi-botanical-12oz/", "https://richardkroll.com/product/all-nutrient-restore-shampoo-kiwi-botanical-12oz/")</f>
        <v/>
      </c>
      <c r="B361" s="2">
        <f>HYPERLINK("https://richardkroll.com/product/all-nutrient-restore-shampoo-kiwi-botanical-12oz/", "https://richardkroll.com/product/all-nutrient-restore-shampoo-kiwi-botanical-12oz/")</f>
        <v/>
      </c>
      <c r="C361" t="inlineStr">
        <is>
          <t>All-Nutrient Restore Shampoo 350ml</t>
        </is>
      </c>
      <c r="D361" t="inlineStr">
        <is>
          <t>All-Nutrient Restore Shampoo 25 oz</t>
        </is>
      </c>
      <c r="E361" s="2">
        <f>HYPERLINK("https://www.amazon.com/All-Nutrient-Restore-Shampoo-25-oz/dp/B014LQYJ6E/ref=sr_1_1?keywords=All-Nutrient+Restore+Shampoo+350ml&amp;qid=1695259839&amp;sr=8-1", "https://www.amazon.com/All-Nutrient-Restore-Shampoo-25-oz/dp/B014LQYJ6E/ref=sr_1_1?keywords=All-Nutrient+Restore+Shampoo+350ml&amp;qid=1695259839&amp;sr=8-1")</f>
        <v/>
      </c>
      <c r="F361" t="inlineStr">
        <is>
          <t>B014LQYJ6E</t>
        </is>
      </c>
      <c r="G361">
        <f>IMAGE("https://richardkroll.com/wp-content/uploads/2021/09/all-nutrient-restore-shampoo-600x800.webp")</f>
        <v/>
      </c>
      <c r="H361">
        <f>IMAGE("https://m.media-amazon.com/images/I/21uFuPH3LoL._AC_UL320_.jpg")</f>
        <v/>
      </c>
      <c r="I361" t="inlineStr">
        <is>
          <t>17.0</t>
        </is>
      </c>
      <c r="J361" t="n">
        <v>30.99</v>
      </c>
      <c r="K361" s="3" t="inlineStr">
        <is>
          <t>82.29%</t>
        </is>
      </c>
      <c r="L361" t="n">
        <v>4.6</v>
      </c>
      <c r="M361" t="n">
        <v>70</v>
      </c>
      <c r="O361" t="inlineStr">
        <is>
          <t>InStock</t>
        </is>
      </c>
      <c r="P361" t="inlineStr">
        <is>
          <t>undefined</t>
        </is>
      </c>
      <c r="Q361" t="inlineStr">
        <is>
          <t>ANRSKB</t>
        </is>
      </c>
    </row>
    <row r="362">
      <c r="A362" s="2">
        <f>HYPERLINK("https://richardkroll.com/product/all-nutrient-protect-conditioner-colorsafe-12oz/", "https://richardkroll.com/product/all-nutrient-protect-conditioner-colorsafe-12oz/")</f>
        <v/>
      </c>
      <c r="B362" s="2">
        <f>HYPERLINK("https://richardkroll.com/product/all-nutrient-protect-conditioner-colorsafe-12oz/", "https://richardkroll.com/product/all-nutrient-protect-conditioner-colorsafe-12oz/")</f>
        <v/>
      </c>
      <c r="C362" t="inlineStr">
        <is>
          <t>All-Nutrient Colorsafe Conditioner 350ml</t>
        </is>
      </c>
      <c r="D362" t="inlineStr">
        <is>
          <t>All-Nutrient Colorsafe Nourishing Shampoo &amp; Conditioner 12 Oz</t>
        </is>
      </c>
      <c r="E362" s="2">
        <f>HYPERLINK("https://www.amazon.com/All-Nutrient-Colorsafe-Nourishing-Shampoo-Conditioner/dp/B0085XI8QW/ref=sr_1_2?keywords=All-Nutrient+Colorsafe+Conditioner+350ml&amp;qid=1695259823&amp;sr=8-2", "https://www.amazon.com/All-Nutrient-Colorsafe-Nourishing-Shampoo-Conditioner/dp/B0085XI8QW/ref=sr_1_2?keywords=All-Nutrient+Colorsafe+Conditioner+350ml&amp;qid=1695259823&amp;sr=8-2")</f>
        <v/>
      </c>
      <c r="F362" t="inlineStr">
        <is>
          <t>B0085XI8QW</t>
        </is>
      </c>
      <c r="G362">
        <f>IMAGE("https://richardkroll.com/wp-content/uploads/2021/09/all-nutrient-colorsafe-conditioner-600x800.webp")</f>
        <v/>
      </c>
      <c r="H362">
        <f>IMAGE("https://m.media-amazon.com/images/I/31ba8MCAz1L._AC_UL320_.jpg")</f>
        <v/>
      </c>
      <c r="I362" t="inlineStr">
        <is>
          <t>16.0</t>
        </is>
      </c>
      <c r="J362" t="n">
        <v>29</v>
      </c>
      <c r="K362" s="3" t="inlineStr">
        <is>
          <t>81.25%</t>
        </is>
      </c>
      <c r="L362" t="n">
        <v>4.3</v>
      </c>
      <c r="M362" t="n">
        <v>46</v>
      </c>
      <c r="O362" t="inlineStr">
        <is>
          <t>InStock</t>
        </is>
      </c>
      <c r="P362" t="inlineStr">
        <is>
          <t>undefined</t>
        </is>
      </c>
      <c r="Q362" t="inlineStr">
        <is>
          <t>ANPC</t>
        </is>
      </c>
    </row>
    <row r="363">
      <c r="A363" s="2">
        <f>HYPERLINK("https://richardkroll.com/product/nutrifuse-nourishing-shampoo-300ml/", "https://richardkroll.com/product/nutrifuse-nourishing-shampoo-300ml/")</f>
        <v/>
      </c>
      <c r="B363" s="2">
        <f>HYPERLINK("https://richardkroll.com/product/nutrifuse-nourishing-shampoo-300ml/", "https://richardkroll.com/product/nutrifuse-nourishing-shampoo-300ml/")</f>
        <v/>
      </c>
      <c r="C363" t="inlineStr">
        <is>
          <t>Nutrifuse Nourishing Shampoo 300ml</t>
        </is>
      </c>
      <c r="D363" t="inlineStr">
        <is>
          <t>PRO GEN Nutrifuse M Nourishing Shampoo - 10 oz.</t>
        </is>
      </c>
      <c r="E363" s="2">
        <f>HYPERLINK("https://www.amazon.com/Nutrifuse-Nourishing-Shampoo-10-oz/dp/B078T51QKB/ref=sr_1_9?keywords=Nutrifuse+Nourishing+Shampoo+300ml&amp;qid=1695259832&amp;sr=8-9", "https://www.amazon.com/Nutrifuse-Nourishing-Shampoo-10-oz/dp/B078T51QKB/ref=sr_1_9?keywords=Nutrifuse+Nourishing+Shampoo+300ml&amp;qid=1695259832&amp;sr=8-9")</f>
        <v/>
      </c>
      <c r="F363" t="inlineStr">
        <is>
          <t>B078T51QKB</t>
        </is>
      </c>
      <c r="G363">
        <f>IMAGE("https://richardkroll.com/wp-content/uploads/2021/09/Nutrifuse-Nourishing-Shampoo-for-Men-600x800.jpg")</f>
        <v/>
      </c>
      <c r="H363">
        <f>IMAGE("https://m.media-amazon.com/images/I/41CukQx5YqL._AC_UL320_.jpg")</f>
        <v/>
      </c>
      <c r="I363" t="inlineStr">
        <is>
          <t>23.5</t>
        </is>
      </c>
      <c r="J363" t="n">
        <v>41.95</v>
      </c>
      <c r="K363" s="3" t="inlineStr">
        <is>
          <t>78.51%</t>
        </is>
      </c>
      <c r="L363" t="n">
        <v>5</v>
      </c>
      <c r="M363" t="n">
        <v>2</v>
      </c>
      <c r="O363" t="inlineStr">
        <is>
          <t>InStock</t>
        </is>
      </c>
      <c r="P363" t="inlineStr">
        <is>
          <t>undefined</t>
        </is>
      </c>
      <c r="Q363" t="inlineStr">
        <is>
          <t>undefined</t>
        </is>
      </c>
    </row>
    <row r="364">
      <c r="A364" s="2">
        <f>HYPERLINK("https://richardkroll.com/product/nutrifuse-nourishing-shampoo-300ml/", "https://richardkroll.com/product/nutrifuse-nourishing-shampoo-300ml/")</f>
        <v/>
      </c>
      <c r="B364" s="2">
        <f>HYPERLINK("https://richardkroll.com/product/nutrifuse-nourishing-shampoo-300ml/", "https://richardkroll.com/product/nutrifuse-nourishing-shampoo-300ml/")</f>
        <v/>
      </c>
      <c r="C364" t="inlineStr">
        <is>
          <t>Nutrifuse Nourishing Shampoo 300ml</t>
        </is>
      </c>
      <c r="D364" t="inlineStr">
        <is>
          <t>Nutrifuse W Nourishing Shampoo - 10 oz.</t>
        </is>
      </c>
      <c r="E364" s="2">
        <f>HYPERLINK("https://www.amazon.com/Nutrifuse-Nourishing-Shampoo-10-oz/dp/B078T94T94/ref=sr_1_4?keywords=Nutrifuse+Nourishing+Shampoo+300ml&amp;qid=1695259832&amp;sr=8-4", "https://www.amazon.com/Nutrifuse-Nourishing-Shampoo-10-oz/dp/B078T94T94/ref=sr_1_4?keywords=Nutrifuse+Nourishing+Shampoo+300ml&amp;qid=1695259832&amp;sr=8-4")</f>
        <v/>
      </c>
      <c r="F364" t="inlineStr">
        <is>
          <t>B078T94T94</t>
        </is>
      </c>
      <c r="G364">
        <f>IMAGE("https://richardkroll.com/wp-content/uploads/2021/09/Nutrifuse-Nourishing-Shampoo-for-Men-600x800.jpg")</f>
        <v/>
      </c>
      <c r="H364">
        <f>IMAGE("https://m.media-amazon.com/images/I/41k02dwcxYL._AC_UL320_.jpg")</f>
        <v/>
      </c>
      <c r="I364" t="inlineStr">
        <is>
          <t>23.5</t>
        </is>
      </c>
      <c r="J364" t="n">
        <v>41.95</v>
      </c>
      <c r="K364" s="3" t="inlineStr">
        <is>
          <t>78.51%</t>
        </is>
      </c>
      <c r="L364" t="n">
        <v>5</v>
      </c>
      <c r="M364" t="n">
        <v>1</v>
      </c>
      <c r="O364" t="inlineStr">
        <is>
          <t>InStock</t>
        </is>
      </c>
      <c r="P364" t="inlineStr">
        <is>
          <t>undefined</t>
        </is>
      </c>
      <c r="Q364" t="inlineStr">
        <is>
          <t>undefined</t>
        </is>
      </c>
    </row>
    <row r="365">
      <c r="A365" s="2">
        <f>HYPERLINK("https://richardkroll.com/product/all-nutrient-hydrate-conditioner-350ml/", "https://richardkroll.com/product/all-nutrient-hydrate-conditioner-350ml/")</f>
        <v/>
      </c>
      <c r="B365" s="2">
        <f>HYPERLINK("https://richardkroll.com/product/all-nutrient-hydrate-conditioner-350ml/", "https://richardkroll.com/product/all-nutrient-hydrate-conditioner-350ml/")</f>
        <v/>
      </c>
      <c r="C365" t="inlineStr">
        <is>
          <t>All Nutrient Hydrate Conditioner 350ml</t>
        </is>
      </c>
      <c r="D365" t="inlineStr">
        <is>
          <t>All Nutrient Hydrate Conditioner 25 fl</t>
        </is>
      </c>
      <c r="E365" s="2">
        <f>HYPERLINK("https://www.amazon.com/All-Nutrient-Hydrate-Conditioner-25/dp/B01K5LCIH6/ref=sr_1_2?keywords=All+Nutrient+Hydrate+Conditioner+350ml&amp;qid=1695259821&amp;sr=8-2", "https://www.amazon.com/All-Nutrient-Hydrate-Conditioner-25/dp/B01K5LCIH6/ref=sr_1_2?keywords=All+Nutrient+Hydrate+Conditioner+350ml&amp;qid=1695259821&amp;sr=8-2")</f>
        <v/>
      </c>
      <c r="F365" t="inlineStr">
        <is>
          <t>B01K5LCIH6</t>
        </is>
      </c>
      <c r="G365">
        <f>IMAGE("https://richardkroll.com/wp-content/uploads/2021/09/all-nutrient-hydrate-conditioner-600x800.webp")</f>
        <v/>
      </c>
      <c r="H365">
        <f>IMAGE("https://m.media-amazon.com/images/I/51tNKn7a-CL._AC_UL320_.jpg")</f>
        <v/>
      </c>
      <c r="I365" t="inlineStr">
        <is>
          <t>17.0</t>
        </is>
      </c>
      <c r="J365" t="n">
        <v>29.99</v>
      </c>
      <c r="K365" s="3" t="inlineStr">
        <is>
          <t>76.41%</t>
        </is>
      </c>
      <c r="L365" t="n">
        <v>4.5</v>
      </c>
      <c r="M365" t="n">
        <v>40</v>
      </c>
      <c r="O365" t="inlineStr">
        <is>
          <t>InStock</t>
        </is>
      </c>
      <c r="P365" t="inlineStr">
        <is>
          <t>undefined</t>
        </is>
      </c>
      <c r="Q365" t="inlineStr">
        <is>
          <t>undefined</t>
        </is>
      </c>
    </row>
    <row r="366">
      <c r="A366" s="2">
        <f>HYPERLINK("https://richardkroll.com/product/sebastian-penetraitt-repair-masque/", "https://richardkroll.com/product/sebastian-penetraitt-repair-masque/")</f>
        <v/>
      </c>
      <c r="B366" s="2">
        <f>HYPERLINK("https://richardkroll.com/product/sebastian-penetraitt-repair-masque/", "https://richardkroll.com/product/sebastian-penetraitt-repair-masque/")</f>
        <v/>
      </c>
      <c r="C366" t="inlineStr">
        <is>
          <t>Sebastian Penetraitt Repair Masque</t>
        </is>
      </c>
      <c r="D366" t="inlineStr">
        <is>
          <t>Sebastian Professional Penetraitt Deep Repair &amp; Strengthening Masque, For Damaged &amp; Color Treated Hair, 16.9 fl oz</t>
        </is>
      </c>
      <c r="E366" s="2">
        <f>HYPERLINK("https://www.amazon.com/Sebastian-Penetraitt-Strengthening-Repair-Masque-16-89/dp/B07X1WBY7T/ref=sr_1_2?keywords=Sebastian+Penetraitt+Repair+Masque&amp;qid=1695259857&amp;sr=8-2", "https://www.amazon.com/Sebastian-Penetraitt-Strengthening-Repair-Masque-16-89/dp/B07X1WBY7T/ref=sr_1_2?keywords=Sebastian+Penetraitt+Repair+Masque&amp;qid=1695259857&amp;sr=8-2")</f>
        <v/>
      </c>
      <c r="F366" t="inlineStr">
        <is>
          <t>B07X1WBY7T</t>
        </is>
      </c>
      <c r="G366">
        <f>IMAGE("https://richardkroll.com/wp-content/uploads/2016/08/Penetraitt-Masque-600x800.jpg")</f>
        <v/>
      </c>
      <c r="H366">
        <f>IMAGE("https://m.media-amazon.com/images/I/51Mx8hALjfL._AC_UL320_.jpg")</f>
        <v/>
      </c>
      <c r="I366" t="inlineStr">
        <is>
          <t>20.0</t>
        </is>
      </c>
      <c r="J366" t="n">
        <v>33</v>
      </c>
      <c r="K366" s="3" t="inlineStr">
        <is>
          <t>65.00%</t>
        </is>
      </c>
      <c r="L366" t="n">
        <v>4.8</v>
      </c>
      <c r="M366" t="n">
        <v>1094</v>
      </c>
      <c r="O366" t="inlineStr">
        <is>
          <t>InStock</t>
        </is>
      </c>
      <c r="P366" t="inlineStr">
        <is>
          <t>undefined</t>
        </is>
      </c>
      <c r="Q366" t="inlineStr">
        <is>
          <t>SPRM</t>
        </is>
      </c>
    </row>
    <row r="367">
      <c r="A367" s="2">
        <f>HYPERLINK("https://shop.onetouch.com/onetouch-ultra-plus-flex-sup-trade-sup-meter/product/OTSUS05_0021", "https://shop.onetouch.com/onetouch-ultra-plus-flex-sup-trade-sup-meter/product/OTSUS05_0021")</f>
        <v/>
      </c>
      <c r="B367" s="2">
        <f>HYPERLINK("https://shop.onetouch.com/onetouch-ultra-plus-flex-sup-trade-sup-meter/product/OTSUS05_0021", "https://shop.onetouch.com/onetouch-ultra-plus-flex-sup-trade-sup-meter/product/OTSUS05_0021")</f>
        <v/>
      </c>
      <c r="C367" t="inlineStr">
        <is>
          <t>OneTouch Ultra Plus Flex™ meter</t>
        </is>
      </c>
      <c r="D367" t="inlineStr">
        <is>
          <t>OneTouch Ultra Plus Flex Value Diabetes Testing Kit | Blood Sugar Test Kit Includes Blood Glucose Meter, Lancing Device, Lancets, OneTouch Ultra Plus Diabetic Test Strips, &amp; Carrying Case | Blood Glucose Monitor Kit</t>
        </is>
      </c>
      <c r="E367" s="2">
        <f>HYPERLINK("https://www.amazon.com/OneTouch-Diabetes-Testing-Diabetic-Carrying/dp/B0BGQRD5QM/ref=sr_1_1?keywords=OneTouch+Ultra+Plus+Flex%E2%84%A2+meter&amp;qid=1695259898&amp;sr=8-1", "https://www.amazon.com/OneTouch-Diabetes-Testing-Diabetic-Carrying/dp/B0BGQRD5QM/ref=sr_1_1?keywords=OneTouch+Ultra+Plus+Flex%E2%84%A2+meter&amp;qid=1695259898&amp;sr=8-1")</f>
        <v/>
      </c>
      <c r="F367" t="inlineStr">
        <is>
          <t>B0BGQRD5QM</t>
        </is>
      </c>
      <c r="G367">
        <f>IMAGE("https://shop.onetouch.com/ccstore/v1/images/?source=/file/v4962284518303406455/products/OSFUS-PDP-OTSUS05_0021-01-OTUPFlexMeterBox.jpg&amp;height=475&amp;width=475")</f>
        <v/>
      </c>
      <c r="H367">
        <f>IMAGE("https://m.media-amazon.com/images/I/81jWuYXtXxL._AC_UL320_.jpg")</f>
        <v/>
      </c>
      <c r="I367" t="inlineStr">
        <is>
          <t>22.0</t>
        </is>
      </c>
      <c r="J367" t="n">
        <v>49.99</v>
      </c>
      <c r="K367" s="3" t="inlineStr">
        <is>
          <t>127.23%</t>
        </is>
      </c>
      <c r="L367" t="n">
        <v>4.3</v>
      </c>
      <c r="M367" t="n">
        <v>86</v>
      </c>
      <c r="O367" t="inlineStr">
        <is>
          <t>InStock</t>
        </is>
      </c>
      <c r="P367" t="inlineStr">
        <is>
          <t>undefined</t>
        </is>
      </c>
      <c r="Q367" t="inlineStr">
        <is>
          <t>US-POR-2200017</t>
        </is>
      </c>
    </row>
    <row r="368">
      <c r="A368" s="2">
        <f>HYPERLINK("https://shop.sonapharmacy.com/products/covidien-curity-abdominal-pad", "https://shop.sonapharmacy.com/products/covidien-curity-abdominal-pad")</f>
        <v/>
      </c>
      <c r="B368" s="2">
        <f>HYPERLINK("https://shop.sonapharmacy.com/products/covidien-curity-abdominal-pad", "https://shop.sonapharmacy.com/products/covidien-curity-abdominal-pad")</f>
        <v/>
      </c>
      <c r="C368" t="inlineStr">
        <is>
          <t>Covidien® Curity Abdominal Pad</t>
        </is>
      </c>
      <c r="D368" t="inlineStr">
        <is>
          <t>Covidien Curity Abdominal Pads with Wet Proof Barrier, 8 Inch X 10 Inch , Sterile, (Case of 216)</t>
        </is>
      </c>
      <c r="E368" s="2">
        <f>HYPERLINK("https://www.amazon.com/Covidien-Curity-Abdominal-Barrier-Sterile/dp/B00IODXZF2/ref=sr_1_6?keywords=Covidien%C2%AE+Curity+Abdominal+Pad&amp;qid=1695260163&amp;sr=8-6", "https://www.amazon.com/Covidien-Curity-Abdominal-Barrier-Sterile/dp/B00IODXZF2/ref=sr_1_6?keywords=Covidien%C2%AE+Curity+Abdominal+Pad&amp;qid=1695260163&amp;sr=8-6")</f>
        <v/>
      </c>
      <c r="F368" t="inlineStr">
        <is>
          <t>B00IODXZF2</t>
        </is>
      </c>
      <c r="G368">
        <f>IMAGE("https://shop.sonapharmacy.com/cdn/shop/products/5x9.jpg?v=1608146174")</f>
        <v/>
      </c>
      <c r="H368">
        <f>IMAGE("https://m.media-amazon.com/images/I/51Zo4K0AO6L._AC_UL320_.jpg")</f>
        <v/>
      </c>
      <c r="I368" t="inlineStr">
        <is>
          <t>0.38</t>
        </is>
      </c>
      <c r="J368" t="n">
        <v>88.38</v>
      </c>
      <c r="K368" s="3" t="inlineStr">
        <is>
          <t>23157.89%</t>
        </is>
      </c>
      <c r="L368" t="n">
        <v>4.5</v>
      </c>
      <c r="M368" t="n">
        <v>10</v>
      </c>
      <c r="O368" t="inlineStr">
        <is>
          <t>InStock</t>
        </is>
      </c>
      <c r="P368" t="inlineStr">
        <is>
          <t>undefined</t>
        </is>
      </c>
      <c r="Q368" t="inlineStr">
        <is>
          <t>6156838666392</t>
        </is>
      </c>
    </row>
    <row r="369">
      <c r="A369" s="2">
        <f>HYPERLINK("https://shop.sonapharmacy.com/products/covidien-telfa-adhesive-island-dressing-2-x-3-75in", "https://shop.sonapharmacy.com/products/covidien-telfa-adhesive-island-dressing-2-x-3-75in")</f>
        <v/>
      </c>
      <c r="B369" s="2">
        <f>HYPERLINK("https://shop.sonapharmacy.com/products/covidien-telfa-adhesive-island-dressing-2-x-3-75in", "https://shop.sonapharmacy.com/products/covidien-telfa-adhesive-island-dressing-2-x-3-75in")</f>
        <v/>
      </c>
      <c r="C369" t="inlineStr">
        <is>
          <t>Covidien® Telfa Adhesive Island Dressing 2 x 3.75in</t>
        </is>
      </c>
      <c r="D369" t="inlineStr">
        <is>
          <t>Kendall Healthcare Telfa Adhesive Island Dressing 4" W x 14" L (Box of 25 Each)</t>
        </is>
      </c>
      <c r="E369" s="2">
        <f>HYPERLINK("https://www.amazon.com/Kendall-Healthcare-Adhesive-Island-Dressing/dp/B00JWS6UEG/ref=sr_1_8?keywords=Covidien%C2%AE+Telfa+Adhesive+Island+Dressing+2+x+3.75in&amp;qid=1695260161&amp;sr=8-8", "https://www.amazon.com/Kendall-Healthcare-Adhesive-Island-Dressing/dp/B00JWS6UEG/ref=sr_1_8?keywords=Covidien%C2%AE+Telfa+Adhesive+Island+Dressing+2+x+3.75in&amp;qid=1695260161&amp;sr=8-8")</f>
        <v/>
      </c>
      <c r="F369" t="inlineStr">
        <is>
          <t>B00JWS6UEG</t>
        </is>
      </c>
      <c r="G369">
        <f>IMAGE("https://shop.sonapharmacy.com/cdn/shop/products/covidien-telfa-adhesive-island-dressing-7539lf.jpg?v=1608135470")</f>
        <v/>
      </c>
      <c r="H369">
        <f>IMAGE("https://m.media-amazon.com/images/I/413YoS6echL._AC_UL320_.jpg")</f>
        <v/>
      </c>
      <c r="I369" t="inlineStr">
        <is>
          <t>0.39</t>
        </is>
      </c>
      <c r="J369" t="n">
        <v>38.19</v>
      </c>
      <c r="K369" s="3" t="inlineStr">
        <is>
          <t>9692.31%</t>
        </is>
      </c>
      <c r="L369" t="n">
        <v>4.5</v>
      </c>
      <c r="M369" t="n">
        <v>26</v>
      </c>
      <c r="O369" t="inlineStr">
        <is>
          <t>OutOfStock</t>
        </is>
      </c>
      <c r="P369" t="inlineStr">
        <is>
          <t>undefined</t>
        </is>
      </c>
      <c r="Q369" t="inlineStr">
        <is>
          <t>6156963872920</t>
        </is>
      </c>
    </row>
    <row r="370">
      <c r="A370" s="2">
        <f>HYPERLINK("https://shop.sonapharmacy.com/products/covidien-telfa-adhesive-dressing-2-x-3in", "https://shop.sonapharmacy.com/products/covidien-telfa-adhesive-dressing-2-x-3in")</f>
        <v/>
      </c>
      <c r="B370" s="2">
        <f>HYPERLINK("https://shop.sonapharmacy.com/products/covidien-telfa-adhesive-dressing-2-x-3in", "https://shop.sonapharmacy.com/products/covidien-telfa-adhesive-dressing-2-x-3in")</f>
        <v/>
      </c>
      <c r="C370" t="inlineStr">
        <is>
          <t>Covidien® Telfa Adhesive Dressing 2 x 3in</t>
        </is>
      </c>
      <c r="D370" t="inlineStr">
        <is>
          <t>MCK60172000 - Adhesive Dressing Telfa 2 X 3 Inch 100% Cotton Rectangle Clear Sterile</t>
        </is>
      </c>
      <c r="E370" s="2">
        <f>HYPERLINK("https://www.amazon.com/MCK60172000-Adhesive-Dressing-Rectangle-Sterile/dp/B000SOX97E/ref=sr_1_4?keywords=Covidien%C2%AE+Telfa+Adhesive+Dressing+2+x+3in&amp;qid=1695260167&amp;sr=8-4", "https://www.amazon.com/MCK60172000-Adhesive-Dressing-Rectangle-Sterile/dp/B000SOX97E/ref=sr_1_4?keywords=Covidien%C2%AE+Telfa+Adhesive+Dressing+2+x+3in&amp;qid=1695260167&amp;sr=8-4")</f>
        <v/>
      </c>
      <c r="F370" t="inlineStr">
        <is>
          <t>B000SOX97E</t>
        </is>
      </c>
      <c r="G370">
        <f>IMAGE("https://shop.sonapharmacy.com/cdn/shop/products/8101KIzjT7L._AC_SL1500.jpg?v=1608135000")</f>
        <v/>
      </c>
      <c r="H370">
        <f>IMAGE("https://m.media-amazon.com/images/I/61QnarvWHiL._AC_UL320_.jpg")</f>
        <v/>
      </c>
      <c r="I370" t="inlineStr">
        <is>
          <t>0.39</t>
        </is>
      </c>
      <c r="J370" t="n">
        <v>23.13</v>
      </c>
      <c r="K370" s="3" t="inlineStr">
        <is>
          <t>5830.77%</t>
        </is>
      </c>
      <c r="L370" t="n">
        <v>4.4</v>
      </c>
      <c r="M370" t="n">
        <v>229</v>
      </c>
      <c r="O370" t="inlineStr">
        <is>
          <t>InStock</t>
        </is>
      </c>
      <c r="P370" t="inlineStr">
        <is>
          <t>undefined</t>
        </is>
      </c>
      <c r="Q370" t="inlineStr">
        <is>
          <t>6156955386008</t>
        </is>
      </c>
    </row>
    <row r="371">
      <c r="A371" s="2">
        <f>HYPERLINK("https://shop.sonapharmacy.com/products/covidien-telfa-adhesive-island-dressing-2-x-3-75in", "https://shop.sonapharmacy.com/products/covidien-telfa-adhesive-island-dressing-2-x-3-75in")</f>
        <v/>
      </c>
      <c r="B371" s="2">
        <f>HYPERLINK("https://shop.sonapharmacy.com/products/covidien-telfa-adhesive-island-dressing-2-x-3-75in", "https://shop.sonapharmacy.com/products/covidien-telfa-adhesive-island-dressing-2-x-3-75in")</f>
        <v/>
      </c>
      <c r="C371" t="inlineStr">
        <is>
          <t>Covidien® Telfa Adhesive Island Dressing 2 x 3.75in</t>
        </is>
      </c>
      <c r="D371" t="inlineStr">
        <is>
          <t>Telfa Adhesive Island Wound Dressing 4" x 4" - Box of 25</t>
        </is>
      </c>
      <c r="E371" s="2">
        <f>HYPERLINK("https://www.amazon.com/Telfa-Adhesive-Island-Wound-Dressing/dp/B00JJOE6J4/ref=sr_1_fkmr0_1?keywords=Covidien%C2%AE+Telfa+Adhesive+Island+Dressing+2+x+3.75in&amp;qid=1695260161&amp;sr=8-1-fkmr0", "https://www.amazon.com/Telfa-Adhesive-Island-Wound-Dressing/dp/B00JJOE6J4/ref=sr_1_fkmr0_1?keywords=Covidien%C2%AE+Telfa+Adhesive+Island+Dressing+2+x+3.75in&amp;qid=1695260161&amp;sr=8-1-fkmr0")</f>
        <v/>
      </c>
      <c r="F371" t="inlineStr">
        <is>
          <t>B00JJOE6J4</t>
        </is>
      </c>
      <c r="G371">
        <f>IMAGE("https://shop.sonapharmacy.com/cdn/shop/products/covidien-telfa-adhesive-island-dressing-7539lf.jpg?v=1608135470")</f>
        <v/>
      </c>
      <c r="H371">
        <f>IMAGE("https://m.media-amazon.com/images/I/61eRTZmx+rL._AC_UL320_.jpg")</f>
        <v/>
      </c>
      <c r="I371" t="inlineStr">
        <is>
          <t>0.39</t>
        </is>
      </c>
      <c r="J371" t="n">
        <v>22.93</v>
      </c>
      <c r="K371" s="3" t="inlineStr">
        <is>
          <t>5779.49%</t>
        </is>
      </c>
      <c r="L371" t="n">
        <v>4.5</v>
      </c>
      <c r="M371" t="n">
        <v>51</v>
      </c>
      <c r="O371" t="inlineStr">
        <is>
          <t>OutOfStock</t>
        </is>
      </c>
      <c r="P371" t="inlineStr">
        <is>
          <t>undefined</t>
        </is>
      </c>
      <c r="Q371" t="inlineStr">
        <is>
          <t>6156963872920</t>
        </is>
      </c>
    </row>
    <row r="372">
      <c r="A372" s="2">
        <f>HYPERLINK("https://shop.sonapharmacy.com/products/macks%C2%AE-pillow-soft%C2%AE-silicone-putty-ear-plugs", "https://shop.sonapharmacy.com/products/macks%C2%AE-pillow-soft%C2%AE-silicone-putty-ear-plugs")</f>
        <v/>
      </c>
      <c r="B372" s="2">
        <f>HYPERLINK("https://shop.sonapharmacy.com/products/macks%c2%ae-pillow-soft%c2%ae-silicone-putty-ear-plugs", "https://shop.sonapharmacy.com/products/macks%c2%ae-pillow-soft%c2%ae-silicone-putty-ear-plugs")</f>
        <v/>
      </c>
      <c r="C372" t="inlineStr">
        <is>
          <t>Mack's® Pillow Soft® Silicone Putty Ear Plugs</t>
        </is>
      </c>
      <c r="D372" t="inlineStr">
        <is>
          <t>Mack's Pillow Soft Silicone Earplugs - 200 Pair Dispenser - The Original Moldable Silicone Putty Ear Plugs for Sleeping, Snoring, Swimming, Travel, Concerts and Studying (Beige) | Made in USA</t>
        </is>
      </c>
      <c r="E372" s="2">
        <f>HYPERLINK("https://www.amazon.com/Macks-Pillow-Soft-Plugs-Pair/dp/B00MHPOK02/ref=sr_1_9?keywords=Mack%27s%C2%AE+Pillow+Soft%C2%AE+Silicone+Putty+Ear+Plugs&amp;qid=1695260450&amp;sr=8-9", "https://www.amazon.com/Macks-Pillow-Soft-Plugs-Pair/dp/B00MHPOK02/ref=sr_1_9?keywords=Mack%27s%C2%AE+Pillow+Soft%C2%AE+Silicone+Putty+Ear+Plugs&amp;qid=1695260450&amp;sr=8-9")</f>
        <v/>
      </c>
      <c r="F372" t="inlineStr">
        <is>
          <t>B00MHPOK02</t>
        </is>
      </c>
      <c r="G372">
        <f>IMAGE("https://shop.sonapharmacy.com/cdn/shop/products/71Rta0uAlwL._AC_SL1500.jpg?v=1609171871")</f>
        <v/>
      </c>
      <c r="H372">
        <f>IMAGE("https://m.media-amazon.com/images/I/71JSlZmTR0S._AC_UL320_.jpg")</f>
        <v/>
      </c>
      <c r="I372" t="inlineStr">
        <is>
          <t>2.73</t>
        </is>
      </c>
      <c r="J372" t="n">
        <v>149.97</v>
      </c>
      <c r="K372" s="3" t="inlineStr">
        <is>
          <t>5393.41%</t>
        </is>
      </c>
      <c r="L372" t="n">
        <v>5</v>
      </c>
      <c r="M372" t="n">
        <v>2</v>
      </c>
      <c r="O372" t="inlineStr">
        <is>
          <t>InStock</t>
        </is>
      </c>
      <c r="P372" t="inlineStr">
        <is>
          <t>undefined</t>
        </is>
      </c>
      <c r="Q372" t="inlineStr">
        <is>
          <t>6177638711448</t>
        </is>
      </c>
    </row>
    <row r="373">
      <c r="A373" s="2">
        <f>HYPERLINK("https://shop.sonapharmacy.com/products/macks%C2%AE-pillow-soft%C2%AE-silicone-putty-ear-plugs", "https://shop.sonapharmacy.com/products/macks%C2%AE-pillow-soft%C2%AE-silicone-putty-ear-plugs")</f>
        <v/>
      </c>
      <c r="B373" s="2">
        <f>HYPERLINK("https://shop.sonapharmacy.com/products/macks%c2%ae-pillow-soft%c2%ae-silicone-putty-ear-plugs", "https://shop.sonapharmacy.com/products/macks%c2%ae-pillow-soft%c2%ae-silicone-putty-ear-plugs")</f>
        <v/>
      </c>
      <c r="C373" t="inlineStr">
        <is>
          <t>Mack's® Pillow Soft® Silicone Putty Ear Plugs</t>
        </is>
      </c>
      <c r="D373" t="inlineStr">
        <is>
          <t>Mack's Pillow Soft Silicone Earplugs - 200 Pair Dispenser - The Original Moldable Silicone Putty Ear Plugs for Sleeping, Snoring, Swimming, Travel, Concerts and Studying (Orange) | Made in USA</t>
        </is>
      </c>
      <c r="E373" s="2">
        <f>HYPERLINK("https://www.amazon.com/Macks%C2%AE-Pillow-Soft%C2%AE-Earplugs-Individual/dp/B002MYE2OM/ref=sr_1_8?keywords=Mack%27s%C2%AE+Pillow+Soft%C2%AE+Silicone+Putty+Ear+Plugs&amp;qid=1695260450&amp;sr=8-8", "https://www.amazon.com/Macks%C2%AE-Pillow-Soft%C2%AE-Earplugs-Individual/dp/B002MYE2OM/ref=sr_1_8?keywords=Mack%27s%C2%AE+Pillow+Soft%C2%AE+Silicone+Putty+Ear+Plugs&amp;qid=1695260450&amp;sr=8-8")</f>
        <v/>
      </c>
      <c r="F373" t="inlineStr">
        <is>
          <t>B002MYE2OM</t>
        </is>
      </c>
      <c r="G373">
        <f>IMAGE("https://shop.sonapharmacy.com/cdn/shop/products/71Rta0uAlwL._AC_SL1500.jpg?v=1609171871")</f>
        <v/>
      </c>
      <c r="H373">
        <f>IMAGE("https://m.media-amazon.com/images/I/71DPkPq+jJS._AC_UL320_.jpg")</f>
        <v/>
      </c>
      <c r="I373" t="inlineStr">
        <is>
          <t>2.73</t>
        </is>
      </c>
      <c r="J373" t="n">
        <v>149.96</v>
      </c>
      <c r="K373" s="3" t="inlineStr">
        <is>
          <t>5393.04%</t>
        </is>
      </c>
      <c r="L373" t="n">
        <v>4</v>
      </c>
      <c r="M373" t="n">
        <v>10</v>
      </c>
      <c r="O373" t="inlineStr">
        <is>
          <t>InStock</t>
        </is>
      </c>
      <c r="P373" t="inlineStr">
        <is>
          <t>undefined</t>
        </is>
      </c>
      <c r="Q373" t="inlineStr">
        <is>
          <t>6177638711448</t>
        </is>
      </c>
    </row>
    <row r="374">
      <c r="A374" s="2">
        <f>HYPERLINK("https://shop.sonapharmacy.com/products/covidien-telfa-adhesive-island-dressing-2-x-3-75in", "https://shop.sonapharmacy.com/products/covidien-telfa-adhesive-island-dressing-2-x-3-75in")</f>
        <v/>
      </c>
      <c r="B374" s="2">
        <f>HYPERLINK("https://shop.sonapharmacy.com/products/covidien-telfa-adhesive-island-dressing-2-x-3-75in", "https://shop.sonapharmacy.com/products/covidien-telfa-adhesive-island-dressing-2-x-3-75in")</f>
        <v/>
      </c>
      <c r="C374" t="inlineStr">
        <is>
          <t>Covidien® Telfa Adhesive Island Dressing 2 x 3.75in</t>
        </is>
      </c>
      <c r="D374" t="inlineStr">
        <is>
          <t>7540 Dressing Telfa Island Wound LF St Gauze 4x5" White Adhesive 25 Per Box Part No. 7540 by- Kendall Company</t>
        </is>
      </c>
      <c r="E374" s="2">
        <f>HYPERLINK("https://www.amazon.com/Dressing-Island-Adhesive-Kendall-Company/dp/B004YNPAIQ/ref=sr_1_7?keywords=Covidien%C2%AE+Telfa+Adhesive+Island+Dressing+2+x+3.75in&amp;qid=1695260161&amp;sr=8-7", "https://www.amazon.com/Dressing-Island-Adhesive-Kendall-Company/dp/B004YNPAIQ/ref=sr_1_7?keywords=Covidien%C2%AE+Telfa+Adhesive+Island+Dressing+2+x+3.75in&amp;qid=1695260161&amp;sr=8-7")</f>
        <v/>
      </c>
      <c r="F374" t="inlineStr">
        <is>
          <t>B004YNPAIQ</t>
        </is>
      </c>
      <c r="G374">
        <f>IMAGE("https://shop.sonapharmacy.com/cdn/shop/products/covidien-telfa-adhesive-island-dressing-7539lf.jpg?v=1608135470")</f>
        <v/>
      </c>
      <c r="H374">
        <f>IMAGE("https://m.media-amazon.com/images/I/31t4iF8XF5L._AC_UL320_.jpg")</f>
        <v/>
      </c>
      <c r="I374" t="inlineStr">
        <is>
          <t>0.39</t>
        </is>
      </c>
      <c r="J374" t="n">
        <v>20.81</v>
      </c>
      <c r="K374" s="3" t="inlineStr">
        <is>
          <t>5235.90%</t>
        </is>
      </c>
      <c r="L374" t="n">
        <v>4.7</v>
      </c>
      <c r="M374" t="n">
        <v>215</v>
      </c>
      <c r="O374" t="inlineStr">
        <is>
          <t>OutOfStock</t>
        </is>
      </c>
      <c r="P374" t="inlineStr">
        <is>
          <t>undefined</t>
        </is>
      </c>
      <c r="Q374" t="inlineStr">
        <is>
          <t>6156963872920</t>
        </is>
      </c>
    </row>
    <row r="375">
      <c r="A375" s="2">
        <f>HYPERLINK("https://shop.sonapharmacy.com/products/covidien-telfa-adhesive-dressing-2-x-3in", "https://shop.sonapharmacy.com/products/covidien-telfa-adhesive-dressing-2-x-3in")</f>
        <v/>
      </c>
      <c r="B375" s="2">
        <f>HYPERLINK("https://shop.sonapharmacy.com/products/covidien-telfa-adhesive-dressing-2-x-3in", "https://shop.sonapharmacy.com/products/covidien-telfa-adhesive-dressing-2-x-3in")</f>
        <v/>
      </c>
      <c r="C375" t="inlineStr">
        <is>
          <t>Covidien® Telfa Adhesive Dressing 2 x 3in</t>
        </is>
      </c>
      <c r="D375" t="inlineStr">
        <is>
          <t>Covidien Adhesive Dressing Telfa 100% Cotton 2 X 3" Rectangle Clear (#6017, Sold Per Box)</t>
        </is>
      </c>
      <c r="E375" s="2">
        <f>HYPERLINK("https://www.amazon.com/COVIDIEN-Adhesive-Dressing-Cotton-Rectangle/dp/B00YWJODJE/ref=sr_1_2?keywords=Covidien%C2%AE+Telfa+Adhesive+Dressing+2+x+3in&amp;qid=1695260167&amp;sr=8-2", "https://www.amazon.com/COVIDIEN-Adhesive-Dressing-Cotton-Rectangle/dp/B00YWJODJE/ref=sr_1_2?keywords=Covidien%C2%AE+Telfa+Adhesive+Dressing+2+x+3in&amp;qid=1695260167&amp;sr=8-2")</f>
        <v/>
      </c>
      <c r="F375" t="inlineStr">
        <is>
          <t>B00YWJODJE</t>
        </is>
      </c>
      <c r="G375">
        <f>IMAGE("https://shop.sonapharmacy.com/cdn/shop/products/8101KIzjT7L._AC_SL1500.jpg?v=1608135000")</f>
        <v/>
      </c>
      <c r="H375">
        <f>IMAGE("https://m.media-amazon.com/images/I/41DyO3PG3wL._AC_UL320_.jpg")</f>
        <v/>
      </c>
      <c r="I375" t="inlineStr">
        <is>
          <t>0.39</t>
        </is>
      </c>
      <c r="J375" t="n">
        <v>19.15</v>
      </c>
      <c r="K375" s="3" t="inlineStr">
        <is>
          <t>4810.26%</t>
        </is>
      </c>
      <c r="L375" t="n">
        <v>4.5</v>
      </c>
      <c r="M375" t="n">
        <v>174</v>
      </c>
      <c r="O375" t="inlineStr">
        <is>
          <t>InStock</t>
        </is>
      </c>
      <c r="P375" t="inlineStr">
        <is>
          <t>undefined</t>
        </is>
      </c>
      <c r="Q375" t="inlineStr">
        <is>
          <t>6156955386008</t>
        </is>
      </c>
    </row>
    <row r="376">
      <c r="A376" s="2">
        <f>HYPERLINK("https://shop.sonapharmacy.com/products/covidien-telfa-adhesive-dressing-2-x-3in", "https://shop.sonapharmacy.com/products/covidien-telfa-adhesive-dressing-2-x-3in")</f>
        <v/>
      </c>
      <c r="B376" s="2">
        <f>HYPERLINK("https://shop.sonapharmacy.com/products/covidien-telfa-adhesive-dressing-2-x-3in", "https://shop.sonapharmacy.com/products/covidien-telfa-adhesive-dressing-2-x-3in")</f>
        <v/>
      </c>
      <c r="C376" t="inlineStr">
        <is>
          <t>Covidien® Telfa Adhesive Dressing 2 x 3in</t>
        </is>
      </c>
      <c r="D376" t="inlineStr">
        <is>
          <t>Covidien Adhesive Dressing Telfa 2 X 3 Inch Film / Cotton Rectangle White Sterile</t>
        </is>
      </c>
      <c r="E376" s="2">
        <f>HYPERLINK("https://www.amazon.com/Covidien-Adhesive-Dressing-Rectangle-Sterile/dp/B014I0XV4O/ref=sr_1_3?keywords=Covidien%C2%AE+Telfa+Adhesive+Dressing+2+x+3in&amp;qid=1695260167&amp;sr=8-3", "https://www.amazon.com/Covidien-Adhesive-Dressing-Rectangle-Sterile/dp/B014I0XV4O/ref=sr_1_3?keywords=Covidien%C2%AE+Telfa+Adhesive+Dressing+2+x+3in&amp;qid=1695260167&amp;sr=8-3")</f>
        <v/>
      </c>
      <c r="F376" t="inlineStr">
        <is>
          <t>B014I0XV4O</t>
        </is>
      </c>
      <c r="G376">
        <f>IMAGE("https://shop.sonapharmacy.com/cdn/shop/products/8101KIzjT7L._AC_SL1500.jpg?v=1608135000")</f>
        <v/>
      </c>
      <c r="H376">
        <f>IMAGE("https://m.media-amazon.com/images/I/310kcnkTrXL._AC_UL320_.jpg")</f>
        <v/>
      </c>
      <c r="I376" t="inlineStr">
        <is>
          <t>0.39</t>
        </is>
      </c>
      <c r="J376" t="n">
        <v>19.15</v>
      </c>
      <c r="K376" s="3" t="inlineStr">
        <is>
          <t>4810.26%</t>
        </is>
      </c>
      <c r="L376" t="n">
        <v>4.1</v>
      </c>
      <c r="M376" t="n">
        <v>22</v>
      </c>
      <c r="O376" t="inlineStr">
        <is>
          <t>InStock</t>
        </is>
      </c>
      <c r="P376" t="inlineStr">
        <is>
          <t>undefined</t>
        </is>
      </c>
      <c r="Q376" t="inlineStr">
        <is>
          <t>6156955386008</t>
        </is>
      </c>
    </row>
    <row r="377">
      <c r="A377" s="2">
        <f>HYPERLINK("https://shop.sonapharmacy.com/products/covidien-curity-abdominal-pad", "https://shop.sonapharmacy.com/products/covidien-curity-abdominal-pad")</f>
        <v/>
      </c>
      <c r="B377" s="2">
        <f>HYPERLINK("https://shop.sonapharmacy.com/products/covidien-curity-abdominal-pad", "https://shop.sonapharmacy.com/products/covidien-curity-abdominal-pad")</f>
        <v/>
      </c>
      <c r="C377" t="inlineStr">
        <is>
          <t>Covidien® Curity Abdominal Pad</t>
        </is>
      </c>
      <c r="D377" t="inlineStr">
        <is>
          <t>Curity Abdominal Pad</t>
        </is>
      </c>
      <c r="E377" s="2">
        <f>HYPERLINK("https://www.amazon.com/Covidien-9190A-Curity-Abdominal-Sterile/dp/B01MFGZHQO/ref=sr_1_3?keywords=Covidien%C2%AE+Curity+Abdominal+Pad&amp;qid=1695260163&amp;sr=8-3", "https://www.amazon.com/Covidien-9190A-Curity-Abdominal-Sterile/dp/B01MFGZHQO/ref=sr_1_3?keywords=Covidien%C2%AE+Curity+Abdominal+Pad&amp;qid=1695260163&amp;sr=8-3")</f>
        <v/>
      </c>
      <c r="F377" t="inlineStr">
        <is>
          <t>B01MFGZHQO</t>
        </is>
      </c>
      <c r="G377">
        <f>IMAGE("https://shop.sonapharmacy.com/cdn/shop/products/5x9.jpg?v=1608146174")</f>
        <v/>
      </c>
      <c r="H377">
        <f>IMAGE("https://m.media-amazon.com/images/I/51d4E0RwcaL._AC_UL320_.jpg")</f>
        <v/>
      </c>
      <c r="I377" t="inlineStr">
        <is>
          <t>0.38</t>
        </is>
      </c>
      <c r="J377" t="n">
        <v>18.3</v>
      </c>
      <c r="K377" s="3" t="inlineStr">
        <is>
          <t>4715.79%</t>
        </is>
      </c>
      <c r="L377" t="n">
        <v>4.7</v>
      </c>
      <c r="M377" t="n">
        <v>103</v>
      </c>
      <c r="O377" t="inlineStr">
        <is>
          <t>InStock</t>
        </is>
      </c>
      <c r="P377" t="inlineStr">
        <is>
          <t>undefined</t>
        </is>
      </c>
      <c r="Q377" t="inlineStr">
        <is>
          <t>6156838666392</t>
        </is>
      </c>
    </row>
    <row r="378">
      <c r="A378" s="2">
        <f>HYPERLINK("https://shop.sonapharmacy.com/products/baby-love%C2%AE-baby-wipes-soothing-aloe-vera-80ct", "https://shop.sonapharmacy.com/products/baby-love%C2%AE-baby-wipes-soothing-aloe-vera-80ct")</f>
        <v/>
      </c>
      <c r="B378" s="2">
        <f>HYPERLINK("https://shop.sonapharmacy.com/products/baby-love%c2%ae-baby-wipes-soothing-aloe-vera-80ct", "https://shop.sonapharmacy.com/products/baby-love%c2%ae-baby-wipes-soothing-aloe-vera-80ct")</f>
        <v/>
      </c>
      <c r="C378" t="inlineStr">
        <is>
          <t>Baby Love® Baby Wipes Soothing Aloe Vera 72ct</t>
        </is>
      </c>
      <c r="D378" t="inlineStr">
        <is>
          <t>Mom &amp; World Natural 98% Pure Water Baby Wipes, Plant Based , 3X Soothing With Aloe Vera, Calendula &amp; Cucumber, pH Balanced, Extra Thick | Extra Moist, 72 N Wipes</t>
        </is>
      </c>
      <c r="E378" s="2">
        <f>HYPERLINK("https://www.amazon.com/Mom-World-Soothing-Calendula-Cucumber/dp/B09VDBCF2Z/ref=sr_1_8?keywords=Baby+Love%C2%AE+Baby+Wipes+Soothing+Aloe+Vera+72ct&amp;qid=1695260054&amp;sr=8-8", "https://www.amazon.com/Mom-World-Soothing-Calendula-Cucumber/dp/B09VDBCF2Z/ref=sr_1_8?keywords=Baby+Love%C2%AE+Baby+Wipes+Soothing+Aloe+Vera+72ct&amp;qid=1695260054&amp;sr=8-8")</f>
        <v/>
      </c>
      <c r="F378" t="inlineStr">
        <is>
          <t>B09VDBCF2Z</t>
        </is>
      </c>
      <c r="G378">
        <f>IMAGE("https://shop.sonapharmacy.com/cdn/shop/products/694133.jpg?v=1609338485")</f>
        <v/>
      </c>
      <c r="H378">
        <f>IMAGE("https://m.media-amazon.com/images/I/61zglUuLPNL._AC_UL320_.jpg")</f>
        <v/>
      </c>
      <c r="I378" t="inlineStr">
        <is>
          <t>1.0</t>
        </is>
      </c>
      <c r="J378" t="n">
        <v>19.4</v>
      </c>
      <c r="K378" s="3" t="inlineStr">
        <is>
          <t>1840.00%</t>
        </is>
      </c>
      <c r="L378" t="n">
        <v>4.6</v>
      </c>
      <c r="M378" t="n">
        <v>5</v>
      </c>
      <c r="O378" t="inlineStr">
        <is>
          <t>OutOfStock</t>
        </is>
      </c>
      <c r="P378" t="inlineStr">
        <is>
          <t>undefined</t>
        </is>
      </c>
      <c r="Q378" t="inlineStr">
        <is>
          <t>6182806454424</t>
        </is>
      </c>
    </row>
    <row r="379">
      <c r="A379" s="2">
        <f>HYPERLINK("https://shop.sonapharmacy.com/products/reach%C2%AE-mint-waxed-floss-55yds", "https://shop.sonapharmacy.com/products/reach%C2%AE-mint-waxed-floss-55yds")</f>
        <v/>
      </c>
      <c r="B379" s="2">
        <f>HYPERLINK("https://shop.sonapharmacy.com/products/reach%c2%ae-mint-waxed-floss-55yds", "https://shop.sonapharmacy.com/products/reach%c2%ae-mint-waxed-floss-55yds")</f>
        <v/>
      </c>
      <c r="C379" t="inlineStr">
        <is>
          <t>Reach® Mint Waxed Floss</t>
        </is>
      </c>
      <c r="D379" t="inlineStr">
        <is>
          <t>Reach Waxed Dental Floss Bundle | Effective Plaque Removal, Extra Wide Cleaning Surface | Shred Resistance &amp; Tension, Slides Smoothly &amp; Easily, PFAS FREE | Mint Flavored, 200 YD, 6pk</t>
        </is>
      </c>
      <c r="E379" s="2">
        <f>HYPERLINK("https://www.amazon.com/Reach-Dentotape-Effective-Removal-Cleaning/dp/B001E96PA0/ref=sr_1_5?keywords=Reach%C2%AE+Mint+Waxed+Floss&amp;qid=1695260669&amp;sr=8-5", "https://www.amazon.com/Reach-Dentotape-Effective-Removal-Cleaning/dp/B001E96PA0/ref=sr_1_5?keywords=Reach%C2%AE+Mint+Waxed+Floss&amp;qid=1695260669&amp;sr=8-5")</f>
        <v/>
      </c>
      <c r="F379" t="inlineStr">
        <is>
          <t>B001E96PA0</t>
        </is>
      </c>
      <c r="G379">
        <f>IMAGE("https://shop.sonapharmacy.com/cdn/shop/products/reach_mint_waxed_floss.png?v=1608573621")</f>
        <v/>
      </c>
      <c r="H379">
        <f>IMAGE("https://m.media-amazon.com/images/I/61XqDNKIIkL._AC_UL320_.jpg")</f>
        <v/>
      </c>
      <c r="I379" t="inlineStr">
        <is>
          <t>1.56</t>
        </is>
      </c>
      <c r="J379" t="n">
        <v>26.99</v>
      </c>
      <c r="K379" s="3" t="inlineStr">
        <is>
          <t>1630.13%</t>
        </is>
      </c>
      <c r="L379" t="n">
        <v>4.7</v>
      </c>
      <c r="M379" t="n">
        <v>19222</v>
      </c>
      <c r="O379" t="inlineStr">
        <is>
          <t>InStock</t>
        </is>
      </c>
      <c r="P379" t="inlineStr">
        <is>
          <t>undefined</t>
        </is>
      </c>
      <c r="Q379" t="inlineStr">
        <is>
          <t>6166112862360</t>
        </is>
      </c>
    </row>
    <row r="380">
      <c r="A380" s="2">
        <f>HYPERLINK("https://shop.sonapharmacy.com/products/band-aid-hurt-free-wrap", "https://shop.sonapharmacy.com/products/band-aid-hurt-free-wrap")</f>
        <v/>
      </c>
      <c r="B380" s="2">
        <f>HYPERLINK("https://shop.sonapharmacy.com/products/band-aid-hurt-free-wrap", "https://shop.sonapharmacy.com/products/band-aid-hurt-free-wrap")</f>
        <v/>
      </c>
      <c r="C380" t="inlineStr">
        <is>
          <t>BAND-AID® Hurt-Free Wrap</t>
        </is>
      </c>
      <c r="D380" t="inlineStr">
        <is>
          <t>Johnson and Johnson Band-Aid Medium 2 in.Hurt-Free Wrap 2.3 yd. Roll - 24 per case.</t>
        </is>
      </c>
      <c r="E380" s="2">
        <f>HYPERLINK("https://www.amazon.com/Johnson-Band-Aid-Medium-Hurt-Free-Wrap/dp/B01HUNIAN8/ref=sr_1_5?keywords=BAND-AID%C2%AE+Hurt-Free+Wrap&amp;qid=1695260060&amp;sr=8-5", "https://www.amazon.com/Johnson-Band-Aid-Medium-Hurt-Free-Wrap/dp/B01HUNIAN8/ref=sr_1_5?keywords=BAND-AID%C2%AE+Hurt-Free+Wrap&amp;qid=1695260060&amp;sr=8-5")</f>
        <v/>
      </c>
      <c r="F380" t="inlineStr">
        <is>
          <t>B01HUNIAN8</t>
        </is>
      </c>
      <c r="G380">
        <f>IMAGE("https://shop.sonapharmacy.com/cdn/shop/products/band_aid_us_pho_pac_18_1_3088478.jpg?v=1607697047")</f>
        <v/>
      </c>
      <c r="H380">
        <f>IMAGE("https://m.media-amazon.com/images/I/81WgWzXE4pL._AC_UL320_.jpg")</f>
        <v/>
      </c>
      <c r="I380" t="inlineStr">
        <is>
          <t>7.23</t>
        </is>
      </c>
      <c r="J380" t="n">
        <v>112.35</v>
      </c>
      <c r="K380" s="3" t="inlineStr">
        <is>
          <t>1453.94%</t>
        </is>
      </c>
      <c r="L380" t="n">
        <v>4.8</v>
      </c>
      <c r="M380" t="n">
        <v>5</v>
      </c>
      <c r="O380" t="inlineStr">
        <is>
          <t>InStock</t>
        </is>
      </c>
      <c r="P380" t="inlineStr">
        <is>
          <t>undefined</t>
        </is>
      </c>
      <c r="Q380" t="inlineStr">
        <is>
          <t>6146880471192</t>
        </is>
      </c>
    </row>
    <row r="381">
      <c r="A381" s="2">
        <f>HYPERLINK("https://shop.sonapharmacy.com/products/apex%C2%AE-oral-syringe-10ml", "https://shop.sonapharmacy.com/products/apex%C2%AE-oral-syringe-10ml")</f>
        <v/>
      </c>
      <c r="B381" s="2">
        <f>HYPERLINK("https://shop.sonapharmacy.com/products/apex%c2%ae-oral-syringe-10ml", "https://shop.sonapharmacy.com/products/apex%c2%ae-oral-syringe-10ml")</f>
        <v/>
      </c>
      <c r="C381" t="inlineStr">
        <is>
          <t>Apex Oral Syringe 10ml.</t>
        </is>
      </c>
      <c r="D381" t="inlineStr">
        <is>
          <t>Easy Glide 10ml 10cc Oral Syringe, Luer Slip, Caps Included, Great for Oral Medicine and Home Care, 100 Count</t>
        </is>
      </c>
      <c r="E381" s="2">
        <f>HYPERLINK("https://www.amazon.com/Easy-Glide-Syringe-Included-Medicine/dp/B08FVKN4M4/ref=sr_1_10?keywords=Apex+Oral+Syringe+10ml.&amp;qid=1695260012&amp;sr=8-10", "https://www.amazon.com/Easy-Glide-Syringe-Included-Medicine/dp/B08FVKN4M4/ref=sr_1_10?keywords=Apex+Oral+Syringe+10ml.&amp;qid=1695260012&amp;sr=8-10")</f>
        <v/>
      </c>
      <c r="F381" t="inlineStr">
        <is>
          <t>B08FVKN4M4</t>
        </is>
      </c>
      <c r="G381">
        <f>IMAGE("https://shop.sonapharmacy.com/cdn/shop/products/000530853.jpg?v=1611189682")</f>
        <v/>
      </c>
      <c r="H381">
        <f>IMAGE("https://m.media-amazon.com/images/I/5119HMzbmJL._AC_UY218_.jpg")</f>
        <v/>
      </c>
      <c r="I381" t="inlineStr">
        <is>
          <t>1.79</t>
        </is>
      </c>
      <c r="J381" t="n">
        <v>21.99</v>
      </c>
      <c r="K381" s="3" t="inlineStr">
        <is>
          <t>1128.49%</t>
        </is>
      </c>
      <c r="L381" t="n">
        <v>4.3</v>
      </c>
      <c r="M381" t="n">
        <v>26</v>
      </c>
      <c r="O381" t="inlineStr">
        <is>
          <t>InStock</t>
        </is>
      </c>
      <c r="P381" t="inlineStr">
        <is>
          <t>undefined</t>
        </is>
      </c>
      <c r="Q381" t="inlineStr">
        <is>
          <t>6197942059160</t>
        </is>
      </c>
    </row>
    <row r="382">
      <c r="A382" s="2">
        <f>HYPERLINK("https://shop.sonapharmacy.com/products/duracell%C2%AE-aaa-coppertop-alkaline-batteries", "https://shop.sonapharmacy.com/products/duracell%C2%AE-aaa-coppertop-alkaline-batteries")</f>
        <v/>
      </c>
      <c r="B382" s="2">
        <f>HYPERLINK("https://shop.sonapharmacy.com/products/duracell%c2%ae-aaa-coppertop-alkaline-batteries", "https://shop.sonapharmacy.com/products/duracell%c2%ae-aaa-coppertop-alkaline-batteries")</f>
        <v/>
      </c>
      <c r="C382" t="inlineStr">
        <is>
          <t>Duracell® AAA CopperTop Alkaline Batteries</t>
        </is>
      </c>
      <c r="D382" t="inlineStr">
        <is>
          <t>Duracell Mn2400bkd Coppertop Alkaline Batteries, AAA, 144/Ct</t>
        </is>
      </c>
      <c r="E382" s="2">
        <f>HYPERLINK("https://www.amazon.com/Duracell-Coppertop-MN2400BKD-General-Purpose/dp/B00PV1L00M/ref=sr_1_5?keywords=Duracell%C2%AE+AAA+CopperTop+Alkaline+Batteries&amp;qid=1695260225&amp;sr=8-5", "https://www.amazon.com/Duracell-Coppertop-MN2400BKD-General-Purpose/dp/B00PV1L00M/ref=sr_1_5?keywords=Duracell%C2%AE+AAA+CopperTop+Alkaline+Batteries&amp;qid=1695260225&amp;sr=8-5")</f>
        <v/>
      </c>
      <c r="F382" t="inlineStr">
        <is>
          <t>B00PV1L00M</t>
        </is>
      </c>
      <c r="G382">
        <f>IMAGE("https://shop.sonapharmacy.com/cdn/shop/products/4711941b-a083-4277-8d8a-0a1bce8b082a_1.a291637149acb335ff96c25aae0e8bc1.png?v=1610335288")</f>
        <v/>
      </c>
      <c r="H382">
        <f>IMAGE("https://m.media-amazon.com/images/I/71nsYcX2teL._AC_UL320_.jpg")</f>
        <v/>
      </c>
      <c r="I382" t="inlineStr">
        <is>
          <t>7.63</t>
        </is>
      </c>
      <c r="J382" t="n">
        <v>84.28</v>
      </c>
      <c r="K382" s="3" t="inlineStr">
        <is>
          <t>1004.59%</t>
        </is>
      </c>
      <c r="L382" t="n">
        <v>4.6</v>
      </c>
      <c r="M382" t="n">
        <v>535</v>
      </c>
      <c r="O382" t="inlineStr">
        <is>
          <t>InStock</t>
        </is>
      </c>
      <c r="P382" t="inlineStr">
        <is>
          <t>undefined</t>
        </is>
      </c>
      <c r="Q382" t="inlineStr">
        <is>
          <t>6206523048088</t>
        </is>
      </c>
    </row>
    <row r="383">
      <c r="A383" s="2">
        <f>HYPERLINK("https://shop.sonapharmacy.com/products/accu-chek-glucose-guide-control-solution", "https://shop.sonapharmacy.com/products/accu-chek-glucose-guide-control-solution")</f>
        <v/>
      </c>
      <c r="B383" s="2">
        <f>HYPERLINK("https://shop.sonapharmacy.com/products/accu-chek-glucose-guide-control-solution", "https://shop.sonapharmacy.com/products/accu-chek-glucose-guide-control-solution")</f>
        <v/>
      </c>
      <c r="C383" t="inlineStr">
        <is>
          <t>Accu-Chek Glucose Guide Control Solution</t>
        </is>
      </c>
      <c r="D383" t="inlineStr">
        <is>
          <t>Accu-Chek Guide Me Glucose Monitor Kit for Diabetic Blood Sugar Testing: Guide Me Meter, 200 Guide Test Strips, and Control Solution</t>
        </is>
      </c>
      <c r="E383" s="2">
        <f>HYPERLINK("https://www.amazon.com/Accu-Chek-Diabetes-Essential-Diabetic-Supplies/dp/B0923FLV2N/ref=sr_1_2?keywords=Accu-Chek+Glucose+Guide+Control+Solution&amp;qid=1695260010&amp;sr=8-2", "https://www.amazon.com/Accu-Chek-Diabetes-Essential-Diabetic-Supplies/dp/B0923FLV2N/ref=sr_1_2?keywords=Accu-Chek+Glucose+Guide+Control+Solution&amp;qid=1695260010&amp;sr=8-2")</f>
        <v/>
      </c>
      <c r="F383" t="inlineStr">
        <is>
          <t>B0923FLV2N</t>
        </is>
      </c>
      <c r="G383">
        <f>IMAGE("https://shop.sonapharmacy.com/cdn/shop/products/Accu-ChekGlucoseGuideControlSolution.jpg?v=1594224961")</f>
        <v/>
      </c>
      <c r="H383">
        <f>IMAGE("https://m.media-amazon.com/images/I/715dgzpTBbL._AC_UL320_.jpg")</f>
        <v/>
      </c>
      <c r="I383" t="inlineStr">
        <is>
          <t>10.49</t>
        </is>
      </c>
      <c r="J383" t="n">
        <v>115</v>
      </c>
      <c r="K383" s="3" t="inlineStr">
        <is>
          <t>996.28%</t>
        </is>
      </c>
      <c r="L383" t="n">
        <v>4.4</v>
      </c>
      <c r="M383" t="n">
        <v>1977</v>
      </c>
      <c r="O383" t="inlineStr">
        <is>
          <t>InStock</t>
        </is>
      </c>
      <c r="P383" t="inlineStr">
        <is>
          <t>undefined</t>
        </is>
      </c>
      <c r="Q383" t="inlineStr">
        <is>
          <t>4896095830155</t>
        </is>
      </c>
    </row>
    <row r="384">
      <c r="A384" s="2">
        <f>HYPERLINK("https://shop.sonapharmacy.com/products/accu-chek-glucose-guide-control-solution", "https://shop.sonapharmacy.com/products/accu-chek-glucose-guide-control-solution")</f>
        <v/>
      </c>
      <c r="B384" s="2">
        <f>HYPERLINK("https://shop.sonapharmacy.com/products/accu-chek-glucose-guide-control-solution", "https://shop.sonapharmacy.com/products/accu-chek-glucose-guide-control-solution")</f>
        <v/>
      </c>
      <c r="C384" t="inlineStr">
        <is>
          <t>Accu-Chek Glucose Guide Control Solution</t>
        </is>
      </c>
      <c r="D384" t="inlineStr">
        <is>
          <t>Accu-Chek Guide Glucose Test Strips Kit for Diabetic Blood Sugar Testing: 200 Test Strips and Control Solution</t>
        </is>
      </c>
      <c r="E384" s="2">
        <f>HYPERLINK("https://www.amazon.com/Accu-Chek-Diabetes-Essential-Diabetic-Supplies/dp/B0923HDBX5/ref=sr_1_3?keywords=Accu-Chek+Glucose+Guide+Control+Solution&amp;qid=1695260010&amp;sr=8-3", "https://www.amazon.com/Accu-Chek-Diabetes-Essential-Diabetic-Supplies/dp/B0923HDBX5/ref=sr_1_3?keywords=Accu-Chek+Glucose+Guide+Control+Solution&amp;qid=1695260010&amp;sr=8-3")</f>
        <v/>
      </c>
      <c r="F384" t="inlineStr">
        <is>
          <t>B0923HDBX5</t>
        </is>
      </c>
      <c r="G384">
        <f>IMAGE("https://shop.sonapharmacy.com/cdn/shop/products/Accu-ChekGlucoseGuideControlSolution.jpg?v=1594224961")</f>
        <v/>
      </c>
      <c r="H384">
        <f>IMAGE("https://m.media-amazon.com/images/I/718GqnRj2UL._AC_UL320_.jpg")</f>
        <v/>
      </c>
      <c r="I384" t="inlineStr">
        <is>
          <t>10.49</t>
        </is>
      </c>
      <c r="J384" t="n">
        <v>105</v>
      </c>
      <c r="K384" s="3" t="inlineStr">
        <is>
          <t>900.95%</t>
        </is>
      </c>
      <c r="L384" t="n">
        <v>4.7</v>
      </c>
      <c r="M384" t="n">
        <v>9097</v>
      </c>
      <c r="O384" t="inlineStr">
        <is>
          <t>InStock</t>
        </is>
      </c>
      <c r="P384" t="inlineStr">
        <is>
          <t>undefined</t>
        </is>
      </c>
      <c r="Q384" t="inlineStr">
        <is>
          <t>4896095830155</t>
        </is>
      </c>
    </row>
    <row r="385">
      <c r="A385" s="2">
        <f>HYPERLINK("https://shop.sonapharmacy.com/products/prince-of-peace-ginger-chews-4oz", "https://shop.sonapharmacy.com/products/prince-of-peace-ginger-chews-4oz")</f>
        <v/>
      </c>
      <c r="B385" s="2">
        <f>HYPERLINK("https://shop.sonapharmacy.com/products/prince-of-peace-ginger-chews-4oz", "https://shop.sonapharmacy.com/products/prince-of-peace-ginger-chews-4oz")</f>
        <v/>
      </c>
      <c r="C385" t="inlineStr">
        <is>
          <t>Prince Of Peace Ginger Chews 4oz.</t>
        </is>
      </c>
      <c r="D385" t="inlineStr">
        <is>
          <t>Prince of Peace 100% Natural Ginger Candy (Chews), 2.2lb/1kg</t>
        </is>
      </c>
      <c r="E385" s="2">
        <f>HYPERLINK("https://www.amazon.com/Prince-Peace-Natural-Ginger-Candy/dp/B079MFDT7B/ref=sr_1_8?keywords=Prince+Of+Peace+Ginger+Chews+4oz.&amp;qid=1695260650&amp;sr=8-8", "https://www.amazon.com/Prince-Peace-Natural-Ginger-Candy/dp/B079MFDT7B/ref=sr_1_8?keywords=Prince+Of+Peace+Ginger+Chews+4oz.&amp;qid=1695260650&amp;sr=8-8")</f>
        <v/>
      </c>
      <c r="F385" t="inlineStr">
        <is>
          <t>B079MFDT7B</t>
        </is>
      </c>
      <c r="G385">
        <f>IMAGE("https://shop.sonapharmacy.com/cdn/shop/products/original.jpg?v=1613754987")</f>
        <v/>
      </c>
      <c r="H385">
        <f>IMAGE("https://m.media-amazon.com/images/I/81-qyXCTq6L._AC_UL320_.jpg")</f>
        <v/>
      </c>
      <c r="I385" t="inlineStr">
        <is>
          <t>1.9</t>
        </is>
      </c>
      <c r="J385" t="n">
        <v>18.99</v>
      </c>
      <c r="K385" s="3" t="inlineStr">
        <is>
          <t>899.47%</t>
        </is>
      </c>
      <c r="L385" t="n">
        <v>4.7</v>
      </c>
      <c r="M385" t="n">
        <v>5155</v>
      </c>
      <c r="O385" t="inlineStr">
        <is>
          <t>InStock</t>
        </is>
      </c>
      <c r="P385" t="inlineStr">
        <is>
          <t>undefined</t>
        </is>
      </c>
      <c r="Q385" t="inlineStr">
        <is>
          <t>6157145931928</t>
        </is>
      </c>
    </row>
    <row r="386">
      <c r="A386" s="2">
        <f>HYPERLINK("https://shop.sonapharmacy.com/products/bd-home-sharps-container", "https://shop.sonapharmacy.com/products/bd-home-sharps-container")</f>
        <v/>
      </c>
      <c r="B386" s="2">
        <f>HYPERLINK("https://shop.sonapharmacy.com/products/bd-home-sharps-container", "https://shop.sonapharmacy.com/products/bd-home-sharps-container")</f>
        <v/>
      </c>
      <c r="C386" t="inlineStr">
        <is>
          <t>BD® Home Sharps Container</t>
        </is>
      </c>
      <c r="D386" t="inlineStr">
        <is>
          <t>BD Home Sharps Container, 1.4 Quart, Safe Disposal of Needles and Sharps (12 Count),Red</t>
        </is>
      </c>
      <c r="E386" s="2">
        <f>HYPERLINK("https://www.amazon.com/Bd-Sharps-Container-Quart-Count/dp/B005PGP67Q/ref=sr_1_2?keywords=BD%C2%AE+Home+Sharps+Container&amp;qid=1695260089&amp;sr=8-2", "https://www.amazon.com/Bd-Sharps-Container-Quart-Count/dp/B005PGP67Q/ref=sr_1_2?keywords=BD%C2%AE+Home+Sharps+Container&amp;qid=1695260089&amp;sr=8-2")</f>
        <v/>
      </c>
      <c r="F386" t="inlineStr">
        <is>
          <t>B005PGP67Q</t>
        </is>
      </c>
      <c r="G386">
        <f>IMAGE("https://shop.sonapharmacy.com/cdn/shop/products/001655246.jpg?v=1609343493")</f>
        <v/>
      </c>
      <c r="H386">
        <f>IMAGE("https://m.media-amazon.com/images/I/71b4LJUkr4L._AC_UL320_.jpg")</f>
        <v/>
      </c>
      <c r="I386" t="inlineStr">
        <is>
          <t>4.93</t>
        </is>
      </c>
      <c r="J386" t="n">
        <v>46.75</v>
      </c>
      <c r="K386" s="3" t="inlineStr">
        <is>
          <t>848.28%</t>
        </is>
      </c>
      <c r="L386" t="n">
        <v>4.9</v>
      </c>
      <c r="M386" t="n">
        <v>361</v>
      </c>
      <c r="O386" t="inlineStr">
        <is>
          <t>InStock</t>
        </is>
      </c>
      <c r="P386" t="inlineStr">
        <is>
          <t>undefined</t>
        </is>
      </c>
      <c r="Q386" t="inlineStr">
        <is>
          <t>4896169558155</t>
        </is>
      </c>
    </row>
    <row r="387">
      <c r="A387" s="2">
        <f>HYPERLINK("https://shop.sonapharmacy.com/products/duracell%C2%AE-303-357-76-silver-oxide-button-battery", "https://shop.sonapharmacy.com/products/duracell%C2%AE-303-357-76-silver-oxide-button-battery")</f>
        <v/>
      </c>
      <c r="B387" s="2">
        <f>HYPERLINK("https://shop.sonapharmacy.com/products/duracell%c2%ae-303-357-76-silver-oxide-button-battery", "https://shop.sonapharmacy.com/products/duracell%c2%ae-303-357-76-silver-oxide-button-battery")</f>
        <v/>
      </c>
      <c r="C387" t="inlineStr">
        <is>
          <t>Duracell® 303/357/76 Silver Oxide Button Battery</t>
        </is>
      </c>
      <c r="D387" t="inlineStr">
        <is>
          <t>50 Duracell 357 303 A76 PX76 SR44W/SW LR44 AG13 Silver Oxide Battery</t>
        </is>
      </c>
      <c r="E387" s="2">
        <f>HYPERLINK("https://www.amazon.com/Duracell-SR44W-Silver-Oxide-Battery/dp/B013IJ3VUK/ref=sr_1_8?keywords=Duracell%C2%AE+303%2F357%2F76+Silver+Oxide+Button+Battery&amp;qid=1695260202&amp;sr=8-8", "https://www.amazon.com/Duracell-SR44W-Silver-Oxide-Battery/dp/B013IJ3VUK/ref=sr_1_8?keywords=Duracell%C2%AE+303%2F357%2F76+Silver+Oxide+Button+Battery&amp;qid=1695260202&amp;sr=8-8")</f>
        <v/>
      </c>
      <c r="F387" t="inlineStr">
        <is>
          <t>B013IJ3VUK</t>
        </is>
      </c>
      <c r="G387">
        <f>IMAGE("https://shop.sonapharmacy.com/cdn/shop/products/3099066_A.eps_High_540x_008cc7a8-ba13-4a78-a067-abc0e573a874.jpg?v=1610332687")</f>
        <v/>
      </c>
      <c r="H387">
        <f>IMAGE("https://m.media-amazon.com/images/I/51RhkKSGRGL._AC_UL320_.jpg")</f>
        <v/>
      </c>
      <c r="I387" t="inlineStr">
        <is>
          <t>8.39</t>
        </is>
      </c>
      <c r="J387" t="n">
        <v>75.98999999999999</v>
      </c>
      <c r="K387" s="3" t="inlineStr">
        <is>
          <t>805.72%</t>
        </is>
      </c>
      <c r="L387" t="n">
        <v>4.4</v>
      </c>
      <c r="M387" t="n">
        <v>6</v>
      </c>
      <c r="O387" t="inlineStr">
        <is>
          <t>InStock</t>
        </is>
      </c>
      <c r="P387" t="inlineStr">
        <is>
          <t>undefined</t>
        </is>
      </c>
      <c r="Q387" t="inlineStr">
        <is>
          <t>6206488117400</t>
        </is>
      </c>
    </row>
    <row r="388">
      <c r="A388" s="2">
        <f>HYPERLINK("https://shop.sonapharmacy.com/products/apex%C2%AE-silicone-ear-plugs-2-pair", "https://shop.sonapharmacy.com/products/apex%C2%AE-silicone-ear-plugs-2-pair")</f>
        <v/>
      </c>
      <c r="B388" s="2">
        <f>HYPERLINK("https://shop.sonapharmacy.com/products/apex%c2%ae-silicone-ear-plugs-2-pair", "https://shop.sonapharmacy.com/products/apex%c2%ae-silicone-ear-plugs-2-pair")</f>
        <v/>
      </c>
      <c r="C388" t="inlineStr">
        <is>
          <t>Apex Silicone Ear Plugs 2 Pair</t>
        </is>
      </c>
      <c r="D388" t="inlineStr">
        <is>
          <t>Silicone Ear Plugs for Noise Reduction 2 Pairs 30dB Highest NRR Ultra Soft Reusable Ear Plugs for Sleeping Noise Cancelling for Work, Travel, Shooting, Sleep Snoring, 8 Ear Tips in XS/S/M/L, Black……</t>
        </is>
      </c>
      <c r="E388" s="2">
        <f>HYPERLINK("https://www.amazon.com/Silicone-Reduction-Reusable-Sleeping-Cancelling/dp/B0B1J1FNTS/ref=sr_1_7?keywords=Apex+Silicone+Ear+Plugs+2+Pair&amp;qid=1695260023&amp;sr=8-7", "https://www.amazon.com/Silicone-Reduction-Reusable-Sleeping-Cancelling/dp/B0B1J1FNTS/ref=sr_1_7?keywords=Apex+Silicone+Ear+Plugs+2+Pair&amp;qid=1695260023&amp;sr=8-7")</f>
        <v/>
      </c>
      <c r="F388" t="inlineStr">
        <is>
          <t>B0B1J1FNTS</t>
        </is>
      </c>
      <c r="G388">
        <f>IMAGE("https://shop.sonapharmacy.com/cdn/shop/products/apex-soft-silicone-ear-plugs_600x600_9a1280db-cfca-4f37-9f6b-4c750106c735.jpg?v=1611189952")</f>
        <v/>
      </c>
      <c r="H388">
        <f>IMAGE("https://m.media-amazon.com/images/I/51LsbYAWtoL._AC_UL320_.jpg")</f>
        <v/>
      </c>
      <c r="I388" t="inlineStr">
        <is>
          <t>2.29</t>
        </is>
      </c>
      <c r="J388" t="n">
        <v>19.99</v>
      </c>
      <c r="K388" s="3" t="inlineStr">
        <is>
          <t>772.93%</t>
        </is>
      </c>
      <c r="L388" t="n">
        <v>3.8</v>
      </c>
      <c r="M388" t="n">
        <v>153</v>
      </c>
      <c r="O388" t="inlineStr">
        <is>
          <t>InStock</t>
        </is>
      </c>
      <c r="P388" t="inlineStr">
        <is>
          <t>undefined</t>
        </is>
      </c>
      <c r="Q388" t="inlineStr">
        <is>
          <t>6197911126168</t>
        </is>
      </c>
    </row>
    <row r="389">
      <c r="A389" s="2">
        <f>HYPERLINK("https://shop.sonapharmacy.com/products/gold-bond%C2%AE-ultimate-comfort-body-powder-10oz", "https://shop.sonapharmacy.com/products/gold-bond%C2%AE-ultimate-comfort-body-powder-10oz")</f>
        <v/>
      </c>
      <c r="B389" s="2">
        <f>HYPERLINK("https://shop.sonapharmacy.com/products/gold-bond%c2%ae-ultimate-comfort-body-powder-10oz", "https://shop.sonapharmacy.com/products/gold-bond%c2%ae-ultimate-comfort-body-powder-10oz")</f>
        <v/>
      </c>
      <c r="C389" t="inlineStr">
        <is>
          <t>Gold Bond® Ultimate Comfort Body Powder 10oz.</t>
        </is>
      </c>
      <c r="D389" t="inlineStr">
        <is>
          <t>Gold Bond Ult Pwdd Size 10 Oz Gold Bond Ultimate Comfort Body Powder With Aloe</t>
        </is>
      </c>
      <c r="E389" s="2">
        <f>HYPERLINK("https://www.amazon.com/Gold-Bond-Ultimate-Comfort-Powder/dp/B01IAIEOEQ/ref=sr_1_5?keywords=Gold+Bond%C2%AE+Ultimate+Comfort+Body+Powder+10oz.&amp;qid=1695260302&amp;sr=8-5", "https://www.amazon.com/Gold-Bond-Ultimate-Comfort-Powder/dp/B01IAIEOEQ/ref=sr_1_5?keywords=Gold+Bond%C2%AE+Ultimate+Comfort+Body+Powder+10oz.&amp;qid=1695260302&amp;sr=8-5")</f>
        <v/>
      </c>
      <c r="F389" t="inlineStr">
        <is>
          <t>B01IAIEOEQ</t>
        </is>
      </c>
      <c r="G389">
        <f>IMAGE("https://shop.sonapharmacy.com/cdn/shop/products/7e150152-a877-4134-a992-e91e09529ec5.caa68ecd741f74132fd920655efb3f00.jpg?v=1608489105")</f>
        <v/>
      </c>
      <c r="H389">
        <f>IMAGE("https://m.media-amazon.com/images/I/51aB10HHkKL._AC_UL320_.jpg")</f>
        <v/>
      </c>
      <c r="I389" t="inlineStr">
        <is>
          <t>7.23</t>
        </is>
      </c>
      <c r="J389" t="n">
        <v>58.39</v>
      </c>
      <c r="K389" s="3" t="inlineStr">
        <is>
          <t>707.61%</t>
        </is>
      </c>
      <c r="L389" t="n">
        <v>5</v>
      </c>
      <c r="M389" t="n">
        <v>6</v>
      </c>
      <c r="O389" t="inlineStr">
        <is>
          <t>OutOfStock</t>
        </is>
      </c>
      <c r="P389" t="inlineStr">
        <is>
          <t>undefined</t>
        </is>
      </c>
      <c r="Q389" t="inlineStr">
        <is>
          <t>6164772749464</t>
        </is>
      </c>
    </row>
    <row r="390">
      <c r="A390" s="2">
        <f>HYPERLINK("https://shop.sonapharmacy.com/products/lemon-eucalyptus-essential-oil-5-oz", "https://shop.sonapharmacy.com/products/lemon-eucalyptus-essential-oil-5-oz")</f>
        <v/>
      </c>
      <c r="B390" s="2">
        <f>HYPERLINK("https://shop.sonapharmacy.com/products/lemon-eucalyptus-essential-oil-5-oz", "https://shop.sonapharmacy.com/products/lemon-eucalyptus-essential-oil-5-oz")</f>
        <v/>
      </c>
      <c r="C390" t="inlineStr">
        <is>
          <t>Aura Cacia Lemon Eucalyptus Essential Oil 0.5 oz.</t>
        </is>
      </c>
      <c r="D390" t="inlineStr">
        <is>
          <t>Aura Cacia 100% Pure Eucalyptus Essential Oil | GC/MS Tested for Purity | 120 ml (4 fl. oz.) | Eucalyptus globulus</t>
        </is>
      </c>
      <c r="E390" s="2">
        <f>HYPERLINK("https://www.amazon.com/Aura-Cacia-Essential-Eucalyptus-4-Ounces/dp/B000QE5M26/ref=sr_1_10?keywords=Aura+Cacia+Lemon+Eucalyptus+Essential+Oil+0.5+oz.&amp;qid=1695260029&amp;sr=8-10", "https://www.amazon.com/Aura-Cacia-Essential-Eucalyptus-4-Ounces/dp/B000QE5M26/ref=sr_1_10?keywords=Aura+Cacia+Lemon+Eucalyptus+Essential+Oil+0.5+oz.&amp;qid=1695260029&amp;sr=8-10")</f>
        <v/>
      </c>
      <c r="F390" t="inlineStr">
        <is>
          <t>B000QE5M26</t>
        </is>
      </c>
      <c r="G390">
        <f>IMAGE("https://shop.sonapharmacy.com/cdn/shop/products/1_aura-cacia-lemon-eucalyptus-191285-front.jpg?v=1609358391")</f>
        <v/>
      </c>
      <c r="H390">
        <f>IMAGE("https://m.media-amazon.com/images/I/41JHScbnhLL._AC_UL320_.jpg")</f>
        <v/>
      </c>
      <c r="I390" t="inlineStr">
        <is>
          <t>5.63</t>
        </is>
      </c>
      <c r="J390" t="n">
        <v>43.99</v>
      </c>
      <c r="K390" s="3" t="inlineStr">
        <is>
          <t>681.35%</t>
        </is>
      </c>
      <c r="L390" t="n">
        <v>4.6</v>
      </c>
      <c r="M390" t="n">
        <v>98</v>
      </c>
      <c r="O390" t="inlineStr">
        <is>
          <t>InStock</t>
        </is>
      </c>
      <c r="P390" t="inlineStr">
        <is>
          <t>undefined</t>
        </is>
      </c>
      <c r="Q390" t="inlineStr">
        <is>
          <t>4885914353803</t>
        </is>
      </c>
    </row>
    <row r="391">
      <c r="A391" s="2">
        <f>HYPERLINK("https://shop.sonapharmacy.com/products/curad-compact-first-aid-kit", "https://shop.sonapharmacy.com/products/curad-compact-first-aid-kit")</f>
        <v/>
      </c>
      <c r="B391" s="2">
        <f>HYPERLINK("https://shop.sonapharmacy.com/products/curad-compact-first-aid-kit", "https://shop.sonapharmacy.com/products/curad-compact-first-aid-kit")</f>
        <v/>
      </c>
      <c r="C391" t="inlineStr">
        <is>
          <t>Curad® Compact First Aid Kit</t>
        </is>
      </c>
      <c r="D391" t="inlineStr">
        <is>
          <t>330 Piece First Aid Kit, Premium Waterproof Compact Trauma Medical Kits for Any Emergencies, Ideal for Home, Office, Car, Travel, Outdoor, Camping, Hiking, Boating (Red)</t>
        </is>
      </c>
      <c r="E391" s="2">
        <f>HYPERLINK("https://www.amazon.com/Premium-Waterproof-Compact-Medical-Emergencies/dp/B096X2NK1B/ref=sr_1_3?keywords=Curad%C2%AE+Compact+First+Aid+Kit&amp;qid=1695260179&amp;sr=8-3", "https://www.amazon.com/Premium-Waterproof-Compact-Medical-Emergencies/dp/B096X2NK1B/ref=sr_1_3?keywords=Curad%C2%AE+Compact+First+Aid+Kit&amp;qid=1695260179&amp;sr=8-3")</f>
        <v/>
      </c>
      <c r="F391" t="inlineStr">
        <is>
          <t>B096X2NK1B</t>
        </is>
      </c>
      <c r="G391">
        <f>IMAGE("https://shop.sonapharmacy.com/cdn/shop/products/SKU_CURFAK200RB_BOX_RIGHT_RGB_500x550_575adfc4-7192-4115-907f-353af88557b0.png?v=1607719376")</f>
        <v/>
      </c>
      <c r="H391">
        <f>IMAGE("https://m.media-amazon.com/images/I/81a8W+LrAwL._AC_UL320_.jpg")</f>
        <v/>
      </c>
      <c r="I391" t="inlineStr">
        <is>
          <t>6.73</t>
        </is>
      </c>
      <c r="J391" t="n">
        <v>45.99</v>
      </c>
      <c r="K391" s="3" t="inlineStr">
        <is>
          <t>583.36%</t>
        </is>
      </c>
      <c r="L391" t="n">
        <v>4.7</v>
      </c>
      <c r="M391" t="n">
        <v>2031</v>
      </c>
      <c r="O391" t="inlineStr">
        <is>
          <t>InStock</t>
        </is>
      </c>
      <c r="P391" t="inlineStr">
        <is>
          <t>undefined</t>
        </is>
      </c>
      <c r="Q391" t="inlineStr">
        <is>
          <t>6147911057560</t>
        </is>
      </c>
    </row>
    <row r="392">
      <c r="A392" s="2">
        <f>HYPERLINK("https://shop.sonapharmacy.com/products/petnc%C2%AE-hip-joint-all-dog-daily-health-chews-90ct", "https://shop.sonapharmacy.com/products/petnc%C2%AE-hip-joint-all-dog-daily-health-chews-90ct")</f>
        <v/>
      </c>
      <c r="B392" s="2">
        <f>HYPERLINK("https://shop.sonapharmacy.com/products/petnc%c2%ae-hip-joint-all-dog-daily-health-chews-90ct", "https://shop.sonapharmacy.com/products/petnc%c2%ae-hip-joint-all-dog-daily-health-chews-90ct")</f>
        <v/>
      </c>
      <c r="C392" t="inlineStr">
        <is>
          <t>PetNC® Hip &amp; Joint All Dog Daily Health Chews 90ct.</t>
        </is>
      </c>
      <c r="D392" t="inlineStr">
        <is>
          <t>Glucosamine for Dogs - Hip &amp; Joint Supplement for Dog Arthritis Pain Relief - with Chondroitin &amp; MSM - Advanced Daily Natural Mobility Pet Soft Chews for Joints - All Canine Breeds &amp; Sizes - 90 Count</t>
        </is>
      </c>
      <c r="E392" s="2">
        <f>HYPERLINK("https://www.amazon.com/Glucosamine-Dogs-Supplement-Arthritis-Chondroitin/dp/B01I5LWQ48/ref=sr_1_10?keywords=PetNC%C2%AE+Hip+%26+Joint+All+Dog+Daily+Health+Chews+90ct.&amp;qid=1695260640&amp;sr=8-10", "https://www.amazon.com/Glucosamine-Dogs-Supplement-Arthritis-Chondroitin/dp/B01I5LWQ48/ref=sr_1_10?keywords=PetNC%C2%AE+Hip+%26+Joint+All+Dog+Daily+Health+Chews+90ct.&amp;qid=1695260640&amp;sr=8-10")</f>
        <v/>
      </c>
      <c r="F392" t="inlineStr">
        <is>
          <t>B01I5LWQ48</t>
        </is>
      </c>
      <c r="G392">
        <f>IMAGE("https://shop.sonapharmacy.com/cdn/shop/products/81ZE7WUovyL._AC_SL1500.jpg?v=1616529427")</f>
        <v/>
      </c>
      <c r="H392">
        <f>IMAGE("https://m.media-amazon.com/images/I/81G103QdQlL._AC_UL320_.jpg")</f>
        <v/>
      </c>
      <c r="I392" t="inlineStr">
        <is>
          <t>4.47</t>
        </is>
      </c>
      <c r="J392" t="n">
        <v>29.97</v>
      </c>
      <c r="K392" s="3" t="inlineStr">
        <is>
          <t>570.47%</t>
        </is>
      </c>
      <c r="L392" t="n">
        <v>4.4</v>
      </c>
      <c r="M392" t="n">
        <v>17264</v>
      </c>
      <c r="O392" t="inlineStr">
        <is>
          <t>OutOfStock</t>
        </is>
      </c>
      <c r="P392" t="inlineStr">
        <is>
          <t>undefined</t>
        </is>
      </c>
      <c r="Q392" t="inlineStr">
        <is>
          <t>6600498380952</t>
        </is>
      </c>
    </row>
    <row r="393">
      <c r="A393" s="2">
        <f>HYPERLINK("https://shop.sonapharmacy.com/products/jergens%C2%AE-original-scent-dry-skin-moisturizer-21fl-oz", "https://shop.sonapharmacy.com/products/jergens%C2%AE-original-scent-dry-skin-moisturizer-21fl-oz")</f>
        <v/>
      </c>
      <c r="B393" s="2">
        <f>HYPERLINK("https://shop.sonapharmacy.com/products/jergens%c2%ae-original-scent-dry-skin-moisturizer-21fl-oz", "https://shop.sonapharmacy.com/products/jergens%c2%ae-original-scent-dry-skin-moisturizer-21fl-oz")</f>
        <v/>
      </c>
      <c r="C393" t="inlineStr">
        <is>
          <t>Jergens® Original Scent Dry Skin Moisturizer 21fl. oz.</t>
        </is>
      </c>
      <c r="D393" t="inlineStr">
        <is>
          <t>Jergens Dry Skin Moisturizer - Original Scent - 32 oz - 2 pk</t>
        </is>
      </c>
      <c r="E393" s="2">
        <f>HYPERLINK("https://www.amazon.com/Jergens-Dry-Skin-Moisturizer-Original/dp/B00JGQAM34/ref=sr_1_5?keywords=Jergens%C2%AE+Original+Scent+Dry+Skin+Moisturizer+21fl.+oz.&amp;qid=1695260424&amp;sr=8-5", "https://www.amazon.com/Jergens-Dry-Skin-Moisturizer-Original/dp/B00JGQAM34/ref=sr_1_5?keywords=Jergens%C2%AE+Original+Scent+Dry+Skin+Moisturizer+21fl.+oz.&amp;qid=1695260424&amp;sr=8-5")</f>
        <v/>
      </c>
      <c r="F393" t="inlineStr">
        <is>
          <t>B00JGQAM34</t>
        </is>
      </c>
      <c r="G393">
        <f>IMAGE("https://shop.sonapharmacy.com/cdn/shop/products/new-original-scent-400x800.png?v=1608319682")</f>
        <v/>
      </c>
      <c r="H393">
        <f>IMAGE("https://m.media-amazon.com/images/I/71YnK1Aw77L._AC_UL320_.jpg")</f>
        <v/>
      </c>
      <c r="I393" t="inlineStr">
        <is>
          <t>8.53</t>
        </is>
      </c>
      <c r="J393" t="n">
        <v>54.24</v>
      </c>
      <c r="K393" s="3" t="inlineStr">
        <is>
          <t>535.87%</t>
        </is>
      </c>
      <c r="L393" t="n">
        <v>4.3</v>
      </c>
      <c r="M393" t="n">
        <v>125</v>
      </c>
      <c r="O393" t="inlineStr">
        <is>
          <t>InStock</t>
        </is>
      </c>
      <c r="P393" t="inlineStr">
        <is>
          <t>undefined</t>
        </is>
      </c>
      <c r="Q393" t="inlineStr">
        <is>
          <t>6160895705240</t>
        </is>
      </c>
    </row>
    <row r="394">
      <c r="A394" s="2">
        <f>HYPERLINK("https://shop.sonapharmacy.com/products/pantene%C2%AE-classic-clean-shampoo-12-6fl-oz", "https://shop.sonapharmacy.com/products/pantene%C2%AE-classic-clean-shampoo-12-6fl-oz")</f>
        <v/>
      </c>
      <c r="B394" s="2">
        <f>HYPERLINK("https://shop.sonapharmacy.com/products/pantene%c2%ae-classic-clean-shampoo-12-6fl-oz", "https://shop.sonapharmacy.com/products/pantene%c2%ae-classic-clean-shampoo-12-6fl-oz")</f>
        <v/>
      </c>
      <c r="C394" t="inlineStr">
        <is>
          <t>Pantene® Pro-V Classic Clean Shampoo 12fl. oz.</t>
        </is>
      </c>
      <c r="D394" t="inlineStr">
        <is>
          <t>Pantene Pro-v Classic Clean Shampoo, 25 Fl Oz, 1.82 Pound</t>
        </is>
      </c>
      <c r="E394" s="2">
        <f>HYPERLINK("https://www.amazon.com/Pantene-Pro-v-Classic-Clean-Shampoo/dp/B01N0BT08W/ref=sr_1_8?keywords=Pantene%C2%AE+Pro-V+Classic+Clean+Shampoo+12fl.+oz.&amp;qid=1695260626&amp;sr=8-8", "https://www.amazon.com/Pantene-Pro-v-Classic-Clean-Shampoo/dp/B01N0BT08W/ref=sr_1_8?keywords=Pantene%C2%AE+Pro-V+Classic+Clean+Shampoo+12fl.+oz.&amp;qid=1695260626&amp;sr=8-8")</f>
        <v/>
      </c>
      <c r="F394" t="inlineStr">
        <is>
          <t>B01N0BT08W</t>
        </is>
      </c>
      <c r="G394">
        <f>IMAGE("https://shop.sonapharmacy.com/cdn/shop/products/15cd010f-3357-47fe-af4e-ec5db33dd69f_1.e7f21d7c02f220665cdc99a4a17eaf1f.jpg?v=1609165266")</f>
        <v/>
      </c>
      <c r="H394">
        <f>IMAGE("https://m.media-amazon.com/images/I/61vCq45SH2L._AC_UL320_.jpg")</f>
        <v/>
      </c>
      <c r="I394" t="inlineStr">
        <is>
          <t>5.09</t>
        </is>
      </c>
      <c r="J394" t="n">
        <v>29.99</v>
      </c>
      <c r="K394" s="3" t="inlineStr">
        <is>
          <t>489.19%</t>
        </is>
      </c>
      <c r="L394" t="n">
        <v>4.6</v>
      </c>
      <c r="M394" t="n">
        <v>18</v>
      </c>
      <c r="O394" t="inlineStr">
        <is>
          <t>InStock</t>
        </is>
      </c>
      <c r="P394" t="inlineStr">
        <is>
          <t>undefined</t>
        </is>
      </c>
      <c r="Q394" t="inlineStr">
        <is>
          <t>6177552892056</t>
        </is>
      </c>
    </row>
    <row r="395">
      <c r="A395" s="2">
        <f>HYPERLINK("https://shop.sonapharmacy.com/products/accu-chek-guide-test-strips-50-ct", "https://shop.sonapharmacy.com/products/accu-chek-guide-test-strips-50-ct")</f>
        <v/>
      </c>
      <c r="B395" s="2">
        <f>HYPERLINK("https://shop.sonapharmacy.com/products/accu-chek-guide-test-strips-50-ct", "https://shop.sonapharmacy.com/products/accu-chek-guide-test-strips-50-ct")</f>
        <v/>
      </c>
      <c r="C395" t="inlineStr">
        <is>
          <t>Accu-Chek Guide Test Strips</t>
        </is>
      </c>
      <c r="D395" t="inlineStr">
        <is>
          <t>Accu-Chek Smart View Test Strips, 100 Count</t>
        </is>
      </c>
      <c r="E395" s="2">
        <f>HYPERLINK("https://www.amazon.com/Accu-Chek-Smart-Strips-Count/dp/B00CFPDD20/ref=sr_1_9?keywords=Accu-Chek+Guide+Test+Strips&amp;qid=1695260023&amp;sr=8-9", "https://www.amazon.com/Accu-Chek-Smart-Strips-Count/dp/B00CFPDD20/ref=sr_1_9?keywords=Accu-Chek+Guide+Test+Strips&amp;qid=1695260023&amp;sr=8-9")</f>
        <v/>
      </c>
      <c r="F395" t="inlineStr">
        <is>
          <t>B00CFPDD20</t>
        </is>
      </c>
      <c r="G395">
        <f>IMAGE("https://shop.sonapharmacy.com/cdn/shop/products/Accu-ChekGuideTestStrips50ct.yyy.jpg?v=1594217683")</f>
        <v/>
      </c>
      <c r="H395">
        <f>IMAGE("https://m.media-amazon.com/images/I/71gikKyfUgL._AC_UL320_.jpg")</f>
        <v/>
      </c>
      <c r="I395" t="inlineStr">
        <is>
          <t>26.49</t>
        </is>
      </c>
      <c r="J395" t="n">
        <v>154.99</v>
      </c>
      <c r="K395" s="3" t="inlineStr">
        <is>
          <t>485.09%</t>
        </is>
      </c>
      <c r="L395" t="n">
        <v>4.6</v>
      </c>
      <c r="M395" t="n">
        <v>225</v>
      </c>
      <c r="O395" t="inlineStr">
        <is>
          <t>InStock</t>
        </is>
      </c>
      <c r="P395" t="inlineStr">
        <is>
          <t>undefined</t>
        </is>
      </c>
      <c r="Q395" t="inlineStr">
        <is>
          <t>4896210092171</t>
        </is>
      </c>
    </row>
    <row r="396">
      <c r="A396" s="2">
        <f>HYPERLINK("https://shop.sonapharmacy.com/products/aquaphor%C2%AE-lip-repair-tube-10ml", "https://shop.sonapharmacy.com/products/aquaphor%C2%AE-lip-repair-tube-10ml")</f>
        <v/>
      </c>
      <c r="B396" s="2">
        <f>HYPERLINK("https://shop.sonapharmacy.com/products/aquaphor%c2%ae-lip-repair-tube-10ml", "https://shop.sonapharmacy.com/products/aquaphor%c2%ae-lip-repair-tube-10ml")</f>
        <v/>
      </c>
      <c r="C396" t="inlineStr">
        <is>
          <t>Aquaphor Lip Repair Tube 10ml</t>
        </is>
      </c>
      <c r="D396" t="inlineStr">
        <is>
          <t>00638-9 Part# 00638-9 - Aquaphor Lip Repair Tube .35oz 6/Pk By Beiersdorf Inc</t>
        </is>
      </c>
      <c r="E396" s="2">
        <f>HYPERLINK("https://www.amazon.com/00638-9-Part-Aquaphor-Repair-Beiersdorf/dp/B005FCBI2C/ref=sr_1_8?keywords=Aquaphor+Lip+Repair+Tube+10ml&amp;qid=1695260018&amp;sr=8-8", "https://www.amazon.com/00638-9-Part-Aquaphor-Repair-Beiersdorf/dp/B005FCBI2C/ref=sr_1_8?keywords=Aquaphor+Lip+Repair+Tube+10ml&amp;qid=1695260018&amp;sr=8-8")</f>
        <v/>
      </c>
      <c r="F396" t="inlineStr">
        <is>
          <t>B005FCBI2C</t>
        </is>
      </c>
      <c r="G396">
        <f>IMAGE("https://shop.sonapharmacy.com/cdn/shop/products/a9273c19-1d53-4858-abb8-43a4ce27b9d6_1.52617476fb0deabe5812834a044fdaec.jpg?v=1608231857")</f>
        <v/>
      </c>
      <c r="H396">
        <f>IMAGE("https://m.media-amazon.com/images/I/616q-QpvFPL._AC_UL320_.jpg")</f>
        <v/>
      </c>
      <c r="I396" t="inlineStr">
        <is>
          <t>5.23</t>
        </is>
      </c>
      <c r="J396" t="n">
        <v>29.12</v>
      </c>
      <c r="K396" s="3" t="inlineStr">
        <is>
          <t>456.79%</t>
        </is>
      </c>
      <c r="L396" t="n">
        <v>4.2</v>
      </c>
      <c r="M396" t="n">
        <v>13</v>
      </c>
      <c r="O396" t="inlineStr">
        <is>
          <t>InStock</t>
        </is>
      </c>
      <c r="P396" t="inlineStr">
        <is>
          <t>undefined</t>
        </is>
      </c>
      <c r="Q396" t="inlineStr">
        <is>
          <t>6158735474840</t>
        </is>
      </c>
    </row>
    <row r="397">
      <c r="A397" s="2">
        <f>HYPERLINK("https://shop.sonapharmacy.com/products/curad-super-absorbent-wound-pad", "https://shop.sonapharmacy.com/products/curad-super-absorbent-wound-pad")</f>
        <v/>
      </c>
      <c r="B397" s="2">
        <f>HYPERLINK("https://shop.sonapharmacy.com/products/curad-super-absorbent-wound-pad", "https://shop.sonapharmacy.com/products/curad-super-absorbent-wound-pad")</f>
        <v/>
      </c>
      <c r="C397" t="inlineStr">
        <is>
          <t>Curad® Super Absorbent Wound Pads</t>
        </is>
      </c>
      <c r="D397" t="inlineStr">
        <is>
          <t>AWD Super Absorbent Wound Non Stick Gauze Pads - Non-Adhesive Bandages for Wounds - 4x4 Gauze Pads, Large Bandages for 1st and 2nd Degree Burns - Wound Care Products, Box of 10 (4"x4")</t>
        </is>
      </c>
      <c r="E397" s="2">
        <f>HYPERLINK("https://www.amazon.com/AWD-Absorbent-Dressing-Adhesive-Pressure/dp/B09LCGZLBC/ref=sr_1_10?keywords=Curad%C2%AE+Super+Absorbent+Wound+Pads&amp;qid=1695260172&amp;sr=8-10", "https://www.amazon.com/AWD-Absorbent-Dressing-Adhesive-Pressure/dp/B09LCGZLBC/ref=sr_1_10?keywords=Curad%C2%AE+Super+Absorbent+Wound+Pads&amp;qid=1695260172&amp;sr=8-10")</f>
        <v/>
      </c>
      <c r="F397" t="inlineStr">
        <is>
          <t>B09LCGZLBC</t>
        </is>
      </c>
      <c r="G397">
        <f>IMAGE("https://shop.sonapharmacy.com/cdn/shop/products/superabsorb4x4.png?v=1607708541")</f>
        <v/>
      </c>
      <c r="H397">
        <f>IMAGE("https://m.media-amazon.com/images/I/81OBFGAPrnL._AC_UL320_.jpg")</f>
        <v/>
      </c>
      <c r="I397" t="inlineStr">
        <is>
          <t>3.73</t>
        </is>
      </c>
      <c r="J397" t="n">
        <v>19.99</v>
      </c>
      <c r="K397" s="3" t="inlineStr">
        <is>
          <t>435.92%</t>
        </is>
      </c>
      <c r="L397" t="n">
        <v>4.5</v>
      </c>
      <c r="M397" t="n">
        <v>98</v>
      </c>
      <c r="O397" t="inlineStr">
        <is>
          <t>InStock</t>
        </is>
      </c>
      <c r="P397" t="inlineStr">
        <is>
          <t>undefined</t>
        </is>
      </c>
      <c r="Q397" t="inlineStr">
        <is>
          <t>6147517939864</t>
        </is>
      </c>
    </row>
    <row r="398">
      <c r="A398" s="2">
        <f>HYPERLINK("https://shop.sonapharmacy.com/products/curad-super-absorbent-wound-pad", "https://shop.sonapharmacy.com/products/curad-super-absorbent-wound-pad")</f>
        <v/>
      </c>
      <c r="B398" s="2">
        <f>HYPERLINK("https://shop.sonapharmacy.com/products/curad-super-absorbent-wound-pad", "https://shop.sonapharmacy.com/products/curad-super-absorbent-wound-pad")</f>
        <v/>
      </c>
      <c r="C398" t="inlineStr">
        <is>
          <t>Curad® Super Absorbent Wound Pads</t>
        </is>
      </c>
      <c r="D398" t="inlineStr">
        <is>
          <t>MedVance Super Absorbent Dressing, Non-Adhesive Pads for Wound Care, for Pressure Ulcers &amp; 1st/2nd Degree Burns, Superior Moisture Absorption, Box of 10 dressings (6"x6" Bandage, 5"x5" Pad)</t>
        </is>
      </c>
      <c r="E398" s="2">
        <f>HYPERLINK("https://www.amazon.com/MedVance-Absorbent-Non-Adhesive-Absorption-dressings/dp/B0C8WG8MML/ref=sr_1_4?keywords=Curad%C2%AE+Super+Absorbent+Wound+Pads&amp;qid=1695260172&amp;sr=8-4", "https://www.amazon.com/MedVance-Absorbent-Non-Adhesive-Absorption-dressings/dp/B0C8WG8MML/ref=sr_1_4?keywords=Curad%C2%AE+Super+Absorbent+Wound+Pads&amp;qid=1695260172&amp;sr=8-4")</f>
        <v/>
      </c>
      <c r="F398" t="inlineStr">
        <is>
          <t>B0C8WG8MML</t>
        </is>
      </c>
      <c r="G398">
        <f>IMAGE("https://shop.sonapharmacy.com/cdn/shop/products/superabsorb4x4.png?v=1607708541")</f>
        <v/>
      </c>
      <c r="H398">
        <f>IMAGE("https://m.media-amazon.com/images/I/71GfUQ31f9L._AC_UL320_.jpg")</f>
        <v/>
      </c>
      <c r="I398" t="inlineStr">
        <is>
          <t>3.73</t>
        </is>
      </c>
      <c r="J398" t="n">
        <v>19.99</v>
      </c>
      <c r="K398" s="3" t="inlineStr">
        <is>
          <t>435.92%</t>
        </is>
      </c>
      <c r="L398" t="n">
        <v>4.7</v>
      </c>
      <c r="M398" t="n">
        <v>4</v>
      </c>
      <c r="O398" t="inlineStr">
        <is>
          <t>InStock</t>
        </is>
      </c>
      <c r="P398" t="inlineStr">
        <is>
          <t>undefined</t>
        </is>
      </c>
      <c r="Q398" t="inlineStr">
        <is>
          <t>6147517939864</t>
        </is>
      </c>
    </row>
    <row r="399">
      <c r="A399" s="2">
        <f>HYPERLINK("https://shop.sonapharmacy.com/products/buf-puf-double-sided-body-sponge", "https://shop.sonapharmacy.com/products/buf-puf-double-sided-body-sponge")</f>
        <v/>
      </c>
      <c r="B399" s="2">
        <f>HYPERLINK("https://shop.sonapharmacy.com/products/buf-puf-double-sided-body-sponge", "https://shop.sonapharmacy.com/products/buf-puf-double-sided-body-sponge")</f>
        <v/>
      </c>
      <c r="C399" t="inlineStr">
        <is>
          <t>Buf-Puf® Double Sided Body Sponge</t>
        </is>
      </c>
      <c r="D399" t="inlineStr">
        <is>
          <t>Buf, Puf Double, Sided Body Sponge (Quantity of 5)</t>
        </is>
      </c>
      <c r="E399" s="2">
        <f>HYPERLINK("https://www.amazon.com/Double-Sided-Body-Sponge-Quantity/dp/B00620UWBY/ref=sr_1_6?keywords=Buf-Puf%C2%AE+Double+Sided+Body+Sponge&amp;qid=1695260116&amp;sr=8-6", "https://www.amazon.com/Double-Sided-Body-Sponge-Quantity/dp/B00620UWBY/ref=sr_1_6?keywords=Buf-Puf%C2%AE+Double+Sided+Body+Sponge&amp;qid=1695260116&amp;sr=8-6")</f>
        <v/>
      </c>
      <c r="F399" t="inlineStr">
        <is>
          <t>B00620UWBY</t>
        </is>
      </c>
      <c r="G399">
        <f>IMAGE("https://shop.sonapharmacy.com/cdn/shop/products/81GmjrZ2b8L._SL1500.jpg?v=1608495033")</f>
        <v/>
      </c>
      <c r="H399">
        <f>IMAGE("https://m.media-amazon.com/images/I/61AHC3ZprSL._AC_UL320_.jpg")</f>
        <v/>
      </c>
      <c r="I399" t="inlineStr">
        <is>
          <t>5.99</t>
        </is>
      </c>
      <c r="J399" t="n">
        <v>31.56</v>
      </c>
      <c r="K399" s="3" t="inlineStr">
        <is>
          <t>426.88%</t>
        </is>
      </c>
      <c r="L399" t="n">
        <v>4.8</v>
      </c>
      <c r="M399" t="n">
        <v>376</v>
      </c>
      <c r="O399" t="inlineStr">
        <is>
          <t>OutOfStock</t>
        </is>
      </c>
      <c r="P399" t="inlineStr">
        <is>
          <t>undefined</t>
        </is>
      </c>
      <c r="Q399" t="inlineStr">
        <is>
          <t>6164815347864</t>
        </is>
      </c>
    </row>
    <row r="400">
      <c r="A400" s="2">
        <f>HYPERLINK("https://shop.sonapharmacy.com/products/colgate%C2%AE-max-fresh%C2%AE-with-breath-strips-cool-mint-toothpaste-6oz", "https://shop.sonapharmacy.com/products/colgate%C2%AE-max-fresh%C2%AE-with-breath-strips-cool-mint-toothpaste-6oz")</f>
        <v/>
      </c>
      <c r="B400" s="2">
        <f>HYPERLINK("https://shop.sonapharmacy.com/products/colgate%c2%ae-max-fresh%c2%ae-with-breath-strips-cool-mint-toothpaste-6oz", "https://shop.sonapharmacy.com/products/colgate%c2%ae-max-fresh%c2%ae-with-breath-strips-cool-mint-toothpaste-6oz")</f>
        <v/>
      </c>
      <c r="C400" t="inlineStr">
        <is>
          <t>Colgate® Max Fresh® With Breath Strips Cool Mint Toothpaste 6oz.</t>
        </is>
      </c>
      <c r="D400" t="inlineStr">
        <is>
          <t>Colgate Max Fresh Liquid Toothpaste with Mini Breath Strips, Cool Mint - 4.6 oz - 3 pk</t>
        </is>
      </c>
      <c r="E400" s="2">
        <f>HYPERLINK("https://www.amazon.com/Colgate-Liquid-Toothpaste-Breath-Strips/dp/B00J5J679K/ref=sr_1_2?keywords=Colgate%C2%AE+Max+Fresh%C2%AE+With+Breath+Strips+Cool+Mint+Toothpaste+6oz.&amp;qid=1695260143&amp;sr=8-2", "https://www.amazon.com/Colgate-Liquid-Toothpaste-Breath-Strips/dp/B00J5J679K/ref=sr_1_2?keywords=Colgate%C2%AE+Max+Fresh%C2%AE+With+Breath+Strips+Cool+Mint+Toothpaste+6oz.&amp;qid=1695260143&amp;sr=8-2")</f>
        <v/>
      </c>
      <c r="F400" t="inlineStr">
        <is>
          <t>B00J5J679K</t>
        </is>
      </c>
      <c r="G400">
        <f>IMAGE("https://shop.sonapharmacy.com/cdn/shop/products/360ae4ed-e444-4623-9fe6-180a0c669cfa_7.d343bb9d6244207be3ec4e9415ae2fe1.png?v=1608652602")</f>
        <v/>
      </c>
      <c r="H400">
        <f>IMAGE("https://m.media-amazon.com/images/I/51P3xon82ML._AC_UL320_.jpg")</f>
        <v/>
      </c>
      <c r="I400" t="inlineStr">
        <is>
          <t>4.99</t>
        </is>
      </c>
      <c r="J400" t="n">
        <v>25.98</v>
      </c>
      <c r="K400" s="3" t="inlineStr">
        <is>
          <t>420.64%</t>
        </is>
      </c>
      <c r="L400" t="n">
        <v>4.7</v>
      </c>
      <c r="M400" t="n">
        <v>21</v>
      </c>
      <c r="O400" t="inlineStr">
        <is>
          <t>InStock</t>
        </is>
      </c>
      <c r="P400" t="inlineStr">
        <is>
          <t>undefined</t>
        </is>
      </c>
      <c r="Q400" t="inlineStr">
        <is>
          <t>6167653253272</t>
        </is>
      </c>
    </row>
    <row r="401">
      <c r="A401" s="2">
        <f>HYPERLINK("https://shop.sonapharmacy.com/products/rolaids%C2%AE-ultra-strength-antacid-fruit-chewable-tablets-72ct", "https://shop.sonapharmacy.com/products/rolaids%C2%AE-ultra-strength-antacid-fruit-chewable-tablets-72ct")</f>
        <v/>
      </c>
      <c r="B401" s="2">
        <f>HYPERLINK("https://shop.sonapharmacy.com/products/rolaids%c2%ae-ultra-strength-antacid-fruit-chewable-tablets-72ct", "https://shop.sonapharmacy.com/products/rolaids%c2%ae-ultra-strength-antacid-fruit-chewable-tablets-72ct")</f>
        <v/>
      </c>
      <c r="C401" t="inlineStr">
        <is>
          <t>Rolaids® Ultra Strength Antacid Fruit Chewable Tablets 72ct.</t>
        </is>
      </c>
      <c r="D401" t="inlineStr">
        <is>
          <t>TUMS Chewable Bites Ultra Strength Antacid Tablets for Heartburn Relief and Acid Reducer Indigestion Relief, Mixed Fruit, 200 Count</t>
        </is>
      </c>
      <c r="F401" t="inlineStr">
        <is>
          <t>B0B82S3ZG6</t>
        </is>
      </c>
      <c r="G401">
        <f>IMAGE("https://shop.sonapharmacy.com/cdn/shop/products/69b77a05-4b4d-4b4c-ba14-78edb3d793ad.d4991a55857af9c4d097b18ccba909ec.jpg?v=1610906524")</f>
        <v/>
      </c>
      <c r="H401">
        <f>IMAGE("https://m.media-amazon.com/images/I/81wNBMIICIL._AC_UL320_.jpg")</f>
        <v/>
      </c>
      <c r="I401" t="inlineStr">
        <is>
          <t>5.59</t>
        </is>
      </c>
      <c r="J401" t="n">
        <v>28.99</v>
      </c>
      <c r="K401" s="3" t="inlineStr">
        <is>
          <t>418.60%</t>
        </is>
      </c>
      <c r="L401" t="n">
        <v>4.7</v>
      </c>
      <c r="M401" t="n">
        <v>1061</v>
      </c>
      <c r="O401" t="inlineStr">
        <is>
          <t>InStock</t>
        </is>
      </c>
      <c r="P401" t="inlineStr">
        <is>
          <t>undefined</t>
        </is>
      </c>
      <c r="Q401" t="inlineStr">
        <is>
          <t>6223270510744</t>
        </is>
      </c>
    </row>
    <row r="402">
      <c r="A402" s="2">
        <f>HYPERLINK("https://shop.sonapharmacy.com/products/dawn%C2%AE-ultra-platinum-dishwashing-liquid-16-2fl-oz", "https://shop.sonapharmacy.com/products/dawn%C2%AE-ultra-platinum-dishwashing-liquid-16-2fl-oz")</f>
        <v/>
      </c>
      <c r="B402" s="2">
        <f>HYPERLINK("https://shop.sonapharmacy.com/products/dawn%c2%ae-ultra-platinum-dishwashing-liquid-16-2fl-oz", "https://shop.sonapharmacy.com/products/dawn%c2%ae-ultra-platinum-dishwashing-liquid-16-2fl-oz")</f>
        <v/>
      </c>
      <c r="C402" t="inlineStr">
        <is>
          <t>Dawn® Ultra Platinum Dishwashing Liquid 16.2fl. oz.</t>
        </is>
      </c>
      <c r="D402" t="inlineStr">
        <is>
          <t>Dawn Ultra Liquid Dishwashing Dish Soap, 3X More Platinum Advanced Power Clean - 24 Fl oz x 3 Count (Total 72 Fl oz)</t>
        </is>
      </c>
      <c r="E402" s="2">
        <f>HYPERLINK("https://www.amazon.com/Dawn-Liquid-Dishwashing-Platinum-Advanced/dp/B07DKVMM8W/ref=sr_1_4?keywords=Dawn%C2%AE+Ultra+Platinum+Dishwashing+Liquid+16.2fl.+oz.&amp;qid=1695260193&amp;sr=8-4", "https://www.amazon.com/Dawn-Liquid-Dishwashing-Platinum-Advanced/dp/B07DKVMM8W/ref=sr_1_4?keywords=Dawn%C2%AE+Ultra+Platinum+Dishwashing+Liquid+16.2fl.+oz.&amp;qid=1695260193&amp;sr=8-4")</f>
        <v/>
      </c>
      <c r="F402" t="inlineStr">
        <is>
          <t>B07DKVMM8W</t>
        </is>
      </c>
      <c r="G402">
        <f>IMAGE("https://shop.sonapharmacy.com/cdn/shop/products/81s8mm_yjPL._SL1500.jpg?v=1610759559")</f>
        <v/>
      </c>
      <c r="H402">
        <f>IMAGE("https://m.media-amazon.com/images/I/71HwpwNzeKL._AC_UL320_.jpg")</f>
        <v/>
      </c>
      <c r="I402" t="inlineStr">
        <is>
          <t>4.13</t>
        </is>
      </c>
      <c r="J402" t="n">
        <v>21.39</v>
      </c>
      <c r="K402" s="3" t="inlineStr">
        <is>
          <t>417.92%</t>
        </is>
      </c>
      <c r="L402" t="n">
        <v>4.8</v>
      </c>
      <c r="M402" t="n">
        <v>5742</v>
      </c>
      <c r="O402" t="inlineStr">
        <is>
          <t>InStock</t>
        </is>
      </c>
      <c r="P402" t="inlineStr">
        <is>
          <t>undefined</t>
        </is>
      </c>
      <c r="Q402" t="inlineStr">
        <is>
          <t>6220710969496</t>
        </is>
      </c>
    </row>
    <row r="403">
      <c r="A403" s="2">
        <f>HYPERLINK("https://shop.sonapharmacy.com/products/dove%C2%AE-cucumber-and-green-tea-soap-2pck", "https://shop.sonapharmacy.com/products/dove%C2%AE-cucumber-and-green-tea-soap-2pck")</f>
        <v/>
      </c>
      <c r="B403" s="2">
        <f>HYPERLINK("https://shop.sonapharmacy.com/products/dove%c2%ae-cucumber-and-green-tea-soap-2pck", "https://shop.sonapharmacy.com/products/dove%c2%ae-cucumber-and-green-tea-soap-2pck")</f>
        <v/>
      </c>
      <c r="C403" t="inlineStr">
        <is>
          <t>Dove® Cucumber and Green Tea Soap 2pck.</t>
        </is>
      </c>
      <c r="D403" t="inlineStr">
        <is>
          <t>Dove Skin Care Beauty Bar For Softer Skin Cucumber And Green Tea More Moisturizing Than Bar Soap 3.75 oz 24 bars</t>
        </is>
      </c>
      <c r="E403" s="2">
        <f>HYPERLINK("https://www.amazon.com/DOVE-BAR-Cleanser-Smoother-Moisturizing/dp/B085CM3JK2/ref=sr_1_1?keywords=Dove%C2%AE+Cucumber+and+Green+Tea+Soap+2pck.&amp;qid=1695260197&amp;sr=8-1", "https://www.amazon.com/DOVE-BAR-Cleanser-Smoother-Moisturizing/dp/B085CM3JK2/ref=sr_1_1?keywords=Dove%C2%AE+Cucumber+and+Green+Tea+Soap+2pck.&amp;qid=1695260197&amp;sr=8-1")</f>
        <v/>
      </c>
      <c r="F403" t="inlineStr">
        <is>
          <t>B085CM3JK2</t>
        </is>
      </c>
      <c r="G403">
        <f>IMAGE("https://shop.sonapharmacy.com/cdn/shop/products/71Zl1fG85wL._SL1500.jpg?v=1639931743")</f>
        <v/>
      </c>
      <c r="H403">
        <f>IMAGE("https://m.media-amazon.com/images/I/71fv6DKA+CL._AC_UL320_.jpg")</f>
        <v/>
      </c>
      <c r="I403" t="inlineStr">
        <is>
          <t>5.69</t>
        </is>
      </c>
      <c r="J403" t="n">
        <v>29.37</v>
      </c>
      <c r="K403" s="3" t="inlineStr">
        <is>
          <t>416.17%</t>
        </is>
      </c>
      <c r="L403" t="n">
        <v>4.8</v>
      </c>
      <c r="M403" t="n">
        <v>1577</v>
      </c>
      <c r="O403" t="inlineStr">
        <is>
          <t>OutOfStock</t>
        </is>
      </c>
      <c r="P403" t="inlineStr">
        <is>
          <t>undefined</t>
        </is>
      </c>
      <c r="Q403" t="inlineStr">
        <is>
          <t>7495081787612</t>
        </is>
      </c>
    </row>
    <row r="404">
      <c r="A404" s="2">
        <f>HYPERLINK("https://shop.sonapharmacy.com/products/band-aid-cushion-care-gauze-pads", "https://shop.sonapharmacy.com/products/band-aid-cushion-care-gauze-pads")</f>
        <v/>
      </c>
      <c r="B404" s="2">
        <f>HYPERLINK("https://shop.sonapharmacy.com/products/band-aid-cushion-care-gauze-pads", "https://shop.sonapharmacy.com/products/band-aid-cushion-care-gauze-pads")</f>
        <v/>
      </c>
      <c r="C404" t="inlineStr">
        <is>
          <t>BAND-AID® Cushion-Care Gauze Pads</t>
        </is>
      </c>
      <c r="D404" t="inlineStr">
        <is>
          <t>BAND-AID® Brand CUSHION-CARE™ Gauze Pads 2in x 2in, 25 count</t>
        </is>
      </c>
      <c r="E404" s="2">
        <f>HYPERLINK("https://www.amazon.com/BAND-AID%C2%AE-Brand-CUSHION-CARETM-Gauze-count/dp/B07BNLVSZN/ref=sr_1_10?keywords=BAND-AID%C2%AE+Cushion-Care+Gauze+Pads&amp;qid=1695260110&amp;sr=8-10", "https://www.amazon.com/BAND-AID%C2%AE-Brand-CUSHION-CARETM-Gauze-count/dp/B07BNLVSZN/ref=sr_1_10?keywords=BAND-AID%C2%AE+Cushion-Care+Gauze+Pads&amp;qid=1695260110&amp;sr=8-10")</f>
        <v/>
      </c>
      <c r="F404" t="inlineStr">
        <is>
          <t>B07BNLVSZN</t>
        </is>
      </c>
      <c r="G404">
        <f>IMAGE("https://shop.sonapharmacy.com/cdn/shop/products/band_aid_us_pho_pac_18_1_2727067.jpg?v=1607288415")</f>
        <v/>
      </c>
      <c r="H404">
        <f>IMAGE("https://m.media-amazon.com/images/I/8170s2LIROL._AC_UY218_.jpg")</f>
        <v/>
      </c>
      <c r="I404" t="inlineStr">
        <is>
          <t>4.89</t>
        </is>
      </c>
      <c r="J404" t="n">
        <v>24.77</v>
      </c>
      <c r="K404" s="3" t="inlineStr">
        <is>
          <t>406.54%</t>
        </is>
      </c>
      <c r="L404" t="n">
        <v>4.6</v>
      </c>
      <c r="M404" t="n">
        <v>44</v>
      </c>
      <c r="O404" t="inlineStr">
        <is>
          <t>InStock</t>
        </is>
      </c>
      <c r="P404" t="inlineStr">
        <is>
          <t>undefined</t>
        </is>
      </c>
      <c r="Q404" t="inlineStr">
        <is>
          <t>6134431776920</t>
        </is>
      </c>
    </row>
    <row r="405">
      <c r="A405" s="2">
        <f>HYPERLINK("https://shop.sonapharmacy.com/products/duracell%C2%AE-aa-coppertop-alkaline-batteries", "https://shop.sonapharmacy.com/products/duracell%C2%AE-aa-coppertop-alkaline-batteries")</f>
        <v/>
      </c>
      <c r="B405" s="2">
        <f>HYPERLINK("https://shop.sonapharmacy.com/products/duracell%c2%ae-aa-coppertop-alkaline-batteries", "https://shop.sonapharmacy.com/products/duracell%c2%ae-aa-coppertop-alkaline-batteries")</f>
        <v/>
      </c>
      <c r="C405" t="inlineStr">
        <is>
          <t>Duracell® AA CopperTop Alkaline Batteries</t>
        </is>
      </c>
      <c r="D405" t="inlineStr">
        <is>
          <t>Duracell Coppertop Alkaline Batteries AA - 48 pk</t>
        </is>
      </c>
      <c r="E405" s="2">
        <f>HYPERLINK("https://www.amazon.com/Duracell-Coppertop-Alkaline-Batteries-AA/dp/B00E8SG4F0/ref=sr_1_3?keywords=Duracell%C2%AE+AA+CopperTop+Alkaline+Batteries&amp;qid=1695260202&amp;sr=8-3", "https://www.amazon.com/Duracell-Coppertop-Alkaline-Batteries-AA/dp/B00E8SG4F0/ref=sr_1_3?keywords=Duracell%C2%AE+AA+CopperTop+Alkaline+Batteries&amp;qid=1695260202&amp;sr=8-3")</f>
        <v/>
      </c>
      <c r="F405" t="inlineStr">
        <is>
          <t>B00E8SG4F0</t>
        </is>
      </c>
      <c r="G405">
        <f>IMAGE("https://shop.sonapharmacy.com/cdn/shop/products/b3e62c3a-da6e-4a57-a7e4-c37556c20cce_1.d37a55fc5e4e20c625490346499e718f.png?v=1610335054")</f>
        <v/>
      </c>
      <c r="H405">
        <f>IMAGE("https://m.media-amazon.com/images/I/71KorK5Jt+L._AC_UL320_.jpg")</f>
        <v/>
      </c>
      <c r="I405" t="inlineStr">
        <is>
          <t>7.63</t>
        </is>
      </c>
      <c r="J405" t="n">
        <v>38.48</v>
      </c>
      <c r="K405" s="3" t="inlineStr">
        <is>
          <t>404.33%</t>
        </is>
      </c>
      <c r="L405" t="n">
        <v>4.7</v>
      </c>
      <c r="M405" t="n">
        <v>3436</v>
      </c>
      <c r="O405" t="inlineStr">
        <is>
          <t>InStock</t>
        </is>
      </c>
      <c r="P405" t="inlineStr">
        <is>
          <t>undefined</t>
        </is>
      </c>
      <c r="Q405" t="inlineStr">
        <is>
          <t>6206519509144</t>
        </is>
      </c>
    </row>
    <row r="406">
      <c r="A406" s="2">
        <f>HYPERLINK("https://shop.sonapharmacy.com/products/attends%C2%AE-underwear-extra-absorbency-x-large-14ct", "https://shop.sonapharmacy.com/products/attends%C2%AE-underwear-extra-absorbency-x-large-14ct")</f>
        <v/>
      </c>
      <c r="B406" s="2">
        <f>HYPERLINK("https://shop.sonapharmacy.com/products/attends%c2%ae-underwear-extra-absorbency-x-large-14ct", "https://shop.sonapharmacy.com/products/attends%c2%ae-underwear-extra-absorbency-x-large-14ct")</f>
        <v/>
      </c>
      <c r="C406" t="inlineStr">
        <is>
          <t>Attends Underwear Extra Absorbency X-Large 14ct.</t>
        </is>
      </c>
      <c r="D406" t="inlineStr">
        <is>
          <t>Attends Underwear for Men Incontinence Care with TripleLockTM Protection, Ultimate Absorbency, Large/X-Large, 18 Count (x4)</t>
        </is>
      </c>
      <c r="E406" s="2">
        <f>HYPERLINK("https://www.amazon.com/Attends-Discreet-Underwear-Male-Count/dp/B07ZTRW7FT/ref=sr_1_4?keywords=Attends+Underwear+Extra+Absorbency+X-Large+14ct.&amp;qid=1695260061&amp;sr=8-4", "https://www.amazon.com/Attends-Discreet-Underwear-Male-Count/dp/B07ZTRW7FT/ref=sr_1_4?keywords=Attends+Underwear+Extra+Absorbency+X-Large+14ct.&amp;qid=1695260061&amp;sr=8-4")</f>
        <v/>
      </c>
      <c r="F406" t="inlineStr">
        <is>
          <t>B07ZTRW7FT</t>
        </is>
      </c>
      <c r="G406">
        <f>IMAGE("https://shop.sonapharmacy.com/cdn/shop/products/917ssoU70XL._AC_SL1500.jpg?v=1611077702")</f>
        <v/>
      </c>
      <c r="H406">
        <f>IMAGE("https://m.media-amazon.com/images/I/61YEFtYqeGL._AC_UL320_.jpg")</f>
        <v/>
      </c>
      <c r="I406" t="inlineStr">
        <is>
          <t>14.29</t>
        </is>
      </c>
      <c r="J406" t="n">
        <v>71.92</v>
      </c>
      <c r="K406" s="3" t="inlineStr">
        <is>
          <t>403.29%</t>
        </is>
      </c>
      <c r="L406" t="n">
        <v>5</v>
      </c>
      <c r="M406" t="n">
        <v>2</v>
      </c>
      <c r="O406" t="inlineStr">
        <is>
          <t>InStock</t>
        </is>
      </c>
      <c r="P406" t="inlineStr">
        <is>
          <t>undefined</t>
        </is>
      </c>
      <c r="Q406" t="inlineStr">
        <is>
          <t>6226619039896</t>
        </is>
      </c>
    </row>
    <row r="407">
      <c r="A407" s="2">
        <f>HYPERLINK("https://shop.sonapharmacy.com/products/secura%C2%AE-protective-ointment-5-6oz", "https://shop.sonapharmacy.com/products/secura%C2%AE-protective-ointment-5-6oz")</f>
        <v/>
      </c>
      <c r="B407" s="2">
        <f>HYPERLINK("https://shop.sonapharmacy.com/products/secura%c2%ae-protective-ointment-5-6oz", "https://shop.sonapharmacy.com/products/secura%c2%ae-protective-ointment-5-6oz")</f>
        <v/>
      </c>
      <c r="C407" t="inlineStr">
        <is>
          <t>Secura® Protective Ointment 5.6oz.</t>
        </is>
      </c>
      <c r="D407" t="inlineStr">
        <is>
          <t>Smith &amp; Nephew SECURA Protective Ointment Skin Protectant 5.6oz Tube (Case of 12)</t>
        </is>
      </c>
      <c r="E407" s="2">
        <f>HYPERLINK("https://www.amazon.com/Smith-Nephew-Protective-Ointment-Protectant/dp/B01L7XSW44/ref=sr_1_3?keywords=Secura%C2%AE+Protective+Ointment+5.6oz.&amp;qid=1695260728&amp;sr=8-3", "https://www.amazon.com/Smith-Nephew-Protective-Ointment-Protectant/dp/B01L7XSW44/ref=sr_1_3?keywords=Secura%C2%AE+Protective+Ointment+5.6oz.&amp;qid=1695260728&amp;sr=8-3")</f>
        <v/>
      </c>
      <c r="F407" t="inlineStr">
        <is>
          <t>B01L7XSW44</t>
        </is>
      </c>
      <c r="G407">
        <f>IMAGE("https://shop.sonapharmacy.com/cdn/shop/products/51jcEfX-T7L._AC_SL1170.jpg?v=1610327335")</f>
        <v/>
      </c>
      <c r="H407">
        <f>IMAGE("https://m.media-amazon.com/images/I/81Flb-AgeeL._AC_UL320_.jpg")</f>
        <v/>
      </c>
      <c r="I407" t="inlineStr">
        <is>
          <t>10.07</t>
        </is>
      </c>
      <c r="J407" t="n">
        <v>49.62</v>
      </c>
      <c r="K407" s="3" t="inlineStr">
        <is>
          <t>392.75%</t>
        </is>
      </c>
      <c r="L407" t="n">
        <v>4.7</v>
      </c>
      <c r="M407" t="n">
        <v>66</v>
      </c>
      <c r="O407" t="inlineStr">
        <is>
          <t>InStock</t>
        </is>
      </c>
      <c r="P407" t="inlineStr">
        <is>
          <t>undefined</t>
        </is>
      </c>
      <c r="Q407" t="inlineStr">
        <is>
          <t>6206418419864</t>
        </is>
      </c>
    </row>
    <row r="408">
      <c r="A408" s="2">
        <f>HYPERLINK("https://shop.sonapharmacy.com/products/duracell%C2%AE-303-357-76-silver-oxide-button-battery", "https://shop.sonapharmacy.com/products/duracell%C2%AE-303-357-76-silver-oxide-button-battery")</f>
        <v/>
      </c>
      <c r="B408" s="2">
        <f>HYPERLINK("https://shop.sonapharmacy.com/products/duracell%c2%ae-303-357-76-silver-oxide-button-battery", "https://shop.sonapharmacy.com/products/duracell%c2%ae-303-357-76-silver-oxide-button-battery")</f>
        <v/>
      </c>
      <c r="C408" t="inlineStr">
        <is>
          <t>Duracell® 303/357/76 Silver Oxide Button Battery</t>
        </is>
      </c>
      <c r="D408" t="inlineStr">
        <is>
          <t>24 Duracell 357 303 A76 PX76 SR44W/SW LR44 AG13 Silver Oxide Battery</t>
        </is>
      </c>
      <c r="E408" s="2">
        <f>HYPERLINK("https://www.amazon.com/Duracell-SR44W-Silver-Oxide-Battery/dp/B013IL9KYO/ref=sr_1_4?keywords=Duracell%C2%AE+303%2F357%2F76+Silver+Oxide+Button+Battery&amp;qid=1695260202&amp;sr=8-4", "https://www.amazon.com/Duracell-SR44W-Silver-Oxide-Battery/dp/B013IL9KYO/ref=sr_1_4?keywords=Duracell%C2%AE+303%2F357%2F76+Silver+Oxide+Button+Battery&amp;qid=1695260202&amp;sr=8-4")</f>
        <v/>
      </c>
      <c r="F408" t="inlineStr">
        <is>
          <t>B013IL9KYO</t>
        </is>
      </c>
      <c r="G408">
        <f>IMAGE("https://shop.sonapharmacy.com/cdn/shop/products/3099066_A.eps_High_540x_008cc7a8-ba13-4a78-a067-abc0e573a874.jpg?v=1610332687")</f>
        <v/>
      </c>
      <c r="H408">
        <f>IMAGE("https://m.media-amazon.com/images/I/51oXtaZVyGL._AC_UL320_.jpg")</f>
        <v/>
      </c>
      <c r="I408" t="inlineStr">
        <is>
          <t>8.39</t>
        </is>
      </c>
      <c r="J408" t="n">
        <v>39.99</v>
      </c>
      <c r="K408" s="3" t="inlineStr">
        <is>
          <t>376.64%</t>
        </is>
      </c>
      <c r="L408" t="n">
        <v>4.5</v>
      </c>
      <c r="M408" t="n">
        <v>17</v>
      </c>
      <c r="O408" t="inlineStr">
        <is>
          <t>InStock</t>
        </is>
      </c>
      <c r="P408" t="inlineStr">
        <is>
          <t>undefined</t>
        </is>
      </c>
      <c r="Q408" t="inlineStr">
        <is>
          <t>6206488117400</t>
        </is>
      </c>
    </row>
    <row r="409">
      <c r="A409" s="2">
        <f>HYPERLINK("https://shop.sonapharmacy.com/products/duracell%C2%AE-aaa-coppertop-alkaline-batteries", "https://shop.sonapharmacy.com/products/duracell%C2%AE-aaa-coppertop-alkaline-batteries")</f>
        <v/>
      </c>
      <c r="B409" s="2">
        <f>HYPERLINK("https://shop.sonapharmacy.com/products/duracell%c2%ae-aaa-coppertop-alkaline-batteries", "https://shop.sonapharmacy.com/products/duracell%c2%ae-aaa-coppertop-alkaline-batteries")</f>
        <v/>
      </c>
      <c r="C409" t="inlineStr">
        <is>
          <t>Duracell® AAA CopperTop Alkaline Batteries</t>
        </is>
      </c>
      <c r="D409" t="inlineStr">
        <is>
          <t>Duracell - CopperTop AAA Alkaline Batteries - Long Lasting, All-Purpose Triple A Battery for Household and Business - 40 Count</t>
        </is>
      </c>
      <c r="E409" s="2">
        <f>HYPERLINK("https://www.amazon.com/Duracell-CopperTop-Batteries-All-Purpose-Household/dp/B09LPPTRVF/ref=sr_1_7?keywords=Duracell%C2%AE+AAA+CopperTop+Alkaline+Batteries&amp;qid=1695260225&amp;sr=8-7", "https://www.amazon.com/Duracell-CopperTop-Batteries-All-Purpose-Household/dp/B09LPPTRVF/ref=sr_1_7?keywords=Duracell%C2%AE+AAA+CopperTop+Alkaline+Batteries&amp;qid=1695260225&amp;sr=8-7")</f>
        <v/>
      </c>
      <c r="F409" t="inlineStr">
        <is>
          <t>B09LPPTRVF</t>
        </is>
      </c>
      <c r="G409">
        <f>IMAGE("https://shop.sonapharmacy.com/cdn/shop/products/4711941b-a083-4277-8d8a-0a1bce8b082a_1.a291637149acb335ff96c25aae0e8bc1.png?v=1610335288")</f>
        <v/>
      </c>
      <c r="H409">
        <f>IMAGE("https://m.media-amazon.com/images/I/41mHgWHjXKL._AC_UL320_.jpg")</f>
        <v/>
      </c>
      <c r="I409" t="inlineStr">
        <is>
          <t>7.63</t>
        </is>
      </c>
      <c r="J409" t="n">
        <v>34.88</v>
      </c>
      <c r="K409" s="3" t="inlineStr">
        <is>
          <t>357.14%</t>
        </is>
      </c>
      <c r="L409" t="n">
        <v>4.7</v>
      </c>
      <c r="M409" t="n">
        <v>2288</v>
      </c>
      <c r="O409" t="inlineStr">
        <is>
          <t>InStock</t>
        </is>
      </c>
      <c r="P409" t="inlineStr">
        <is>
          <t>undefined</t>
        </is>
      </c>
      <c r="Q409" t="inlineStr">
        <is>
          <t>6206523048088</t>
        </is>
      </c>
    </row>
    <row r="410">
      <c r="A410" s="2">
        <f>HYPERLINK("https://shop.sonapharmacy.com/products/aquaphor%C2%AE-healing-ointment", "https://shop.sonapharmacy.com/products/aquaphor%C2%AE-healing-ointment")</f>
        <v/>
      </c>
      <c r="B410" s="2">
        <f>HYPERLINK("https://shop.sonapharmacy.com/products/aquaphor%c2%ae-healing-ointment", "https://shop.sonapharmacy.com/products/aquaphor%c2%ae-healing-ointment")</f>
        <v/>
      </c>
      <c r="C410" t="inlineStr">
        <is>
          <t>Aquaphor Healing Ointment</t>
        </is>
      </c>
      <c r="D410" t="inlineStr">
        <is>
          <t>Aquaphor Aquaphor healing ointment - moisturizing skin protectant for dry cracked hands, heels and elbows - 14 oz. jar + 1.75 oz. tube, 15.75 Ounce</t>
        </is>
      </c>
      <c r="E410" s="2">
        <f>HYPERLINK("https://www.amazon.com/Aquaphor-Healing-Ointment-Moisturizing-Protectant/dp/B07QYWKLKP/ref=sr_1_7?keywords=Aquaphor+Healing+Ointment&amp;qid=1695260029&amp;rdc=1&amp;sr=8-7", "https://www.amazon.com/Aquaphor-Healing-Ointment-Moisturizing-Protectant/dp/B07QYWKLKP/ref=sr_1_7?keywords=Aquaphor+Healing+Ointment&amp;qid=1695260029&amp;rdc=1&amp;sr=8-7")</f>
        <v/>
      </c>
      <c r="F410" t="inlineStr">
        <is>
          <t>B07QYWKLKP</t>
        </is>
      </c>
      <c r="G410">
        <f>IMAGE("https://shop.sonapharmacy.com/cdn/shop/products/83663518614618p.jpg?v=1609722179")</f>
        <v/>
      </c>
      <c r="H410">
        <f>IMAGE("https://m.media-amazon.com/images/I/51Xkey5LSZL._AC_UL320_.jpg")</f>
        <v/>
      </c>
      <c r="I410" t="inlineStr">
        <is>
          <t>5.93</t>
        </is>
      </c>
      <c r="J410" t="n">
        <v>26.68</v>
      </c>
      <c r="K410" s="3" t="inlineStr">
        <is>
          <t>349.92%</t>
        </is>
      </c>
      <c r="L410" t="n">
        <v>4.8</v>
      </c>
      <c r="M410" t="n">
        <v>10950</v>
      </c>
      <c r="O410" t="inlineStr">
        <is>
          <t>InStock</t>
        </is>
      </c>
      <c r="P410" t="inlineStr">
        <is>
          <t>undefined</t>
        </is>
      </c>
      <c r="Q410" t="inlineStr">
        <is>
          <t>6160879812760</t>
        </is>
      </c>
    </row>
    <row r="411">
      <c r="A411" s="2">
        <f>HYPERLINK("https://shop.sonapharmacy.com/products/goodsense%C2%AE-flexible-fabric-bandages", "https://shop.sonapharmacy.com/products/goodsense%C2%AE-flexible-fabric-bandages")</f>
        <v/>
      </c>
      <c r="B411" s="2">
        <f>HYPERLINK("https://shop.sonapharmacy.com/products/goodsense%c2%ae-flexible-fabric-bandages", "https://shop.sonapharmacy.com/products/goodsense%c2%ae-flexible-fabric-bandages")</f>
        <v/>
      </c>
      <c r="C411" t="inlineStr">
        <is>
          <t>GoodSense® Flexible Fabric Bandages</t>
        </is>
      </c>
      <c r="D411" t="inlineStr">
        <is>
          <t>Band-Aid Brand Sterile Flexible Fabric Adhesive Bandages, Comfortable Flexible Protection &amp; Wound Care for Minor Cuts &amp; Scrapes, Pad Designed to Cushion Painful Wounds, All One Size, 30 ct</t>
        </is>
      </c>
      <c r="E411" s="2">
        <f>HYPERLINK("https://www.amazon.com/Band-Aid-Flexible-Fabric-Adhesive-Bandages/dp/B001E96LIQ/ref=sr_1_2?keywords=GoodSense%C2%AE+Flexible+Fabric+Bandages&amp;qid=1695260315&amp;sr=8-2", "https://www.amazon.com/Band-Aid-Flexible-Fabric-Adhesive-Bandages/dp/B001E96LIQ/ref=sr_1_2?keywords=GoodSense%C2%AE+Flexible+Fabric+Bandages&amp;qid=1695260315&amp;sr=8-2")</f>
        <v/>
      </c>
      <c r="F411" t="inlineStr">
        <is>
          <t>B001E96LIQ</t>
        </is>
      </c>
      <c r="G411">
        <f>IMAGE("https://shop.sonapharmacy.com/cdn/shop/products/146894.jpg?v=1607809318")</f>
        <v/>
      </c>
      <c r="H411">
        <f>IMAGE("https://m.media-amazon.com/images/I/71tHgAQ7riL._AC_UL320_.jpg")</f>
        <v/>
      </c>
      <c r="I411" t="inlineStr">
        <is>
          <t>4.39</t>
        </is>
      </c>
      <c r="J411" t="n">
        <v>19.62</v>
      </c>
      <c r="K411" s="3" t="inlineStr">
        <is>
          <t>346.92%</t>
        </is>
      </c>
      <c r="L411" t="n">
        <v>4.7</v>
      </c>
      <c r="M411" t="n">
        <v>241</v>
      </c>
      <c r="O411" t="inlineStr">
        <is>
          <t>InStock</t>
        </is>
      </c>
      <c r="P411" t="inlineStr">
        <is>
          <t>undefined</t>
        </is>
      </c>
      <c r="Q411" t="inlineStr">
        <is>
          <t>6149253595288</t>
        </is>
      </c>
    </row>
    <row r="412">
      <c r="A412" s="2">
        <f>HYPERLINK("https://shop.sonapharmacy.com/products/attends%C2%AE-underwear-extra-absorbency-youth-small-20ct", "https://shop.sonapharmacy.com/products/attends%C2%AE-underwear-extra-absorbency-youth-small-20ct")</f>
        <v/>
      </c>
      <c r="B412" s="2">
        <f>HYPERLINK("https://shop.sonapharmacy.com/products/attends%c2%ae-underwear-extra-absorbency-youth-small-20ct", "https://shop.sonapharmacy.com/products/attends%c2%ae-underwear-extra-absorbency-youth-small-20ct")</f>
        <v/>
      </c>
      <c r="C412" t="inlineStr">
        <is>
          <t>Attends Underwear Extra Absorbency Youth/Small 20ct.</t>
        </is>
      </c>
      <c r="D412" t="inlineStr">
        <is>
          <t>48APP0710CA - Attends Youth Super Plus Absorbency Pull-On Protective Underwear Small 22 - 34</t>
        </is>
      </c>
      <c r="E412" s="2">
        <f>HYPERLINK("https://www.amazon.com/48APP0710CA-Absorbency-Pull-Protective-Underwear/dp/B00KPXRUEG/ref=sr_1_3?keywords=Attends+Underwear+Extra+Absorbency+Youth%2FSmall+20ct.&amp;qid=1695260028&amp;sr=8-3", "https://www.amazon.com/48APP0710CA-Absorbency-Pull-Protective-Underwear/dp/B00KPXRUEG/ref=sr_1_3?keywords=Attends+Underwear+Extra+Absorbency+Youth%2FSmall+20ct.&amp;qid=1695260028&amp;sr=8-3")</f>
        <v/>
      </c>
      <c r="F412" t="inlineStr">
        <is>
          <t>B00KPXRUEG</t>
        </is>
      </c>
      <c r="G412">
        <f>IMAGE("https://shop.sonapharmacy.com/cdn/shop/products/615UQMYktPL._AC_SL1000.jpg?v=1611077191")</f>
        <v/>
      </c>
      <c r="H412">
        <f>IMAGE("https://m.media-amazon.com/images/I/41gEJt0qfEL._AC_UL320_.jpg")</f>
        <v/>
      </c>
      <c r="I412" t="inlineStr">
        <is>
          <t>11.99</t>
        </is>
      </c>
      <c r="J412" t="n">
        <v>53.48</v>
      </c>
      <c r="K412" s="3" t="inlineStr">
        <is>
          <t>346.04%</t>
        </is>
      </c>
      <c r="L412" t="n">
        <v>4.7</v>
      </c>
      <c r="M412" t="n">
        <v>4</v>
      </c>
      <c r="O412" t="inlineStr">
        <is>
          <t>InStock</t>
        </is>
      </c>
      <c r="P412" t="inlineStr">
        <is>
          <t>undefined</t>
        </is>
      </c>
      <c r="Q412" t="inlineStr">
        <is>
          <t>6226601050264</t>
        </is>
      </c>
    </row>
    <row r="413">
      <c r="A413" s="2">
        <f>HYPERLINK("https://shop.sonapharmacy.com/products/ricola-original-natural-herb-cough-drops", "https://shop.sonapharmacy.com/products/ricola-original-natural-herb-cough-drops")</f>
        <v/>
      </c>
      <c r="B413" s="2">
        <f>HYPERLINK("https://shop.sonapharmacy.com/products/ricola-original-natural-herb-cough-drops", "https://shop.sonapharmacy.com/products/ricola-original-natural-herb-cough-drops")</f>
        <v/>
      </c>
      <c r="C413" t="inlineStr">
        <is>
          <t>Ricola Original Natural Herb Cough Drops</t>
        </is>
      </c>
      <c r="D413" t="inlineStr">
        <is>
          <t>Original Natural Herb Cough Drops, 115 ct.</t>
        </is>
      </c>
      <c r="E413" s="2">
        <f>HYPERLINK("https://www.amazon.com/Original-Natural-Herb-Cough-Drops/dp/B0C2X5L93M/ref=sr_1_6?keywords=Ricola+Original+Natural+Herb+Cough+Drops&amp;qid=1695260693&amp;sr=8-6", "https://www.amazon.com/Original-Natural-Herb-Cough-Drops/dp/B0C2X5L93M/ref=sr_1_6?keywords=Ricola+Original+Natural+Herb+Cough+Drops&amp;qid=1695260693&amp;sr=8-6")</f>
        <v/>
      </c>
      <c r="F413" t="inlineStr">
        <is>
          <t>B0C2X5L93M</t>
        </is>
      </c>
      <c r="G413">
        <f>IMAGE("https://shop.sonapharmacy.com/cdn/shop/products/originalherb_bag_21.png?v=1608220874")</f>
        <v/>
      </c>
      <c r="H413">
        <f>IMAGE("https://m.media-amazon.com/images/I/51XyjeZZ35L._AC_UL320_.jpg")</f>
        <v/>
      </c>
      <c r="I413" t="inlineStr">
        <is>
          <t>3.83</t>
        </is>
      </c>
      <c r="J413" t="n">
        <v>16.99</v>
      </c>
      <c r="K413" s="3" t="inlineStr">
        <is>
          <t>343.60%</t>
        </is>
      </c>
      <c r="L413" t="n">
        <v>4.8</v>
      </c>
      <c r="M413" t="n">
        <v>8</v>
      </c>
      <c r="O413" t="inlineStr">
        <is>
          <t>InStock</t>
        </is>
      </c>
      <c r="P413" t="inlineStr">
        <is>
          <t>undefined</t>
        </is>
      </c>
      <c r="Q413" t="inlineStr">
        <is>
          <t>6158530052248</t>
        </is>
      </c>
    </row>
    <row r="414">
      <c r="A414" s="2">
        <f>HYPERLINK("https://shop.sonapharmacy.com/products/fruit-of-the-earth-aloe-vera-100-gel-6oz", "https://shop.sonapharmacy.com/products/fruit-of-the-earth-aloe-vera-100-gel-6oz")</f>
        <v/>
      </c>
      <c r="B414" s="2">
        <f>HYPERLINK("https://shop.sonapharmacy.com/products/fruit-of-the-earth-aloe-vera-100-gel-6oz", "https://shop.sonapharmacy.com/products/fruit-of-the-earth-aloe-vera-100-gel-6oz")</f>
        <v/>
      </c>
      <c r="C414" t="inlineStr">
        <is>
          <t>Fruit Of The Earth Aloe Vera 100% Gel 6oz.</t>
        </is>
      </c>
      <c r="D414" t="inlineStr">
        <is>
          <t>Fruit of the Earth Aloe Vera 100% Gel, Clear</t>
        </is>
      </c>
      <c r="E414" s="2">
        <f>HYPERLINK("https://www.amazon.com/Fruit-Earth-Aloe-Vera-Clear/dp/B008R2B33Q/ref=sr_1_8?keywords=Fruit+Of+The+Earth+Aloe+Vera+100%25+Gel+6oz.&amp;qid=1695260255&amp;sr=8-8", "https://www.amazon.com/Fruit-Earth-Aloe-Vera-Clear/dp/B008R2B33Q/ref=sr_1_8?keywords=Fruit+Of+The+Earth+Aloe+Vera+100%25+Gel+6oz.&amp;qid=1695260255&amp;sr=8-8")</f>
        <v/>
      </c>
      <c r="F414" t="inlineStr">
        <is>
          <t>B008R2B33Q</t>
        </is>
      </c>
      <c r="G414">
        <f>IMAGE("https://shop.sonapharmacy.com/cdn/shop/products/aloevera.jpg?v=1607965506")</f>
        <v/>
      </c>
      <c r="H414">
        <f>IMAGE("https://m.media-amazon.com/images/I/71h2XiE7xXL._AC_UL320_.jpg")</f>
        <v/>
      </c>
      <c r="I414" t="inlineStr">
        <is>
          <t>4.79</t>
        </is>
      </c>
      <c r="J414" t="n">
        <v>20.99</v>
      </c>
      <c r="K414" s="3" t="inlineStr">
        <is>
          <t>338.20%</t>
        </is>
      </c>
      <c r="L414" t="n">
        <v>4.6</v>
      </c>
      <c r="M414" t="n">
        <v>119</v>
      </c>
      <c r="O414" t="inlineStr">
        <is>
          <t>InStock</t>
        </is>
      </c>
      <c r="P414" t="inlineStr">
        <is>
          <t>undefined</t>
        </is>
      </c>
      <c r="Q414" t="inlineStr">
        <is>
          <t>6152329560216</t>
        </is>
      </c>
    </row>
    <row r="415">
      <c r="A415" s="2">
        <f>HYPERLINK("https://shop.sonapharmacy.com/products/pantene%C2%AE-classic-clean-conditioner-12fl-oz", "https://shop.sonapharmacy.com/products/pantene%C2%AE-classic-clean-conditioner-12fl-oz")</f>
        <v/>
      </c>
      <c r="B415" s="2">
        <f>HYPERLINK("https://shop.sonapharmacy.com/products/pantene%c2%ae-classic-clean-conditioner-12fl-oz", "https://shop.sonapharmacy.com/products/pantene%c2%ae-classic-clean-conditioner-12fl-oz")</f>
        <v/>
      </c>
      <c r="C415" t="inlineStr">
        <is>
          <t>Pantene® Pro-V Classic Clean Conditioner 12fl. oz.</t>
        </is>
      </c>
      <c r="D415" t="inlineStr">
        <is>
          <t>Pantene Pro-v Classic Clean Conditioner, 23.7 Fl Oz, 1.73 Pound</t>
        </is>
      </c>
      <c r="E415" s="2">
        <f>HYPERLINK("https://www.amazon.com/Pantene-Pro-v-Classic-Clean-Conditioner/dp/B01N07NN4J/ref=sr_1_2?keywords=Pantene%C2%AE+Pro-V+Classic+Clean+Conditioner+12fl.+oz.&amp;qid=1695260628&amp;sr=8-2", "https://www.amazon.com/Pantene-Pro-v-Classic-Clean-Conditioner/dp/B01N07NN4J/ref=sr_1_2?keywords=Pantene%C2%AE+Pro-V+Classic+Clean+Conditioner+12fl.+oz.&amp;qid=1695260628&amp;sr=8-2")</f>
        <v/>
      </c>
      <c r="F415" t="inlineStr">
        <is>
          <t>B01N07NN4J</t>
        </is>
      </c>
      <c r="G415">
        <f>IMAGE("https://shop.sonapharmacy.com/cdn/shop/products/58872a90-0469-4c0f-8cf9-949b317d123c_1.da751a1e28aabb6fc83daeab3e7cf20a.jpg?v=1609165545")</f>
        <v/>
      </c>
      <c r="H415">
        <f>IMAGE("https://m.media-amazon.com/images/I/61ienwrH0dL._AC_UL320_.jpg")</f>
        <v/>
      </c>
      <c r="I415" t="inlineStr">
        <is>
          <t>4.59</t>
        </is>
      </c>
      <c r="J415" t="n">
        <v>19.97</v>
      </c>
      <c r="K415" s="3" t="inlineStr">
        <is>
          <t>335.08%</t>
        </is>
      </c>
      <c r="L415" t="n">
        <v>5</v>
      </c>
      <c r="M415" t="n">
        <v>5</v>
      </c>
      <c r="O415" t="inlineStr">
        <is>
          <t>OutOfStock</t>
        </is>
      </c>
      <c r="P415" t="inlineStr">
        <is>
          <t>undefined</t>
        </is>
      </c>
      <c r="Q415" t="inlineStr">
        <is>
          <t>6177555644568</t>
        </is>
      </c>
    </row>
    <row r="416">
      <c r="A416" s="2">
        <f>HYPERLINK("https://shop.sonapharmacy.com/products/accu-chek-guide-test-strips-50-ct", "https://shop.sonapharmacy.com/products/accu-chek-guide-test-strips-50-ct")</f>
        <v/>
      </c>
      <c r="B416" s="2">
        <f>HYPERLINK("https://shop.sonapharmacy.com/products/accu-chek-guide-test-strips-50-ct", "https://shop.sonapharmacy.com/products/accu-chek-guide-test-strips-50-ct")</f>
        <v/>
      </c>
      <c r="C416" t="inlineStr">
        <is>
          <t>Accu-Chek Guide Test Strips</t>
        </is>
      </c>
      <c r="D416" t="inlineStr">
        <is>
          <t>Accu-Chek Guide Me Glucose Monitor Kit for Diabetic Blood Sugar Testing: Guide Me Meter, 200 Guide Test Strips, and Control Solution</t>
        </is>
      </c>
      <c r="E416" s="2">
        <f>HYPERLINK("https://www.amazon.com/Accu-Chek-Diabetes-Essential-Diabetic-Supplies/dp/B0923FLV2N/ref=sr_1_10?keywords=Accu-Chek+Guide+Test+Strips&amp;qid=1695260023&amp;sr=8-10", "https://www.amazon.com/Accu-Chek-Diabetes-Essential-Diabetic-Supplies/dp/B0923FLV2N/ref=sr_1_10?keywords=Accu-Chek+Guide+Test+Strips&amp;qid=1695260023&amp;sr=8-10")</f>
        <v/>
      </c>
      <c r="F416" t="inlineStr">
        <is>
          <t>B0923FLV2N</t>
        </is>
      </c>
      <c r="G416">
        <f>IMAGE("https://shop.sonapharmacy.com/cdn/shop/products/Accu-ChekGuideTestStrips50ct.yyy.jpg?v=1594217683")</f>
        <v/>
      </c>
      <c r="H416">
        <f>IMAGE("https://m.media-amazon.com/images/I/715dgzpTBbL._AC_UL320_.jpg")</f>
        <v/>
      </c>
      <c r="I416" t="inlineStr">
        <is>
          <t>26.49</t>
        </is>
      </c>
      <c r="J416" t="n">
        <v>115</v>
      </c>
      <c r="K416" s="3" t="inlineStr">
        <is>
          <t>334.13%</t>
        </is>
      </c>
      <c r="L416" t="n">
        <v>4.4</v>
      </c>
      <c r="M416" t="n">
        <v>1977</v>
      </c>
      <c r="O416" t="inlineStr">
        <is>
          <t>InStock</t>
        </is>
      </c>
      <c r="P416" t="inlineStr">
        <is>
          <t>undefined</t>
        </is>
      </c>
      <c r="Q416" t="inlineStr">
        <is>
          <t>4896210092171</t>
        </is>
      </c>
    </row>
    <row r="417">
      <c r="A417" s="2">
        <f>HYPERLINK("https://shop.sonapharmacy.com/products/osteo-bi-flex-joint-health-triple-strength-supplement-tablets", "https://shop.sonapharmacy.com/products/osteo-bi-flex-joint-health-triple-strength-supplement-tablets")</f>
        <v/>
      </c>
      <c r="B417" s="2">
        <f>HYPERLINK("https://shop.sonapharmacy.com/products/osteo-bi-flex-joint-health-triple-strength-supplement-tablets", "https://shop.sonapharmacy.com/products/osteo-bi-flex-joint-health-triple-strength-supplement-tablets")</f>
        <v/>
      </c>
      <c r="C417" t="inlineStr">
        <is>
          <t>Osteo Bi-Flex Joint Health Triple Strength Supplement Tablets</t>
        </is>
      </c>
      <c r="D417" t="inlineStr">
        <is>
          <t>Osteo Bi-Flex Triple Strength with 5-Loxin Advanced Joint Care - 4 Bottles, 170 Tablets Each</t>
        </is>
      </c>
      <c r="E417" s="2">
        <f>HYPERLINK("https://www.amazon.com/Osteo-Bi-Flex-Strength-5-Loxin-Advanced/dp/B00LV4ZKW2/ref=sr_1_9?keywords=Osteo+Bi-Flex+Joint+Health+Triple+Strength+Supplement+Tablets&amp;qid=1695260695&amp;sr=8-9", "https://www.amazon.com/Osteo-Bi-Flex-Strength-5-Loxin-Advanced/dp/B00LV4ZKW2/ref=sr_1_9?keywords=Osteo+Bi-Flex+Joint+Health+Triple+Strength+Supplement+Tablets&amp;qid=1695260695&amp;sr=8-9")</f>
        <v/>
      </c>
      <c r="F417" t="inlineStr">
        <is>
          <t>B00LV4ZKW2</t>
        </is>
      </c>
      <c r="G417">
        <f>IMAGE("https://shop.sonapharmacy.com/cdn/shop/products/osteobiflextriplestrengthresized.jpg?v=1592492653")</f>
        <v/>
      </c>
      <c r="H417">
        <f>IMAGE("https://m.media-amazon.com/images/I/91GoKDrcTwL._AC_UL320_.jpg")</f>
        <v/>
      </c>
      <c r="I417" t="inlineStr">
        <is>
          <t>30.73</t>
        </is>
      </c>
      <c r="J417" t="n">
        <v>132.64</v>
      </c>
      <c r="K417" s="3" t="inlineStr">
        <is>
          <t>331.63%</t>
        </is>
      </c>
      <c r="L417" t="n">
        <v>4.2</v>
      </c>
      <c r="M417" t="n">
        <v>31</v>
      </c>
      <c r="O417" t="inlineStr">
        <is>
          <t>InStock</t>
        </is>
      </c>
      <c r="P417" t="inlineStr">
        <is>
          <t>undefined</t>
        </is>
      </c>
      <c r="Q417" t="inlineStr">
        <is>
          <t>5238432989336</t>
        </is>
      </c>
    </row>
    <row r="418">
      <c r="A418" s="2">
        <f>HYPERLINK("https://shop.sonapharmacy.com/products/band-aid-cushion-care-gauze-pads", "https://shop.sonapharmacy.com/products/band-aid-cushion-care-gauze-pads")</f>
        <v/>
      </c>
      <c r="B418" s="2">
        <f>HYPERLINK("https://shop.sonapharmacy.com/products/band-aid-cushion-care-gauze-pads", "https://shop.sonapharmacy.com/products/band-aid-cushion-care-gauze-pads")</f>
        <v/>
      </c>
      <c r="C418" t="inlineStr">
        <is>
          <t>BAND-AID® Cushion-Care Gauze Pads</t>
        </is>
      </c>
      <c r="D418" t="inlineStr">
        <is>
          <t>Band-Aid Brand Cushion Care Sterile Gauze Pads for Protection of Minor Cut, Scrapes &amp; Burns, Absorbent &amp; Non-Adhesive First Aid Wound Care Dressing Pads, Small Size, 2 in x 2 in, 25 ct&lt;br&gt;</t>
        </is>
      </c>
      <c r="E418" s="2">
        <f>HYPERLINK("https://www.amazon.com/Band-Aid-Protection-Absorbent-Non-Adhesive-Dressing/dp/B01IAIPRLU/ref=sr_1_9?keywords=BAND-AID%C2%AE+Cushion-Care+Gauze+Pads&amp;qid=1695260110&amp;sr=8-9", "https://www.amazon.com/Band-Aid-Protection-Absorbent-Non-Adhesive-Dressing/dp/B01IAIPRLU/ref=sr_1_9?keywords=BAND-AID%C2%AE+Cushion-Care+Gauze+Pads&amp;qid=1695260110&amp;sr=8-9")</f>
        <v/>
      </c>
      <c r="F418" t="inlineStr">
        <is>
          <t>B01IAIPRLU</t>
        </is>
      </c>
      <c r="G418">
        <f>IMAGE("https://shop.sonapharmacy.com/cdn/shop/products/band_aid_us_pho_pac_18_1_2727067.jpg?v=1607288415")</f>
        <v/>
      </c>
      <c r="H418">
        <f>IMAGE("https://m.media-amazon.com/images/I/8170s2LIROL._AC_UY218_.jpg")</f>
        <v/>
      </c>
      <c r="I418" t="inlineStr">
        <is>
          <t>4.89</t>
        </is>
      </c>
      <c r="J418" t="n">
        <v>21.04</v>
      </c>
      <c r="K418" s="3" t="inlineStr">
        <is>
          <t>330.27%</t>
        </is>
      </c>
      <c r="L418" t="n">
        <v>4.8</v>
      </c>
      <c r="M418" t="n">
        <v>257</v>
      </c>
      <c r="O418" t="inlineStr">
        <is>
          <t>InStock</t>
        </is>
      </c>
      <c r="P418" t="inlineStr">
        <is>
          <t>undefined</t>
        </is>
      </c>
      <c r="Q418" t="inlineStr">
        <is>
          <t>6134431776920</t>
        </is>
      </c>
    </row>
    <row r="419">
      <c r="A419" s="2">
        <f>HYPERLINK("https://shop.sonapharmacy.com/products/always%C2%AE-discreet-maximum-absorbency-xl-underwear-for-women-15ct", "https://shop.sonapharmacy.com/products/always%C2%AE-discreet-maximum-absorbency-xl-underwear-for-women-15ct")</f>
        <v/>
      </c>
      <c r="B419" s="2">
        <f>HYPERLINK("https://shop.sonapharmacy.com/products/always%c2%ae-discreet-maximum-absorbency-xl-underwear-for-women-15ct", "https://shop.sonapharmacy.com/products/always%c2%ae-discreet-maximum-absorbency-xl-underwear-for-women-15ct")</f>
        <v/>
      </c>
      <c r="C419" t="inlineStr">
        <is>
          <t>Always Discreet Maximum Absorbency XL Underwear for Women 15ct.</t>
        </is>
      </c>
      <c r="D419" t="inlineStr">
        <is>
          <t>Always Discreet Boutique Adult Incontinence and Postpartum Underwear for Women, Maximum Protection, XL, Rosy, 48 Count</t>
        </is>
      </c>
      <c r="E419" s="2">
        <f>HYPERLINK("https://www.amazon.com/Always-Discreet-Incontinence-Postpartum-Protection/dp/B0C3KB1ZBX/ref=sr_1_4?keywords=Always+Discreet+Maximum+Absorbency+XL+Underwear+for+Women+15ct.&amp;qid=1695260003&amp;sr=8-4", "https://www.amazon.com/Always-Discreet-Incontinence-Postpartum-Protection/dp/B0C3KB1ZBX/ref=sr_1_4?keywords=Always+Discreet+Maximum+Absorbency+XL+Underwear+for+Women+15ct.&amp;qid=1695260003&amp;sr=8-4")</f>
        <v/>
      </c>
      <c r="F419" t="inlineStr">
        <is>
          <t>B0C3KB1ZBX</t>
        </is>
      </c>
      <c r="G419">
        <f>IMAGE("https://shop.sonapharmacy.com/cdn/shop/products/338639f2-0083-468e-b2eb-218450a0aa4f_1.a078bb5a3baa7563816301e343b7d24b.jpg?v=1611074803")</f>
        <v/>
      </c>
      <c r="H419">
        <f>IMAGE("https://m.media-amazon.com/images/I/81+CVqVZPdL._AC_UL320_.jpg")</f>
        <v/>
      </c>
      <c r="I419" t="inlineStr">
        <is>
          <t>14.99</t>
        </is>
      </c>
      <c r="J419" t="n">
        <v>64.31999999999999</v>
      </c>
      <c r="K419" s="3" t="inlineStr">
        <is>
          <t>329.09%</t>
        </is>
      </c>
      <c r="L419" t="n">
        <v>4.2</v>
      </c>
      <c r="M419" t="n">
        <v>6</v>
      </c>
      <c r="O419" t="inlineStr">
        <is>
          <t>InStock</t>
        </is>
      </c>
      <c r="P419" t="inlineStr">
        <is>
          <t>undefined</t>
        </is>
      </c>
      <c r="Q419" t="inlineStr">
        <is>
          <t>6226523062424</t>
        </is>
      </c>
    </row>
    <row r="420">
      <c r="A420" s="2">
        <f>HYPERLINK("https://shop.sonapharmacy.com/products/alka-seltzer%C2%AE-original-effervescent-tablets", "https://shop.sonapharmacy.com/products/alka-seltzer%C2%AE-original-effervescent-tablets")</f>
        <v/>
      </c>
      <c r="B420" s="2">
        <f>HYPERLINK("https://shop.sonapharmacy.com/products/alka-seltzer%c2%ae-original-effervescent-tablets", "https://shop.sonapharmacy.com/products/alka-seltzer%c2%ae-original-effervescent-tablets")</f>
        <v/>
      </c>
      <c r="C420" t="inlineStr">
        <is>
          <t>Alka-Seltzer Original Effervescent Tablets</t>
        </is>
      </c>
      <c r="D420" t="inlineStr">
        <is>
          <t>Alka-Seltzer Original Effervescent Tablets, Fast Relief of Headache, Muscle Aches, and Body Aches, 144 Count (72 x 2)</t>
        </is>
      </c>
      <c r="E420" s="2">
        <f>HYPERLINK("https://www.amazon.com/Alka-Seltzer-Original-Effervescent-Tablets-Headache/dp/B0BD5X8XW7/ref=sr_1_2?keywords=Alka-Seltzer+Original+Effervescent+Tablets&amp;qid=1695260013&amp;sr=8-2", "https://www.amazon.com/Alka-Seltzer-Original-Effervescent-Tablets-Headache/dp/B0BD5X8XW7/ref=sr_1_2?keywords=Alka-Seltzer+Original+Effervescent+Tablets&amp;qid=1695260013&amp;sr=8-2")</f>
        <v/>
      </c>
      <c r="F420" t="inlineStr">
        <is>
          <t>B0BD5X8XW7</t>
        </is>
      </c>
      <c r="G420">
        <f>IMAGE("https://shop.sonapharmacy.com/cdn/shop/products/51rk0IErmAL._AC.jpg?v=1610676312")</f>
        <v/>
      </c>
      <c r="H420">
        <f>IMAGE("https://m.media-amazon.com/images/I/816ZY9TEDXL._AC_UL320_.jpg")</f>
        <v/>
      </c>
      <c r="I420" t="inlineStr">
        <is>
          <t>4.89</t>
        </is>
      </c>
      <c r="J420" t="n">
        <v>20.94</v>
      </c>
      <c r="K420" s="3" t="inlineStr">
        <is>
          <t>328.22%</t>
        </is>
      </c>
      <c r="L420" t="n">
        <v>4.8</v>
      </c>
      <c r="M420" t="n">
        <v>420</v>
      </c>
      <c r="O420" t="inlineStr">
        <is>
          <t>InStock</t>
        </is>
      </c>
      <c r="P420" t="inlineStr">
        <is>
          <t>undefined</t>
        </is>
      </c>
      <c r="Q420" t="inlineStr">
        <is>
          <t>6217590145176</t>
        </is>
      </c>
    </row>
    <row r="421">
      <c r="A421" s="2">
        <f>HYPERLINK("https://shop.sonapharmacy.com/products/band-aid-skin-flex-bandage", "https://shop.sonapharmacy.com/products/band-aid-skin-flex-bandage")</f>
        <v/>
      </c>
      <c r="B421" s="2">
        <f>HYPERLINK("https://shop.sonapharmacy.com/products/band-aid-skin-flex-bandage", "https://shop.sonapharmacy.com/products/band-aid-skin-flex-bandage")</f>
        <v/>
      </c>
      <c r="C421" t="inlineStr">
        <is>
          <t>BAND-AID® Skin Flex Bandage</t>
        </is>
      </c>
      <c r="D421" t="inlineStr">
        <is>
          <t>Band-Aid Brand Skin-Flex Adhesive Bandages, All One Size, 25 Bandages Per Box (6 Boxes)</t>
        </is>
      </c>
      <c r="E421" s="2">
        <f>HYPERLINK("https://www.amazon.com/Band-Aid-Brand-Skin-Flex-Adhesive-Bandages/dp/B075ZC6W51/ref=sr_1_10?keywords=BAND-AID%C2%AE+Skin+Flex+Bandage&amp;qid=1695260066&amp;sr=8-10", "https://www.amazon.com/Band-Aid-Brand-Skin-Flex-Adhesive-Bandages/dp/B075ZC6W51/ref=sr_1_10?keywords=BAND-AID%C2%AE+Skin+Flex+Bandage&amp;qid=1695260066&amp;sr=8-10")</f>
        <v/>
      </c>
      <c r="F421" t="inlineStr">
        <is>
          <t>B075ZC6W51</t>
        </is>
      </c>
      <c r="G421">
        <f>IMAGE("https://shop.sonapharmacy.com/cdn/shop/products/bab_381371183470_band_aid_band-aid_skin-flex_aos_25ct_007.jpg?v=1627748646")</f>
        <v/>
      </c>
      <c r="H421">
        <f>IMAGE("https://m.media-amazon.com/images/I/71hx3g6jTsL._AC_UL320_.jpg")</f>
        <v/>
      </c>
      <c r="I421" t="inlineStr">
        <is>
          <t>6.33</t>
        </is>
      </c>
      <c r="J421" t="n">
        <v>26.42</v>
      </c>
      <c r="K421" s="3" t="inlineStr">
        <is>
          <t>317.38%</t>
        </is>
      </c>
      <c r="L421" t="n">
        <v>4.8</v>
      </c>
      <c r="M421" t="n">
        <v>451</v>
      </c>
      <c r="O421" t="inlineStr">
        <is>
          <t>InStock</t>
        </is>
      </c>
      <c r="P421" t="inlineStr">
        <is>
          <t>undefined</t>
        </is>
      </c>
      <c r="Q421" t="inlineStr">
        <is>
          <t>6132997685400</t>
        </is>
      </c>
    </row>
    <row r="422">
      <c r="A422" s="2">
        <f>HYPERLINK("https://shop.sonapharmacy.com/products/duracell%C2%AE-303-357-76-silver-oxide-button-battery", "https://shop.sonapharmacy.com/products/duracell%C2%AE-303-357-76-silver-oxide-button-battery")</f>
        <v/>
      </c>
      <c r="B422" s="2">
        <f>HYPERLINK("https://shop.sonapharmacy.com/products/duracell%c2%ae-303-357-76-silver-oxide-button-battery", "https://shop.sonapharmacy.com/products/duracell%c2%ae-303-357-76-silver-oxide-button-battery")</f>
        <v/>
      </c>
      <c r="C422" t="inlineStr">
        <is>
          <t>Duracell® 303/357/76 Silver Oxide Button Battery</t>
        </is>
      </c>
      <c r="D422" t="inlineStr">
        <is>
          <t>Duracell 20 357 303 A76 PX76 SR44W/SW LR44 AG13 Silver Oxide Battery</t>
        </is>
      </c>
      <c r="E422" s="2">
        <f>HYPERLINK("https://www.amazon.com/Duracell-SR44W-Silver-Oxide-Battery/dp/B013ILPECG/ref=sr_1_6?keywords=Duracell%C2%AE+303%2F357%2F76+Silver+Oxide+Button+Battery&amp;qid=1695260202&amp;sr=8-6", "https://www.amazon.com/Duracell-SR44W-Silver-Oxide-Battery/dp/B013ILPECG/ref=sr_1_6?keywords=Duracell%C2%AE+303%2F357%2F76+Silver+Oxide+Button+Battery&amp;qid=1695260202&amp;sr=8-6")</f>
        <v/>
      </c>
      <c r="F422" t="inlineStr">
        <is>
          <t>B013ILPECG</t>
        </is>
      </c>
      <c r="G422">
        <f>IMAGE("https://shop.sonapharmacy.com/cdn/shop/products/3099066_A.eps_High_540x_008cc7a8-ba13-4a78-a067-abc0e573a874.jpg?v=1610332687")</f>
        <v/>
      </c>
      <c r="H422">
        <f>IMAGE("https://m.media-amazon.com/images/I/51oXtaZVyGL._AC_UL320_.jpg")</f>
        <v/>
      </c>
      <c r="I422" t="inlineStr">
        <is>
          <t>8.39</t>
        </is>
      </c>
      <c r="J422" t="n">
        <v>34.99</v>
      </c>
      <c r="K422" s="3" t="inlineStr">
        <is>
          <t>317.04%</t>
        </is>
      </c>
      <c r="L422" t="n">
        <v>4.4</v>
      </c>
      <c r="M422" t="n">
        <v>106</v>
      </c>
      <c r="O422" t="inlineStr">
        <is>
          <t>InStock</t>
        </is>
      </c>
      <c r="P422" t="inlineStr">
        <is>
          <t>undefined</t>
        </is>
      </c>
      <c r="Q422" t="inlineStr">
        <is>
          <t>6206488117400</t>
        </is>
      </c>
    </row>
    <row r="423">
      <c r="A423" s="2">
        <f>HYPERLINK("https://shop.sonapharmacy.com/products/integrative-therapeutics%C2%AE-probiotic-pearls-capsules-30ct", "https://shop.sonapharmacy.com/products/integrative-therapeutics%C2%AE-probiotic-pearls-capsules-30ct")</f>
        <v/>
      </c>
      <c r="B423" s="2">
        <f>HYPERLINK("https://shop.sonapharmacy.com/products/integrative-therapeutics%c2%ae-probiotic-pearls-capsules-30ct", "https://shop.sonapharmacy.com/products/integrative-therapeutics%c2%ae-probiotic-pearls-capsules-30ct")</f>
        <v/>
      </c>
      <c r="C423" t="inlineStr">
        <is>
          <t>Integrative Therapeutics® Probiotic Pearls Capsules</t>
        </is>
      </c>
      <c r="D423" t="inlineStr">
        <is>
          <t>Integrative Therapeutics Probiotic Pearls Advantage - Gut Health Support* - Daily Supplement with Lactobacillus &amp; Bifidobacterium - Non-Refrigerated - True Delivery Technology - 60 Capsules</t>
        </is>
      </c>
      <c r="E423" s="2">
        <f>HYPERLINK("https://www.amazon.com/Integrative-Therapeutics-Lactobacillus-Bifidobacteria-Non-Refrigerated/dp/B003PWDPH0/ref=sr_1_6?keywords=Integrative+Therapeutics%C2%AE+Probiotic+Pearls+Capsules&amp;qid=1695260438&amp;sr=8-6", "https://www.amazon.com/Integrative-Therapeutics-Lactobacillus-Bifidobacteria-Non-Refrigerated/dp/B003PWDPH0/ref=sr_1_6?keywords=Integrative+Therapeutics%C2%AE+Probiotic+Pearls+Capsules&amp;qid=1695260438&amp;sr=8-6")</f>
        <v/>
      </c>
      <c r="F423" t="inlineStr">
        <is>
          <t>B003PWDPH0</t>
        </is>
      </c>
      <c r="G423">
        <f>IMAGE("https://shop.sonapharmacy.com/cdn/shop/products/61L34pt0USL._AC_SL1387.jpg?v=1620665770")</f>
        <v/>
      </c>
      <c r="H423">
        <f>IMAGE("https://m.media-amazon.com/images/I/51gSXWByGGL._AC_UL320_.jpg")</f>
        <v/>
      </c>
      <c r="I423" t="inlineStr">
        <is>
          <t>15.75</t>
        </is>
      </c>
      <c r="J423" t="n">
        <v>64.5</v>
      </c>
      <c r="K423" s="3" t="inlineStr">
        <is>
          <t>309.52%</t>
        </is>
      </c>
      <c r="L423" t="n">
        <v>4.5</v>
      </c>
      <c r="M423" t="n">
        <v>59</v>
      </c>
      <c r="O423" t="inlineStr">
        <is>
          <t>OutOfStock</t>
        </is>
      </c>
      <c r="P423" t="inlineStr">
        <is>
          <t>undefined</t>
        </is>
      </c>
      <c r="Q423" t="inlineStr">
        <is>
          <t>6747642200216</t>
        </is>
      </c>
    </row>
    <row r="424">
      <c r="A424" s="2">
        <f>HYPERLINK("https://shop.sonapharmacy.com/products/advil-200-mg-ibuprofen-tablets", "https://shop.sonapharmacy.com/products/advil-200-mg-ibuprofen-tablets")</f>
        <v/>
      </c>
      <c r="B424" s="2">
        <f>HYPERLINK("https://shop.sonapharmacy.com/products/advil-200-mg-ibuprofen-tablets", "https://shop.sonapharmacy.com/products/advil-200-mg-ibuprofen-tablets")</f>
        <v/>
      </c>
      <c r="C424" t="inlineStr">
        <is>
          <t>Advil 200mg Ibuprofen Tablets</t>
        </is>
      </c>
      <c r="D424" t="inlineStr">
        <is>
          <t>Advil Pain Reliever and Fever Reducer, Ibuprofen 200mg for Pain Relief - 300 Count, Advil PM Pain Reliever and Nighttime Sleep Aid, Ibuprofen for Pain Relief and Diphenhydramine Citrate - 2 Count</t>
        </is>
      </c>
      <c r="E424" s="2">
        <f>HYPERLINK("https://www.amazon.com/Advil-Reliever-Reducer-Ibuprofen-Diphenhydramine/dp/B085GDF897/ref=sr_1_4?keywords=Advil+200mg+Ibuprofen+Tablets&amp;qid=1695260034&amp;rdc=1&amp;sr=8-4", "https://www.amazon.com/Advil-Reliever-Reducer-Ibuprofen-Diphenhydramine/dp/B085GDF897/ref=sr_1_4?keywords=Advil+200mg+Ibuprofen+Tablets&amp;qid=1695260034&amp;rdc=1&amp;sr=8-4")</f>
        <v/>
      </c>
      <c r="F424" t="inlineStr">
        <is>
          <t>B085GDF897</t>
        </is>
      </c>
      <c r="G424">
        <f>IMAGE("https://shop.sonapharmacy.com/cdn/shop/products/71csOFCEiJL._SL1200.jpg?v=1611188571")</f>
        <v/>
      </c>
      <c r="H424">
        <f>IMAGE("https://m.media-amazon.com/images/I/81-asm2GcGL._AC_UL320_.jpg")</f>
        <v/>
      </c>
      <c r="I424" t="inlineStr">
        <is>
          <t>5.89</t>
        </is>
      </c>
      <c r="J424" t="n">
        <v>23.49</v>
      </c>
      <c r="K424" s="3" t="inlineStr">
        <is>
          <t>298.81%</t>
        </is>
      </c>
      <c r="L424" t="n">
        <v>4.8</v>
      </c>
      <c r="M424" t="n">
        <v>4052</v>
      </c>
      <c r="O424" t="inlineStr">
        <is>
          <t>InStock</t>
        </is>
      </c>
      <c r="P424" t="inlineStr">
        <is>
          <t>undefined</t>
        </is>
      </c>
      <c r="Q424" t="inlineStr">
        <is>
          <t>5248168394904</t>
        </is>
      </c>
    </row>
    <row r="425">
      <c r="A425" s="2">
        <f>HYPERLINK("https://shop.sonapharmacy.com/products/basics-red-yeast-rice-600-mg-capsules", "https://shop.sonapharmacy.com/products/basics-red-yeast-rice-600-mg-capsules")</f>
        <v/>
      </c>
      <c r="B425" s="2">
        <f>HYPERLINK("https://shop.sonapharmacy.com/products/basics-red-yeast-rice-600-mg-capsules", "https://shop.sonapharmacy.com/products/basics-red-yeast-rice-600-mg-capsules")</f>
        <v/>
      </c>
      <c r="C425" t="inlineStr">
        <is>
          <t>Basic's® Red Yeast Rice 600mg Capsules 100ct.</t>
        </is>
      </c>
      <c r="D425" t="inlineStr">
        <is>
          <t>Nature's Bounty Red Yeast Rice, Herbal Supplement, 600mg, 250 Capsules</t>
        </is>
      </c>
      <c r="E425" s="2">
        <f>HYPERLINK("https://www.amazon.com/Natures-Bounty-Supplement-Additive-Capsules/dp/B003UZKN9U/ref=sr_1_1?keywords=Basic%27s%C2%AE+Red+Yeast+Rice+600mg+Capsules+100ct.&amp;qid=1695260108&amp;sr=8-1", "https://www.amazon.com/Natures-Bounty-Supplement-Additive-Capsules/dp/B003UZKN9U/ref=sr_1_1?keywords=Basic%27s%C2%AE+Red+Yeast+Rice+600mg+Capsules+100ct.&amp;qid=1695260108&amp;sr=8-1")</f>
        <v/>
      </c>
      <c r="F425" t="inlineStr">
        <is>
          <t>B003UZKN9U</t>
        </is>
      </c>
      <c r="G425">
        <f>IMAGE("https://shop.sonapharmacy.com/cdn/shop/products/apimk1isp__77354.1592331582.jpg?v=1609342606")</f>
        <v/>
      </c>
      <c r="H425">
        <f>IMAGE("https://m.media-amazon.com/images/I/71Czsnh2KSL._AC_UL320_.jpg")</f>
        <v/>
      </c>
      <c r="I425" t="inlineStr">
        <is>
          <t>8.83</t>
        </is>
      </c>
      <c r="J425" t="n">
        <v>35.16</v>
      </c>
      <c r="K425" s="3" t="inlineStr">
        <is>
          <t>298.19%</t>
        </is>
      </c>
      <c r="L425" t="n">
        <v>4.6</v>
      </c>
      <c r="M425" t="n">
        <v>6319</v>
      </c>
      <c r="O425" t="inlineStr">
        <is>
          <t>InStock</t>
        </is>
      </c>
      <c r="P425" t="inlineStr">
        <is>
          <t>undefined</t>
        </is>
      </c>
      <c r="Q425" t="inlineStr">
        <is>
          <t>5240382652568</t>
        </is>
      </c>
    </row>
    <row r="426">
      <c r="A426" s="2">
        <f>HYPERLINK("https://shop.sonapharmacy.com/products/nova%C2%AE-male-urinal-with-cover", "https://shop.sonapharmacy.com/products/nova%C2%AE-male-urinal-with-cover")</f>
        <v/>
      </c>
      <c r="B426" s="2">
        <f>HYPERLINK("https://shop.sonapharmacy.com/products/nova%c2%ae-male-urinal-with-cover", "https://shop.sonapharmacy.com/products/nova%c2%ae-male-urinal-with-cover")</f>
        <v/>
      </c>
      <c r="C426" t="inlineStr">
        <is>
          <t>Nova® Male Urinal with Cover</t>
        </is>
      </c>
      <c r="D426" t="inlineStr">
        <is>
          <t>Carex? 32 oz Male Urinal With Cover - Case of 6</t>
        </is>
      </c>
      <c r="E426" s="2">
        <f>HYPERLINK("https://www.amazon.com/Carex%C2%AE-32-Male-Urinal-Cover/dp/B00IG0ZQ00/ref=sr_1_7?keywords=Nova%C2%AE+Male+Urinal+with+Cover&amp;qid=1695260595&amp;sr=8-7", "https://www.amazon.com/Carex%C2%AE-32-Male-Urinal-Cover/dp/B00IG0ZQ00/ref=sr_1_7?keywords=Nova%C2%AE+Male+Urinal+with+Cover&amp;qid=1695260595&amp;sr=8-7")</f>
        <v/>
      </c>
      <c r="F426" t="inlineStr">
        <is>
          <t>B00IG0ZQ00</t>
        </is>
      </c>
      <c r="G426">
        <f>IMAGE("https://shop.sonapharmacy.com/cdn/shop/products/51W9mKzt_KL._AC_SL1500.jpg?v=1611079643")</f>
        <v/>
      </c>
      <c r="H426">
        <f>IMAGE("https://m.media-amazon.com/images/I/71LiPTLP2EL._AC_UL320_.jpg")</f>
        <v/>
      </c>
      <c r="I426" t="inlineStr">
        <is>
          <t>9.45</t>
        </is>
      </c>
      <c r="J426" t="n">
        <v>37.45</v>
      </c>
      <c r="K426" s="3" t="inlineStr">
        <is>
          <t>296.30%</t>
        </is>
      </c>
      <c r="L426" t="n">
        <v>4.7</v>
      </c>
      <c r="M426" t="n">
        <v>37</v>
      </c>
      <c r="O426" t="inlineStr">
        <is>
          <t>InStock</t>
        </is>
      </c>
      <c r="P426" t="inlineStr">
        <is>
          <t>undefined</t>
        </is>
      </c>
      <c r="Q426" t="inlineStr">
        <is>
          <t>6226715050136</t>
        </is>
      </c>
    </row>
    <row r="427">
      <c r="A427" s="2">
        <f>HYPERLINK("https://shop.sonapharmacy.com/products/attends%C2%AE-underwear-extra-absorbency-youth-small-20ct", "https://shop.sonapharmacy.com/products/attends%C2%AE-underwear-extra-absorbency-youth-small-20ct")</f>
        <v/>
      </c>
      <c r="B427" s="2">
        <f>HYPERLINK("https://shop.sonapharmacy.com/products/attends%c2%ae-underwear-extra-absorbency-youth-small-20ct", "https://shop.sonapharmacy.com/products/attends%c2%ae-underwear-extra-absorbency-youth-small-20ct")</f>
        <v/>
      </c>
      <c r="C427" t="inlineStr">
        <is>
          <t>Attends Underwear Extra Absorbency Youth/Small 20ct.</t>
        </is>
      </c>
      <c r="D427" t="inlineStr">
        <is>
          <t>Attends Underwear, Disposable, Heavy Absorbency, Youth/Small, 80 Count</t>
        </is>
      </c>
      <c r="E427" s="2">
        <f>HYPERLINK("https://www.amazon.com/Attends-Disposable-Adult-Underwear-187-7448/dp/B002EIMNVK/ref=sr_1_2?keywords=Attends+Underwear+Extra+Absorbency+Youth%2FSmall+20ct.&amp;qid=1695260028&amp;sr=8-2", "https://www.amazon.com/Attends-Disposable-Adult-Underwear-187-7448/dp/B002EIMNVK/ref=sr_1_2?keywords=Attends+Underwear+Extra+Absorbency+Youth%2FSmall+20ct.&amp;qid=1695260028&amp;sr=8-2")</f>
        <v/>
      </c>
      <c r="F427" t="inlineStr">
        <is>
          <t>B002EIMNVK</t>
        </is>
      </c>
      <c r="G427">
        <f>IMAGE("https://shop.sonapharmacy.com/cdn/shop/products/615UQMYktPL._AC_SL1000.jpg?v=1611077191")</f>
        <v/>
      </c>
      <c r="H427">
        <f>IMAGE("https://m.media-amazon.com/images/I/71UQUvjS-sL._AC_UL320_.jpg")</f>
        <v/>
      </c>
      <c r="I427" t="inlineStr">
        <is>
          <t>11.99</t>
        </is>
      </c>
      <c r="J427" t="n">
        <v>47.33</v>
      </c>
      <c r="K427" s="3" t="inlineStr">
        <is>
          <t>294.75%</t>
        </is>
      </c>
      <c r="L427" t="n">
        <v>4.2</v>
      </c>
      <c r="M427" t="n">
        <v>2033</v>
      </c>
      <c r="O427" t="inlineStr">
        <is>
          <t>InStock</t>
        </is>
      </c>
      <c r="P427" t="inlineStr">
        <is>
          <t>undefined</t>
        </is>
      </c>
      <c r="Q427" t="inlineStr">
        <is>
          <t>6226601050264</t>
        </is>
      </c>
    </row>
    <row r="428">
      <c r="A428" s="2">
        <f>HYPERLINK("https://shop.sonapharmacy.com/products/advil-200-mg-ibuprofen-tablets", "https://shop.sonapharmacy.com/products/advil-200-mg-ibuprofen-tablets")</f>
        <v/>
      </c>
      <c r="B428" s="2">
        <f>HYPERLINK("https://shop.sonapharmacy.com/products/advil-200-mg-ibuprofen-tablets", "https://shop.sonapharmacy.com/products/advil-200-mg-ibuprofen-tablets")</f>
        <v/>
      </c>
      <c r="C428" t="inlineStr">
        <is>
          <t>Advil 200mg Ibuprofen Tablets</t>
        </is>
      </c>
      <c r="D428" t="inlineStr">
        <is>
          <t>Advil-Ibuprofen Coated Tablets, 200 mg 360 coated tablets</t>
        </is>
      </c>
      <c r="E428" s="2">
        <f>HYPERLINK("https://www.amazon.com/Advil-Ibuprofen-Coated-Tablets-coated-tablets/dp/B000NWT2PO/ref=sr_1_6?keywords=Advil+200mg+Ibuprofen+Tablets&amp;qid=1695260034&amp;sr=8-6", "https://www.amazon.com/Advil-Ibuprofen-Coated-Tablets-coated-tablets/dp/B000NWT2PO/ref=sr_1_6?keywords=Advil+200mg+Ibuprofen+Tablets&amp;qid=1695260034&amp;sr=8-6")</f>
        <v/>
      </c>
      <c r="F428" t="inlineStr">
        <is>
          <t>B000NWT2PO</t>
        </is>
      </c>
      <c r="G428">
        <f>IMAGE("https://shop.sonapharmacy.com/cdn/shop/products/71csOFCEiJL._SL1200.jpg?v=1611188571")</f>
        <v/>
      </c>
      <c r="H428">
        <f>IMAGE("https://m.media-amazon.com/images/I/71YIi0QhQxL._AC_UL320_.jpg")</f>
        <v/>
      </c>
      <c r="I428" t="inlineStr">
        <is>
          <t>5.89</t>
        </is>
      </c>
      <c r="J428" t="n">
        <v>23.21</v>
      </c>
      <c r="K428" s="3" t="inlineStr">
        <is>
          <t>294.06%</t>
        </is>
      </c>
      <c r="L428" t="n">
        <v>4.9</v>
      </c>
      <c r="M428" t="n">
        <v>161</v>
      </c>
      <c r="O428" t="inlineStr">
        <is>
          <t>InStock</t>
        </is>
      </c>
      <c r="P428" t="inlineStr">
        <is>
          <t>undefined</t>
        </is>
      </c>
      <c r="Q428" t="inlineStr">
        <is>
          <t>5248168394904</t>
        </is>
      </c>
    </row>
    <row r="429">
      <c r="A429" s="2">
        <f>HYPERLINK("https://shop.sonapharmacy.com/products/depend%C2%AE-for-men-fit-flex-underwear-maximum-absorbency-large-17ct", "https://shop.sonapharmacy.com/products/depend%C2%AE-for-men-fit-flex-underwear-maximum-absorbency-large-17ct")</f>
        <v/>
      </c>
      <c r="B429" s="2">
        <f>HYPERLINK("https://shop.sonapharmacy.com/products/depend%c2%ae-for-men-fit-flex-underwear-maximum-absorbency-large-17ct", "https://shop.sonapharmacy.com/products/depend%c2%ae-for-men-fit-flex-underwear-maximum-absorbency-large-17ct")</f>
        <v/>
      </c>
      <c r="C429" t="inlineStr">
        <is>
          <t>Depend® For Men Fit-Flex Underwear Maximum Absorbency Large 17ct.</t>
        </is>
      </c>
      <c r="D429" t="inlineStr">
        <is>
          <t>Depend Fit-Flex Extra Large Maximum Absorbency Underwear for Men, 80 Count</t>
        </is>
      </c>
      <c r="E429" s="2">
        <f>HYPERLINK("https://www.amazon.com/Depend-85193-Underwear-Large-Extra/dp/B07D1YWGQ6/ref=sr_1_2?keywords=Depend%C2%AE+For+Men+Fit-Flex+Underwear+Maximum+Absorbency+Large+17ct.&amp;qid=1695260190&amp;sr=8-2", "https://www.amazon.com/Depend-85193-Underwear-Large-Extra/dp/B07D1YWGQ6/ref=sr_1_2?keywords=Depend%C2%AE+For+Men+Fit-Flex+Underwear+Maximum+Absorbency+Large+17ct.&amp;qid=1695260190&amp;sr=8-2")</f>
        <v/>
      </c>
      <c r="F429" t="inlineStr">
        <is>
          <t>B07D1YWGQ6</t>
        </is>
      </c>
      <c r="G429">
        <f>IMAGE("https://shop.sonapharmacy.com/cdn/shop/products/8193lwhuLwL._AC_SL1500.jpg?v=1611075729")</f>
        <v/>
      </c>
      <c r="H429">
        <f>IMAGE("https://m.media-amazon.com/images/I/61Az4NHCYZL._AC_UL320_.jpg")</f>
        <v/>
      </c>
      <c r="I429" t="inlineStr">
        <is>
          <t>16.99</t>
        </is>
      </c>
      <c r="J429" t="n">
        <v>66.90000000000001</v>
      </c>
      <c r="K429" s="3" t="inlineStr">
        <is>
          <t>293.76%</t>
        </is>
      </c>
      <c r="L429" t="n">
        <v>4.6</v>
      </c>
      <c r="M429" t="n">
        <v>490</v>
      </c>
      <c r="O429" t="inlineStr">
        <is>
          <t>InStock</t>
        </is>
      </c>
      <c r="P429" t="inlineStr">
        <is>
          <t>undefined</t>
        </is>
      </c>
      <c r="Q429" t="inlineStr">
        <is>
          <t>6226552848536</t>
        </is>
      </c>
    </row>
    <row r="430">
      <c r="A430" s="2">
        <f>HYPERLINK("https://shop.sonapharmacy.com/products/curad-stainless-steel-bandage-scissors", "https://shop.sonapharmacy.com/products/curad-stainless-steel-bandage-scissors")</f>
        <v/>
      </c>
      <c r="B430" s="2">
        <f>HYPERLINK("https://shop.sonapharmacy.com/products/curad-stainless-steel-bandage-scissors", "https://shop.sonapharmacy.com/products/curad-stainless-steel-bandage-scissors")</f>
        <v/>
      </c>
      <c r="C430" t="inlineStr">
        <is>
          <t>Curad® Stainless Steel Bandage Scissors</t>
        </is>
      </c>
      <c r="D430" t="inlineStr">
        <is>
          <t>Premium Grade Set of 4 Bandage Scissors 5.5", Stitch Scissors 4.5" and Hemostat 5.5" Straight &amp; Curved -Premium Quality Stainless Steel</t>
        </is>
      </c>
      <c r="E430" s="2">
        <f>HYPERLINK("https://www.amazon.com/Premium-Plaster-Cutting-Scissors-Serrated/dp/B07PHBYZ6X/ref=sr_1_7?keywords=Curad%C2%AE+Stainless+Steel+Bandage+Scissors&amp;qid=1695260182&amp;sr=8-7", "https://www.amazon.com/Premium-Plaster-Cutting-Scissors-Serrated/dp/B07PHBYZ6X/ref=sr_1_7?keywords=Curad%C2%AE+Stainless+Steel+Bandage+Scissors&amp;qid=1695260182&amp;sr=8-7")</f>
        <v/>
      </c>
      <c r="F430" t="inlineStr">
        <is>
          <t>B07PHBYZ6X</t>
        </is>
      </c>
      <c r="G430">
        <f>IMAGE("https://shop.sonapharmacy.com/cdn/shop/products/scissors.png?v=1607716795")</f>
        <v/>
      </c>
      <c r="H430">
        <f>IMAGE("https://m.media-amazon.com/images/I/71kUwbvr7TL._AC_UY218_.jpg")</f>
        <v/>
      </c>
      <c r="I430" t="inlineStr">
        <is>
          <t>5.09</t>
        </is>
      </c>
      <c r="J430" t="n">
        <v>19.99</v>
      </c>
      <c r="K430" s="3" t="inlineStr">
        <is>
          <t>292.73%</t>
        </is>
      </c>
      <c r="L430" t="n">
        <v>4.3</v>
      </c>
      <c r="M430" t="n">
        <v>11</v>
      </c>
      <c r="O430" t="inlineStr">
        <is>
          <t>InStock</t>
        </is>
      </c>
      <c r="P430" t="inlineStr">
        <is>
          <t>undefined</t>
        </is>
      </c>
      <c r="Q430" t="inlineStr">
        <is>
          <t>6147853680792</t>
        </is>
      </c>
    </row>
    <row r="431">
      <c r="A431" s="2">
        <f>HYPERLINK("https://shop.sonapharmacy.com/products/alka-seltzer%C2%AE-original-effervescent-tablets", "https://shop.sonapharmacy.com/products/alka-seltzer%C2%AE-original-effervescent-tablets")</f>
        <v/>
      </c>
      <c r="B431" s="2">
        <f>HYPERLINK("https://shop.sonapharmacy.com/products/alka-seltzer%c2%ae-original-effervescent-tablets", "https://shop.sonapharmacy.com/products/alka-seltzer%c2%ae-original-effervescent-tablets")</f>
        <v/>
      </c>
      <c r="C431" t="inlineStr">
        <is>
          <t>Alka-Seltzer Original Effervescent Tablets</t>
        </is>
      </c>
      <c r="D431" t="inlineStr">
        <is>
          <t>ALKA-SELTZER PLUS Severe, Cold &amp; Flu Medicine, Citrus Effervescent Tablets, Nasal &amp; Sinus Congestion, Sneezing, Runny Nose, Cough, Sore Throat, Fever, Headache and Body Aches &amp; Pains, 48ct</t>
        </is>
      </c>
      <c r="F431" t="inlineStr">
        <is>
          <t>B0B9HX5F9Z</t>
        </is>
      </c>
      <c r="G431">
        <f>IMAGE("https://shop.sonapharmacy.com/cdn/shop/products/51rk0IErmAL._AC.jpg?v=1610676312")</f>
        <v/>
      </c>
      <c r="H431">
        <f>IMAGE("https://m.media-amazon.com/images/I/81IJES-P3lL._AC_UL320_.jpg")</f>
        <v/>
      </c>
      <c r="I431" t="inlineStr">
        <is>
          <t>4.89</t>
        </is>
      </c>
      <c r="J431" t="n">
        <v>18.84</v>
      </c>
      <c r="K431" s="3" t="inlineStr">
        <is>
          <t>285.28%</t>
        </is>
      </c>
      <c r="L431" t="n">
        <v>4.8</v>
      </c>
      <c r="M431" t="n">
        <v>2293</v>
      </c>
      <c r="O431" t="inlineStr">
        <is>
          <t>InStock</t>
        </is>
      </c>
      <c r="P431" t="inlineStr">
        <is>
          <t>undefined</t>
        </is>
      </c>
      <c r="Q431" t="inlineStr">
        <is>
          <t>6217590145176</t>
        </is>
      </c>
    </row>
    <row r="432">
      <c r="A432" s="2">
        <f>HYPERLINK("https://shop.sonapharmacy.com/products/claritin%C2%AE-tablets-24-hour", "https://shop.sonapharmacy.com/products/claritin%C2%AE-tablets-24-hour")</f>
        <v/>
      </c>
      <c r="B432" s="2">
        <f>HYPERLINK("https://shop.sonapharmacy.com/products/claritin%c2%ae-tablets-24-hour", "https://shop.sonapharmacy.com/products/claritin%c2%ae-tablets-24-hour")</f>
        <v/>
      </c>
      <c r="C432" t="inlineStr">
        <is>
          <t>Claritin® Tablets 24-Hour</t>
        </is>
      </c>
      <c r="D432" t="inlineStr">
        <is>
          <t>Claritin Non-Drowsy 24 hours indoor outdoor Allergies 80 Tablets</t>
        </is>
      </c>
      <c r="E432" s="2">
        <f>HYPERLINK("https://www.amazon.com/Claritin-Non-Drowsy-outdoor-Allergies-Tablets/dp/B00XITTFKQ/ref=sr_1_2?keywords=Claritin%C2%AE+Tablets+24-Hour&amp;qid=1695260144&amp;sr=8-2", "https://www.amazon.com/Claritin-Non-Drowsy-outdoor-Allergies-Tablets/dp/B00XITTFKQ/ref=sr_1_2?keywords=Claritin%C2%AE+Tablets+24-Hour&amp;qid=1695260144&amp;sr=8-2")</f>
        <v/>
      </c>
      <c r="F432" t="inlineStr">
        <is>
          <t>B00XITTFKQ</t>
        </is>
      </c>
      <c r="G432">
        <f>IMAGE("https://shop.sonapharmacy.com/cdn/shop/products/Untitled-172.jpg?v=1593451168")</f>
        <v/>
      </c>
      <c r="H432">
        <f>IMAGE("https://m.media-amazon.com/images/I/816IpELPTCL._AC_UL320_.jpg")</f>
        <v/>
      </c>
      <c r="I432" t="inlineStr">
        <is>
          <t>6.89</t>
        </is>
      </c>
      <c r="J432" t="n">
        <v>26.2</v>
      </c>
      <c r="K432" s="3" t="inlineStr">
        <is>
          <t>280.26%</t>
        </is>
      </c>
      <c r="L432" t="n">
        <v>4.8</v>
      </c>
      <c r="M432" t="n">
        <v>2076</v>
      </c>
      <c r="O432" t="inlineStr">
        <is>
          <t>InStock</t>
        </is>
      </c>
      <c r="P432" t="inlineStr">
        <is>
          <t>undefined</t>
        </is>
      </c>
      <c r="Q432" t="inlineStr">
        <is>
          <t>5242608156824</t>
        </is>
      </c>
    </row>
    <row r="433">
      <c r="A433" s="2">
        <f>HYPERLINK("https://shop.sonapharmacy.com/products/nova-folding-walker-with-5-inch-wheels", "https://shop.sonapharmacy.com/products/nova-folding-walker-with-5-inch-wheels")</f>
        <v/>
      </c>
      <c r="B433" s="2">
        <f>HYPERLINK("https://shop.sonapharmacy.com/products/nova-folding-walker-with-5-inch-wheels", "https://shop.sonapharmacy.com/products/nova-folding-walker-with-5-inch-wheels")</f>
        <v/>
      </c>
      <c r="C433" t="inlineStr">
        <is>
          <t>Nova Folding Walker with 5 Inch Wheels</t>
        </is>
      </c>
      <c r="D433" t="inlineStr">
        <is>
          <t>NOVA Medical Products Star DX Heavy Duty Bariatric Rollator Walker with Extra Wide Padded Seat, 8” Wheels, Fold Lock Feature, with Adjustable Seat Height &amp; 450 lb Weight Capacity, Blue</t>
        </is>
      </c>
      <c r="E433" s="2">
        <f>HYPERLINK("https://www.amazon.com/NOVA-Bariatric-Rollator-Adjustable-Capacity/dp/B0862QNHMJ/ref=sr_1_3?keywords=Nova+Folding+Walker+with+5+Inch+Wheels&amp;qid=1695260588&amp;sr=8-3", "https://www.amazon.com/NOVA-Bariatric-Rollator-Adjustable-Capacity/dp/B0862QNHMJ/ref=sr_1_3?keywords=Nova+Folding+Walker+with+5+Inch+Wheels&amp;qid=1695260588&amp;sr=8-3")</f>
        <v/>
      </c>
      <c r="F433" t="inlineStr">
        <is>
          <t>B0862QNHMJ</t>
        </is>
      </c>
      <c r="G433">
        <f>IMAGE("https://shop.sonapharmacy.com/cdn/shop/products/Walker.jpg?v=1607191001")</f>
        <v/>
      </c>
      <c r="H433">
        <f>IMAGE("https://m.media-amazon.com/images/I/714OEfeqV5L._AC_UL320_.jpg")</f>
        <v/>
      </c>
      <c r="I433" t="inlineStr">
        <is>
          <t>81.53</t>
        </is>
      </c>
      <c r="J433" t="n">
        <v>309</v>
      </c>
      <c r="K433" s="3" t="inlineStr">
        <is>
          <t>279.00%</t>
        </is>
      </c>
      <c r="L433" t="n">
        <v>4.2</v>
      </c>
      <c r="M433" t="n">
        <v>47</v>
      </c>
      <c r="O433" t="inlineStr">
        <is>
          <t>InStock</t>
        </is>
      </c>
      <c r="P433" t="inlineStr">
        <is>
          <t>undefined</t>
        </is>
      </c>
      <c r="Q433" t="inlineStr">
        <is>
          <t>6132572487832</t>
        </is>
      </c>
    </row>
    <row r="434">
      <c r="A434" s="2">
        <f>HYPERLINK("https://shop.sonapharmacy.com/products/hibiclens-antiseptic-antimicrobial-skin-cleanser-8fl-oz", "https://shop.sonapharmacy.com/products/hibiclens-antiseptic-antimicrobial-skin-cleanser-8fl-oz")</f>
        <v/>
      </c>
      <c r="B434" s="2">
        <f>HYPERLINK("https://shop.sonapharmacy.com/products/hibiclens-antiseptic-antimicrobial-skin-cleanser-8fl-oz", "https://shop.sonapharmacy.com/products/hibiclens-antiseptic-antimicrobial-skin-cleanser-8fl-oz")</f>
        <v/>
      </c>
      <c r="C434" t="inlineStr">
        <is>
          <t>Hibiclens Antiseptic/Antimicrobial Skin Cleanser 8fl. oz.</t>
        </is>
      </c>
      <c r="D434" t="inlineStr">
        <is>
          <t>Hibiclens – Antimicrobial and Antiseptic Soap and Skin Cleanser – 1 Gallon – for Home and Hospital – 4% CHG</t>
        </is>
      </c>
      <c r="E434" s="2">
        <f>HYPERLINK("https://www.amazon.com/Hibiclens-Antimicrobial-Antiseptic-Cleanser-Hospital/dp/B000GCIC8E/ref=sr_1_7?keywords=Hibiclens+Antiseptic%2FAntimicrobial+Skin+Cleanser+8fl.+oz.&amp;qid=1695260370&amp;sr=8-7", "https://www.amazon.com/Hibiclens-Antimicrobial-Antiseptic-Cleanser-Hospital/dp/B000GCIC8E/ref=sr_1_7?keywords=Hibiclens+Antiseptic%2FAntimicrobial+Skin+Cleanser+8fl.+oz.&amp;qid=1695260370&amp;sr=8-7")</f>
        <v/>
      </c>
      <c r="F434" t="inlineStr">
        <is>
          <t>B000GCIC8E</t>
        </is>
      </c>
      <c r="G434">
        <f>IMAGE("https://shop.sonapharmacy.com/cdn/shop/products/0009905_hibiclens-skin-cleanser-4-solution-8-ounce-236ml-each.jpg?v=1608143785")</f>
        <v/>
      </c>
      <c r="H434">
        <f>IMAGE("https://m.media-amazon.com/images/I/81jFjg4G3iL._AC_UL320_.jpg")</f>
        <v/>
      </c>
      <c r="I434" t="inlineStr">
        <is>
          <t>11.23</t>
        </is>
      </c>
      <c r="J434" t="n">
        <v>41.9</v>
      </c>
      <c r="K434" s="3" t="inlineStr">
        <is>
          <t>273.11%</t>
        </is>
      </c>
      <c r="L434" t="n">
        <v>4.8</v>
      </c>
      <c r="M434" t="n">
        <v>2588</v>
      </c>
      <c r="O434" t="inlineStr">
        <is>
          <t>InStock</t>
        </is>
      </c>
      <c r="P434" t="inlineStr">
        <is>
          <t>undefined</t>
        </is>
      </c>
      <c r="Q434" t="inlineStr">
        <is>
          <t>6157103169688</t>
        </is>
      </c>
    </row>
    <row r="435">
      <c r="A435" s="2">
        <f>HYPERLINK("https://shop.sonapharmacy.com/products/alka-seltzer%C2%AE-heartburn-gas-relief-chews-tropical-punch-32ct", "https://shop.sonapharmacy.com/products/alka-seltzer%C2%AE-heartburn-gas-relief-chews-tropical-punch-32ct")</f>
        <v/>
      </c>
      <c r="B435" s="2">
        <f>HYPERLINK("https://shop.sonapharmacy.com/products/alka-seltzer%c2%ae-heartburn-gas-relief-chews-tropical-punch-32ct", "https://shop.sonapharmacy.com/products/alka-seltzer%c2%ae-heartburn-gas-relief-chews-tropical-punch-32ct")</f>
        <v/>
      </c>
      <c r="C435" t="inlineStr">
        <is>
          <t>Alka-Seltzer Heartburn + Gas Relief Chews Tropical Punch</t>
        </is>
      </c>
      <c r="D435" t="inlineStr">
        <is>
          <t>Alka-Seltzer Heartburn Relief and Gas Relief Chews Antacid Tablets for Acid Indigestion Bloating and Pressure, 180 Count, Tropical Punch</t>
        </is>
      </c>
      <c r="E435" s="2">
        <f>HYPERLINK("https://www.amazon.com/Alka-Seltzer-Heartburn-Indigestion-Bloating-Pressure/dp/B08QG6KPD2/ref=sr_1_1?keywords=Alka-Seltzer+Heartburn+Gas+Relief+Chews+Tropical+Punch&amp;qid=1695260006&amp;sr=8-1", "https://www.amazon.com/Alka-Seltzer-Heartburn-Indigestion-Bloating-Pressure/dp/B08QG6KPD2/ref=sr_1_1?keywords=Alka-Seltzer+Heartburn+Gas+Relief+Chews+Tropical+Punch&amp;qid=1695260006&amp;sr=8-1")</f>
        <v/>
      </c>
      <c r="F435" t="inlineStr">
        <is>
          <t>B08QG6KPD2</t>
        </is>
      </c>
      <c r="G435">
        <f>IMAGE("https://shop.sonapharmacy.com/cdn/shop/products/81ec1ae0-d212-4df8-9493-d30e16c1d6ad_2.2ded3fb69892b5ccccecbbff2e40283a.jpg?v=1611187068")</f>
        <v/>
      </c>
      <c r="H435">
        <f>IMAGE("https://m.media-amazon.com/images/I/81ZboUAbZsL._AC_UL320_.jpg")</f>
        <v/>
      </c>
      <c r="I435" t="inlineStr">
        <is>
          <t>7.19</t>
        </is>
      </c>
      <c r="J435" t="n">
        <v>26.66</v>
      </c>
      <c r="K435" s="3" t="inlineStr">
        <is>
          <t>270.79%</t>
        </is>
      </c>
      <c r="L435" t="n">
        <v>4.7</v>
      </c>
      <c r="M435" t="n">
        <v>2404</v>
      </c>
      <c r="O435" t="inlineStr">
        <is>
          <t>InStock</t>
        </is>
      </c>
      <c r="P435" t="inlineStr">
        <is>
          <t>undefined</t>
        </is>
      </c>
      <c r="Q435" t="inlineStr">
        <is>
          <t>6217720397976</t>
        </is>
      </c>
    </row>
    <row r="436">
      <c r="A436" s="2">
        <f>HYPERLINK("https://shop.sonapharmacy.com/products/always%C2%AE-discreet-maximum-absorbency-xl-underwear-for-women-15ct", "https://shop.sonapharmacy.com/products/always%C2%AE-discreet-maximum-absorbency-xl-underwear-for-women-15ct")</f>
        <v/>
      </c>
      <c r="B436" s="2">
        <f>HYPERLINK("https://shop.sonapharmacy.com/products/always%c2%ae-discreet-maximum-absorbency-xl-underwear-for-women-15ct", "https://shop.sonapharmacy.com/products/always%c2%ae-discreet-maximum-absorbency-xl-underwear-for-women-15ct")</f>
        <v/>
      </c>
      <c r="C436" t="inlineStr">
        <is>
          <t>Always Discreet Maximum Absorbency XL Underwear for Women 15ct.</t>
        </is>
      </c>
      <c r="D436" t="inlineStr">
        <is>
          <t>Always Discreet Incontinence Underwear for Women, Maximum, Classic, Count 45 Size XL - 3 Set</t>
        </is>
      </c>
      <c r="E436" s="2">
        <f>HYPERLINK("https://www.amazon.com/Always-Discreet-Incontinence-Underwear-Maximum/dp/B07F1KR4VW/ref=sr_1_9?keywords=Always+Discreet+Maximum+Absorbency+XL+Underwear+for+Women+15ct.&amp;qid=1695260003&amp;sr=8-9", "https://www.amazon.com/Always-Discreet-Incontinence-Underwear-Maximum/dp/B07F1KR4VW/ref=sr_1_9?keywords=Always+Discreet+Maximum+Absorbency+XL+Underwear+for+Women+15ct.&amp;qid=1695260003&amp;sr=8-9")</f>
        <v/>
      </c>
      <c r="F436" t="inlineStr">
        <is>
          <t>B07F1KR4VW</t>
        </is>
      </c>
      <c r="G436">
        <f>IMAGE("https://shop.sonapharmacy.com/cdn/shop/products/338639f2-0083-468e-b2eb-218450a0aa4f_1.a078bb5a3baa7563816301e343b7d24b.jpg?v=1611074803")</f>
        <v/>
      </c>
      <c r="H436">
        <f>IMAGE("https://m.media-amazon.com/images/I/81AHOgICCmL._AC_UL320_.jpg")</f>
        <v/>
      </c>
      <c r="I436" t="inlineStr">
        <is>
          <t>14.99</t>
        </is>
      </c>
      <c r="J436" t="n">
        <v>54.99</v>
      </c>
      <c r="K436" s="3" t="inlineStr">
        <is>
          <t>266.84%</t>
        </is>
      </c>
      <c r="L436" t="n">
        <v>4.3</v>
      </c>
      <c r="M436" t="n">
        <v>57</v>
      </c>
      <c r="O436" t="inlineStr">
        <is>
          <t>InStock</t>
        </is>
      </c>
      <c r="P436" t="inlineStr">
        <is>
          <t>undefined</t>
        </is>
      </c>
      <c r="Q436" t="inlineStr">
        <is>
          <t>6226523062424</t>
        </is>
      </c>
    </row>
    <row r="437">
      <c r="A437" s="2">
        <f>HYPERLINK("https://shop.sonapharmacy.com/products/contour-next-ez-meter", "https://shop.sonapharmacy.com/products/contour-next-ez-meter")</f>
        <v/>
      </c>
      <c r="B437" s="2">
        <f>HYPERLINK("https://shop.sonapharmacy.com/products/contour-next-ez-meter", "https://shop.sonapharmacy.com/products/contour-next-ez-meter")</f>
        <v/>
      </c>
      <c r="C437" t="inlineStr">
        <is>
          <t>Contour® Next EZ Meter</t>
        </is>
      </c>
      <c r="D437" t="inlineStr">
        <is>
          <t>O Well Contour NEXT EZ Diabetes Testing Kit, Contour NEXT EZ Blood Glucose Meter, 100 Contour NEXT Blood Glucose Test Strips, 100 O'WELL Lancets, O'WELL Lancing Device, LogBook and Carry Case</t>
        </is>
      </c>
      <c r="E437" s="2">
        <f>HYPERLINK("https://www.amazon.com/Contour-Glucose-Monitoring-Starter-SOLUTION/dp/B01HDWVFB0/ref=sr_1_8?keywords=Contour%C2%AE+Next+EZ+Meter&amp;qid=1695260151&amp;sr=8-8", "https://www.amazon.com/Contour-Glucose-Monitoring-Starter-SOLUTION/dp/B01HDWVFB0/ref=sr_1_8?keywords=Contour%C2%AE+Next+EZ+Meter&amp;qid=1695260151&amp;sr=8-8")</f>
        <v/>
      </c>
      <c r="F437" t="inlineStr">
        <is>
          <t>B01HDWVFB0</t>
        </is>
      </c>
      <c r="G437">
        <f>IMAGE("https://shop.sonapharmacy.com/cdn/shop/products/ContourNextEZMeter.jpg?v=1594302465")</f>
        <v/>
      </c>
      <c r="H437">
        <f>IMAGE("https://m.media-amazon.com/images/I/71bgeN-BtsL._AC_UL320_.jpg")</f>
        <v/>
      </c>
      <c r="I437" t="inlineStr">
        <is>
          <t>19.89</t>
        </is>
      </c>
      <c r="J437" t="n">
        <v>69.98999999999999</v>
      </c>
      <c r="K437" s="3" t="inlineStr">
        <is>
          <t>251.89%</t>
        </is>
      </c>
      <c r="L437" t="n">
        <v>4.5</v>
      </c>
      <c r="M437" t="n">
        <v>323</v>
      </c>
      <c r="O437" t="inlineStr">
        <is>
          <t>InStock</t>
        </is>
      </c>
      <c r="P437" t="inlineStr">
        <is>
          <t>undefined</t>
        </is>
      </c>
      <c r="Q437" t="inlineStr">
        <is>
          <t>4892914974859</t>
        </is>
      </c>
    </row>
    <row r="438">
      <c r="A438" s="2">
        <f>HYPERLINK("https://shop.sonapharmacy.com/products/burts-bees%C2%AE-lemon-butter-cuticle-cream-0-60oz", "https://shop.sonapharmacy.com/products/burts-bees%C2%AE-lemon-butter-cuticle-cream-0-60oz")</f>
        <v/>
      </c>
      <c r="B438" s="2">
        <f>HYPERLINK("https://shop.sonapharmacy.com/products/burts-bees%c2%ae-lemon-butter-cuticle-cream-0-60oz", "https://shop.sonapharmacy.com/products/burts-bees%c2%ae-lemon-butter-cuticle-cream-0-60oz")</f>
        <v/>
      </c>
      <c r="C438" t="inlineStr">
        <is>
          <t>Burt's Bees® Lemon Butter Cuticle Cream 0.60oz.</t>
        </is>
      </c>
      <c r="D438" t="inlineStr">
        <is>
          <t>Burt's Bees Lemon Butter Cuticle Cream .60 Ounce (Two .30 Ounce Tins)</t>
        </is>
      </c>
      <c r="E438" s="2">
        <f>HYPERLINK("https://www.amazon.com/Burts-Bees-Lemon-Butter-Cuticle/dp/B01AGZKECM/ref=sr_1_3?keywords=Burt%27s+Bees%C2%AE+Lemon+Butter+Cuticle+Cream+0.60oz.&amp;qid=1695260124&amp;sr=8-3", "https://www.amazon.com/Burts-Bees-Lemon-Butter-Cuticle/dp/B01AGZKECM/ref=sr_1_3?keywords=Burt%27s+Bees%C2%AE+Lemon+Butter+Cuticle+Cream+0.60oz.&amp;qid=1695260124&amp;sr=8-3")</f>
        <v/>
      </c>
      <c r="F438" t="inlineStr">
        <is>
          <t>B01AGZKECM</t>
        </is>
      </c>
      <c r="G438">
        <f>IMAGE("https://shop.sonapharmacy.com/cdn/shop/products/0fadcebd-76bc-4875-8263-6bd9c28133f1.3d5d181bb70920ec65fb71d35eaa2949.jpg?v=1610316654")</f>
        <v/>
      </c>
      <c r="H438">
        <f>IMAGE("https://m.media-amazon.com/images/I/31qZ1J+mJFL._AC_UL320_.jpg")</f>
        <v/>
      </c>
      <c r="I438" t="inlineStr">
        <is>
          <t>4.85</t>
        </is>
      </c>
      <c r="J438" t="n">
        <v>16.99</v>
      </c>
      <c r="K438" s="3" t="inlineStr">
        <is>
          <t>250.31%</t>
        </is>
      </c>
      <c r="L438" t="n">
        <v>4.7</v>
      </c>
      <c r="M438" t="n">
        <v>864</v>
      </c>
      <c r="O438" t="inlineStr">
        <is>
          <t>InStock</t>
        </is>
      </c>
      <c r="P438" t="inlineStr">
        <is>
          <t>undefined</t>
        </is>
      </c>
      <c r="Q438" t="inlineStr">
        <is>
          <t>6206032773272</t>
        </is>
      </c>
    </row>
    <row r="439">
      <c r="A439" s="2">
        <f>HYPERLINK("https://shop.sonapharmacy.com/products/attends%C2%AE-underwear-extra-absorbency-x-large-14ct", "https://shop.sonapharmacy.com/products/attends%C2%AE-underwear-extra-absorbency-x-large-14ct")</f>
        <v/>
      </c>
      <c r="B439" s="2">
        <f>HYPERLINK("https://shop.sonapharmacy.com/products/attends%c2%ae-underwear-extra-absorbency-x-large-14ct", "https://shop.sonapharmacy.com/products/attends%c2%ae-underwear-extra-absorbency-x-large-14ct")</f>
        <v/>
      </c>
      <c r="C439" t="inlineStr">
        <is>
          <t>Attends Underwear Extra Absorbency X-Large 14ct.</t>
        </is>
      </c>
      <c r="D439" t="inlineStr">
        <is>
          <t>Attends Underwear for Adult Incontinence Care with quick-dry channels, Ultimate Absorbency, Unisex, X-Large, 14 count (x4)</t>
        </is>
      </c>
      <c r="E439" s="2">
        <f>HYPERLINK("https://www.amazon.com/Attends-Protective-Underwear-Technology-Incontinence/dp/B00BHSUCIY/ref=sr_1_1?keywords=Attends+Underwear+Extra+Absorbency+X-Large+14ct.&amp;qid=1695260061&amp;sr=8-1", "https://www.amazon.com/Attends-Protective-Underwear-Technology-Incontinence/dp/B00BHSUCIY/ref=sr_1_1?keywords=Attends+Underwear+Extra+Absorbency+X-Large+14ct.&amp;qid=1695260061&amp;sr=8-1")</f>
        <v/>
      </c>
      <c r="F439" t="inlineStr">
        <is>
          <t>B00BHSUCIY</t>
        </is>
      </c>
      <c r="G439">
        <f>IMAGE("https://shop.sonapharmacy.com/cdn/shop/products/917ssoU70XL._AC_SL1500.jpg?v=1611077702")</f>
        <v/>
      </c>
      <c r="H439">
        <f>IMAGE("https://m.media-amazon.com/images/I/61t2AC5fd9L._AC_UL320_.jpg")</f>
        <v/>
      </c>
      <c r="I439" t="inlineStr">
        <is>
          <t>14.29</t>
        </is>
      </c>
      <c r="J439" t="n">
        <v>50.03</v>
      </c>
      <c r="K439" s="3" t="inlineStr">
        <is>
          <t>250.10%</t>
        </is>
      </c>
      <c r="L439" t="n">
        <v>4.2</v>
      </c>
      <c r="M439" t="n">
        <v>2033</v>
      </c>
      <c r="O439" t="inlineStr">
        <is>
          <t>InStock</t>
        </is>
      </c>
      <c r="P439" t="inlineStr">
        <is>
          <t>undefined</t>
        </is>
      </c>
      <c r="Q439" t="inlineStr">
        <is>
          <t>6226619039896</t>
        </is>
      </c>
    </row>
    <row r="440">
      <c r="A440" s="2">
        <f>HYPERLINK("https://shop.sonapharmacy.com/products/claritin%C2%AE-tablets-24-hour", "https://shop.sonapharmacy.com/products/claritin%C2%AE-tablets-24-hour")</f>
        <v/>
      </c>
      <c r="B440" s="2">
        <f>HYPERLINK("https://shop.sonapharmacy.com/products/claritin%c2%ae-tablets-24-hour", "https://shop.sonapharmacy.com/products/claritin%c2%ae-tablets-24-hour")</f>
        <v/>
      </c>
      <c r="C440" t="inlineStr">
        <is>
          <t>Claritin® Tablets 24-Hour</t>
        </is>
      </c>
      <c r="D440" t="inlineStr">
        <is>
          <t>Claritin 24 Hour Allergy Medicine, Non-Drowsy Prescription Strength Allergy Relief, Loratadine Antihistamine Tablets, 70 Count</t>
        </is>
      </c>
      <c r="E440" s="2">
        <f>HYPERLINK("https://www.amazon.com/Claritin-Non-Drowsy-Allergy-Tablets-Count/dp/B00AMAHL7S/ref=sr_1_3?keywords=Claritin%C2%AE+Tablets+24-Hour&amp;qid=1695260144&amp;sr=8-3", "https://www.amazon.com/Claritin-Non-Drowsy-Allergy-Tablets-Count/dp/B00AMAHL7S/ref=sr_1_3?keywords=Claritin%C2%AE+Tablets+24-Hour&amp;qid=1695260144&amp;sr=8-3")</f>
        <v/>
      </c>
      <c r="F440" t="inlineStr">
        <is>
          <t>B00AMAHL7S</t>
        </is>
      </c>
      <c r="G440">
        <f>IMAGE("https://shop.sonapharmacy.com/cdn/shop/products/Untitled-172.jpg?v=1593451168")</f>
        <v/>
      </c>
      <c r="H440">
        <f>IMAGE("https://m.media-amazon.com/images/I/91HUfeaFTeL._AC_UL320_.jpg")</f>
        <v/>
      </c>
      <c r="I440" t="inlineStr">
        <is>
          <t>6.89</t>
        </is>
      </c>
      <c r="J440" t="n">
        <v>24</v>
      </c>
      <c r="K440" s="3" t="inlineStr">
        <is>
          <t>248.33%</t>
        </is>
      </c>
      <c r="L440" t="n">
        <v>4.8</v>
      </c>
      <c r="M440" t="n">
        <v>9116</v>
      </c>
      <c r="O440" t="inlineStr">
        <is>
          <t>InStock</t>
        </is>
      </c>
      <c r="P440" t="inlineStr">
        <is>
          <t>undefined</t>
        </is>
      </c>
      <c r="Q440" t="inlineStr">
        <is>
          <t>5242608156824</t>
        </is>
      </c>
    </row>
    <row r="441">
      <c r="A441" s="2">
        <f>HYPERLINK("https://shop.sonapharmacy.com/products/afrin%C2%AE-original", "https://shop.sonapharmacy.com/products/afrin%C2%AE-original")</f>
        <v/>
      </c>
      <c r="B441" s="2">
        <f>HYPERLINK("https://shop.sonapharmacy.com/products/afrin%c2%ae-original", "https://shop.sonapharmacy.com/products/afrin%c2%ae-original")</f>
        <v/>
      </c>
      <c r="C441" t="inlineStr">
        <is>
          <t>Afrin Original Nasal Spray</t>
        </is>
      </c>
      <c r="D441" t="inlineStr">
        <is>
          <t>Afrin Original Maximum Strength 12 Hour Nasal Congestion Relief Spray - 3 bottles, 1 FL OZ (30mL) each. Total 3 FL OZ (90 mL)</t>
        </is>
      </c>
      <c r="E441" s="2">
        <f>HYPERLINK("https://www.amazon.com/Afrin-Nasal-Spray-Original/dp/B00DDZBFNK/ref=sr_1_3?keywords=Afrin+Original+Nasal+Spray&amp;qid=1695260003&amp;sr=8-3", "https://www.amazon.com/Afrin-Nasal-Spray-Original/dp/B00DDZBFNK/ref=sr_1_3?keywords=Afrin+Original+Nasal+Spray&amp;qid=1695260003&amp;sr=8-3")</f>
        <v/>
      </c>
      <c r="F441" t="inlineStr">
        <is>
          <t>B00DDZBFNK</t>
        </is>
      </c>
      <c r="G441">
        <f>IMAGE("https://shop.sonapharmacy.com/cdn/shop/products/81lfsEyuTvL._AC_SL1500.jpg?v=1611182746")</f>
        <v/>
      </c>
      <c r="H441">
        <f>IMAGE("https://m.media-amazon.com/images/I/71w+p5RtjNL._AC_UL320_.jpg")</f>
        <v/>
      </c>
      <c r="I441" t="inlineStr">
        <is>
          <t>12.59</t>
        </is>
      </c>
      <c r="J441" t="n">
        <v>43.71</v>
      </c>
      <c r="K441" s="3" t="inlineStr">
        <is>
          <t>247.18%</t>
        </is>
      </c>
      <c r="L441" t="n">
        <v>4.7</v>
      </c>
      <c r="M441" t="n">
        <v>3703</v>
      </c>
      <c r="O441" t="inlineStr">
        <is>
          <t>InStock</t>
        </is>
      </c>
      <c r="P441" t="inlineStr">
        <is>
          <t>undefined</t>
        </is>
      </c>
      <c r="Q441" t="inlineStr">
        <is>
          <t>5240998068376</t>
        </is>
      </c>
    </row>
    <row r="442">
      <c r="A442" s="2">
        <f>HYPERLINK("https://shop.sonapharmacy.com/products/theraslim", "https://shop.sonapharmacy.com/products/theraslim")</f>
        <v/>
      </c>
      <c r="B442" s="2">
        <f>HYPERLINK("https://shop.sonapharmacy.com/products/theraslim", "https://shop.sonapharmacy.com/products/theraslim")</f>
        <v/>
      </c>
      <c r="C442" t="inlineStr">
        <is>
          <t>Klaire Labs Theraslim Capsules</t>
        </is>
      </c>
      <c r="D442" t="inlineStr">
        <is>
          <t>Klaire Labs Ther-Biotic Factor 6 Probiotic - Ultra-Strength 100 Billion CFU Probiotics for Men &amp; Women - Supports Immune, Digestive &amp; Colon Health - Hypoallergenic, Dairy Free (60 Capsules)</t>
        </is>
      </c>
      <c r="E442" s="2">
        <f>HYPERLINK("https://www.amazon.com/Klaire-Labs-Ther-Biotic-Factor-Probiotic/dp/B005FG08ME/ref=sr_1_4?keywords=Klaire+Labs+Theraslim+Capsules&amp;qid=1695260437&amp;sr=8-4", "https://www.amazon.com/Klaire-Labs-Ther-Biotic-Factor-Probiotic/dp/B005FG08ME/ref=sr_1_4?keywords=Klaire+Labs+Theraslim+Capsules&amp;qid=1695260437&amp;sr=8-4")</f>
        <v/>
      </c>
      <c r="F442" t="inlineStr">
        <is>
          <t>B005FG08ME</t>
        </is>
      </c>
      <c r="G442">
        <f>IMAGE("https://shop.sonapharmacy.com/cdn/shop/products/61UgGn_O7ML._AC_SL1500.jpg?v=1609358113")</f>
        <v/>
      </c>
      <c r="H442">
        <f>IMAGE("https://m.media-amazon.com/images/I/61Z15Os+xML._AC_UL320_.jpg")</f>
        <v/>
      </c>
      <c r="I442" t="inlineStr">
        <is>
          <t>25.99</t>
        </is>
      </c>
      <c r="J442" t="n">
        <v>89.98999999999999</v>
      </c>
      <c r="K442" s="3" t="inlineStr">
        <is>
          <t>246.25%</t>
        </is>
      </c>
      <c r="L442" t="n">
        <v>4.5</v>
      </c>
      <c r="M442" t="n">
        <v>82</v>
      </c>
      <c r="O442" t="inlineStr">
        <is>
          <t>InStock</t>
        </is>
      </c>
      <c r="P442" t="inlineStr">
        <is>
          <t>undefined</t>
        </is>
      </c>
      <c r="Q442" t="inlineStr">
        <is>
          <t>4435727810699</t>
        </is>
      </c>
    </row>
    <row r="443">
      <c r="A443" s="2">
        <f>HYPERLINK("https://shop.sonapharmacy.com/products/theraslim", "https://shop.sonapharmacy.com/products/theraslim")</f>
        <v/>
      </c>
      <c r="B443" s="2">
        <f>HYPERLINK("https://shop.sonapharmacy.com/products/theraslim", "https://shop.sonapharmacy.com/products/theraslim")</f>
        <v/>
      </c>
      <c r="C443" t="inlineStr">
        <is>
          <t>Klaire Labs Theraslim Capsules</t>
        </is>
      </c>
      <c r="D443" t="inlineStr">
        <is>
          <t>Klaire Labs Ther-Biotic Complete - 25 Billion CFU Probiotic Supplement - Gut Health, Digestive + Immune Support - Hypoallergenic Probiotics for Men + Women - Clean + Dairy-Free (120 Capsules)</t>
        </is>
      </c>
      <c r="E443" s="2">
        <f>HYPERLINK("https://www.amazon.com/Klaire-Labs-Ther-Biotic-Complete-Probiotic/dp/B01AVJEA2I/ref=sr_1_7?keywords=Klaire+Labs+Theraslim+Capsules&amp;qid=1695260437&amp;sr=8-7", "https://www.amazon.com/Klaire-Labs-Ther-Biotic-Complete-Probiotic/dp/B01AVJEA2I/ref=sr_1_7?keywords=Klaire+Labs+Theraslim+Capsules&amp;qid=1695260437&amp;sr=8-7")</f>
        <v/>
      </c>
      <c r="F443" t="inlineStr">
        <is>
          <t>B01AVJEA2I</t>
        </is>
      </c>
      <c r="G443">
        <f>IMAGE("https://shop.sonapharmacy.com/cdn/shop/products/61UgGn_O7ML._AC_SL1500.jpg?v=1609358113")</f>
        <v/>
      </c>
      <c r="H443">
        <f>IMAGE("https://m.media-amazon.com/images/I/61Ql0kzCevL._AC_UL320_.jpg")</f>
        <v/>
      </c>
      <c r="I443" t="inlineStr">
        <is>
          <t>25.99</t>
        </is>
      </c>
      <c r="J443" t="n">
        <v>89.98999999999999</v>
      </c>
      <c r="K443" s="3" t="inlineStr">
        <is>
          <t>246.25%</t>
        </is>
      </c>
      <c r="L443" t="n">
        <v>4.6</v>
      </c>
      <c r="M443" t="n">
        <v>1901</v>
      </c>
      <c r="O443" t="inlineStr">
        <is>
          <t>InStock</t>
        </is>
      </c>
      <c r="P443" t="inlineStr">
        <is>
          <t>undefined</t>
        </is>
      </c>
      <c r="Q443" t="inlineStr">
        <is>
          <t>4435727810699</t>
        </is>
      </c>
    </row>
    <row r="444">
      <c r="A444" s="2">
        <f>HYPERLINK("https://shop.sonapharmacy.com/products/integrative-therapeutics%C2%AE-probiotic-pearls-capsules-30ct", "https://shop.sonapharmacy.com/products/integrative-therapeutics%C2%AE-probiotic-pearls-capsules-30ct")</f>
        <v/>
      </c>
      <c r="B444" s="2">
        <f>HYPERLINK("https://shop.sonapharmacy.com/products/integrative-therapeutics%c2%ae-probiotic-pearls-capsules-30ct", "https://shop.sonapharmacy.com/products/integrative-therapeutics%c2%ae-probiotic-pearls-capsules-30ct")</f>
        <v/>
      </c>
      <c r="C444" t="inlineStr">
        <is>
          <t>Integrative Therapeutics® Probiotic Pearls Capsules</t>
        </is>
      </c>
      <c r="D444" t="inlineStr">
        <is>
          <t>Integrative Therapeutics Pro-Flora Concentrate - with Probiotic Pearls Technology to Support Gut Health - Probiotics for Women and Men - Gluten Free - Sugar Free - 90 Capsules</t>
        </is>
      </c>
      <c r="E444" s="2">
        <f>HYPERLINK("https://www.amazon.com/Integrative-Therapeutics-Pro-Flora-Concentrate-Technology/dp/B001PYULRW/ref=sr_1_7?keywords=Integrative+Therapeutics%C2%AE+Probiotic+Pearls+Capsules&amp;qid=1695260438&amp;sr=8-7", "https://www.amazon.com/Integrative-Therapeutics-Pro-Flora-Concentrate-Technology/dp/B001PYULRW/ref=sr_1_7?keywords=Integrative+Therapeutics%C2%AE+Probiotic+Pearls+Capsules&amp;qid=1695260438&amp;sr=8-7")</f>
        <v/>
      </c>
      <c r="F444" t="inlineStr">
        <is>
          <t>B001PYULRW</t>
        </is>
      </c>
      <c r="G444">
        <f>IMAGE("https://shop.sonapharmacy.com/cdn/shop/products/61L34pt0USL._AC_SL1387.jpg?v=1620665770")</f>
        <v/>
      </c>
      <c r="H444">
        <f>IMAGE("https://m.media-amazon.com/images/I/61wwpxIRlGL._AC_UL320_.jpg")</f>
        <v/>
      </c>
      <c r="I444" t="inlineStr">
        <is>
          <t>15.75</t>
        </is>
      </c>
      <c r="J444" t="n">
        <v>53.75</v>
      </c>
      <c r="K444" s="3" t="inlineStr">
        <is>
          <t>241.27%</t>
        </is>
      </c>
      <c r="L444" t="n">
        <v>4.8</v>
      </c>
      <c r="M444" t="n">
        <v>90</v>
      </c>
      <c r="O444" t="inlineStr">
        <is>
          <t>OutOfStock</t>
        </is>
      </c>
      <c r="P444" t="inlineStr">
        <is>
          <t>undefined</t>
        </is>
      </c>
      <c r="Q444" t="inlineStr">
        <is>
          <t>6747642200216</t>
        </is>
      </c>
    </row>
    <row r="445">
      <c r="A445" s="2">
        <f>HYPERLINK("https://shop.sonapharmacy.com/products/breathe-right-original-nasal-strips", "https://shop.sonapharmacy.com/products/breathe-right-original-nasal-strips")</f>
        <v/>
      </c>
      <c r="B445" s="2">
        <f>HYPERLINK("https://shop.sonapharmacy.com/products/breathe-right-original-nasal-strips", "https://shop.sonapharmacy.com/products/breathe-right-original-nasal-strips")</f>
        <v/>
      </c>
      <c r="C445" t="inlineStr">
        <is>
          <t>Breathe Right® Original Nasal Strips Large/Tan</t>
        </is>
      </c>
      <c r="D445" t="inlineStr">
        <is>
          <t>(120 Strips) Breathe Right Original Tan Large Nasal Strips</t>
        </is>
      </c>
      <c r="E445" s="2">
        <f>HYPERLINK("https://www.amazon.com/Strips-Breathe-Right-Original-Large/dp/B006835POY/ref=sr_1_8?keywords=Breathe+Right%C2%AE+Original+Nasal+Strips+Large%2FTan&amp;qid=1695260103&amp;sr=8-8", "https://www.amazon.com/Strips-Breathe-Right-Original-Large/dp/B006835POY/ref=sr_1_8?keywords=Breathe+Right%C2%AE+Original+Nasal+Strips+Large%2FTan&amp;qid=1695260103&amp;sr=8-8")</f>
        <v/>
      </c>
      <c r="F445" t="inlineStr">
        <is>
          <t>B006835POY</t>
        </is>
      </c>
      <c r="G445">
        <f>IMAGE("https://shop.sonapharmacy.com/cdn/shop/files/Sona-Shop-banner2_0c7162f3-c367-451d-8193-c2967a0e8d8e.jpg?v=1614290083")</f>
        <v/>
      </c>
      <c r="H445">
        <f>IMAGE("https://m.media-amazon.com/images/I/41+I+vK0rsL._AC_UL320_.jpg")</f>
        <v/>
      </c>
      <c r="I445" t="inlineStr">
        <is>
          <t>13.49</t>
        </is>
      </c>
      <c r="J445" t="n">
        <v>45.95</v>
      </c>
      <c r="K445" s="3" t="inlineStr">
        <is>
          <t>240.62%</t>
        </is>
      </c>
      <c r="L445" t="n">
        <v>4.7</v>
      </c>
      <c r="M445" t="n">
        <v>75</v>
      </c>
      <c r="O445" t="inlineStr">
        <is>
          <t>InStock</t>
        </is>
      </c>
      <c r="P445" t="inlineStr">
        <is>
          <t>undefined</t>
        </is>
      </c>
      <c r="Q445" t="inlineStr">
        <is>
          <t>5241255002264</t>
        </is>
      </c>
    </row>
    <row r="446">
      <c r="A446" s="2">
        <f>HYPERLINK("https://shop.sonapharmacy.com/products/miralax%C2%AE-osmotic-laxative-powder", "https://shop.sonapharmacy.com/products/miralax%C2%AE-osmotic-laxative-powder")</f>
        <v/>
      </c>
      <c r="B446" s="2">
        <f>HYPERLINK("https://shop.sonapharmacy.com/products/miralax%c2%ae-osmotic-laxative-powder", "https://shop.sonapharmacy.com/products/miralax%c2%ae-osmotic-laxative-powder")</f>
        <v/>
      </c>
      <c r="C446" t="inlineStr">
        <is>
          <t>MiraLAX® Osmotic Laxative Powder</t>
        </is>
      </c>
      <c r="D446" t="inlineStr">
        <is>
          <t>MiraLAX Gentle Constipation Relief Laxative Powder, Stool Softener with PEG 3350, Works Naturally with Water in Your Body, No Harsh Side Effects, Osmotic Laxative, #1 Physician Recommended, 45 Dose</t>
        </is>
      </c>
      <c r="F446" t="inlineStr">
        <is>
          <t>B01MTPCPLS</t>
        </is>
      </c>
      <c r="G446">
        <f>IMAGE("https://shop.sonapharmacy.com/cdn/shop/products/81f6hF9NoSL._AC_SL1500.jpg?v=1611083511")</f>
        <v/>
      </c>
      <c r="H446">
        <f>IMAGE("https://m.media-amazon.com/images/I/71qdVYwbvQL._AC_UL320_.jpg")</f>
        <v/>
      </c>
      <c r="I446" t="inlineStr">
        <is>
          <t>8.89</t>
        </is>
      </c>
      <c r="J446" t="n">
        <v>29.99</v>
      </c>
      <c r="K446" s="3" t="inlineStr">
        <is>
          <t>237.35%</t>
        </is>
      </c>
      <c r="L446" t="n">
        <v>4.8</v>
      </c>
      <c r="M446" t="n">
        <v>31379</v>
      </c>
      <c r="O446" t="inlineStr">
        <is>
          <t>InStock</t>
        </is>
      </c>
      <c r="P446" t="inlineStr">
        <is>
          <t>undefined</t>
        </is>
      </c>
      <c r="Q446" t="inlineStr">
        <is>
          <t>6226801885336</t>
        </is>
      </c>
    </row>
    <row r="447">
      <c r="A447" s="2">
        <f>HYPERLINK("https://shop.sonapharmacy.com/products/miralax%C2%AE-osmotic-laxative-powder", "https://shop.sonapharmacy.com/products/miralax%C2%AE-osmotic-laxative-powder")</f>
        <v/>
      </c>
      <c r="B447" s="2">
        <f>HYPERLINK("https://shop.sonapharmacy.com/products/miralax%c2%ae-osmotic-laxative-powder", "https://shop.sonapharmacy.com/products/miralax%c2%ae-osmotic-laxative-powder")</f>
        <v/>
      </c>
      <c r="C447" t="inlineStr">
        <is>
          <t>MiraLAX® Osmotic Laxative Powder</t>
        </is>
      </c>
      <c r="D447" t="inlineStr">
        <is>
          <t>MiraLAX Gentle Constipation Relief Laxative Powder, Stool Softener with PEG 3350, Works Naturally with Water in Your Body, No Harsh Side Effects, Osmotic Laxative, #1 Physician Recommended, 45 Dose</t>
        </is>
      </c>
      <c r="F447" t="inlineStr">
        <is>
          <t>B01MTPCPLS</t>
        </is>
      </c>
      <c r="G447">
        <f>IMAGE("https://shop.sonapharmacy.com/cdn/shop/products/81f6hF9NoSL._AC_SL1500.jpg?v=1611083511")</f>
        <v/>
      </c>
      <c r="H447">
        <f>IMAGE("https://m.media-amazon.com/images/I/71qdVYwbvQL._AC_UL320_.jpg")</f>
        <v/>
      </c>
      <c r="I447" t="inlineStr">
        <is>
          <t>8.89</t>
        </is>
      </c>
      <c r="J447" t="n">
        <v>29.99</v>
      </c>
      <c r="K447" s="3" t="inlineStr">
        <is>
          <t>237.35%</t>
        </is>
      </c>
      <c r="L447" t="n">
        <v>4.8</v>
      </c>
      <c r="M447" t="n">
        <v>31379</v>
      </c>
      <c r="O447" t="inlineStr">
        <is>
          <t>InStock</t>
        </is>
      </c>
      <c r="P447" t="inlineStr">
        <is>
          <t>undefined</t>
        </is>
      </c>
      <c r="Q447" t="inlineStr">
        <is>
          <t>6226801885336</t>
        </is>
      </c>
    </row>
    <row r="448">
      <c r="A448" s="2">
        <f>HYPERLINK("https://shop.sonapharmacy.com/products/palmers-cocoa-butter-formula-body-lotion-8-5fl-oz", "https://shop.sonapharmacy.com/products/palmers-cocoa-butter-formula-body-lotion-8-5fl-oz")</f>
        <v/>
      </c>
      <c r="B448" s="2">
        <f>HYPERLINK("https://shop.sonapharmacy.com/products/palmers-cocoa-butter-formula-body-lotion-8-5fl-oz", "https://shop.sonapharmacy.com/products/palmers-cocoa-butter-formula-body-lotion-8-5fl-oz")</f>
        <v/>
      </c>
      <c r="C448" t="inlineStr">
        <is>
          <t>Palmer's Cocoa Butter Formula Body Lotion 8.5fl. oz.</t>
        </is>
      </c>
      <c r="D448" t="inlineStr">
        <is>
          <t>Palmer's Cocoa Butter Formula Daily Skin Therapy Body Lotion with Vitamin E, 13.5 Fl Oz (3 Count)</t>
        </is>
      </c>
      <c r="E448" s="2">
        <f>HYPERLINK("https://www.amazon.com/Palmers-Butter-Formula-Therapy-Vitamin/dp/B07XHCM8P7/ref=sr_1_1?keywords=Palmer%27s+Cocoa+Butter+Formula+Body+Lotion+8.5fl.+oz.&amp;qid=1695260626&amp;sr=8-1", "https://www.amazon.com/Palmers-Butter-Formula-Therapy-Vitamin/dp/B07XHCM8P7/ref=sr_1_1?keywords=Palmer%27s+Cocoa+Butter+Formula+Body+Lotion+8.5fl.+oz.&amp;qid=1695260626&amp;sr=8-1")</f>
        <v/>
      </c>
      <c r="F448" t="inlineStr">
        <is>
          <t>B07XHCM8P7</t>
        </is>
      </c>
      <c r="G448">
        <f>IMAGE("https://shop.sonapharmacy.com/cdn/shop/products/ab2c73e2-f908-4dea-840b-e0e91ac70d04_1.67192cb5b27856b7415bf3e3a8b7e3dd.png?v=1608489727")</f>
        <v/>
      </c>
      <c r="H448">
        <f>IMAGE("https://m.media-amazon.com/images/I/81rkTNVm0OL._AC_UL320_.jpg")</f>
        <v/>
      </c>
      <c r="I448" t="inlineStr">
        <is>
          <t>6.89</t>
        </is>
      </c>
      <c r="J448" t="n">
        <v>23.07</v>
      </c>
      <c r="K448" s="3" t="inlineStr">
        <is>
          <t>234.83%</t>
        </is>
      </c>
      <c r="L448" t="n">
        <v>4.8</v>
      </c>
      <c r="M448" t="n">
        <v>2677</v>
      </c>
      <c r="O448" t="inlineStr">
        <is>
          <t>InStock</t>
        </is>
      </c>
      <c r="P448" t="inlineStr">
        <is>
          <t>undefined</t>
        </is>
      </c>
      <c r="Q448" t="inlineStr">
        <is>
          <t>6164779761816</t>
        </is>
      </c>
    </row>
    <row r="449">
      <c r="A449" s="2">
        <f>HYPERLINK("https://shop.sonapharmacy.com/products/duracell%C2%AE-301-386-silver-oxide-button-battery", "https://shop.sonapharmacy.com/products/duracell%C2%AE-301-386-silver-oxide-button-battery")</f>
        <v/>
      </c>
      <c r="B449" s="2">
        <f>HYPERLINK("https://shop.sonapharmacy.com/products/duracell%c2%ae-301-386-silver-oxide-button-battery", "https://shop.sonapharmacy.com/products/duracell%c2%ae-301-386-silver-oxide-button-battery")</f>
        <v/>
      </c>
      <c r="C449" t="inlineStr">
        <is>
          <t>Duracell® 301/386 Silver Oxide Button Battery</t>
        </is>
      </c>
      <c r="D449" t="inlineStr">
        <is>
          <t>Murata 386/301 Battery SR43/W/SW 1.55V Silver Oxide Watch Button Cell (10 Batteries)</t>
        </is>
      </c>
      <c r="E449" s="2">
        <f>HYPERLINK("https://www.amazon.com/Murata-Battery-1-55V-Silver-Button/dp/B088KNNWHX/ref=sr_1_7?keywords=Duracell%C2%AE+301%2F386+Silver+Oxide+Button+Battery&amp;qid=1695260213&amp;sr=8-7", "https://www.amazon.com/Murata-Battery-1-55V-Silver-Button/dp/B088KNNWHX/ref=sr_1_7?keywords=Duracell%C2%AE+301%2F386+Silver+Oxide+Button+Battery&amp;qid=1695260213&amp;sr=8-7")</f>
        <v/>
      </c>
      <c r="F449" t="inlineStr">
        <is>
          <t>B088KNNWHX</t>
        </is>
      </c>
      <c r="G449">
        <f>IMAGE("https://shop.sonapharmacy.com/cdn/shop/products/61graATYFOL._AC_SL1401.jpg?v=1610332821")</f>
        <v/>
      </c>
      <c r="H449">
        <f>IMAGE("https://m.media-amazon.com/images/I/81f0XuaLs8L._AC_UL320_.jpg")</f>
        <v/>
      </c>
      <c r="I449" t="inlineStr">
        <is>
          <t>5.39</t>
        </is>
      </c>
      <c r="J449" t="n">
        <v>17.99</v>
      </c>
      <c r="K449" s="3" t="inlineStr">
        <is>
          <t>233.77%</t>
        </is>
      </c>
      <c r="L449" t="n">
        <v>4.2</v>
      </c>
      <c r="M449" t="n">
        <v>4</v>
      </c>
      <c r="O449" t="inlineStr">
        <is>
          <t>InStock</t>
        </is>
      </c>
      <c r="P449" t="inlineStr">
        <is>
          <t>undefined</t>
        </is>
      </c>
      <c r="Q449" t="inlineStr">
        <is>
          <t>6206490312856</t>
        </is>
      </c>
    </row>
    <row r="450">
      <c r="A450" s="2">
        <f>HYPERLINK("https://shop.sonapharmacy.com/products/fixodent-complete-original-denture-adhesive-cream-2-4-oz", "https://shop.sonapharmacy.com/products/fixodent-complete-original-denture-adhesive-cream-2-4-oz")</f>
        <v/>
      </c>
      <c r="B450" s="2">
        <f>HYPERLINK("https://shop.sonapharmacy.com/products/fixodent-complete-original-denture-adhesive-cream-2-4-oz", "https://shop.sonapharmacy.com/products/fixodent-complete-original-denture-adhesive-cream-2-4-oz")</f>
        <v/>
      </c>
      <c r="C450" t="inlineStr">
        <is>
          <t>Fixodent® Complete Original Denture Adhesive Cream 2.4 oz</t>
        </is>
      </c>
      <c r="D450" t="inlineStr">
        <is>
          <t>Fixodent Original Denture Adhesive Cream-2.4 oz, 4 pk</t>
        </is>
      </c>
      <c r="E450" s="2">
        <f>HYPERLINK("https://www.amazon.com/Fixodent-Original-Denture-Adhesive-Cream-2-4/dp/B00J7GA1EI/ref=sr_1_5?keywords=Fixodent%C2%AE+Complete+Original+Denture+Adhesive+Cream+2.4+oz&amp;qid=1695260243&amp;sr=8-5", "https://www.amazon.com/Fixodent-Original-Denture-Adhesive-Cream-2-4/dp/B00J7GA1EI/ref=sr_1_5?keywords=Fixodent%C2%AE+Complete+Original+Denture+Adhesive+Cream+2.4+oz&amp;qid=1695260243&amp;sr=8-5")</f>
        <v/>
      </c>
      <c r="F450" t="inlineStr">
        <is>
          <t>B00J7GA1EI</t>
        </is>
      </c>
      <c r="G450">
        <f>IMAGE("https://shop.sonapharmacy.com/cdn/shop/products/00719501_2.jpg?v=1609350426")</f>
        <v/>
      </c>
      <c r="H450">
        <f>IMAGE("https://m.media-amazon.com/images/I/71stqxVtynL._AC_UL320_.jpg")</f>
        <v/>
      </c>
      <c r="I450" t="inlineStr">
        <is>
          <t>6.53</t>
        </is>
      </c>
      <c r="J450" t="n">
        <v>21.26</v>
      </c>
      <c r="K450" s="3" t="inlineStr">
        <is>
          <t>225.57%</t>
        </is>
      </c>
      <c r="L450" t="n">
        <v>4.7</v>
      </c>
      <c r="M450" t="n">
        <v>1856</v>
      </c>
      <c r="O450" t="inlineStr">
        <is>
          <t>InStock</t>
        </is>
      </c>
      <c r="P450" t="inlineStr">
        <is>
          <t>undefined</t>
        </is>
      </c>
      <c r="Q450" t="inlineStr">
        <is>
          <t>6167588110488</t>
        </is>
      </c>
    </row>
    <row r="451">
      <c r="A451" s="2">
        <f>HYPERLINK("https://shop.sonapharmacy.com/products/fixodent-complete-original-denture-adhesive-cream-2-4-oz", "https://shop.sonapharmacy.com/products/fixodent-complete-original-denture-adhesive-cream-2-4-oz")</f>
        <v/>
      </c>
      <c r="B451" s="2">
        <f>HYPERLINK("https://shop.sonapharmacy.com/products/fixodent-complete-original-denture-adhesive-cream-2-4-oz", "https://shop.sonapharmacy.com/products/fixodent-complete-original-denture-adhesive-cream-2-4-oz")</f>
        <v/>
      </c>
      <c r="C451" t="inlineStr">
        <is>
          <t>Fixodent® Complete Original Denture Adhesive Cream 2.4 oz</t>
        </is>
      </c>
      <c r="D451" t="inlineStr">
        <is>
          <t>Fixodent Complete Original Denture Adhesive Cream, 4 pk./2.4 oz.</t>
        </is>
      </c>
      <c r="E451" s="2">
        <f>HYPERLINK("https://www.amazon.com/Fixodent-Complete-Original-Denture-Adhesive/dp/B071QXQS8V/ref=sr_1_4?keywords=Fixodent%C2%AE+Complete+Original+Denture+Adhesive+Cream+2.4+oz&amp;qid=1695260243&amp;sr=8-4", "https://www.amazon.com/Fixodent-Complete-Original-Denture-Adhesive/dp/B071QXQS8V/ref=sr_1_4?keywords=Fixodent%C2%AE+Complete+Original+Denture+Adhesive+Cream+2.4+oz&amp;qid=1695260243&amp;sr=8-4")</f>
        <v/>
      </c>
      <c r="F451" t="inlineStr">
        <is>
          <t>B071QXQS8V</t>
        </is>
      </c>
      <c r="G451">
        <f>IMAGE("https://shop.sonapharmacy.com/cdn/shop/products/00719501_2.jpg?v=1609350426")</f>
        <v/>
      </c>
      <c r="H451">
        <f>IMAGE("https://m.media-amazon.com/images/I/81zJIsvG7VL._AC_UL320_.jpg")</f>
        <v/>
      </c>
      <c r="I451" t="inlineStr">
        <is>
          <t>6.53</t>
        </is>
      </c>
      <c r="J451" t="n">
        <v>21.19</v>
      </c>
      <c r="K451" s="3" t="inlineStr">
        <is>
          <t>224.50%</t>
        </is>
      </c>
      <c r="L451" t="n">
        <v>4.6</v>
      </c>
      <c r="M451" t="n">
        <v>97</v>
      </c>
      <c r="O451" t="inlineStr">
        <is>
          <t>InStock</t>
        </is>
      </c>
      <c r="P451" t="inlineStr">
        <is>
          <t>undefined</t>
        </is>
      </c>
      <c r="Q451" t="inlineStr">
        <is>
          <t>6167588110488</t>
        </is>
      </c>
    </row>
    <row r="452">
      <c r="A452" s="2">
        <f>HYPERLINK("https://shop.sonapharmacy.com/products/nexcare-opticlude", "https://shop.sonapharmacy.com/products/nexcare-opticlude")</f>
        <v/>
      </c>
      <c r="B452" s="2">
        <f>HYPERLINK("https://shop.sonapharmacy.com/products/nexcare-opticlude", "https://shop.sonapharmacy.com/products/nexcare-opticlude")</f>
        <v/>
      </c>
      <c r="C452" t="inlineStr">
        <is>
          <t>Nexcare Opticlude Eye Patch</t>
        </is>
      </c>
      <c r="D452" t="inlineStr">
        <is>
          <t>Nexcare Opticlude Orthoptic Eye Patches Regular 20 Each by Nexcare</t>
        </is>
      </c>
      <c r="E452" s="2">
        <f>HYPERLINK("https://www.amazon.com/Nexcare-Opticlude-Orthoptic-Patches-Regular/dp/B01M6CF1D7/ref=sr_1_10?keywords=Nexcare+Opticlude+Eye+Patch&amp;qid=1695260565&amp;sr=8-10", "https://www.amazon.com/Nexcare-Opticlude-Orthoptic-Patches-Regular/dp/B01M6CF1D7/ref=sr_1_10?keywords=Nexcare+Opticlude+Eye+Patch&amp;qid=1695260565&amp;sr=8-10")</f>
        <v/>
      </c>
      <c r="F452" t="inlineStr">
        <is>
          <t>B01M6CF1D7</t>
        </is>
      </c>
      <c r="G452">
        <f>IMAGE("https://shop.sonapharmacy.com/cdn/shop/products/us-1539-opticlude-eyepatch.jpg?v=1607704873")</f>
        <v/>
      </c>
      <c r="H452">
        <f>IMAGE("https://m.media-amazon.com/images/I/71EQXS49nbL._AC_UL320_.jpg")</f>
        <v/>
      </c>
      <c r="I452" t="inlineStr">
        <is>
          <t>10.79</t>
        </is>
      </c>
      <c r="J452" t="n">
        <v>34.99</v>
      </c>
      <c r="K452" s="3" t="inlineStr">
        <is>
          <t>224.28%</t>
        </is>
      </c>
      <c r="L452" t="n">
        <v>4.1</v>
      </c>
      <c r="M452" t="n">
        <v>15</v>
      </c>
      <c r="O452" t="inlineStr">
        <is>
          <t>InStock</t>
        </is>
      </c>
      <c r="P452" t="inlineStr">
        <is>
          <t>undefined</t>
        </is>
      </c>
      <c r="Q452" t="inlineStr">
        <is>
          <t>6147200483480</t>
        </is>
      </c>
    </row>
    <row r="453">
      <c r="A453" s="2">
        <f>HYPERLINK("https://shop.sonapharmacy.com/products/midol%C2%AE-complete-menstrual-pain-relief-caplets-24ct", "https://shop.sonapharmacy.com/products/midol%C2%AE-complete-menstrual-pain-relief-caplets-24ct")</f>
        <v/>
      </c>
      <c r="B453" s="2">
        <f>HYPERLINK("https://shop.sonapharmacy.com/products/midol%c2%ae-complete-menstrual-pain-relief-caplets-24ct", "https://shop.sonapharmacy.com/products/midol%c2%ae-complete-menstrual-pain-relief-caplets-24ct")</f>
        <v/>
      </c>
      <c r="C453" t="inlineStr">
        <is>
          <t>Midol® Complete Menstrual Pain Relief Caplets 24ct.</t>
        </is>
      </c>
      <c r="D453" t="inlineStr">
        <is>
          <t>Midol Complete Caplets with Acetaminophen for Menstrual Symptom Relief On The Go Pouches - 50 Count (25 Pouches of 2 Caplets) Heat Vibes Menstrual Pain Relief Patch, 6 Count</t>
        </is>
      </c>
      <c r="E453" s="2">
        <f>HYPERLINK("https://www.amazon.com/Midol-Complete-Caplets-Acetaminophen-Menstrual/dp/B0BBZN3HVG/ref=sr_1_7?keywords=Midol%C2%AE+Complete+Menstrual+Pain+Relief+Caplets+24ct.&amp;qid=1695260482&amp;sr=8-7", "https://www.amazon.com/Midol-Complete-Caplets-Acetaminophen-Menstrual/dp/B0BBZN3HVG/ref=sr_1_7?keywords=Midol%C2%AE+Complete+Menstrual+Pain+Relief+Caplets+24ct.&amp;qid=1695260482&amp;sr=8-7")</f>
        <v/>
      </c>
      <c r="F453" t="inlineStr">
        <is>
          <t>B0BBZN3HVG</t>
        </is>
      </c>
      <c r="G453">
        <f>IMAGE("https://shop.sonapharmacy.com/cdn/shop/products/c92b8ea6-042e-40a0-88ad-5727b5e2669f.b7fd012296cdd841ecc61105024db3a6.jpg?v=1609176403")</f>
        <v/>
      </c>
      <c r="H453">
        <f>IMAGE("https://m.media-amazon.com/images/I/51+rU7m1P7L._AC_UL320_.jpg")</f>
        <v/>
      </c>
      <c r="I453" t="inlineStr">
        <is>
          <t>8.99</t>
        </is>
      </c>
      <c r="J453" t="n">
        <v>29.12</v>
      </c>
      <c r="K453" s="3" t="inlineStr">
        <is>
          <t>223.92%</t>
        </is>
      </c>
      <c r="L453" t="n">
        <v>4.8</v>
      </c>
      <c r="M453" t="n">
        <v>1629</v>
      </c>
      <c r="O453" t="inlineStr">
        <is>
          <t>InStock</t>
        </is>
      </c>
      <c r="P453" t="inlineStr">
        <is>
          <t>undefined</t>
        </is>
      </c>
      <c r="Q453" t="inlineStr">
        <is>
          <t>6177716830360</t>
        </is>
      </c>
    </row>
    <row r="454">
      <c r="A454" s="2">
        <f>HYPERLINK("https://shop.sonapharmacy.com/products/lil-critters-omega-3-dha-60-gummies", "https://shop.sonapharmacy.com/products/lil-critters-omega-3-dha-60-gummies")</f>
        <v/>
      </c>
      <c r="B454" s="2">
        <f>HYPERLINK("https://shop.sonapharmacy.com/products/lil-critters-omega-3-dha-60-gummies", "https://shop.sonapharmacy.com/products/lil-critters-omega-3-dha-60-gummies")</f>
        <v/>
      </c>
      <c r="C454" t="inlineStr">
        <is>
          <t>L'il Critters Omega-3 DHA 60 Gummies</t>
        </is>
      </c>
      <c r="D454" t="inlineStr">
        <is>
          <t>Feel Great Vitamin Co. Complete DHA Gummies for Kids | with Omega 3 6 9 + DHA, Vitamin C | Supports Healthy Brain Function, Vision &amp; Heart Health | Gluten Free, Vegetarian | 60 Gummies</t>
        </is>
      </c>
      <c r="E454" s="2">
        <f>HYPERLINK("https://www.amazon.com/Complete-Feel-Great-365-Supplement/dp/B06Y1C5DHC/ref=sr_1_8?keywords=L%27il+Critters+Omega-3+DHA+60+Gummies&amp;qid=1695260432&amp;sr=8-8", "https://www.amazon.com/Complete-Feel-Great-365-Supplement/dp/B06Y1C5DHC/ref=sr_1_8?keywords=L%27il+Critters+Omega-3+DHA+60+Gummies&amp;qid=1695260432&amp;sr=8-8")</f>
        <v/>
      </c>
      <c r="F454" t="inlineStr">
        <is>
          <t>B06Y1C5DHC</t>
        </is>
      </c>
      <c r="G454">
        <f>IMAGE("https://shop.sonapharmacy.com/cdn/shop/products/L_ilCrittersOmega-3DHA60Gummies.png?v=1594927814")</f>
        <v/>
      </c>
      <c r="H454">
        <f>IMAGE("https://m.media-amazon.com/images/I/71+uIYezncL._AC_UL320_.jpg")</f>
        <v/>
      </c>
      <c r="I454" t="inlineStr">
        <is>
          <t>7.89</t>
        </is>
      </c>
      <c r="J454" t="n">
        <v>24.99</v>
      </c>
      <c r="K454" s="3" t="inlineStr">
        <is>
          <t>216.73%</t>
        </is>
      </c>
      <c r="L454" t="n">
        <v>4.4</v>
      </c>
      <c r="M454" t="n">
        <v>5125</v>
      </c>
      <c r="O454" t="inlineStr">
        <is>
          <t>InStock</t>
        </is>
      </c>
      <c r="P454" t="inlineStr">
        <is>
          <t>undefined</t>
        </is>
      </c>
      <c r="Q454" t="inlineStr">
        <is>
          <t>5240299520152</t>
        </is>
      </c>
    </row>
    <row r="455">
      <c r="A455" s="2">
        <f>HYPERLINK("https://shop.sonapharmacy.com/products/lil-critters-omega-3-dha-60-gummies", "https://shop.sonapharmacy.com/products/lil-critters-omega-3-dha-60-gummies")</f>
        <v/>
      </c>
      <c r="B455" s="2">
        <f>HYPERLINK("https://shop.sonapharmacy.com/products/lil-critters-omega-3-dha-60-gummies", "https://shop.sonapharmacy.com/products/lil-critters-omega-3-dha-60-gummies")</f>
        <v/>
      </c>
      <c r="C455" t="inlineStr">
        <is>
          <t>L'il Critters Omega-3 DHA 60 Gummies</t>
        </is>
      </c>
      <c r="D455" t="inlineStr">
        <is>
          <t>L'il Critters Omega -3 DHA, 220 Gummy Bears</t>
        </is>
      </c>
      <c r="E455" s="2">
        <f>HYPERLINK("https://www.amazon.com/Lil-Critters-Omega-Gummy-Bears/dp/B091ML4FJG/ref=sr_1_5?keywords=L%27il+Critters+Omega-3+DHA+60+Gummies&amp;qid=1695260432&amp;sr=8-5", "https://www.amazon.com/Lil-Critters-Omega-Gummy-Bears/dp/B091ML4FJG/ref=sr_1_5?keywords=L%27il+Critters+Omega-3+DHA+60+Gummies&amp;qid=1695260432&amp;sr=8-5")</f>
        <v/>
      </c>
      <c r="F455" t="inlineStr">
        <is>
          <t>B091ML4FJG</t>
        </is>
      </c>
      <c r="G455">
        <f>IMAGE("https://shop.sonapharmacy.com/cdn/shop/products/L_ilCrittersOmega-3DHA60Gummies.png?v=1594927814")</f>
        <v/>
      </c>
      <c r="H455">
        <f>IMAGE("https://m.media-amazon.com/images/I/71JQKvNeYlL._AC_UL320_.jpg")</f>
        <v/>
      </c>
      <c r="I455" t="inlineStr">
        <is>
          <t>7.89</t>
        </is>
      </c>
      <c r="J455" t="n">
        <v>24.95</v>
      </c>
      <c r="K455" s="3" t="inlineStr">
        <is>
          <t>216.22%</t>
        </is>
      </c>
      <c r="L455" t="n">
        <v>4.3</v>
      </c>
      <c r="M455" t="n">
        <v>31</v>
      </c>
      <c r="O455" t="inlineStr">
        <is>
          <t>InStock</t>
        </is>
      </c>
      <c r="P455" t="inlineStr">
        <is>
          <t>undefined</t>
        </is>
      </c>
      <c r="Q455" t="inlineStr">
        <is>
          <t>5240299520152</t>
        </is>
      </c>
    </row>
    <row r="456">
      <c r="A456" s="2">
        <f>HYPERLINK("https://shop.sonapharmacy.com/products/sona-methyl-b-complex", "https://shop.sonapharmacy.com/products/sona-methyl-b-complex")</f>
        <v/>
      </c>
      <c r="B456" s="2">
        <f>HYPERLINK("https://shop.sonapharmacy.com/products/sona-methyl-b-complex", "https://shop.sonapharmacy.com/products/sona-methyl-b-complex")</f>
        <v/>
      </c>
      <c r="C456" t="inlineStr">
        <is>
          <t>Sona Methyl B Complex</t>
        </is>
      </c>
      <c r="D456" t="inlineStr">
        <is>
          <t>MethylPro B-Complex + 5mg L-Methylfolate 90 Capsules - Professional Strength Active Folate for Energy + Mood Support with Methyl B12 + B6 as P-5-P, Non-GMO + Gluten-Free</t>
        </is>
      </c>
      <c r="E456" s="2">
        <f>HYPERLINK("https://www.amazon.com/MethylPro-L-Methylfolate-B-Complex-Active-Capsules/dp/B07H532C66/ref=sr_1_8?keywords=Sona+Methyl+B+Complex&amp;qid=1695260722&amp;sr=8-8", "https://www.amazon.com/MethylPro-L-Methylfolate-B-Complex-Active-Capsules/dp/B07H532C66/ref=sr_1_8?keywords=Sona+Methyl+B+Complex&amp;qid=1695260722&amp;sr=8-8")</f>
        <v/>
      </c>
      <c r="F456" t="inlineStr">
        <is>
          <t>B07H532C66</t>
        </is>
      </c>
      <c r="G456">
        <f>IMAGE("https://shop.sonapharmacy.com/cdn/shop/files/MethylBComplex_SonaShop.jpg?v=1692302519")</f>
        <v/>
      </c>
      <c r="H456">
        <f>IMAGE("https://m.media-amazon.com/images/I/611xXaxCZPL._AC_UL320_.jpg")</f>
        <v/>
      </c>
      <c r="I456" t="inlineStr">
        <is>
          <t>31.86</t>
        </is>
      </c>
      <c r="J456" t="n">
        <v>99.95</v>
      </c>
      <c r="K456" s="3" t="inlineStr">
        <is>
          <t>213.72%</t>
        </is>
      </c>
      <c r="L456" t="n">
        <v>4.6</v>
      </c>
      <c r="M456" t="n">
        <v>230</v>
      </c>
      <c r="O456" t="inlineStr">
        <is>
          <t>InStock</t>
        </is>
      </c>
      <c r="P456" t="inlineStr">
        <is>
          <t>undefined</t>
        </is>
      </c>
      <c r="Q456" t="inlineStr">
        <is>
          <t>8086456893660</t>
        </is>
      </c>
    </row>
    <row r="457">
      <c r="A457" s="2">
        <f>HYPERLINK("https://shop.sonapharmacy.com/products/old-spice%C2%AE-pure-sport-high-endurance-deodorant-3-0oz", "https://shop.sonapharmacy.com/products/old-spice%C2%AE-pure-sport-high-endurance-deodorant-3-0oz")</f>
        <v/>
      </c>
      <c r="B457" s="2">
        <f>HYPERLINK("https://shop.sonapharmacy.com/products/old-spice%c2%ae-pure-sport-high-endurance-deodorant-3-0oz", "https://shop.sonapharmacy.com/products/old-spice%c2%ae-pure-sport-high-endurance-deodorant-3-0oz")</f>
        <v/>
      </c>
      <c r="C457" t="inlineStr">
        <is>
          <t>Old Spice® Pure Sport High Endurance Deodorant 3.0oz.</t>
        </is>
      </c>
      <c r="D457" t="inlineStr">
        <is>
          <t>Old Spice 03891 Deodorant Stick, High Endurance, Pure Sport Scent, 3-oz. - Quantity 3</t>
        </is>
      </c>
      <c r="E457" s="2">
        <f>HYPERLINK("https://www.amazon.com/Health-Beauty-03891-Deodorant-Endurance/dp/B00GXITDII/ref=sr_1_6?keywords=Old+Spice%C2%AE+Pure+Sport+High+Endurance+Deodorant+3.0oz.&amp;qid=1695260614&amp;sr=8-6", "https://www.amazon.com/Health-Beauty-03891-Deodorant-Endurance/dp/B00GXITDII/ref=sr_1_6?keywords=Old+Spice%C2%AE+Pure+Sport+High+Endurance+Deodorant+3.0oz.&amp;qid=1695260614&amp;sr=8-6")</f>
        <v/>
      </c>
      <c r="F457" t="inlineStr">
        <is>
          <t>B00GXITDII</t>
        </is>
      </c>
      <c r="G457">
        <f>IMAGE("https://shop.sonapharmacy.com/cdn/shop/products/7c0e29c3-6af7-41b0-bc81-b9238d9e44d1_1.7a977d3723660517c76ddad4c2bf91f5.jpg?v=1609094596")</f>
        <v/>
      </c>
      <c r="H457">
        <f>IMAGE("https://m.media-amazon.com/images/I/71G+IOGMErL._AC_UL320_.jpg")</f>
        <v/>
      </c>
      <c r="I457" t="inlineStr">
        <is>
          <t>5.39</t>
        </is>
      </c>
      <c r="J457" t="n">
        <v>16.45</v>
      </c>
      <c r="K457" s="3" t="inlineStr">
        <is>
          <t>205.19%</t>
        </is>
      </c>
      <c r="L457" t="n">
        <v>4.6</v>
      </c>
      <c r="M457" t="n">
        <v>7623</v>
      </c>
      <c r="O457" t="inlineStr">
        <is>
          <t>InStock</t>
        </is>
      </c>
      <c r="P457" t="inlineStr">
        <is>
          <t>undefined</t>
        </is>
      </c>
      <c r="Q457" t="inlineStr">
        <is>
          <t>6175917375640</t>
        </is>
      </c>
    </row>
    <row r="458">
      <c r="A458" s="2">
        <f>HYPERLINK("https://shop.sonapharmacy.com/products/good-sense-ibuprofen-liquid-capsules", "https://shop.sonapharmacy.com/products/good-sense-ibuprofen-liquid-capsules")</f>
        <v/>
      </c>
      <c r="B458" s="2">
        <f>HYPERLINK("https://shop.sonapharmacy.com/products/good-sense-ibuprofen-liquid-capsules", "https://shop.sonapharmacy.com/products/good-sense-ibuprofen-liquid-capsules")</f>
        <v/>
      </c>
      <c r="C458" t="inlineStr">
        <is>
          <t>GoodSense® Ibuprofen Liquid Capsules</t>
        </is>
      </c>
      <c r="D458" t="inlineStr">
        <is>
          <t>Amazon Basic Care Ibuprofen Mini Liquid Gels, 200 mg, Liquid-Filled Capsules, Pain Reliever and Fever Reducer, For Back Pain, Arthritis Pain, Headache Relief and More, 300 Count</t>
        </is>
      </c>
      <c r="E458" s="2">
        <f>HYPERLINK("https://www.amazon.com/Amazon-Basic-Care-Liquid-Gels-Liquid-Filled/dp/B096XX72TB/ref=sr_1_8?keywords=GoodSense%C2%AE+Ibuprofen+Liquid+Capsules&amp;qid=1695260322&amp;sr=8-8", "https://www.amazon.com/Amazon-Basic-Care-Liquid-Gels-Liquid-Filled/dp/B096XX72TB/ref=sr_1_8?keywords=GoodSense%C2%AE+Ibuprofen+Liquid+Capsules&amp;qid=1695260322&amp;sr=8-8")</f>
        <v/>
      </c>
      <c r="F458" t="inlineStr">
        <is>
          <t>B096XX72TB</t>
        </is>
      </c>
      <c r="G458">
        <f>IMAGE("https://shop.sonapharmacy.com/cdn/shop/products/PLD0086.jpg?v=1609353567")</f>
        <v/>
      </c>
      <c r="H458">
        <f>IMAGE("https://m.media-amazon.com/images/I/71qH+rAyNzL._AC_UL320_.jpg")</f>
        <v/>
      </c>
      <c r="I458" t="inlineStr">
        <is>
          <t>6.09</t>
        </is>
      </c>
      <c r="J458" t="n">
        <v>18.58</v>
      </c>
      <c r="K458" s="3" t="inlineStr">
        <is>
          <t>205.09%</t>
        </is>
      </c>
      <c r="L458" t="n">
        <v>4.8</v>
      </c>
      <c r="M458" t="n">
        <v>1813</v>
      </c>
      <c r="O458" t="inlineStr">
        <is>
          <t>InStock</t>
        </is>
      </c>
      <c r="P458" t="inlineStr">
        <is>
          <t>undefined</t>
        </is>
      </c>
      <c r="Q458" t="inlineStr">
        <is>
          <t>5247939149976</t>
        </is>
      </c>
    </row>
    <row r="459">
      <c r="A459" s="2">
        <f>HYPERLINK("https://shop.sonapharmacy.com/products/contour-next-ez-meter", "https://shop.sonapharmacy.com/products/contour-next-ez-meter")</f>
        <v/>
      </c>
      <c r="B459" s="2">
        <f>HYPERLINK("https://shop.sonapharmacy.com/products/contour-next-ez-meter", "https://shop.sonapharmacy.com/products/contour-next-ez-meter")</f>
        <v/>
      </c>
      <c r="C459" t="inlineStr">
        <is>
          <t>Contour® Next EZ Meter</t>
        </is>
      </c>
      <c r="D459" t="inlineStr">
        <is>
          <t>Active Forward Contour Next EZ Diabetes Testing Kit, Contour Next EZ Blood Glucose Meter, 100 Contour Next Blood Glucose Test Strips, 100 Lancets, Lancing Device, Log Book and Carry Case</t>
        </is>
      </c>
      <c r="E459" s="2">
        <f>HYPERLINK("https://www.amazon.com/Contour-Diabetes-Testing-Lancets-Solution/dp/B00NG0MSPQ/ref=sr_1_2?keywords=Contour%C2%AE+Next+EZ+Meter&amp;qid=1695260151&amp;sr=8-2", "https://www.amazon.com/Contour-Diabetes-Testing-Lancets-Solution/dp/B00NG0MSPQ/ref=sr_1_2?keywords=Contour%C2%AE+Next+EZ+Meter&amp;qid=1695260151&amp;sr=8-2")</f>
        <v/>
      </c>
      <c r="F459" t="inlineStr">
        <is>
          <t>B00NG0MSPQ</t>
        </is>
      </c>
      <c r="G459">
        <f>IMAGE("https://shop.sonapharmacy.com/cdn/shop/products/ContourNextEZMeter.jpg?v=1594302465")</f>
        <v/>
      </c>
      <c r="H459">
        <f>IMAGE("https://m.media-amazon.com/images/I/71VxBax5LyL._AC_UL320_.jpg")</f>
        <v/>
      </c>
      <c r="I459" t="inlineStr">
        <is>
          <t>19.89</t>
        </is>
      </c>
      <c r="J459" t="n">
        <v>59.99</v>
      </c>
      <c r="K459" s="3" t="inlineStr">
        <is>
          <t>201.61%</t>
        </is>
      </c>
      <c r="L459" t="n">
        <v>4.6</v>
      </c>
      <c r="M459" t="n">
        <v>3401</v>
      </c>
      <c r="O459" t="inlineStr">
        <is>
          <t>InStock</t>
        </is>
      </c>
      <c r="P459" t="inlineStr">
        <is>
          <t>undefined</t>
        </is>
      </c>
      <c r="Q459" t="inlineStr">
        <is>
          <t>4892914974859</t>
        </is>
      </c>
    </row>
    <row r="460">
      <c r="A460" s="2">
        <f>HYPERLINK("https://shop.sonapharmacy.com/products/lemon-eucalyptus-essential-oil-5-oz", "https://shop.sonapharmacy.com/products/lemon-eucalyptus-essential-oil-5-oz")</f>
        <v/>
      </c>
      <c r="B460" s="2">
        <f>HYPERLINK("https://shop.sonapharmacy.com/products/lemon-eucalyptus-essential-oil-5-oz", "https://shop.sonapharmacy.com/products/lemon-eucalyptus-essential-oil-5-oz")</f>
        <v/>
      </c>
      <c r="C460" t="inlineStr">
        <is>
          <t>Aura Cacia Lemon Eucalyptus Essential Oil 0.5 oz.</t>
        </is>
      </c>
      <c r="D460" t="inlineStr">
        <is>
          <t>Aura Cacia Essential Oil Lemon Eucalyptus - 2 fl oz</t>
        </is>
      </c>
      <c r="E460" s="2">
        <f>HYPERLINK("https://www.amazon.com/Aura-Cacia-Essential-Lemon-Eucalyptus/dp/B005GWXAEK/ref=sr_1_5?keywords=Aura+Cacia+Lemon+Eucalyptus+Essential+Oil+0.5+oz.&amp;qid=1695260029&amp;sr=8-5", "https://www.amazon.com/Aura-Cacia-Essential-Lemon-Eucalyptus/dp/B005GWXAEK/ref=sr_1_5?keywords=Aura+Cacia+Lemon+Eucalyptus+Essential+Oil+0.5+oz.&amp;qid=1695260029&amp;sr=8-5")</f>
        <v/>
      </c>
      <c r="F460" t="inlineStr">
        <is>
          <t>B005GWXAEK</t>
        </is>
      </c>
      <c r="G460">
        <f>IMAGE("https://shop.sonapharmacy.com/cdn/shop/products/1_aura-cacia-lemon-eucalyptus-191285-front.jpg?v=1609358391")</f>
        <v/>
      </c>
      <c r="H460">
        <f>IMAGE("https://m.media-amazon.com/images/I/61kU4nzRx8L._AC_UL320_.jpg")</f>
        <v/>
      </c>
      <c r="I460" t="inlineStr">
        <is>
          <t>5.63</t>
        </is>
      </c>
      <c r="J460" t="n">
        <v>16.9</v>
      </c>
      <c r="K460" s="3" t="inlineStr">
        <is>
          <t>200.18%</t>
        </is>
      </c>
      <c r="L460" t="n">
        <v>4.6</v>
      </c>
      <c r="M460" t="n">
        <v>5</v>
      </c>
      <c r="O460" t="inlineStr">
        <is>
          <t>InStock</t>
        </is>
      </c>
      <c r="P460" t="inlineStr">
        <is>
          <t>undefined</t>
        </is>
      </c>
      <c r="Q460" t="inlineStr">
        <is>
          <t>4885914353803</t>
        </is>
      </c>
    </row>
    <row r="461">
      <c r="A461" s="2">
        <f>HYPERLINK("https://shop.sonapharmacy.com/products/sunbum%C2%AE-original-spf-30-sunscreen-spray-6oz", "https://shop.sonapharmacy.com/products/sunbum%C2%AE-original-spf-30-sunscreen-spray-6oz")</f>
        <v/>
      </c>
      <c r="B461" s="2">
        <f>HYPERLINK("https://shop.sonapharmacy.com/products/sunbum%c2%ae-original-spf-30-sunscreen-spray-6oz", "https://shop.sonapharmacy.com/products/sunbum%c2%ae-original-spf-30-sunscreen-spray-6oz")</f>
        <v/>
      </c>
      <c r="C461" t="inlineStr">
        <is>
          <t>Sun Bum® Original SPF 30 Sunscreen Spray 6oz.</t>
        </is>
      </c>
      <c r="D461" t="inlineStr">
        <is>
          <t>Sun Bum Original Moisturizing Sunscreen Spray SPF 30 | Vegan and Reef Friendly | Octinoxate &amp; Oxybenzone Free | Broad Spectrum UVA/UVB Sunscreen</t>
        </is>
      </c>
      <c r="E461" s="2">
        <f>HYPERLINK("https://www.amazon.com/Sun-Bum-Spray-Sunscreen-Pack/dp/B01C64NN8I/ref=sr_1_10?keywords=Sun+Bum%C2%AE+Original+SPF+30+Sunscreen+Spray+6oz.&amp;qid=1695260749&amp;sr=8-10", "https://www.amazon.com/Sun-Bum-Spray-Sunscreen-Pack/dp/B01C64NN8I/ref=sr_1_10?keywords=Sun+Bum%C2%AE+Original+SPF+30+Sunscreen+Spray+6oz.&amp;qid=1695260749&amp;sr=8-10")</f>
        <v/>
      </c>
      <c r="F461" t="inlineStr">
        <is>
          <t>B01C64NN8I</t>
        </is>
      </c>
      <c r="G461">
        <f>IMAGE("https://shop.sonapharmacy.com/cdn/shop/products/71Z-XuOhvOL._AC_SL1500.jpg?v=1611870033")</f>
        <v/>
      </c>
      <c r="H461">
        <f>IMAGE("https://m.media-amazon.com/images/I/71mg3yffrkL._AC_UL320_.jpg")</f>
        <v/>
      </c>
      <c r="I461" t="inlineStr">
        <is>
          <t>15.99</t>
        </is>
      </c>
      <c r="J461" t="n">
        <v>47.89</v>
      </c>
      <c r="K461" s="3" t="inlineStr">
        <is>
          <t>199.50%</t>
        </is>
      </c>
      <c r="L461" t="n">
        <v>4.8</v>
      </c>
      <c r="M461" t="n">
        <v>850</v>
      </c>
      <c r="O461" t="inlineStr">
        <is>
          <t>InStock</t>
        </is>
      </c>
      <c r="P461" t="inlineStr">
        <is>
          <t>undefined</t>
        </is>
      </c>
      <c r="Q461" t="inlineStr">
        <is>
          <t>6244617158808</t>
        </is>
      </c>
    </row>
    <row r="462">
      <c r="A462" s="2">
        <f>HYPERLINK("https://shop.sonapharmacy.com/products/band-aid-skin-flex-bandage", "https://shop.sonapharmacy.com/products/band-aid-skin-flex-bandage")</f>
        <v/>
      </c>
      <c r="B462" s="2">
        <f>HYPERLINK("https://shop.sonapharmacy.com/products/band-aid-skin-flex-bandage", "https://shop.sonapharmacy.com/products/band-aid-skin-flex-bandage")</f>
        <v/>
      </c>
      <c r="C462" t="inlineStr">
        <is>
          <t>BAND-AID® Skin Flex Bandage</t>
        </is>
      </c>
      <c r="D462" t="inlineStr">
        <is>
          <t>Band-Aid Brand Skin-Flex Adhesive Bandages for First Aid &amp; Wound Care of Minor Cuts, Scrapes &amp; Burns, Flexible Sterile Bandages Great for Fingers, Hands &amp; Knees, Assorted Sizes, 2 x 60 ct</t>
        </is>
      </c>
      <c r="E462" s="2">
        <f>HYPERLINK("https://www.amazon.com/Band-Aid-Skin-Flex-Adhesive-Bandages-Flexible/dp/B09DQ2TY6W/ref=sr_1_4?keywords=BAND-AID%C2%AE+Skin+Flex+Bandage&amp;qid=1695260066&amp;sr=8-4", "https://www.amazon.com/Band-Aid-Skin-Flex-Adhesive-Bandages-Flexible/dp/B09DQ2TY6W/ref=sr_1_4?keywords=BAND-AID%C2%AE+Skin+Flex+Bandage&amp;qid=1695260066&amp;sr=8-4")</f>
        <v/>
      </c>
      <c r="F462" t="inlineStr">
        <is>
          <t>B09DQ2TY6W</t>
        </is>
      </c>
      <c r="G462">
        <f>IMAGE("https://shop.sonapharmacy.com/cdn/shop/products/bab_381371183470_band_aid_band-aid_skin-flex_aos_25ct_007.jpg?v=1627748646")</f>
        <v/>
      </c>
      <c r="H462">
        <f>IMAGE("https://m.media-amazon.com/images/I/81jynNrFX5L._AC_UL320_.jpg")</f>
        <v/>
      </c>
      <c r="I462" t="inlineStr">
        <is>
          <t>6.33</t>
        </is>
      </c>
      <c r="J462" t="n">
        <v>18.88</v>
      </c>
      <c r="K462" s="3" t="inlineStr">
        <is>
          <t>198.26%</t>
        </is>
      </c>
      <c r="L462" t="n">
        <v>4.7</v>
      </c>
      <c r="M462" t="n">
        <v>271</v>
      </c>
      <c r="O462" t="inlineStr">
        <is>
          <t>InStock</t>
        </is>
      </c>
      <c r="P462" t="inlineStr">
        <is>
          <t>undefined</t>
        </is>
      </c>
      <c r="Q462" t="inlineStr">
        <is>
          <t>6132997685400</t>
        </is>
      </c>
    </row>
    <row r="463">
      <c r="A463" s="2">
        <f>HYPERLINK("https://shop.sonapharmacy.com/products/st-ives-fresh-skin-apricot-scrub-6oz", "https://shop.sonapharmacy.com/products/st-ives-fresh-skin-apricot-scrub-6oz")</f>
        <v/>
      </c>
      <c r="B463" s="2">
        <f>HYPERLINK("https://shop.sonapharmacy.com/products/st-ives-fresh-skin-apricot-scrub-6oz", "https://shop.sonapharmacy.com/products/st-ives-fresh-skin-apricot-scrub-6oz")</f>
        <v/>
      </c>
      <c r="C463" t="inlineStr">
        <is>
          <t>St. Ives Fresh Skin Apricot Scrub 6oz.</t>
        </is>
      </c>
      <c r="D463" t="inlineStr">
        <is>
          <t>St. Ives Acne Control Face Scrub Deeply Exfoliates and Prevents Acne for Smooth, Glowing Skin Apricot Made with Oil-Free Salicylic Acid Acne Medication, Made with 100% Natural Exfoliants 6 oz 4 Count</t>
        </is>
      </c>
      <c r="E463" s="2">
        <f>HYPERLINK("https://www.amazon.com/St-Ives-Control-Scrub-Apricot/dp/B01HTJTS3O/ref=sr_1_7?keywords=St.+Ives+Fresh+Skin+Apricot+Scrub+6oz.&amp;qid=1695260744&amp;sr=8-7", "https://www.amazon.com/St-Ives-Control-Scrub-Apricot/dp/B01HTJTS3O/ref=sr_1_7?keywords=St.+Ives+Fresh+Skin+Apricot+Scrub+6oz.&amp;qid=1695260744&amp;sr=8-7")</f>
        <v/>
      </c>
      <c r="F463" t="inlineStr">
        <is>
          <t>B01HTJTS3O</t>
        </is>
      </c>
      <c r="G463">
        <f>IMAGE("https://shop.sonapharmacy.com/cdn/shop/products/59bd3b0e-e01d-4a06-ba27-2c08a5545d31_1.0bddf51f07920f2d43488f010f8e3f4c.jpg?v=1608306040")</f>
        <v/>
      </c>
      <c r="H463">
        <f>IMAGE("https://m.media-amazon.com/images/I/81eNba52ylL._AC_UL320_.jpg")</f>
        <v/>
      </c>
      <c r="I463" t="inlineStr">
        <is>
          <t>6.69</t>
        </is>
      </c>
      <c r="J463" t="n">
        <v>19.82</v>
      </c>
      <c r="K463" s="3" t="inlineStr">
        <is>
          <t>196.26%</t>
        </is>
      </c>
      <c r="L463" t="n">
        <v>4.8</v>
      </c>
      <c r="M463" t="n">
        <v>7578</v>
      </c>
      <c r="O463" t="inlineStr">
        <is>
          <t>InStock</t>
        </is>
      </c>
      <c r="P463" t="inlineStr">
        <is>
          <t>undefined</t>
        </is>
      </c>
      <c r="Q463" t="inlineStr">
        <is>
          <t>6160663445656</t>
        </is>
      </c>
    </row>
    <row r="464">
      <c r="A464" s="2">
        <f>HYPERLINK("https://shop.sonapharmacy.com/products/depend%C2%AE-for-men-fit-flex-underwear-maximum-absorbency-large-17ct", "https://shop.sonapharmacy.com/products/depend%C2%AE-for-men-fit-flex-underwear-maximum-absorbency-large-17ct")</f>
        <v/>
      </c>
      <c r="B464" s="2">
        <f>HYPERLINK("https://shop.sonapharmacy.com/products/depend%c2%ae-for-men-fit-flex-underwear-maximum-absorbency-large-17ct", "https://shop.sonapharmacy.com/products/depend%c2%ae-for-men-fit-flex-underwear-maximum-absorbency-large-17ct")</f>
        <v/>
      </c>
      <c r="C464" t="inlineStr">
        <is>
          <t>Depend® For Men Fit-Flex Underwear Maximum Absorbency Large 17ct.</t>
        </is>
      </c>
      <c r="D464" t="inlineStr">
        <is>
          <t>Depend FIT-Flex Incontinence Underwear for Men, Maximum Absorbency, L/XL</t>
        </is>
      </c>
      <c r="E464" s="2">
        <f>HYPERLINK("https://www.amazon.com/Depend-FIT-Flex-Incontinence-Underwear-Absorbency/dp/B010OVU55Y/ref=sr_1_1?keywords=Depend%C2%AE+For+Men+Fit-Flex+Underwear+Maximum+Absorbency+Large+17ct.&amp;qid=1695260190&amp;sr=8-1", "https://www.amazon.com/Depend-FIT-Flex-Incontinence-Underwear-Absorbency/dp/B010OVU55Y/ref=sr_1_1?keywords=Depend%C2%AE+For+Men+Fit-Flex+Underwear+Maximum+Absorbency+Large+17ct.&amp;qid=1695260190&amp;sr=8-1")</f>
        <v/>
      </c>
      <c r="F464" t="inlineStr">
        <is>
          <t>B010OVU55Y</t>
        </is>
      </c>
      <c r="G464">
        <f>IMAGE("https://shop.sonapharmacy.com/cdn/shop/products/8193lwhuLwL._AC_SL1500.jpg?v=1611075729")</f>
        <v/>
      </c>
      <c r="H464">
        <f>IMAGE("https://m.media-amazon.com/images/I/9109XZgtroL._AC_UL320_.jpg")</f>
        <v/>
      </c>
      <c r="I464" t="inlineStr">
        <is>
          <t>16.99</t>
        </is>
      </c>
      <c r="J464" t="n">
        <v>49.99</v>
      </c>
      <c r="K464" s="3" t="inlineStr">
        <is>
          <t>194.23%</t>
        </is>
      </c>
      <c r="L464" t="n">
        <v>4.4</v>
      </c>
      <c r="M464" t="n">
        <v>69</v>
      </c>
      <c r="O464" t="inlineStr">
        <is>
          <t>InStock</t>
        </is>
      </c>
      <c r="P464" t="inlineStr">
        <is>
          <t>undefined</t>
        </is>
      </c>
      <c r="Q464" t="inlineStr">
        <is>
          <t>6226552848536</t>
        </is>
      </c>
    </row>
    <row r="465">
      <c r="A465" s="2">
        <f>HYPERLINK("https://shop.sonapharmacy.com/products/ocusoft%C2%AE-retaine%C2%AE-mgd-ophthalmic-emulsion-30ct", "https://shop.sonapharmacy.com/products/ocusoft%C2%AE-retaine%C2%AE-mgd-ophthalmic-emulsion-30ct")</f>
        <v/>
      </c>
      <c r="B465" s="2">
        <f>HYPERLINK("https://shop.sonapharmacy.com/products/ocusoft%c2%ae-retaine%c2%ae-mgd-ophthalmic-emulsion-30ct", "https://shop.sonapharmacy.com/products/ocusoft%c2%ae-retaine%c2%ae-mgd-ophthalmic-emulsion-30ct")</f>
        <v/>
      </c>
      <c r="C465" t="inlineStr">
        <is>
          <t>Ocusoft® Retaine® MGD Ophthalmic Emulsion Eye Drops</t>
        </is>
      </c>
      <c r="D465" t="inlineStr">
        <is>
          <t>Retaine MGD Ophthalmic Emulsion Preservative-Free Eye Drops, 3 Count</t>
        </is>
      </c>
      <c r="E465" s="2">
        <f>HYPERLINK("https://www.amazon.com/Retaine-Ophthalmic-Emulsion-Preservative-Free-Drops/dp/B01H4LWNDO/ref=sr_1_6?keywords=Ocusoft%C2%AE+Retaine%C2%AE+MGD+Ophthalmic+Emulsion+Eye+Drops&amp;qid=1695260628&amp;sr=8-6", "https://www.amazon.com/Retaine-Ophthalmic-Emulsion-Preservative-Free-Drops/dp/B01H4LWNDO/ref=sr_1_6?keywords=Ocusoft%C2%AE+Retaine%C2%AE+MGD+Ophthalmic+Emulsion+Eye+Drops&amp;qid=1695260628&amp;sr=8-6")</f>
        <v/>
      </c>
      <c r="F465" t="inlineStr">
        <is>
          <t>B01H4LWNDO</t>
        </is>
      </c>
      <c r="G465">
        <f>IMAGE("https://shop.sonapharmacy.com/cdn/shop/products/3a6705b9-2892-4aba-9207-75b7a70643f4.af2a21a9b5707bfbb5956709d46e3988.jpg?v=1608666681")</f>
        <v/>
      </c>
      <c r="H465">
        <f>IMAGE("https://m.media-amazon.com/images/I/716HeUBGifL._AC_UL320_.jpg")</f>
        <v/>
      </c>
      <c r="I465" t="inlineStr">
        <is>
          <t>23.99</t>
        </is>
      </c>
      <c r="J465" t="n">
        <v>69.95</v>
      </c>
      <c r="K465" s="3" t="inlineStr">
        <is>
          <t>191.58%</t>
        </is>
      </c>
      <c r="L465" t="n">
        <v>4.6</v>
      </c>
      <c r="M465" t="n">
        <v>90</v>
      </c>
      <c r="O465" t="inlineStr">
        <is>
          <t>InStock</t>
        </is>
      </c>
      <c r="P465" t="inlineStr">
        <is>
          <t>undefined</t>
        </is>
      </c>
      <c r="Q465" t="inlineStr">
        <is>
          <t>6168027496600</t>
        </is>
      </c>
    </row>
    <row r="466">
      <c r="A466" s="2">
        <f>HYPERLINK("https://shop.sonapharmacy.com/products/norms-farms-elderberry-extract-8-oz", "https://shop.sonapharmacy.com/products/norms-farms-elderberry-extract-8-oz")</f>
        <v/>
      </c>
      <c r="B466" s="2">
        <f>HYPERLINK("https://shop.sonapharmacy.com/products/norms-farms-elderberry-extract-8-oz", "https://shop.sonapharmacy.com/products/norms-farms-elderberry-extract-8-oz")</f>
        <v/>
      </c>
      <c r="C466" t="inlineStr">
        <is>
          <t>Norm's Farms Elderberry Extract 8oz</t>
        </is>
      </c>
      <c r="D466" t="inlineStr">
        <is>
          <t>Norm's Farms American Elderberry Extract - Pure Concentrate for Immune Support Made with Berries - Vegan, Gluten Free, Non-GMO - 3 8 Oz. Bottles</t>
        </is>
      </c>
      <c r="E466" s="2">
        <f>HYPERLINK("https://www.amazon.com/Norms-Farms-Elderberry-Extract-Bottle/dp/B07DLCBKY1/ref=sr_1_1?keywords=Norm%27s+Farms+Elderberry+Extract+8oz&amp;qid=1695260577&amp;sr=8-1", "https://www.amazon.com/Norms-Farms-Elderberry-Extract-Bottle/dp/B07DLCBKY1/ref=sr_1_1?keywords=Norm%27s+Farms+Elderberry+Extract+8oz&amp;qid=1695260577&amp;sr=8-1")</f>
        <v/>
      </c>
      <c r="F466" t="inlineStr">
        <is>
          <t>B07DLCBKY1</t>
        </is>
      </c>
      <c r="G466">
        <f>IMAGE("https://shop.sonapharmacy.com/cdn/shop/products/NormsFarmsEldExtFront.png?v=1605979598")</f>
        <v/>
      </c>
      <c r="H466">
        <f>IMAGE("https://m.media-amazon.com/images/I/61-JPzKRIuL._AC_UL320_.jpg")</f>
        <v/>
      </c>
      <c r="I466" t="inlineStr">
        <is>
          <t>19.99</t>
        </is>
      </c>
      <c r="J466" t="n">
        <v>57.99</v>
      </c>
      <c r="K466" s="3" t="inlineStr">
        <is>
          <t>190.10%</t>
        </is>
      </c>
      <c r="L466" t="n">
        <v>4.6</v>
      </c>
      <c r="M466" t="n">
        <v>792</v>
      </c>
      <c r="O466" t="inlineStr">
        <is>
          <t>InStock</t>
        </is>
      </c>
      <c r="P466" t="inlineStr">
        <is>
          <t>undefined</t>
        </is>
      </c>
      <c r="Q466" t="inlineStr">
        <is>
          <t>6080443744408</t>
        </is>
      </c>
    </row>
    <row r="467">
      <c r="A467" s="2">
        <f>HYPERLINK("https://shop.sonapharmacy.com/products/airborne-original-immune-support-supplement-chewable-tablets", "https://shop.sonapharmacy.com/products/airborne-original-immune-support-supplement-chewable-tablets")</f>
        <v/>
      </c>
      <c r="B467" s="2">
        <f>HYPERLINK("https://shop.sonapharmacy.com/products/airborne-original-immune-support-supplement-chewable-tablets", "https://shop.sonapharmacy.com/products/airborne-original-immune-support-supplement-chewable-tablets")</f>
        <v/>
      </c>
      <c r="C467" t="inlineStr">
        <is>
          <t>Airborne Original Immune Support Supplement Chewable Tablets 32ct.</t>
        </is>
      </c>
      <c r="D467" t="inlineStr">
        <is>
          <t>Airborne 1000mg Chewable Tablets with Zinc, Immune Support Supplement with Powerful Antioxidants Vitamins A C &amp; E - 200 Tablets, Citrus Flavor</t>
        </is>
      </c>
      <c r="E467" s="2">
        <f>HYPERLINK("https://www.amazon.com/Vitamin-1000mg-Serving-Airborne-Supplement/dp/B08QZMJBFR/ref=sr_1_10?keywords=Airborne+Original+Immune+Support+Supplement+Chewable+Tablets+32ct.&amp;qid=1695260010&amp;sr=8-10", "https://www.amazon.com/Vitamin-1000mg-Serving-Airborne-Supplement/dp/B08QZMJBFR/ref=sr_1_10?keywords=Airborne+Original+Immune+Support+Supplement+Chewable+Tablets+32ct.&amp;qid=1695260010&amp;sr=8-10")</f>
        <v/>
      </c>
      <c r="F467" t="inlineStr">
        <is>
          <t>B08QZMJBFR</t>
        </is>
      </c>
      <c r="G467">
        <f>IMAGE("https://shop.sonapharmacy.com/cdn/shop/products/Untitled-97.jpg?v=1611169249")</f>
        <v/>
      </c>
      <c r="H467">
        <f>IMAGE("https://m.media-amazon.com/images/I/71Cp5BKvnmL._AC_UL320_.jpg")</f>
        <v/>
      </c>
      <c r="I467" t="inlineStr">
        <is>
          <t>10.29</t>
        </is>
      </c>
      <c r="J467" t="n">
        <v>29.73</v>
      </c>
      <c r="K467" s="3" t="inlineStr">
        <is>
          <t>188.92%</t>
        </is>
      </c>
      <c r="L467" t="n">
        <v>4.8</v>
      </c>
      <c r="M467" t="n">
        <v>520</v>
      </c>
      <c r="O467" t="inlineStr">
        <is>
          <t>InStock</t>
        </is>
      </c>
      <c r="P467" t="inlineStr">
        <is>
          <t>undefined</t>
        </is>
      </c>
      <c r="Q467" t="inlineStr">
        <is>
          <t>5244770287768</t>
        </is>
      </c>
    </row>
    <row r="468">
      <c r="A468" s="2">
        <f>HYPERLINK("https://shop.sonapharmacy.com/products/oasis%C2%AE-mouth-moisturizing-spray-mild-mint-1fl-oz", "https://shop.sonapharmacy.com/products/oasis%C2%AE-mouth-moisturizing-spray-mild-mint-1fl-oz")</f>
        <v/>
      </c>
      <c r="B468" s="2">
        <f>HYPERLINK("https://shop.sonapharmacy.com/products/oasis%c2%ae-mouth-moisturizing-spray-mild-mint-1fl-oz", "https://shop.sonapharmacy.com/products/oasis%c2%ae-mouth-moisturizing-spray-mild-mint-1fl-oz")</f>
        <v/>
      </c>
      <c r="C468" t="inlineStr">
        <is>
          <t>Oasis® Mouth Moisturizing Spray Mild Mint 1fl.oz.</t>
        </is>
      </c>
      <c r="D468" t="inlineStr">
        <is>
          <t>Oasis Mouth Moisturizing Spray, Mild Mint, 1 Fl Oz</t>
        </is>
      </c>
      <c r="E468" s="2">
        <f>HYPERLINK("https://www.amazon.com/Oasis-Moisturizing-Mouth-Spray-Mild/dp/B01IA9DHL6/ref=sr_1_2?keywords=Oasis%C2%AE+Mouth+Moisturizing+Spray+Mild+Mint+1fl.oz.&amp;qid=1695260612&amp;sr=8-2", "https://www.amazon.com/Oasis-Moisturizing-Mouth-Spray-Mild/dp/B01IA9DHL6/ref=sr_1_2?keywords=Oasis%C2%AE+Mouth+Moisturizing+Spray+Mild+Mint+1fl.oz.&amp;qid=1695260612&amp;sr=8-2")</f>
        <v/>
      </c>
      <c r="F468" t="inlineStr">
        <is>
          <t>B01IA9DHL6</t>
        </is>
      </c>
      <c r="G468">
        <f>IMAGE("https://shop.sonapharmacy.com/cdn/shop/products/8f8c84aa-9bad-4bac-a54f-e8f111c224fc_1.d51e86c174f0c880125a11b6bef87077.jpg?v=1608566621")</f>
        <v/>
      </c>
      <c r="H468">
        <f>IMAGE("https://m.media-amazon.com/images/I/61aCH9a3YcL._AC_UL320_.jpg")</f>
        <v/>
      </c>
      <c r="I468" t="inlineStr">
        <is>
          <t>7.53</t>
        </is>
      </c>
      <c r="J468" t="n">
        <v>21.75</v>
      </c>
      <c r="K468" s="3" t="inlineStr">
        <is>
          <t>188.84%</t>
        </is>
      </c>
      <c r="L468" t="n">
        <v>5</v>
      </c>
      <c r="M468" t="n">
        <v>2</v>
      </c>
      <c r="O468" t="inlineStr">
        <is>
          <t>InStock</t>
        </is>
      </c>
      <c r="P468" t="inlineStr">
        <is>
          <t>undefined</t>
        </is>
      </c>
      <c r="Q468" t="inlineStr">
        <is>
          <t>6166029861016</t>
        </is>
      </c>
    </row>
    <row r="469">
      <c r="A469" s="2">
        <f>HYPERLINK("https://shop.sonapharmacy.com/products/band-aid-skin-flex-bandage", "https://shop.sonapharmacy.com/products/band-aid-skin-flex-bandage")</f>
        <v/>
      </c>
      <c r="B469" s="2">
        <f>HYPERLINK("https://shop.sonapharmacy.com/products/band-aid-skin-flex-bandage", "https://shop.sonapharmacy.com/products/band-aid-skin-flex-bandage")</f>
        <v/>
      </c>
      <c r="C469" t="inlineStr">
        <is>
          <t>BAND-AID® Skin Flex Bandage</t>
        </is>
      </c>
      <c r="D469" t="inlineStr">
        <is>
          <t>Band-Aid Brand Skin-Flex Adhesive Bandages, Extra Large, 7 Count Per Box (3 Boxes)</t>
        </is>
      </c>
      <c r="E469" s="2">
        <f>HYPERLINK("https://www.amazon.com/Band-Aid-Brand-Skin-Flex-Adhesive-Bandages/dp/B075SRKG7T/ref=sr_1_8?keywords=BAND-AID%C2%AE+Skin+Flex+Bandage&amp;qid=1695260066&amp;sr=8-8", "https://www.amazon.com/Band-Aid-Brand-Skin-Flex-Adhesive-Bandages/dp/B075SRKG7T/ref=sr_1_8?keywords=BAND-AID%C2%AE+Skin+Flex+Bandage&amp;qid=1695260066&amp;sr=8-8")</f>
        <v/>
      </c>
      <c r="F469" t="inlineStr">
        <is>
          <t>B075SRKG7T</t>
        </is>
      </c>
      <c r="G469">
        <f>IMAGE("https://shop.sonapharmacy.com/cdn/shop/products/bab_381371183470_band_aid_band-aid_skin-flex_aos_25ct_007.jpg?v=1627748646")</f>
        <v/>
      </c>
      <c r="H469">
        <f>IMAGE("https://m.media-amazon.com/images/I/81wsIGRnUXL._AC_UL320_.jpg")</f>
        <v/>
      </c>
      <c r="I469" t="inlineStr">
        <is>
          <t>6.33</t>
        </is>
      </c>
      <c r="J469" t="n">
        <v>17.98</v>
      </c>
      <c r="K469" s="3" t="inlineStr">
        <is>
          <t>184.04%</t>
        </is>
      </c>
      <c r="L469" t="n">
        <v>4.6</v>
      </c>
      <c r="M469" t="n">
        <v>1410</v>
      </c>
      <c r="O469" t="inlineStr">
        <is>
          <t>InStock</t>
        </is>
      </c>
      <c r="P469" t="inlineStr">
        <is>
          <t>undefined</t>
        </is>
      </c>
      <c r="Q469" t="inlineStr">
        <is>
          <t>6132997685400</t>
        </is>
      </c>
    </row>
    <row r="470">
      <c r="A470" s="2">
        <f>HYPERLINK("https://shop.sonapharmacy.com/products/band-aid-tough-strips", "https://shop.sonapharmacy.com/products/band-aid-tough-strips")</f>
        <v/>
      </c>
      <c r="B470" s="2">
        <f>HYPERLINK("https://shop.sonapharmacy.com/products/band-aid-tough-strips", "https://shop.sonapharmacy.com/products/band-aid-tough-strips")</f>
        <v/>
      </c>
      <c r="C470" t="inlineStr">
        <is>
          <t>BAND-AID® Tough Strips</t>
        </is>
      </c>
      <c r="D470" t="inlineStr">
        <is>
          <t>Band-Aid Brand Tough Strips Adhesive Bandage, All One Size, 60 Count of 2</t>
        </is>
      </c>
      <c r="E470" s="2">
        <f>HYPERLINK("https://www.amazon.com/Band-Aid-Brand-Strips-Adhesive-Bandage/dp/B09FP7LDJW/ref=sr_1_1?keywords=BAND-AID%C2%AE+Tough+Strips&amp;qid=1695260064&amp;sr=8-1", "https://www.amazon.com/Band-Aid-Brand-Strips-Adhesive-Bandage/dp/B09FP7LDJW/ref=sr_1_1?keywords=BAND-AID%C2%AE+Tough+Strips&amp;qid=1695260064&amp;sr=8-1")</f>
        <v/>
      </c>
      <c r="F470" t="inlineStr">
        <is>
          <t>B09FP7LDJW</t>
        </is>
      </c>
      <c r="G470">
        <f>IMAGE("https://shop.sonapharmacy.com/cdn/shop/products/bab_381370044246_band_aid_band_aid_tough_strip_xl_10ct_007.jpg?v=1607288053")</f>
        <v/>
      </c>
      <c r="H470">
        <f>IMAGE("https://m.media-amazon.com/images/I/91HJXzGJ+fL._AC_UL320_.jpg")</f>
        <v/>
      </c>
      <c r="I470" t="inlineStr">
        <is>
          <t>5.73</t>
        </is>
      </c>
      <c r="J470" t="n">
        <v>16.24</v>
      </c>
      <c r="K470" s="3" t="inlineStr">
        <is>
          <t>183.42%</t>
        </is>
      </c>
      <c r="L470" t="n">
        <v>4.7</v>
      </c>
      <c r="M470" t="n">
        <v>6223</v>
      </c>
      <c r="O470" t="inlineStr">
        <is>
          <t>InStock</t>
        </is>
      </c>
      <c r="P470" t="inlineStr">
        <is>
          <t>undefined</t>
        </is>
      </c>
      <c r="Q470" t="inlineStr">
        <is>
          <t>6134425714840</t>
        </is>
      </c>
    </row>
    <row r="471">
      <c r="A471" s="2">
        <f>HYPERLINK("https://shop.sonapharmacy.com/products/basics-red-yeast-rice-600-mg-capsules", "https://shop.sonapharmacy.com/products/basics-red-yeast-rice-600-mg-capsules")</f>
        <v/>
      </c>
      <c r="B471" s="2">
        <f>HYPERLINK("https://shop.sonapharmacy.com/products/basics-red-yeast-rice-600-mg-capsules", "https://shop.sonapharmacy.com/products/basics-red-yeast-rice-600-mg-capsules")</f>
        <v/>
      </c>
      <c r="C471" t="inlineStr">
        <is>
          <t>Basic's® Red Yeast Rice 600mg Capsules 100ct.</t>
        </is>
      </c>
      <c r="D471" t="inlineStr">
        <is>
          <t>Spring Valley Red Yeast Rice Dietary Supplement, 600mg, Available in 60 or 120 Capsules + Luall Sticker (120)</t>
        </is>
      </c>
      <c r="E471" s="2">
        <f>HYPERLINK("https://www.amazon.com/Dietary-Supplement-Available-Capsules-Sticker/dp/B0C8LNP7KT/ref=sr_1_7?keywords=Basic%27s%C2%AE+Red+Yeast+Rice+600mg+Capsules+100ct.&amp;qid=1695260108&amp;sr=8-7", "https://www.amazon.com/Dietary-Supplement-Available-Capsules-Sticker/dp/B0C8LNP7KT/ref=sr_1_7?keywords=Basic%27s%C2%AE+Red+Yeast+Rice+600mg+Capsules+100ct.&amp;qid=1695260108&amp;sr=8-7")</f>
        <v/>
      </c>
      <c r="F471" t="inlineStr">
        <is>
          <t>B0C8LNP7KT</t>
        </is>
      </c>
      <c r="G471">
        <f>IMAGE("https://shop.sonapharmacy.com/cdn/shop/products/apimk1isp__77354.1592331582.jpg?v=1609342606")</f>
        <v/>
      </c>
      <c r="H471">
        <f>IMAGE("https://m.media-amazon.com/images/I/812pCU-sf9L._AC_UL320_.jpg")</f>
        <v/>
      </c>
      <c r="I471" t="inlineStr">
        <is>
          <t>8.83</t>
        </is>
      </c>
      <c r="J471" t="n">
        <v>24.97</v>
      </c>
      <c r="K471" s="3" t="inlineStr">
        <is>
          <t>182.79%</t>
        </is>
      </c>
      <c r="L471" t="n">
        <v>5</v>
      </c>
      <c r="M471" t="n">
        <v>1</v>
      </c>
      <c r="O471" t="inlineStr">
        <is>
          <t>InStock</t>
        </is>
      </c>
      <c r="P471" t="inlineStr">
        <is>
          <t>undefined</t>
        </is>
      </c>
      <c r="Q471" t="inlineStr">
        <is>
          <t>5240382652568</t>
        </is>
      </c>
    </row>
    <row r="472">
      <c r="A472" s="2">
        <f>HYPERLINK("https://shop.sonapharmacy.com/products/lipo-flavonoid-plus-ear-ringing-reduction-tablets", "https://shop.sonapharmacy.com/products/lipo-flavonoid-plus-ear-ringing-reduction-tablets")</f>
        <v/>
      </c>
      <c r="B472" s="2">
        <f>HYPERLINK("https://shop.sonapharmacy.com/products/lipo-flavonoid-plus-ear-ringing-reduction-tablets", "https://shop.sonapharmacy.com/products/lipo-flavonoid-plus-ear-ringing-reduction-tablets")</f>
        <v/>
      </c>
      <c r="C472" t="inlineStr">
        <is>
          <t>Lipo Flavonoid Plus Ear Ringing Reduction Tablets</t>
        </is>
      </c>
      <c r="D472" t="inlineStr">
        <is>
          <t>Lipo Flavonoid Plus, Tinnitus Relief for Ringing Ears, OTC Flavonoid Ear Health Vitamins, Bioflavonoids &amp; Vitamin C, 500 Caplets</t>
        </is>
      </c>
      <c r="E472" s="2">
        <f>HYPERLINK("https://www.amazon.com/Flavonoid-Tinnitus-Ringing-Vitamins-Bioflavonoids/dp/B01M1NHMEC/ref=sr_1_4?keywords=Lipo+Flavonoid+Plus+Ear+Ringing+Reduction+Tablets&amp;qid=1695260442&amp;sr=8-4", "https://www.amazon.com/Flavonoid-Tinnitus-Ringing-Vitamins-Bioflavonoids/dp/B01M1NHMEC/ref=sr_1_4?keywords=Lipo+Flavonoid+Plus+Ear+Ringing+Reduction+Tablets&amp;qid=1695260442&amp;sr=8-4")</f>
        <v/>
      </c>
      <c r="F472" t="inlineStr">
        <is>
          <t>B01M1NHMEC</t>
        </is>
      </c>
      <c r="G472">
        <f>IMAGE("https://shop.sonapharmacy.com/cdn/shop/products/LipoFlavonoidPlusEarRingingReductionTablets.jpg?v=1594930866")</f>
        <v/>
      </c>
      <c r="H472">
        <f>IMAGE("https://m.media-amazon.com/images/I/71yX6tZFLPL._AC_UL320_.jpg")</f>
        <v/>
      </c>
      <c r="I472" t="inlineStr">
        <is>
          <t>33.73</t>
        </is>
      </c>
      <c r="J472" t="n">
        <v>94.90000000000001</v>
      </c>
      <c r="K472" s="3" t="inlineStr">
        <is>
          <t>181.35%</t>
        </is>
      </c>
      <c r="L472" t="n">
        <v>4.1</v>
      </c>
      <c r="M472" t="n">
        <v>3222</v>
      </c>
      <c r="O472" t="inlineStr">
        <is>
          <t>InStock</t>
        </is>
      </c>
      <c r="P472" t="inlineStr">
        <is>
          <t>undefined</t>
        </is>
      </c>
      <c r="Q472" t="inlineStr">
        <is>
          <t>5240352080024</t>
        </is>
      </c>
    </row>
    <row r="473">
      <c r="A473" s="2">
        <f>HYPERLINK("https://shop.sonapharmacy.com/products/old-spice-high-endurance-pure-sport-body-wash-18fl-oz", "https://shop.sonapharmacy.com/products/old-spice-high-endurance-pure-sport-body-wash-18fl-oz")</f>
        <v/>
      </c>
      <c r="B473" s="2">
        <f>HYPERLINK("https://shop.sonapharmacy.com/products/old-spice-high-endurance-pure-sport-body-wash-18fl-oz", "https://shop.sonapharmacy.com/products/old-spice-high-endurance-pure-sport-body-wash-18fl-oz")</f>
        <v/>
      </c>
      <c r="C473" t="inlineStr">
        <is>
          <t>Old Spice High Endurance Pure Sport Body Wash 18fl. oz.</t>
        </is>
      </c>
      <c r="D473" t="inlineStr">
        <is>
          <t>Old Spice High Endurance Body Wash, Fresh, 18 oz, 2 pk</t>
        </is>
      </c>
      <c r="E473" s="2">
        <f>HYPERLINK("https://www.amazon.com/Old-Spice-High-Endurance-Fresh/dp/B00JF2JMK8/ref=sr_1_8?keywords=Old+Spice+High+Endurance+Pure+Sport+Body+Wash+18fl.+oz.&amp;qid=1695260603&amp;sr=8-8", "https://www.amazon.com/Old-Spice-High-Endurance-Fresh/dp/B00JF2JMK8/ref=sr_1_8?keywords=Old+Spice+High+Endurance+Pure+Sport+Body+Wash+18fl.+oz.&amp;qid=1695260603&amp;sr=8-8")</f>
        <v/>
      </c>
      <c r="F473" t="inlineStr">
        <is>
          <t>B00JF2JMK8</t>
        </is>
      </c>
      <c r="G473">
        <f>IMAGE("https://shop.sonapharmacy.com/cdn/shop/products/13f57484-3da0-417b-9e06-c938236c196e_1.b91e30808ac13bebc5df666aaa4bd21e.jpg?v=1608490257")</f>
        <v/>
      </c>
      <c r="H473">
        <f>IMAGE("https://m.media-amazon.com/images/I/7116v8Acu4L._AC_UL320_.jpg")</f>
        <v/>
      </c>
      <c r="I473" t="inlineStr">
        <is>
          <t>6.29</t>
        </is>
      </c>
      <c r="J473" t="n">
        <v>17.69</v>
      </c>
      <c r="K473" s="3" t="inlineStr">
        <is>
          <t>181.24%</t>
        </is>
      </c>
      <c r="L473" t="n">
        <v>4.8</v>
      </c>
      <c r="M473" t="n">
        <v>173</v>
      </c>
      <c r="O473" t="inlineStr">
        <is>
          <t>InStock</t>
        </is>
      </c>
      <c r="P473" t="inlineStr">
        <is>
          <t>undefined</t>
        </is>
      </c>
      <c r="Q473" t="inlineStr">
        <is>
          <t>6164784414872</t>
        </is>
      </c>
    </row>
    <row r="474">
      <c r="A474" s="2">
        <f>HYPERLINK("https://shop.sonapharmacy.com/products/dulcolax-stool-softener", "https://shop.sonapharmacy.com/products/dulcolax-stool-softener")</f>
        <v/>
      </c>
      <c r="B474" s="2">
        <f>HYPERLINK("https://shop.sonapharmacy.com/products/dulcolax-stool-softener", "https://shop.sonapharmacy.com/products/dulcolax-stool-softener")</f>
        <v/>
      </c>
      <c r="C474" t="inlineStr">
        <is>
          <t>Dulcolax® Stimulant-Free Stool Softener</t>
        </is>
      </c>
      <c r="D474" t="inlineStr">
        <is>
          <t>Colace Regular Strength Stool Softener 100 mg Capsules 100 Count Docusate Sodium Stimulant-Free for Gentle, Dependable Occasional Constipation Relief</t>
        </is>
      </c>
      <c r="E474" s="2">
        <f>HYPERLINK("https://www.amazon.com/Colace-Stimulant-Free-Dependable-Occasional-Constipation/dp/B09RS1WN8Y/ref=sr_1_7?keywords=Dulcolax%C2%AE+Stimulant-Free+Stool+Softener&amp;qid=1695260237&amp;rdc=1&amp;sr=8-7", "https://www.amazon.com/Colace-Stimulant-Free-Dependable-Occasional-Constipation/dp/B09RS1WN8Y/ref=sr_1_7?keywords=Dulcolax%C2%AE+Stimulant-Free+Stool+Softener&amp;qid=1695260237&amp;rdc=1&amp;sr=8-7")</f>
        <v/>
      </c>
      <c r="F474" t="inlineStr">
        <is>
          <t>B09RS1WN8Y</t>
        </is>
      </c>
      <c r="G474">
        <f>IMAGE("https://shop.sonapharmacy.com/cdn/shop/products/Dulcolaxfront.png?v=1606929104")</f>
        <v/>
      </c>
      <c r="H474">
        <f>IMAGE("https://m.media-amazon.com/images/I/71wfuKmQDSL._AC_UL320_.jpg")</f>
        <v/>
      </c>
      <c r="I474" t="inlineStr">
        <is>
          <t>6.99</t>
        </is>
      </c>
      <c r="J474" t="n">
        <v>19.54</v>
      </c>
      <c r="K474" s="3" t="inlineStr">
        <is>
          <t>179.54%</t>
        </is>
      </c>
      <c r="L474" t="n">
        <v>4.6</v>
      </c>
      <c r="M474" t="n">
        <v>11298</v>
      </c>
      <c r="O474" t="inlineStr">
        <is>
          <t>InStock</t>
        </is>
      </c>
      <c r="P474" t="inlineStr">
        <is>
          <t>undefined</t>
        </is>
      </c>
      <c r="Q474" t="inlineStr">
        <is>
          <t>6119975911576</t>
        </is>
      </c>
    </row>
    <row r="475">
      <c r="A475" s="2">
        <f>HYPERLINK("https://shop.sonapharmacy.com/products/poise%C2%AE-pads-ultimate-absorbency-regular-length-33ct", "https://shop.sonapharmacy.com/products/poise%C2%AE-pads-ultimate-absorbency-regular-length-33ct")</f>
        <v/>
      </c>
      <c r="B475" s="2">
        <f>HYPERLINK("https://shop.sonapharmacy.com/products/poise%c2%ae-pads-ultimate-absorbency-regular-length-33ct", "https://shop.sonapharmacy.com/products/poise%c2%ae-pads-ultimate-absorbency-regular-length-33ct")</f>
        <v/>
      </c>
      <c r="C475" t="inlineStr">
        <is>
          <t>Poise® Pads Ultimate Absorbency Regular Length 33ct.</t>
        </is>
      </c>
      <c r="D475" t="inlineStr">
        <is>
          <t>Poise Incontinence Pads &amp; Postpartum Incontinence Pads, 6 Drop Ultimate Absorbency, Regular Length, 112 Count</t>
        </is>
      </c>
      <c r="E475" s="2">
        <f>HYPERLINK("https://www.amazon.com/Poise-Incontinence-Ultimate-Absorbency-Regular/dp/B06W5CN2ZK/ref=sr_1_2?keywords=Poise%C2%AE+Pads+Ultimate+Absorbency+Regular+Length+33ct.&amp;qid=1695260641&amp;rdc=1&amp;sr=8-2", "https://www.amazon.com/Poise-Incontinence-Ultimate-Absorbency-Regular/dp/B06W5CN2ZK/ref=sr_1_2?keywords=Poise%C2%AE+Pads+Ultimate+Absorbency+Regular+Length+33ct.&amp;qid=1695260641&amp;rdc=1&amp;sr=8-2")</f>
        <v/>
      </c>
      <c r="F475" t="inlineStr">
        <is>
          <t>B06W5CN2ZK</t>
        </is>
      </c>
      <c r="G475">
        <f>IMAGE("https://shop.sonapharmacy.com/cdn/shop/products/81jKQQoGnuL._AC_SL1500.jpg?v=1611073225")</f>
        <v/>
      </c>
      <c r="H475">
        <f>IMAGE("https://m.media-amazon.com/images/I/818H4Ybnh9L._AC_UL320_.jpg")</f>
        <v/>
      </c>
      <c r="I475" t="inlineStr">
        <is>
          <t>16.99</t>
        </is>
      </c>
      <c r="J475" t="n">
        <v>46.99</v>
      </c>
      <c r="K475" s="3" t="inlineStr">
        <is>
          <t>176.57%</t>
        </is>
      </c>
      <c r="L475" t="n">
        <v>4.6</v>
      </c>
      <c r="M475" t="n">
        <v>6288</v>
      </c>
      <c r="O475" t="inlineStr">
        <is>
          <t>InStock</t>
        </is>
      </c>
      <c r="P475" t="inlineStr">
        <is>
          <t>undefined</t>
        </is>
      </c>
      <c r="Q475" t="inlineStr">
        <is>
          <t>6226491670680</t>
        </is>
      </c>
    </row>
    <row r="476">
      <c r="A476" s="2">
        <f>HYPERLINK("https://shop.sonapharmacy.com/products/contour-next-ez-meter", "https://shop.sonapharmacy.com/products/contour-next-ez-meter")</f>
        <v/>
      </c>
      <c r="B476" s="2">
        <f>HYPERLINK("https://shop.sonapharmacy.com/products/contour-next-ez-meter", "https://shop.sonapharmacy.com/products/contour-next-ez-meter")</f>
        <v/>
      </c>
      <c r="C476" t="inlineStr">
        <is>
          <t>Contour® Next EZ Meter</t>
        </is>
      </c>
      <c r="D476" t="inlineStr">
        <is>
          <t>O Well Contour Next EZ Diabetes Testing Kit, Contour Next EZ Blood Glucose Meter, 50 Contour Next Blood Glucose Test Strips, 50 O'WELL Lancets, O'WELL Lancing Device, LogBook and Carry Case</t>
        </is>
      </c>
      <c r="E476" s="2">
        <f>HYPERLINK("https://www.amazon.com/Contour-Diabetes-Testing-Glucose-Solution/dp/B01HDWVFHO/ref=sr_1_7?keywords=Contour%C2%AE+Next+EZ+Meter&amp;qid=1695260151&amp;sr=8-7", "https://www.amazon.com/Contour-Diabetes-Testing-Glucose-Solution/dp/B01HDWVFHO/ref=sr_1_7?keywords=Contour%C2%AE+Next+EZ+Meter&amp;qid=1695260151&amp;sr=8-7")</f>
        <v/>
      </c>
      <c r="F476" t="inlineStr">
        <is>
          <t>B01HDWVFHO</t>
        </is>
      </c>
      <c r="G476">
        <f>IMAGE("https://shop.sonapharmacy.com/cdn/shop/products/ContourNextEZMeter.jpg?v=1594302465")</f>
        <v/>
      </c>
      <c r="H476">
        <f>IMAGE("https://m.media-amazon.com/images/I/61O6ef7r0PL._AC_UL320_.jpg")</f>
        <v/>
      </c>
      <c r="I476" t="inlineStr">
        <is>
          <t>19.89</t>
        </is>
      </c>
      <c r="J476" t="n">
        <v>54.99</v>
      </c>
      <c r="K476" s="3" t="inlineStr">
        <is>
          <t>176.47%</t>
        </is>
      </c>
      <c r="L476" t="n">
        <v>4.6</v>
      </c>
      <c r="M476" t="n">
        <v>630</v>
      </c>
      <c r="O476" t="inlineStr">
        <is>
          <t>InStock</t>
        </is>
      </c>
      <c r="P476" t="inlineStr">
        <is>
          <t>undefined</t>
        </is>
      </c>
      <c r="Q476" t="inlineStr">
        <is>
          <t>4892914974859</t>
        </is>
      </c>
    </row>
    <row r="477">
      <c r="A477" s="2">
        <f>HYPERLINK("https://shop.sonapharmacy.com/products/always%C2%AE-maxi-size-5-extra-heavy-unscented-overnight-pads-with-wings-20ct", "https://shop.sonapharmacy.com/products/always%C2%AE-maxi-size-5-extra-heavy-unscented-overnight-pads-with-wings-20ct")</f>
        <v/>
      </c>
      <c r="B477" s="2">
        <f>HYPERLINK("https://shop.sonapharmacy.com/products/always%c2%ae-maxi-size-5-extra-heavy-unscented-overnight-pads-with-wings-20ct", "https://shop.sonapharmacy.com/products/always%c2%ae-maxi-size-5-extra-heavy-unscented-overnight-pads-with-wings-20ct")</f>
        <v/>
      </c>
      <c r="C477" t="inlineStr">
        <is>
          <t>Always Maxi Size 5 Extra Heavy Unscented Overnight Pads with Wings 20ct.</t>
        </is>
      </c>
      <c r="D477" t="inlineStr">
        <is>
          <t>Always Infinity Feminine Pads for Women, Size 5 Extra Heavy Overnight, with wings, unscented, 66ct</t>
        </is>
      </c>
      <c r="E477" s="2">
        <f>HYPERLINK("https://www.amazon.com/Always-Infinity-Feminine-Overnight-Unscented/dp/B07NLXKYWN/ref=sr_1_8?keywords=Always+Maxi+Size+5+Extra+Heavy+Unscented+Overnight+Pads+with+Wings+20ct.&amp;qid=1695260003&amp;sr=8-8", "https://www.amazon.com/Always-Infinity-Feminine-Overnight-Unscented/dp/B07NLXKYWN/ref=sr_1_8?keywords=Always+Maxi+Size+5+Extra+Heavy+Unscented+Overnight+Pads+with+Wings+20ct.&amp;qid=1695260003&amp;sr=8-8")</f>
        <v/>
      </c>
      <c r="F477" t="inlineStr">
        <is>
          <t>B07NLXKYWN</t>
        </is>
      </c>
      <c r="G477">
        <f>IMAGE("https://shop.sonapharmacy.com/cdn/shop/products/f85907b4-6cb1-40e1-8ffb-d041bcc3b3a7_1.7c196897b875635d3dc81fa597313ccd.jpg?v=1609183812")</f>
        <v/>
      </c>
      <c r="H477">
        <f>IMAGE("https://m.media-amazon.com/images/I/81gylXGP4rL._AC_UL320_.jpg")</f>
        <v/>
      </c>
      <c r="I477" t="inlineStr">
        <is>
          <t>7.69</t>
        </is>
      </c>
      <c r="J477" t="n">
        <v>21.24</v>
      </c>
      <c r="K477" s="3" t="inlineStr">
        <is>
          <t>176.20%</t>
        </is>
      </c>
      <c r="L477" t="n">
        <v>4.7</v>
      </c>
      <c r="M477" t="n">
        <v>17167</v>
      </c>
      <c r="O477" t="inlineStr">
        <is>
          <t>InStock</t>
        </is>
      </c>
      <c r="P477" t="inlineStr">
        <is>
          <t>undefined</t>
        </is>
      </c>
      <c r="Q477" t="inlineStr">
        <is>
          <t>6177888108696</t>
        </is>
      </c>
    </row>
    <row r="478">
      <c r="A478" s="2">
        <f>HYPERLINK("https://shop.sonapharmacy.com/products/integrative-therapeutics%C2%AE-probiotic-pearls-capsules-30ct", "https://shop.sonapharmacy.com/products/integrative-therapeutics%C2%AE-probiotic-pearls-capsules-30ct")</f>
        <v/>
      </c>
      <c r="B478" s="2">
        <f>HYPERLINK("https://shop.sonapharmacy.com/products/integrative-therapeutics%c2%ae-probiotic-pearls-capsules-30ct", "https://shop.sonapharmacy.com/products/integrative-therapeutics%c2%ae-probiotic-pearls-capsules-30ct")</f>
        <v/>
      </c>
      <c r="C478" t="inlineStr">
        <is>
          <t>Integrative Therapeutics® Probiotic Pearls Capsules</t>
        </is>
      </c>
      <c r="D478" t="inlineStr">
        <is>
          <t>Integrative Therapeutics Probiotic Pearls - Digestive Balance and Gut Health Support* - Lactobacillus acidophilus and Bifidobacterium - Daily Supplement for Men and Women - 90 Capsules</t>
        </is>
      </c>
      <c r="E478" s="2">
        <f>HYPERLINK("https://www.amazon.com/Integrative-Therapeutics-Lactobacillus-Acidophilus-Non-Refrigerated/dp/B0011023KS/ref=sr_1_5?keywords=Integrative+Therapeutics%C2%AE+Probiotic+Pearls+Capsules&amp;qid=1695260438&amp;sr=8-5", "https://www.amazon.com/Integrative-Therapeutics-Lactobacillus-Acidophilus-Non-Refrigerated/dp/B0011023KS/ref=sr_1_5?keywords=Integrative+Therapeutics%C2%AE+Probiotic+Pearls+Capsules&amp;qid=1695260438&amp;sr=8-5")</f>
        <v/>
      </c>
      <c r="F478" t="inlineStr">
        <is>
          <t>B0011023KS</t>
        </is>
      </c>
      <c r="G478">
        <f>IMAGE("https://shop.sonapharmacy.com/cdn/shop/products/61L34pt0USL._AC_SL1387.jpg?v=1620665770")</f>
        <v/>
      </c>
      <c r="H478">
        <f>IMAGE("https://m.media-amazon.com/images/I/512dkqxpCnL._AC_UL320_.jpg")</f>
        <v/>
      </c>
      <c r="I478" t="inlineStr">
        <is>
          <t>15.75</t>
        </is>
      </c>
      <c r="J478" t="n">
        <v>43</v>
      </c>
      <c r="K478" s="3" t="inlineStr">
        <is>
          <t>173.02%</t>
        </is>
      </c>
      <c r="L478" t="n">
        <v>4.7</v>
      </c>
      <c r="M478" t="n">
        <v>594</v>
      </c>
      <c r="O478" t="inlineStr">
        <is>
          <t>OutOfStock</t>
        </is>
      </c>
      <c r="P478" t="inlineStr">
        <is>
          <t>undefined</t>
        </is>
      </c>
      <c r="Q478" t="inlineStr">
        <is>
          <t>6747642200216</t>
        </is>
      </c>
    </row>
    <row r="479">
      <c r="A479" s="2">
        <f>HYPERLINK("https://shop.sonapharmacy.com/products/buf-puf-double-sided-body-sponge", "https://shop.sonapharmacy.com/products/buf-puf-double-sided-body-sponge")</f>
        <v/>
      </c>
      <c r="B479" s="2">
        <f>HYPERLINK("https://shop.sonapharmacy.com/products/buf-puf-double-sided-body-sponge", "https://shop.sonapharmacy.com/products/buf-puf-double-sided-body-sponge")</f>
        <v/>
      </c>
      <c r="C479" t="inlineStr">
        <is>
          <t>Buf-Puf® Double Sided Body Sponge</t>
        </is>
      </c>
      <c r="D479" t="inlineStr">
        <is>
          <t>Buf-Puf Double Sided Body Sponge, 2 pk</t>
        </is>
      </c>
      <c r="E479" s="2">
        <f>HYPERLINK("https://www.amazon.com/Buf-Puf-Double-Sided-Body-Sponge/dp/B00JGQNFGU/ref=sr_1_7?keywords=Buf-Puf%C2%AE+Double+Sided+Body+Sponge&amp;qid=1695260116&amp;sr=8-7", "https://www.amazon.com/Buf-Puf-Double-Sided-Body-Sponge/dp/B00JGQNFGU/ref=sr_1_7?keywords=Buf-Puf%C2%AE+Double+Sided+Body+Sponge&amp;qid=1695260116&amp;sr=8-7")</f>
        <v/>
      </c>
      <c r="F479" t="inlineStr">
        <is>
          <t>B00JGQNFGU</t>
        </is>
      </c>
      <c r="G479">
        <f>IMAGE("https://shop.sonapharmacy.com/cdn/shop/products/81GmjrZ2b8L._SL1500.jpg?v=1608495033")</f>
        <v/>
      </c>
      <c r="H479">
        <f>IMAGE("https://m.media-amazon.com/images/I/61UWCMbKXSL._AC_UL320_.jpg")</f>
        <v/>
      </c>
      <c r="I479" t="inlineStr">
        <is>
          <t>5.99</t>
        </is>
      </c>
      <c r="J479" t="n">
        <v>16.29</v>
      </c>
      <c r="K479" s="3" t="inlineStr">
        <is>
          <t>171.95%</t>
        </is>
      </c>
      <c r="L479" t="n">
        <v>4.8</v>
      </c>
      <c r="M479" t="n">
        <v>511</v>
      </c>
      <c r="O479" t="inlineStr">
        <is>
          <t>OutOfStock</t>
        </is>
      </c>
      <c r="P479" t="inlineStr">
        <is>
          <t>undefined</t>
        </is>
      </c>
      <c r="Q479" t="inlineStr">
        <is>
          <t>6164815347864</t>
        </is>
      </c>
    </row>
    <row r="480">
      <c r="A480" s="2">
        <f>HYPERLINK("https://shop.sonapharmacy.com/products/advil-200-mg-ibuprofen-tablets", "https://shop.sonapharmacy.com/products/advil-200-mg-ibuprofen-tablets")</f>
        <v/>
      </c>
      <c r="B480" s="2">
        <f>HYPERLINK("https://shop.sonapharmacy.com/products/advil-200-mg-ibuprofen-tablets", "https://shop.sonapharmacy.com/products/advil-200-mg-ibuprofen-tablets")</f>
        <v/>
      </c>
      <c r="C480" t="inlineStr">
        <is>
          <t>Advil 200mg Ibuprofen Tablets</t>
        </is>
      </c>
      <c r="D480" t="inlineStr">
        <is>
          <t>Advil Pain Reliever and Fever Reducer, Pain Relief Medicine with Ibuprofen 200mg for Headache, Backache, Menstrual Pain and Joint Pain Relief - 300 Coated Tablets</t>
        </is>
      </c>
      <c r="E480" s="2">
        <f>HYPERLINK("https://www.amazon.com/Advil-Reliever-Ibuprofen-Headaches-Toothaches/dp/B004ZCT1M2/ref=sr_1_1?keywords=Advil+200mg+Ibuprofen+Tablets&amp;qid=1695260034&amp;sr=8-1", "https://www.amazon.com/Advil-Reliever-Ibuprofen-Headaches-Toothaches/dp/B004ZCT1M2/ref=sr_1_1?keywords=Advil+200mg+Ibuprofen+Tablets&amp;qid=1695260034&amp;sr=8-1")</f>
        <v/>
      </c>
      <c r="F480" t="inlineStr">
        <is>
          <t>B004ZCT1M2</t>
        </is>
      </c>
      <c r="G480">
        <f>IMAGE("https://shop.sonapharmacy.com/cdn/shop/products/71csOFCEiJL._SL1200.jpg?v=1611188571")</f>
        <v/>
      </c>
      <c r="H480">
        <f>IMAGE("https://m.media-amazon.com/images/I/71TKja1yz5L._AC_UL320_.jpg")</f>
        <v/>
      </c>
      <c r="I480" t="inlineStr">
        <is>
          <t>5.89</t>
        </is>
      </c>
      <c r="J480" t="n">
        <v>15.82</v>
      </c>
      <c r="K480" s="3" t="inlineStr">
        <is>
          <t>168.59%</t>
        </is>
      </c>
      <c r="L480" t="n">
        <v>4.9</v>
      </c>
      <c r="M480" t="n">
        <v>11442</v>
      </c>
      <c r="O480" t="inlineStr">
        <is>
          <t>InStock</t>
        </is>
      </c>
      <c r="P480" t="inlineStr">
        <is>
          <t>undefined</t>
        </is>
      </c>
      <c r="Q480" t="inlineStr">
        <is>
          <t>5248168394904</t>
        </is>
      </c>
    </row>
    <row r="481">
      <c r="A481" s="2">
        <f>HYPERLINK("https://shop.sonapharmacy.com/products/depend%C2%AE-for-men-guard-maximum-absorbency-pads-52ct", "https://shop.sonapharmacy.com/products/depend%C2%AE-for-men-guard-maximum-absorbency-pads-52ct")</f>
        <v/>
      </c>
      <c r="B481" s="2">
        <f>HYPERLINK("https://shop.sonapharmacy.com/products/depend%c2%ae-for-men-guard-maximum-absorbency-pads-52ct", "https://shop.sonapharmacy.com/products/depend%c2%ae-for-men-guard-maximum-absorbency-pads-52ct")</f>
        <v/>
      </c>
      <c r="C481" t="inlineStr">
        <is>
          <t>Depend® For Men Guard Maximum Absorbency Pads 52ct.</t>
        </is>
      </c>
      <c r="D481" t="inlineStr">
        <is>
          <t>Depend Incontinence Guards/Incontinence Pads for Men/Bladder Control Pads, Maximum Absorbency, 168 Count</t>
        </is>
      </c>
      <c r="E481" s="2">
        <f>HYPERLINK("https://www.amazon.com/Depend-Incontinence-Bladder-Absorbency-Packaging/dp/B087DPD3LD/ref=sr_1_3?keywords=Depend%C2%AE+For+Men+Guard+Maximum+Absorbency+Pads+52ct.&amp;qid=1695260193&amp;sr=8-3", "https://www.amazon.com/Depend-Incontinence-Bladder-Absorbency-Packaging/dp/B087DPD3LD/ref=sr_1_3?keywords=Depend%C2%AE+For+Men+Guard+Maximum+Absorbency+Pads+52ct.&amp;qid=1695260193&amp;sr=8-3")</f>
        <v/>
      </c>
      <c r="F481" t="inlineStr">
        <is>
          <t>B087DPD3LD</t>
        </is>
      </c>
      <c r="G481">
        <f>IMAGE("https://shop.sonapharmacy.com/cdn/shop/products/71MqtBk9N_L._AC_SL1500.jpg?v=1611075181")</f>
        <v/>
      </c>
      <c r="H481">
        <f>IMAGE("https://m.media-amazon.com/images/I/61Lc97tY0wL._AC_UL320_.jpg")</f>
        <v/>
      </c>
      <c r="I481" t="inlineStr">
        <is>
          <t>16.79</t>
        </is>
      </c>
      <c r="J481" t="n">
        <v>44.95</v>
      </c>
      <c r="K481" s="3" t="inlineStr">
        <is>
          <t>167.72%</t>
        </is>
      </c>
      <c r="L481" t="n">
        <v>4.6</v>
      </c>
      <c r="M481" t="n">
        <v>15362</v>
      </c>
      <c r="O481" t="inlineStr">
        <is>
          <t>OutOfStock</t>
        </is>
      </c>
      <c r="P481" t="inlineStr">
        <is>
          <t>undefined</t>
        </is>
      </c>
      <c r="Q481" t="inlineStr">
        <is>
          <t>6226529091736</t>
        </is>
      </c>
    </row>
    <row r="482">
      <c r="A482" s="2">
        <f>HYPERLINK("https://shop.sonapharmacy.com/products/apex%C2%AE-copper-bracelet-wide-link", "https://shop.sonapharmacy.com/products/apex%C2%AE-copper-bracelet-wide-link")</f>
        <v/>
      </c>
      <c r="B482" s="2">
        <f>HYPERLINK("https://shop.sonapharmacy.com/products/apex%c2%ae-copper-bracelet-wide-link", "https://shop.sonapharmacy.com/products/apex%c2%ae-copper-bracelet-wide-link")</f>
        <v/>
      </c>
      <c r="C482" t="inlineStr">
        <is>
          <t>Apex Copper Bracelet Wide Link</t>
        </is>
      </c>
      <c r="D482" t="inlineStr">
        <is>
          <t>Men's 9 Inch Solid Copper Link Bracelet CB639G - 5/8 of an inch wide. Our widest design.</t>
        </is>
      </c>
      <c r="E482" s="2">
        <f>HYPERLINK("https://www.amazon.com/Mens-Copper-Link-Bracelet-CB639G/dp/B07CVTGSW1/ref=sr_1_2?keywords=Apex+Copper+Bracelet+Wide+Link&amp;qid=1695260007&amp;sr=8-2", "https://www.amazon.com/Mens-Copper-Link-Bracelet-CB639G/dp/B07CVTGSW1/ref=sr_1_2?keywords=Apex+Copper+Bracelet+Wide+Link&amp;qid=1695260007&amp;sr=8-2")</f>
        <v/>
      </c>
      <c r="F482" t="inlineStr">
        <is>
          <t>B07CVTGSW1</t>
        </is>
      </c>
      <c r="G482">
        <f>IMAGE("https://shop.sonapharmacy.com/cdn/shop/products/71VE0YzNdrL._AC_SL1500.jpg?v=1609958190")</f>
        <v/>
      </c>
      <c r="H482">
        <f>IMAGE("https://m.media-amazon.com/images/I/61-Wbozl4oL._AC_UL320_.jpg")</f>
        <v/>
      </c>
      <c r="I482" t="inlineStr">
        <is>
          <t>16.49</t>
        </is>
      </c>
      <c r="J482" t="n">
        <v>44</v>
      </c>
      <c r="K482" s="3" t="inlineStr">
        <is>
          <t>166.83%</t>
        </is>
      </c>
      <c r="L482" t="n">
        <v>4.9</v>
      </c>
      <c r="M482" t="n">
        <v>11</v>
      </c>
      <c r="O482" t="inlineStr">
        <is>
          <t>OutOfStock</t>
        </is>
      </c>
      <c r="P482" t="inlineStr">
        <is>
          <t>undefined</t>
        </is>
      </c>
      <c r="Q482" t="inlineStr">
        <is>
          <t>6197898281112</t>
        </is>
      </c>
    </row>
    <row r="483">
      <c r="A483" s="2">
        <f>HYPERLINK("https://shop.sonapharmacy.com/products/eucerin%C2%AE-spf-30-daily-protection-face-lotion-4fl-oz", "https://shop.sonapharmacy.com/products/eucerin%C2%AE-spf-30-daily-protection-face-lotion-4fl-oz")</f>
        <v/>
      </c>
      <c r="B483" s="2">
        <f>HYPERLINK("https://shop.sonapharmacy.com/products/eucerin%c2%ae-spf-30-daily-protection-face-lotion-4fl-oz", "https://shop.sonapharmacy.com/products/eucerin%c2%ae-spf-30-daily-protection-face-lotion-4fl-oz")</f>
        <v/>
      </c>
      <c r="C483" t="inlineStr">
        <is>
          <t>Eucerin® SPF 30 Daily Protection Face Lotion 4fl. oz.</t>
        </is>
      </c>
      <c r="D483" t="inlineStr">
        <is>
          <t>Eucerin Daily Protection Broad Spectrum SPF 30 Moisturizing Face Lotion 4 oz Per Bottle (2 Bottles)</t>
        </is>
      </c>
      <c r="E483" s="2">
        <f>HYPERLINK("https://www.amazon.com/Eucerin-Protection-Spectrum-Moisturizing-Bottles/dp/B01BZFMEAC/ref=sr_1_5?keywords=Eucerin%C2%AE+SPF+30+Daily+Protection+Face+Lotion+4fl.+oz.&amp;qid=1695260234&amp;sr=8-5", "https://www.amazon.com/Eucerin-Protection-Spectrum-Moisturizing-Bottles/dp/B01BZFMEAC/ref=sr_1_5?keywords=Eucerin%C2%AE+SPF+30+Daily+Protection+Face+Lotion+4fl.+oz.&amp;qid=1695260234&amp;sr=8-5")</f>
        <v/>
      </c>
      <c r="F483" t="inlineStr">
        <is>
          <t>B01BZFMEAC</t>
        </is>
      </c>
      <c r="G483">
        <f>IMAGE("https://shop.sonapharmacy.com/cdn/shop/products/eda2b0f0-3b02-42ee-ad6c-e3ab52ac5d65_1.b223dd35d322ca4c627804613c003ea8.jpg?v=1608414946")</f>
        <v/>
      </c>
      <c r="H483">
        <f>IMAGE("https://m.media-amazon.com/images/I/31s62U9IskL._AC_UL320_.jpg")</f>
        <v/>
      </c>
      <c r="I483" t="inlineStr">
        <is>
          <t>9.63</t>
        </is>
      </c>
      <c r="J483" t="n">
        <v>25.48</v>
      </c>
      <c r="K483" s="3" t="inlineStr">
        <is>
          <t>164.59%</t>
        </is>
      </c>
      <c r="L483" t="n">
        <v>4</v>
      </c>
      <c r="M483" t="n">
        <v>24</v>
      </c>
      <c r="O483" t="inlineStr">
        <is>
          <t>InStock</t>
        </is>
      </c>
      <c r="P483" t="inlineStr">
        <is>
          <t>undefined</t>
        </is>
      </c>
      <c r="Q483" t="inlineStr">
        <is>
          <t>6162485248152</t>
        </is>
      </c>
    </row>
    <row r="484">
      <c r="A484" s="2">
        <f>HYPERLINK("https://shop.sonapharmacy.com/products/accu-chek-guide-test-strips-50-ct", "https://shop.sonapharmacy.com/products/accu-chek-guide-test-strips-50-ct")</f>
        <v/>
      </c>
      <c r="B484" s="2">
        <f>HYPERLINK("https://shop.sonapharmacy.com/products/accu-chek-guide-test-strips-50-ct", "https://shop.sonapharmacy.com/products/accu-chek-guide-test-strips-50-ct")</f>
        <v/>
      </c>
      <c r="C484" t="inlineStr">
        <is>
          <t>Accu-Chek Guide Test Strips</t>
        </is>
      </c>
      <c r="D484" t="inlineStr">
        <is>
          <t>ACCU-CHEK SmartView Test Strips 50 Each</t>
        </is>
      </c>
      <c r="E484" s="2">
        <f>HYPERLINK("https://www.amazon.com/ACCU-CHEK-SmartView-Test-Strips-Each/dp/B00DVK01GO/ref=sr_1_5?keywords=Accu-Chek+Guide+Test+Strips&amp;qid=1695260023&amp;sr=8-5", "https://www.amazon.com/ACCU-CHEK-SmartView-Test-Strips-Each/dp/B00DVK01GO/ref=sr_1_5?keywords=Accu-Chek+Guide+Test+Strips&amp;qid=1695260023&amp;sr=8-5")</f>
        <v/>
      </c>
      <c r="F484" t="inlineStr">
        <is>
          <t>B00DVK01GO</t>
        </is>
      </c>
      <c r="G484">
        <f>IMAGE("https://shop.sonapharmacy.com/cdn/shop/products/Accu-ChekGuideTestStrips50ct.yyy.jpg?v=1594217683")</f>
        <v/>
      </c>
      <c r="H484">
        <f>IMAGE("https://m.media-amazon.com/images/I/61Ax-xbuVJL._AC_UL320_.jpg")</f>
        <v/>
      </c>
      <c r="I484" t="inlineStr">
        <is>
          <t>26.49</t>
        </is>
      </c>
      <c r="J484" t="n">
        <v>69.98999999999999</v>
      </c>
      <c r="K484" s="3" t="inlineStr">
        <is>
          <t>164.21%</t>
        </is>
      </c>
      <c r="L484" t="n">
        <v>4.6</v>
      </c>
      <c r="M484" t="n">
        <v>175</v>
      </c>
      <c r="O484" t="inlineStr">
        <is>
          <t>InStock</t>
        </is>
      </c>
      <c r="P484" t="inlineStr">
        <is>
          <t>undefined</t>
        </is>
      </c>
      <c r="Q484" t="inlineStr">
        <is>
          <t>4896210092171</t>
        </is>
      </c>
    </row>
    <row r="485">
      <c r="A485" s="2">
        <f>HYPERLINK("https://shop.sonapharmacy.com/products/destin%C2%AE-maximum-strength-original-zinc-oxide-paste", "https://shop.sonapharmacy.com/products/destin%C2%AE-maximum-strength-original-zinc-oxide-paste")</f>
        <v/>
      </c>
      <c r="B485" s="2">
        <f>HYPERLINK("https://shop.sonapharmacy.com/products/destin%c2%ae-maximum-strength-original-zinc-oxide-paste", "https://shop.sonapharmacy.com/products/destin%c2%ae-maximum-strength-original-zinc-oxide-paste")</f>
        <v/>
      </c>
      <c r="C485" t="inlineStr">
        <is>
          <t>Desitin® Maximum Strength Original Zinc Oxide Paste</t>
        </is>
      </c>
      <c r="D485" t="inlineStr">
        <is>
          <t>Desitin Maximum Strength Baby Diaper Rash Cream with 40% Zinc Oxide for Treatment, Relief &amp; Prevention, Hypoallergenic, Phthalate- &amp; Paraben-Free Paste, 16 oz</t>
        </is>
      </c>
      <c r="E485" s="2">
        <f>HYPERLINK("https://www.amazon.com/Desitin-Maximum-Strength-Diaper-Prevention/dp/B00BH0PZBG/ref=sr_1_1?keywords=Desitin%C2%AE+Maximum+Strength+Original+Zinc+Oxide+Paste&amp;qid=1695260219&amp;sr=8-1", "https://www.amazon.com/Desitin-Maximum-Strength-Diaper-Prevention/dp/B00BH0PZBG/ref=sr_1_1?keywords=Desitin%C2%AE+Maximum+Strength+Original+Zinc+Oxide+Paste&amp;qid=1695260219&amp;sr=8-1")</f>
        <v/>
      </c>
      <c r="F485" t="inlineStr">
        <is>
          <t>B00BH0PZBG</t>
        </is>
      </c>
      <c r="G485">
        <f>IMAGE("https://shop.sonapharmacy.com/cdn/shop/products/b1859bbf-4d6b-4045-b977-72d347bf2080_1.02748a72a944267a9dc673f01bcd7d63.jpg?v=1609271319")</f>
        <v/>
      </c>
      <c r="H485">
        <f>IMAGE("https://m.media-amazon.com/images/I/81TCdfcWPxL._AC_UL320_.jpg")</f>
        <v/>
      </c>
      <c r="I485" t="inlineStr">
        <is>
          <t>7.33</t>
        </is>
      </c>
      <c r="J485" t="n">
        <v>19.28</v>
      </c>
      <c r="K485" s="3" t="inlineStr">
        <is>
          <t>163.03%</t>
        </is>
      </c>
      <c r="L485" t="n">
        <v>4.8</v>
      </c>
      <c r="M485" t="n">
        <v>15803</v>
      </c>
      <c r="O485" t="inlineStr">
        <is>
          <t>InStock</t>
        </is>
      </c>
      <c r="P485" t="inlineStr">
        <is>
          <t>undefined</t>
        </is>
      </c>
      <c r="Q485" t="inlineStr">
        <is>
          <t>6180582588568</t>
        </is>
      </c>
    </row>
    <row r="486">
      <c r="A486" s="2">
        <f>HYPERLINK("https://shop.sonapharmacy.com/products/boudreauxs-butt-paste%C2%AE-original-diaper-rash-ointment", "https://shop.sonapharmacy.com/products/boudreauxs-butt-paste%C2%AE-original-diaper-rash-ointment")</f>
        <v/>
      </c>
      <c r="B486" s="2">
        <f>HYPERLINK("https://shop.sonapharmacy.com/products/boudreauxs-butt-paste%c2%ae-original-diaper-rash-ointment", "https://shop.sonapharmacy.com/products/boudreauxs-butt-paste%c2%ae-original-diaper-rash-ointment")</f>
        <v/>
      </c>
      <c r="C486" t="inlineStr">
        <is>
          <t>Boudreaux's Butt Paste® Original Diaper Rash Ointment</t>
        </is>
      </c>
      <c r="D486" t="inlineStr">
        <is>
          <t>Boudreaux's Butt Paste Maximum Strength Diaper Rash Cream, Ointment for Baby, 14 oz Flip-Top Jar</t>
        </is>
      </c>
      <c r="E486" s="2">
        <f>HYPERLINK("https://www.amazon.com/Boudreauxs-Butt-Paste-Ointment-Preservative/dp/B01LZF07GU/ref=sr_1_6?keywords=Boudreaux%27s+Butt+Paste%C2%AE+Original+Diaper+Rash+Ointment&amp;qid=1695260099&amp;rdc=1&amp;sr=8-6", "https://www.amazon.com/Boudreauxs-Butt-Paste-Ointment-Preservative/dp/B01LZF07GU/ref=sr_1_6?keywords=Boudreaux%27s+Butt+Paste%C2%AE+Original+Diaper+Rash+Ointment&amp;qid=1695260099&amp;rdc=1&amp;sr=8-6")</f>
        <v/>
      </c>
      <c r="F486" t="inlineStr">
        <is>
          <t>B01LZF07GU</t>
        </is>
      </c>
      <c r="G486">
        <f>IMAGE("https://shop.sonapharmacy.com/cdn/shop/products/2oz.jpg?v=1609271951")</f>
        <v/>
      </c>
      <c r="H486">
        <f>IMAGE("https://m.media-amazon.com/images/I/71ddd8+c3vL._AC_UL320_.jpg")</f>
        <v/>
      </c>
      <c r="I486" t="inlineStr">
        <is>
          <t>6.49</t>
        </is>
      </c>
      <c r="J486" t="n">
        <v>16.97</v>
      </c>
      <c r="K486" s="3" t="inlineStr">
        <is>
          <t>161.48%</t>
        </is>
      </c>
      <c r="L486" t="n">
        <v>4.7</v>
      </c>
      <c r="M486" t="n">
        <v>15464</v>
      </c>
      <c r="O486" t="inlineStr">
        <is>
          <t>InStock</t>
        </is>
      </c>
      <c r="P486" t="inlineStr">
        <is>
          <t>undefined</t>
        </is>
      </c>
      <c r="Q486" t="inlineStr">
        <is>
          <t>6180591599768</t>
        </is>
      </c>
    </row>
    <row r="487">
      <c r="A487" s="2">
        <f>HYPERLINK("https://shop.sonapharmacy.com/products/curad-compact-first-aid-kit", "https://shop.sonapharmacy.com/products/curad-compact-first-aid-kit")</f>
        <v/>
      </c>
      <c r="B487" s="2">
        <f>HYPERLINK("https://shop.sonapharmacy.com/products/curad-compact-first-aid-kit", "https://shop.sonapharmacy.com/products/curad-compact-first-aid-kit")</f>
        <v/>
      </c>
      <c r="C487" t="inlineStr">
        <is>
          <t>Curad® Compact First Aid Kit</t>
        </is>
      </c>
      <c r="D487" t="inlineStr">
        <is>
          <t>Johnson &amp; Johnson All-Purpose Portable Compact First Aid Kit for Minor Cuts, Scrapes, Sprains &amp; Burns, Ideal for Home, Car, Travel, Camping and Outdoor Emergencies, 160 pieces</t>
        </is>
      </c>
      <c r="E487" s="2">
        <f>HYPERLINK("https://www.amazon.com/Johnson-All-Purpose-Portable-Compact-Emergency/dp/B09NWH8553/ref=sr_1_5?keywords=Curad%C2%AE+Compact+First+Aid+Kit&amp;qid=1695260179&amp;sr=8-5", "https://www.amazon.com/Johnson-All-Purpose-Portable-Compact-Emergency/dp/B09NWH8553/ref=sr_1_5?keywords=Curad%C2%AE+Compact+First+Aid+Kit&amp;qid=1695260179&amp;sr=8-5")</f>
        <v/>
      </c>
      <c r="F487" t="inlineStr">
        <is>
          <t>B09NWH8553</t>
        </is>
      </c>
      <c r="G487">
        <f>IMAGE("https://shop.sonapharmacy.com/cdn/shop/products/SKU_CURFAK200RB_BOX_RIGHT_RGB_500x550_575adfc4-7192-4115-907f-353af88557b0.png?v=1607719376")</f>
        <v/>
      </c>
      <c r="H487">
        <f>IMAGE("https://m.media-amazon.com/images/I/817vU1ZDWGL._AC_UL320_.jpg")</f>
        <v/>
      </c>
      <c r="I487" t="inlineStr">
        <is>
          <t>6.73</t>
        </is>
      </c>
      <c r="J487" t="n">
        <v>17.48</v>
      </c>
      <c r="K487" s="3" t="inlineStr">
        <is>
          <t>159.73%</t>
        </is>
      </c>
      <c r="L487" t="n">
        <v>4.8</v>
      </c>
      <c r="M487" t="n">
        <v>19993</v>
      </c>
      <c r="O487" t="inlineStr">
        <is>
          <t>InStock</t>
        </is>
      </c>
      <c r="P487" t="inlineStr">
        <is>
          <t>undefined</t>
        </is>
      </c>
      <c r="Q487" t="inlineStr">
        <is>
          <t>6147911057560</t>
        </is>
      </c>
    </row>
    <row r="488">
      <c r="A488" s="2">
        <f>HYPERLINK("https://shop.sonapharmacy.com/products/duracell%C2%AE-303-357-76-silver-oxide-button-battery", "https://shop.sonapharmacy.com/products/duracell%C2%AE-303-357-76-silver-oxide-button-battery")</f>
        <v/>
      </c>
      <c r="B488" s="2">
        <f>HYPERLINK("https://shop.sonapharmacy.com/products/duracell%c2%ae-303-357-76-silver-oxide-button-battery", "https://shop.sonapharmacy.com/products/duracell%c2%ae-303-357-76-silver-oxide-button-battery")</f>
        <v/>
      </c>
      <c r="C488" t="inlineStr">
        <is>
          <t>Duracell® 303/357/76 Silver Oxide Button Battery</t>
        </is>
      </c>
      <c r="D488" t="inlineStr">
        <is>
          <t>10 Duracell 357 303 A76 PX76 SR44W/SW LR44 AG13 Silver Oxide Battery</t>
        </is>
      </c>
      <c r="E488" s="2">
        <f>HYPERLINK("https://www.amazon.com/Duracell-SR44W-Silver-Oxide-Battery/dp/B013IPN5BE/ref=sr_1_3?keywords=Duracell%C2%AE+303%2F357%2F76+Silver+Oxide+Button+Battery&amp;qid=1695260202&amp;sr=8-3", "https://www.amazon.com/Duracell-SR44W-Silver-Oxide-Battery/dp/B013IPN5BE/ref=sr_1_3?keywords=Duracell%C2%AE+303%2F357%2F76+Silver+Oxide+Button+Battery&amp;qid=1695260202&amp;sr=8-3")</f>
        <v/>
      </c>
      <c r="F488" t="inlineStr">
        <is>
          <t>B013IPN5BE</t>
        </is>
      </c>
      <c r="G488">
        <f>IMAGE("https://shop.sonapharmacy.com/cdn/shop/products/3099066_A.eps_High_540x_008cc7a8-ba13-4a78-a067-abc0e573a874.jpg?v=1610332687")</f>
        <v/>
      </c>
      <c r="H488">
        <f>IMAGE("https://m.media-amazon.com/images/I/71-gQyCZJIL._AC_UL320_.jpg")</f>
        <v/>
      </c>
      <c r="I488" t="inlineStr">
        <is>
          <t>8.39</t>
        </is>
      </c>
      <c r="J488" t="n">
        <v>21.78</v>
      </c>
      <c r="K488" s="3" t="inlineStr">
        <is>
          <t>159.59%</t>
        </is>
      </c>
      <c r="L488" t="n">
        <v>4.7</v>
      </c>
      <c r="M488" t="n">
        <v>936</v>
      </c>
      <c r="O488" t="inlineStr">
        <is>
          <t>InStock</t>
        </is>
      </c>
      <c r="P488" t="inlineStr">
        <is>
          <t>undefined</t>
        </is>
      </c>
      <c r="Q488" t="inlineStr">
        <is>
          <t>6206488117400</t>
        </is>
      </c>
    </row>
    <row r="489">
      <c r="A489" s="2">
        <f>HYPERLINK("https://shop.sonapharmacy.com/products/major-senna-tablets", "https://shop.sonapharmacy.com/products/major-senna-tablets")</f>
        <v/>
      </c>
      <c r="B489" s="2">
        <f>HYPERLINK("https://shop.sonapharmacy.com/products/major-senna-tablets", "https://shop.sonapharmacy.com/products/major-senna-tablets")</f>
        <v/>
      </c>
      <c r="C489" t="inlineStr">
        <is>
          <t>Major Senna Tablets</t>
        </is>
      </c>
      <c r="D489" t="inlineStr">
        <is>
          <t>Major Senna Laxative TABS SENNOSIDES-9 MG Brown 1000 Tablets UPC 309046434801</t>
        </is>
      </c>
      <c r="E489" s="2">
        <f>HYPERLINK("https://www.amazon.com/Major-Laxative-SENNOSIDES-9-Tablets-309046434801/dp/B01AS1F78U/ref=sr_1_6?keywords=Major+Senna+Tablets&amp;qid=1695260458&amp;sr=8-6", "https://www.amazon.com/Major-Laxative-SENNOSIDES-9-Tablets-309046434801/dp/B01AS1F78U/ref=sr_1_6?keywords=Major+Senna+Tablets&amp;qid=1695260458&amp;sr=8-6")</f>
        <v/>
      </c>
      <c r="F489" t="inlineStr">
        <is>
          <t>B01AS1F78U</t>
        </is>
      </c>
      <c r="G489">
        <f>IMAGE("https://shop.sonapharmacy.com/cdn/shop/products/MajorSennaFront.png?v=1606923439")</f>
        <v/>
      </c>
      <c r="H489">
        <f>IMAGE("https://m.media-amazon.com/images/I/61E3ErTGiJL._AC_UL320_.jpg")</f>
        <v/>
      </c>
      <c r="I489" t="inlineStr">
        <is>
          <t>5.92</t>
        </is>
      </c>
      <c r="J489" t="n">
        <v>15.08</v>
      </c>
      <c r="K489" s="3" t="inlineStr">
        <is>
          <t>154.73%</t>
        </is>
      </c>
      <c r="L489" t="n">
        <v>5</v>
      </c>
      <c r="M489" t="n">
        <v>5</v>
      </c>
      <c r="O489" t="inlineStr">
        <is>
          <t>InStock</t>
        </is>
      </c>
      <c r="P489" t="inlineStr">
        <is>
          <t>undefined</t>
        </is>
      </c>
      <c r="Q489" t="inlineStr">
        <is>
          <t>6119836188824</t>
        </is>
      </c>
    </row>
    <row r="490">
      <c r="A490" s="2">
        <f>HYPERLINK("https://shop.sonapharmacy.com/products/refresh-optive%C2%AE-advanced-triple-action-relief-eye-drops", "https://shop.sonapharmacy.com/products/refresh-optive%C2%AE-advanced-triple-action-relief-eye-drops")</f>
        <v/>
      </c>
      <c r="B490" s="2">
        <f>HYPERLINK("https://shop.sonapharmacy.com/products/refresh-optive%c2%ae-advanced-triple-action-relief-eye-drops", "https://shop.sonapharmacy.com/products/refresh-optive%c2%ae-advanced-triple-action-relief-eye-drops")</f>
        <v/>
      </c>
      <c r="C490" t="inlineStr">
        <is>
          <t>Refresh® Optive® Advanced Preservative Free Eye Drops</t>
        </is>
      </c>
      <c r="D490" t="inlineStr">
        <is>
          <t>Refresh Optive Adv Pf Eye Size 30ct Refresh Optive Advanced Preservative Free Eye Drops</t>
        </is>
      </c>
      <c r="E490" s="2">
        <f>HYPERLINK("https://www.amazon.com/Refresh-Optive-Advanced-Preservative-Drops/dp/B00HA7UAEC/ref=sr_1_8?keywords=Refresh%C2%AE+Optive%C2%AE+Advanced+Preservative+Free+Eye+Drops&amp;qid=1695260683&amp;sr=8-8", "https://www.amazon.com/Refresh-Optive-Advanced-Preservative-Drops/dp/B00HA7UAEC/ref=sr_1_8?keywords=Refresh%C2%AE+Optive%C2%AE+Advanced+Preservative+Free+Eye+Drops&amp;qid=1695260683&amp;sr=8-8")</f>
        <v/>
      </c>
      <c r="F490" t="inlineStr">
        <is>
          <t>B00HA7UAEC</t>
        </is>
      </c>
      <c r="G490">
        <f>IMAGE("https://shop.sonapharmacy.com/cdn/shop/products/refresh-optive-advanced-presfree-hero-packaging.png?v=1608823825")</f>
        <v/>
      </c>
      <c r="H490">
        <f>IMAGE("https://m.media-amazon.com/images/I/619DjdN3dPL._AC_UL320_.jpg")</f>
        <v/>
      </c>
      <c r="I490" t="inlineStr">
        <is>
          <t>17.99</t>
        </is>
      </c>
      <c r="J490" t="n">
        <v>45</v>
      </c>
      <c r="K490" s="3" t="inlineStr">
        <is>
          <t>150.14%</t>
        </is>
      </c>
      <c r="L490" t="n">
        <v>5</v>
      </c>
      <c r="M490" t="n">
        <v>3</v>
      </c>
      <c r="O490" t="inlineStr">
        <is>
          <t>InStock</t>
        </is>
      </c>
      <c r="P490" t="inlineStr">
        <is>
          <t>undefined</t>
        </is>
      </c>
      <c r="Q490" t="inlineStr">
        <is>
          <t>6171296891032</t>
        </is>
      </c>
    </row>
    <row r="491">
      <c r="A491" s="2">
        <f>HYPERLINK("https://shop.sonapharmacy.com/products/sun-bum%C2%AE-mineral-spf-50-sunscreen-lotion-3oz", "https://shop.sonapharmacy.com/products/sun-bum%C2%AE-mineral-spf-50-sunscreen-lotion-3oz")</f>
        <v/>
      </c>
      <c r="B491" s="2">
        <f>HYPERLINK("https://shop.sonapharmacy.com/products/sun-bum%c2%ae-mineral-spf-50-sunscreen-lotion-3oz", "https://shop.sonapharmacy.com/products/sun-bum%c2%ae-mineral-spf-50-sunscreen-lotion-3oz")</f>
        <v/>
      </c>
      <c r="C491" t="inlineStr">
        <is>
          <t>Sun Bum® Mineral SPF 50 Sunscreen Lotion 3oz.</t>
        </is>
      </c>
      <c r="D491" t="inlineStr">
        <is>
          <t>Sun Bum Signature Mineral Based Sunscreen Lotion, SPF 50 and Sun Bum Signature Mineral Based Face Stick, SPF 30</t>
        </is>
      </c>
      <c r="E491" s="2">
        <f>HYPERLINK("https://www.amazon.com/Sun-Bum-Signature-Mineral-Sunscreen/dp/B07BJBP7J1/ref=sr_1_5?keywords=Sun+Bum%C2%AE+Mineral+SPF+50+Sunscreen+Lotion+3oz.&amp;qid=1695260736&amp;sr=8-5", "https://www.amazon.com/Sun-Bum-Signature-Mineral-Sunscreen/dp/B07BJBP7J1/ref=sr_1_5?keywords=Sun+Bum%C2%AE+Mineral+SPF+50+Sunscreen+Lotion+3oz.&amp;qid=1695260736&amp;sr=8-5")</f>
        <v/>
      </c>
      <c r="F491" t="inlineStr">
        <is>
          <t>B07BJBP7J1</t>
        </is>
      </c>
      <c r="G491">
        <f>IMAGE("https://shop.sonapharmacy.com/cdn/shop/products/61BXE36gB1L._SL1500__1.jpg?v=1629233458")</f>
        <v/>
      </c>
      <c r="H491">
        <f>IMAGE("https://m.media-amazon.com/images/I/51mUxsclMDL._AC_UL320_.jpg")</f>
        <v/>
      </c>
      <c r="I491" t="inlineStr">
        <is>
          <t>14.99</t>
        </is>
      </c>
      <c r="J491" t="n">
        <v>37.48</v>
      </c>
      <c r="K491" s="3" t="inlineStr">
        <is>
          <t>150.03%</t>
        </is>
      </c>
      <c r="L491" t="n">
        <v>5</v>
      </c>
      <c r="M491" t="n">
        <v>5</v>
      </c>
      <c r="O491" t="inlineStr">
        <is>
          <t>InStock</t>
        </is>
      </c>
      <c r="P491" t="inlineStr">
        <is>
          <t>undefined</t>
        </is>
      </c>
      <c r="Q491" t="inlineStr">
        <is>
          <t>6952244904088</t>
        </is>
      </c>
    </row>
    <row r="492">
      <c r="A492" s="2">
        <f>HYPERLINK("https://shop.sonapharmacy.com/products/sun-bum%C2%AE-mineral-spf-30-sunscreen-lotion-3", "https://shop.sonapharmacy.com/products/sun-bum%C2%AE-mineral-spf-30-sunscreen-lotion-3")</f>
        <v/>
      </c>
      <c r="B492" s="2">
        <f>HYPERLINK("https://shop.sonapharmacy.com/products/sun-bum%c2%ae-mineral-spf-30-sunscreen-lotion-3", "https://shop.sonapharmacy.com/products/sun-bum%c2%ae-mineral-spf-30-sunscreen-lotion-3")</f>
        <v/>
      </c>
      <c r="C492" t="inlineStr">
        <is>
          <t>Sun Bum® Mineral SPF 50 Sunscreen Lotion 3oz</t>
        </is>
      </c>
      <c r="D492" t="inlineStr">
        <is>
          <t>Sun Bum Signature Mineral Based Sunscreen Lotion, SPF 50 and Sun Bum Signature Mineral Based Face Stick, SPF 30</t>
        </is>
      </c>
      <c r="E492" s="2">
        <f>HYPERLINK("https://www.amazon.com/Sun-Bum-Signature-Mineral-Sunscreen/dp/B07BJBP7J1/ref=sr_1_10?keywords=Sun+Bum%C2%AE+Mineral+SPF+50+Sunscreen+Lotion+3oz&amp;qid=1695260735&amp;sr=8-10", "https://www.amazon.com/Sun-Bum-Signature-Mineral-Sunscreen/dp/B07BJBP7J1/ref=sr_1_10?keywords=Sun+Bum%C2%AE+Mineral+SPF+50+Sunscreen+Lotion+3oz&amp;qid=1695260735&amp;sr=8-10")</f>
        <v/>
      </c>
      <c r="F492" t="inlineStr">
        <is>
          <t>B07BJBP7J1</t>
        </is>
      </c>
      <c r="G492">
        <f>IMAGE("https://shop.sonapharmacy.com/cdn/shop/products/61BXE36gB1L._SL1500.jpg?v=1629233300")</f>
        <v/>
      </c>
      <c r="H492">
        <f>IMAGE("https://m.media-amazon.com/images/I/51mUxsclMDL._AC_UL320_.jpg")</f>
        <v/>
      </c>
      <c r="I492" t="inlineStr">
        <is>
          <t>14.99</t>
        </is>
      </c>
      <c r="J492" t="n">
        <v>37.48</v>
      </c>
      <c r="K492" s="3" t="inlineStr">
        <is>
          <t>150.03%</t>
        </is>
      </c>
      <c r="L492" t="n">
        <v>5</v>
      </c>
      <c r="M492" t="n">
        <v>5</v>
      </c>
      <c r="O492" t="inlineStr">
        <is>
          <t>InStock</t>
        </is>
      </c>
      <c r="P492" t="inlineStr">
        <is>
          <t>undefined</t>
        </is>
      </c>
      <c r="Q492" t="inlineStr">
        <is>
          <t>6952250114200</t>
        </is>
      </c>
    </row>
    <row r="493">
      <c r="A493" s="2">
        <f>HYPERLINK("https://shop.sonapharmacy.com/products/sundown-vitamin-e-oil-2-5fl", "https://shop.sonapharmacy.com/products/sundown-vitamin-e-oil-2-5fl")</f>
        <v/>
      </c>
      <c r="B493" s="2">
        <f>HYPERLINK("https://shop.sonapharmacy.com/products/sundown-vitamin-e-oil-2-5fl", "https://shop.sonapharmacy.com/products/sundown-vitamin-e-oil-2-5fl")</f>
        <v/>
      </c>
      <c r="C493" t="inlineStr">
        <is>
          <t>Sundown Vitamin E Oil 2.5fl</t>
        </is>
      </c>
      <c r="D493" t="inlineStr">
        <is>
          <t>Sundown Pure Vitamin E Oil 70,000 IU, 2 pk</t>
        </is>
      </c>
      <c r="E493" s="2">
        <f>HYPERLINK("https://www.amazon.com/Sundown-Pure-Vitamin-Oil-000/dp/B00J11LQHK/ref=sr_1_7?keywords=Sundown+Vitamin+E+Oil+2.5fl&amp;qid=1695260741&amp;sr=8-7", "https://www.amazon.com/Sundown-Pure-Vitamin-Oil-000/dp/B00J11LQHK/ref=sr_1_7?keywords=Sundown+Vitamin+E+Oil+2.5fl&amp;qid=1695260741&amp;sr=8-7")</f>
        <v/>
      </c>
      <c r="F493" t="inlineStr">
        <is>
          <t>B00J11LQHK</t>
        </is>
      </c>
      <c r="G493">
        <f>IMAGE("https://shop.sonapharmacy.com/cdn/shop/products/b5528557-4aee-4dfe-a2a2-302b5998af18_1.8e7a790b89db2b249d70e2d54929257f.jpg?v=1608242073")</f>
        <v/>
      </c>
      <c r="H493">
        <f>IMAGE("https://m.media-amazon.com/images/I/617JNIMc+KL._AC_UL320_.jpg")</f>
        <v/>
      </c>
      <c r="I493" t="inlineStr">
        <is>
          <t>8.89</t>
        </is>
      </c>
      <c r="J493" t="n">
        <v>22.01</v>
      </c>
      <c r="K493" s="3" t="inlineStr">
        <is>
          <t>147.58%</t>
        </is>
      </c>
      <c r="L493" t="n">
        <v>4.2</v>
      </c>
      <c r="M493" t="n">
        <v>15</v>
      </c>
      <c r="O493" t="inlineStr">
        <is>
          <t>InStock</t>
        </is>
      </c>
      <c r="P493" t="inlineStr">
        <is>
          <t>undefined</t>
        </is>
      </c>
      <c r="Q493" t="inlineStr">
        <is>
          <t>6158887780504</t>
        </is>
      </c>
    </row>
    <row r="494">
      <c r="A494" s="2">
        <f>HYPERLINK("https://shop.sonapharmacy.com/products/metagenics-coq10-st-100", "https://shop.sonapharmacy.com/products/metagenics-coq10-st-100")</f>
        <v/>
      </c>
      <c r="B494" s="2">
        <f>HYPERLINK("https://shop.sonapharmacy.com/products/metagenics-coq10-st-100", "https://shop.sonapharmacy.com/products/metagenics-coq10-st-100")</f>
        <v/>
      </c>
      <c r="C494" t="inlineStr">
        <is>
          <t>Metagenics CoQ10 ST-100</t>
        </is>
      </c>
      <c r="D494" t="inlineStr">
        <is>
          <t>Metagenics - CoQ10 ST-100 120 softgels</t>
        </is>
      </c>
      <c r="E494" s="2">
        <f>HYPERLINK("https://www.amazon.com/Metagenics-CoQ10-ST-100-120-softgels/dp/B001F6FIDC/ref=sr_1_4?keywords=Metagenics+CoQ10+ST-100&amp;qid=1695260461&amp;sr=8-4", "https://www.amazon.com/Metagenics-CoQ10-ST-100-120-softgels/dp/B001F6FIDC/ref=sr_1_4?keywords=Metagenics+CoQ10+ST-100&amp;qid=1695260461&amp;sr=8-4")</f>
        <v/>
      </c>
      <c r="F494" t="inlineStr">
        <is>
          <t>B001F6FIDC</t>
        </is>
      </c>
      <c r="G494">
        <f>IMAGE("https://shop.sonapharmacy.com/cdn/shop/products/ccabd559-90cf-4ade-9938-9635db5c3192-358-358.png?v=1668627545")</f>
        <v/>
      </c>
      <c r="H494">
        <f>IMAGE("https://m.media-amazon.com/images/I/21kkXXvVSCL._AC_UL320_.jpg")</f>
        <v/>
      </c>
      <c r="I494" t="inlineStr">
        <is>
          <t>64.25</t>
        </is>
      </c>
      <c r="J494" t="n">
        <v>159</v>
      </c>
      <c r="K494" s="3" t="inlineStr">
        <is>
          <t>147.47%</t>
        </is>
      </c>
      <c r="L494" t="n">
        <v>4.8</v>
      </c>
      <c r="M494" t="n">
        <v>9</v>
      </c>
      <c r="O494" t="inlineStr">
        <is>
          <t>InStock</t>
        </is>
      </c>
      <c r="P494" t="inlineStr">
        <is>
          <t>undefined</t>
        </is>
      </c>
      <c r="Q494" t="inlineStr">
        <is>
          <t>7920466690268</t>
        </is>
      </c>
    </row>
    <row r="495">
      <c r="A495" s="2">
        <f>HYPERLINK("https://shop.sonapharmacy.com/products/arrid%E2%84%A2-extra-extra-dry%E2%84%A2-ultra-fresh-aerosol-deodorant-6oz", "https://shop.sonapharmacy.com/products/arrid%E2%84%A2-extra-extra-dry%E2%84%A2-ultra-fresh-aerosol-deodorant-6oz")</f>
        <v/>
      </c>
      <c r="B495" s="2">
        <f>HYPERLINK("https://shop.sonapharmacy.com/products/arrid%e2%84%a2-extra-extra-dry%e2%84%a2-ultra-fresh-aerosol-deodorant-6oz", "https://shop.sonapharmacy.com/products/arrid%e2%84%a2-extra-extra-dry%e2%84%a2-ultra-fresh-aerosol-deodorant-6oz")</f>
        <v/>
      </c>
      <c r="C495" t="inlineStr">
        <is>
          <t>ARRID Extra Extra Dry Ultra Fresh Aerosol Deodorant 6oz.</t>
        </is>
      </c>
      <c r="D495" t="inlineStr">
        <is>
          <t>Arrid Xx U/Clr-U/Frsh Size 6z Arrid Extra Extra Dry Ultra Clear Ultra Fresh Aerosol Deodorant</t>
        </is>
      </c>
      <c r="E495" s="2">
        <f>HYPERLINK("https://www.amazon.com/Arrid-Clr-U-Extra-Aerosol-Deodorant/dp/B01IADVLYW/ref=sr_1_9?keywords=ARRID+Extra+Extra+Dry+Ultra+Fresh+Aerosol+Deodorant+6oz.&amp;qid=1695260023&amp;sr=8-9", "https://www.amazon.com/Arrid-Clr-U-Extra-Aerosol-Deodorant/dp/B01IADVLYW/ref=sr_1_9?keywords=ARRID+Extra+Extra+Dry+Ultra+Fresh+Aerosol+Deodorant+6oz.&amp;qid=1695260023&amp;sr=8-9")</f>
        <v/>
      </c>
      <c r="F495" t="inlineStr">
        <is>
          <t>B01IADVLYW</t>
        </is>
      </c>
      <c r="G495">
        <f>IMAGE("https://shop.sonapharmacy.com/cdn/shop/products/718BtHVNUzL._SL1500.jpg?v=1609098924")</f>
        <v/>
      </c>
      <c r="H495">
        <f>IMAGE("https://m.media-amazon.com/images/I/71Vee0ly7PL._AC_UL320_.jpg")</f>
        <v/>
      </c>
      <c r="I495" t="inlineStr">
        <is>
          <t>6.79</t>
        </is>
      </c>
      <c r="J495" t="n">
        <v>16.53</v>
      </c>
      <c r="K495" s="3" t="inlineStr">
        <is>
          <t>143.45%</t>
        </is>
      </c>
      <c r="L495" t="n">
        <v>5</v>
      </c>
      <c r="M495" t="n">
        <v>2</v>
      </c>
      <c r="O495" t="inlineStr">
        <is>
          <t>InStock</t>
        </is>
      </c>
      <c r="P495" t="inlineStr">
        <is>
          <t>undefined</t>
        </is>
      </c>
      <c r="Q495" t="inlineStr">
        <is>
          <t>6175999099032</t>
        </is>
      </c>
    </row>
    <row r="496">
      <c r="A496" s="2">
        <f>HYPERLINK("https://shop.sonapharmacy.com/products/destin%C2%AE-daily-defense-cream", "https://shop.sonapharmacy.com/products/destin%C2%AE-daily-defense-cream")</f>
        <v/>
      </c>
      <c r="B496" s="2">
        <f>HYPERLINK("https://shop.sonapharmacy.com/products/destin%c2%ae-daily-defense-cream", "https://shop.sonapharmacy.com/products/destin%c2%ae-daily-defense-cream")</f>
        <v/>
      </c>
      <c r="C496" t="inlineStr">
        <is>
          <t>Desitin® Daily Defense Cream</t>
        </is>
      </c>
      <c r="D496" t="inlineStr">
        <is>
          <t>Desitin Daily Defense Baby Diaper Rash Cream with 13% Zinc Oxide, Barrier Cream to Treat, Relieve &amp; Prevent Diaper Rash, Hypoallergenic, Dye-, Phthalate- &amp; Paraben-Free, 16 oz</t>
        </is>
      </c>
      <c r="E496" s="2">
        <f>HYPERLINK("https://www.amazon.com/Desitin-Relief-Diaper-Remedy-Fragrance-Free/dp/B003DN1WJY/ref=sr_1_1?keywords=Desitin%C2%AE+Daily+Defense+Cream&amp;qid=1695260184&amp;sr=8-1", "https://www.amazon.com/Desitin-Relief-Diaper-Remedy-Fragrance-Free/dp/B003DN1WJY/ref=sr_1_1?keywords=Desitin%C2%AE+Daily+Defense+Cream&amp;qid=1695260184&amp;sr=8-1")</f>
        <v/>
      </c>
      <c r="F496" t="inlineStr">
        <is>
          <t>B003DN1WJY</t>
        </is>
      </c>
      <c r="G496">
        <f>IMAGE("https://shop.sonapharmacy.com/cdn/shop/products/b8d255e3-761d-4dc1-bc22-63911aec1a42.339ed60a62d8c105695012d734e4478b.jpg?v=1609270993")</f>
        <v/>
      </c>
      <c r="H496">
        <f>IMAGE("https://m.media-amazon.com/images/I/81Rk2g2vtSL._AC_UL320_.jpg")</f>
        <v/>
      </c>
      <c r="I496" t="inlineStr">
        <is>
          <t>6.49</t>
        </is>
      </c>
      <c r="J496" t="n">
        <v>15.73</v>
      </c>
      <c r="K496" s="3" t="inlineStr">
        <is>
          <t>142.37%</t>
        </is>
      </c>
      <c r="L496" t="n">
        <v>4.8</v>
      </c>
      <c r="M496" t="n">
        <v>15898</v>
      </c>
      <c r="O496" t="inlineStr">
        <is>
          <t>InStock</t>
        </is>
      </c>
      <c r="P496" t="inlineStr">
        <is>
          <t>undefined</t>
        </is>
      </c>
      <c r="Q496" t="inlineStr">
        <is>
          <t>6180578197656</t>
        </is>
      </c>
    </row>
    <row r="497">
      <c r="A497" s="2">
        <f>HYPERLINK("https://shop.sonapharmacy.com/products/cetaphil%C2%AE-moisturizing-cream-for-dry-sensitive-skin-3-oz-tube", "https://shop.sonapharmacy.com/products/cetaphil%C2%AE-moisturizing-cream-for-dry-sensitive-skin-3-oz-tube")</f>
        <v/>
      </c>
      <c r="B497" s="2">
        <f>HYPERLINK("https://shop.sonapharmacy.com/products/cetaphil%c2%ae-moisturizing-cream-for-dry-sensitive-skin-3-oz-tube", "https://shop.sonapharmacy.com/products/cetaphil%c2%ae-moisturizing-cream-for-dry-sensitive-skin-3-oz-tube")</f>
        <v/>
      </c>
      <c r="C497" t="inlineStr">
        <is>
          <t>Cetaphil® Moisturizing Cream for Very Dry, Sensitive Skin</t>
        </is>
      </c>
      <c r="D497" t="inlineStr">
        <is>
          <t>Cetaphil Body Moisturizer, Hydrating Moisturizing Cream for Dry to Very Dry, Sensitive Skin, NEW 20 oz, Fragrance Free, Non-Comedogenic, Non-Greasy</t>
        </is>
      </c>
      <c r="E497" s="2">
        <f>HYPERLINK("https://www.amazon.com/Moisturizer-Hydrating-Moisturizing-Non-Comedogenic-Non-Greasy/dp/B099N1LC4R/ref=sr_1_5?keywords=Cetaphil%C2%AE+Moisturizing+Cream+for+Very+Dry%2C+Sensitive+Skin&amp;qid=1695260122&amp;sr=8-5", "https://www.amazon.com/Moisturizer-Hydrating-Moisturizing-Non-Comedogenic-Non-Greasy/dp/B099N1LC4R/ref=sr_1_5?keywords=Cetaphil%C2%AE+Moisturizing+Cream+for+Very+Dry%2C+Sensitive+Skin&amp;qid=1695260122&amp;sr=8-5")</f>
        <v/>
      </c>
      <c r="F497" t="inlineStr">
        <is>
          <t>B099N1LC4R</t>
        </is>
      </c>
      <c r="G497">
        <f>IMAGE("https://shop.sonapharmacy.com/cdn/shop/products/0287a847-b7a0-4280-bd41-731df3f8db66_1.ebd8a2e7f6d3f5a00be3e2559e5614de.jpg?v=1608312157")</f>
        <v/>
      </c>
      <c r="H497">
        <f>IMAGE("https://m.media-amazon.com/images/I/51uzbhqFpjL._AC_UL320_.jpg")</f>
        <v/>
      </c>
      <c r="I497" t="inlineStr">
        <is>
          <t>6.59</t>
        </is>
      </c>
      <c r="J497" t="n">
        <v>15.97</v>
      </c>
      <c r="K497" s="3" t="inlineStr">
        <is>
          <t>142.34%</t>
        </is>
      </c>
      <c r="L497" t="n">
        <v>4.8</v>
      </c>
      <c r="M497" t="n">
        <v>10499</v>
      </c>
      <c r="O497" t="inlineStr">
        <is>
          <t>InStock</t>
        </is>
      </c>
      <c r="P497" t="inlineStr">
        <is>
          <t>undefined</t>
        </is>
      </c>
      <c r="Q497" t="inlineStr">
        <is>
          <t>6160777740440</t>
        </is>
      </c>
    </row>
    <row r="498">
      <c r="A498" s="2">
        <f>HYPERLINK("https://shop.sonapharmacy.com/products/oasis%C2%AE-mouth-moisturizing-spray-mild-mint-1fl-oz", "https://shop.sonapharmacy.com/products/oasis%C2%AE-mouth-moisturizing-spray-mild-mint-1fl-oz")</f>
        <v/>
      </c>
      <c r="B498" s="2">
        <f>HYPERLINK("https://shop.sonapharmacy.com/products/oasis%c2%ae-mouth-moisturizing-spray-mild-mint-1fl-oz", "https://shop.sonapharmacy.com/products/oasis%c2%ae-mouth-moisturizing-spray-mild-mint-1fl-oz")</f>
        <v/>
      </c>
      <c r="C498" t="inlineStr">
        <is>
          <t>Oasis® Mouth Moisturizing Spray Mild Mint 1fl.oz.</t>
        </is>
      </c>
      <c r="D498" t="inlineStr">
        <is>
          <t>Oasis Moisturizing Mouth Spray for Dry Mouth Mild Mint -- 1 fl oz - 2pc</t>
        </is>
      </c>
      <c r="E498" s="2">
        <f>HYPERLINK("https://www.amazon.com/Oasis-Moisturizing-Mouth-Spray-Mild/dp/B01LZ5XUXV/ref=sr_1_3?keywords=Oasis%C2%AE+Mouth+Moisturizing+Spray+Mild+Mint+1fl.oz.&amp;qid=1695260612&amp;sr=8-3", "https://www.amazon.com/Oasis-Moisturizing-Mouth-Spray-Mild/dp/B01LZ5XUXV/ref=sr_1_3?keywords=Oasis%C2%AE+Mouth+Moisturizing+Spray+Mild+Mint+1fl.oz.&amp;qid=1695260612&amp;sr=8-3")</f>
        <v/>
      </c>
      <c r="F498" t="inlineStr">
        <is>
          <t>B01LZ5XUXV</t>
        </is>
      </c>
      <c r="G498">
        <f>IMAGE("https://shop.sonapharmacy.com/cdn/shop/products/8f8c84aa-9bad-4bac-a54f-e8f111c224fc_1.d51e86c174f0c880125a11b6bef87077.jpg?v=1608566621")</f>
        <v/>
      </c>
      <c r="H498">
        <f>IMAGE("https://m.media-amazon.com/images/I/41BZ9m5dQoL._AC_UL320_.jpg")</f>
        <v/>
      </c>
      <c r="I498" t="inlineStr">
        <is>
          <t>7.53</t>
        </is>
      </c>
      <c r="J498" t="n">
        <v>18.11</v>
      </c>
      <c r="K498" s="3" t="inlineStr">
        <is>
          <t>140.50%</t>
        </is>
      </c>
      <c r="L498" t="n">
        <v>4.4</v>
      </c>
      <c r="M498" t="n">
        <v>50</v>
      </c>
      <c r="O498" t="inlineStr">
        <is>
          <t>InStock</t>
        </is>
      </c>
      <c r="P498" t="inlineStr">
        <is>
          <t>undefined</t>
        </is>
      </c>
      <c r="Q498" t="inlineStr">
        <is>
          <t>6166029861016</t>
        </is>
      </c>
    </row>
    <row r="499">
      <c r="A499" s="2">
        <f>HYPERLINK("https://shop.sonapharmacy.com/products/head-shoulders%C2%AE-classic-clean-2-in-1-13-5fl-oz", "https://shop.sonapharmacy.com/products/head-shoulders%C2%AE-classic-clean-2-in-1-13-5fl-oz")</f>
        <v/>
      </c>
      <c r="B499" s="2">
        <f>HYPERLINK("https://shop.sonapharmacy.com/products/head-shoulders%c2%ae-classic-clean-2-in-1-13-5fl-oz", "https://shop.sonapharmacy.com/products/head-shoulders%c2%ae-classic-clean-2-in-1-13-5fl-oz")</f>
        <v/>
      </c>
      <c r="C499" t="inlineStr">
        <is>
          <t>Head &amp; Shoulders® Classic Clean 2-In-1 13.5fl. oz.</t>
        </is>
      </c>
      <c r="D499" t="inlineStr">
        <is>
          <t>Head &amp; Shoulders Classic Clean 2-in-1 Anti-dandruff Shampoo + Conditioner, 32.1 Fl Oz</t>
        </is>
      </c>
      <c r="E499" s="2">
        <f>HYPERLINK("https://www.amazon.com/Head-Shoulders-Classic-Anti-dandruff-Conditioner/dp/B01MAWAZAZ/ref=sr_1_4?keywords=Head+%26+Shoulders%C2%AE+Classic+Clean+2-In-1+13.5fl.+oz.&amp;qid=1695260392&amp;sr=8-4", "https://www.amazon.com/Head-Shoulders-Classic-Anti-dandruff-Conditioner/dp/B01MAWAZAZ/ref=sr_1_4?keywords=Head+%26+Shoulders%C2%AE+Classic+Clean+2-In-1+13.5fl.+oz.&amp;qid=1695260392&amp;sr=8-4")</f>
        <v/>
      </c>
      <c r="F499" t="inlineStr">
        <is>
          <t>B01MAWAZAZ</t>
        </is>
      </c>
      <c r="G499">
        <f>IMAGE("https://shop.sonapharmacy.com/cdn/shop/products/00000090677446_C1N1_NA.jpg?v=1609100630")</f>
        <v/>
      </c>
      <c r="H499">
        <f>IMAGE("https://m.media-amazon.com/images/I/61XxsHLy3JL._AC_UL320_.jpg")</f>
        <v/>
      </c>
      <c r="I499" t="inlineStr">
        <is>
          <t>7.49</t>
        </is>
      </c>
      <c r="J499" t="n">
        <v>17.99</v>
      </c>
      <c r="K499" s="3" t="inlineStr">
        <is>
          <t>140.19%</t>
        </is>
      </c>
      <c r="L499" t="n">
        <v>4.7</v>
      </c>
      <c r="M499" t="n">
        <v>62</v>
      </c>
      <c r="O499" t="inlineStr">
        <is>
          <t>InStock</t>
        </is>
      </c>
      <c r="P499" t="inlineStr">
        <is>
          <t>undefined</t>
        </is>
      </c>
      <c r="Q499" t="inlineStr">
        <is>
          <t>6176022954136</t>
        </is>
      </c>
    </row>
    <row r="500">
      <c r="A500" s="2">
        <f>HYPERLINK("https://shop.sonapharmacy.com/products/differin%C2%AE-gel-adapalene-gel-0-1-acne-treatment", "https://shop.sonapharmacy.com/products/differin%C2%AE-gel-adapalene-gel-0-1-acne-treatment")</f>
        <v/>
      </c>
      <c r="B500" s="2">
        <f>HYPERLINK("https://shop.sonapharmacy.com/products/differin%c2%ae-gel-adapalene-gel-0-1-acne-treatment", "https://shop.sonapharmacy.com/products/differin%c2%ae-gel-adapalene-gel-0-1-acne-treatment")</f>
        <v/>
      </c>
      <c r="C500" t="inlineStr">
        <is>
          <t>Differin® Gel Adapalene Gel 0.1% Acne Treatment</t>
        </is>
      </c>
      <c r="D500" t="inlineStr">
        <is>
          <t>La Roche-Posay Effaclar Adapalene Gel 0.1% Acne Treatment, Prescription-Strength Topical Retinoid Cream For Face, Helps Clear and Prevent Acne and Clogged Pores</t>
        </is>
      </c>
      <c r="E500" s="2">
        <f>HYPERLINK("https://www.amazon.com/Roche-Posay-Effaclar-Adapalene-Treatment-Prescription-Strength/dp/B07SQFQFXX/ref=sr_1_8?keywords=Differin%C2%AE+Gel+Adapalene+Gel+0.1%25+Acne+Treatment&amp;qid=1695260198&amp;sr=8-8", "https://www.amazon.com/Roche-Posay-Effaclar-Adapalene-Treatment-Prescription-Strength/dp/B07SQFQFXX/ref=sr_1_8?keywords=Differin%C2%AE+Gel+Adapalene+Gel+0.1%25+Acne+Treatment&amp;qid=1695260198&amp;sr=8-8")</f>
        <v/>
      </c>
      <c r="F500" t="inlineStr">
        <is>
          <t>B07SQFQFXX</t>
        </is>
      </c>
      <c r="G500">
        <f>IMAGE("https://shop.sonapharmacy.com/cdn/shop/products/5oz.jpg?v=1608302260")</f>
        <v/>
      </c>
      <c r="H500">
        <f>IMAGE("https://m.media-amazon.com/images/I/61nCfKG1luL._AC_UY218_.jpg")</f>
        <v/>
      </c>
      <c r="I500" t="inlineStr">
        <is>
          <t>14.99</t>
        </is>
      </c>
      <c r="J500" t="n">
        <v>35.99</v>
      </c>
      <c r="K500" s="3" t="inlineStr">
        <is>
          <t>140.09%</t>
        </is>
      </c>
      <c r="L500" t="n">
        <v>4.5</v>
      </c>
      <c r="M500" t="n">
        <v>6270</v>
      </c>
      <c r="O500" t="inlineStr">
        <is>
          <t>InStock</t>
        </is>
      </c>
      <c r="P500" t="inlineStr">
        <is>
          <t>undefined</t>
        </is>
      </c>
      <c r="Q500" t="inlineStr">
        <is>
          <t>6160540696728</t>
        </is>
      </c>
    </row>
    <row r="501">
      <c r="A501" s="2">
        <f>HYPERLINK("https://shop.sonapharmacy.com/products/garden-of-life%C2%AE-dr-formulated-100-natural-organic-coconut-mct-oil-16fl-oz", "https://shop.sonapharmacy.com/products/garden-of-life%C2%AE-dr-formulated-100-natural-organic-coconut-mct-oil-16fl-oz")</f>
        <v/>
      </c>
      <c r="B501" s="2">
        <f>HYPERLINK("https://shop.sonapharmacy.com/products/garden-of-life%c2%ae-dr-formulated-100-natural-organic-coconut-mct-oil-16fl-oz", "https://shop.sonapharmacy.com/products/garden-of-life%c2%ae-dr-formulated-100-natural-organic-coconut-mct-oil-16fl-oz")</f>
        <v/>
      </c>
      <c r="C501" t="inlineStr">
        <is>
          <t>Garden Of Life® Dr. Formulated 100% Natural Organic Coconut MCT Oil 16fl. oz.</t>
        </is>
      </c>
      <c r="D501" t="inlineStr">
        <is>
          <t>Garden of Life, Dr. Formulated Brain Health, 100% Organic Coconut MCT Oil, Unflavored, 32 fl oz (946 ml)</t>
        </is>
      </c>
      <c r="E501" s="2">
        <f>HYPERLINK("https://www.amazon.com/Garden-Life-Formulated-Organic-Unflavored/dp/B07NYNVB6R/ref=sr_1_2?keywords=Garden+Of+Life%C2%AE+Dr.+Formulated+100%25+Natural+Organic+Coconut+MCT+Oil+16fl.+oz.&amp;qid=1695260304&amp;sr=8-2", "https://www.amazon.com/Garden-Life-Formulated-Organic-Unflavored/dp/B07NYNVB6R/ref=sr_1_2?keywords=Garden+Of+Life%C2%AE+Dr.+Formulated+100%25+Natural+Organic+Coconut+MCT+Oil+16fl.+oz.&amp;qid=1695260304&amp;sr=8-2")</f>
        <v/>
      </c>
      <c r="F501" t="inlineStr">
        <is>
          <t>B07NYNVB6R</t>
        </is>
      </c>
      <c r="G501">
        <f>IMAGE("https://shop.sonapharmacy.com/cdn/shop/products/61r0-GDj2rL._AC_SL1000.jpg?v=1611024183")</f>
        <v/>
      </c>
      <c r="H501">
        <f>IMAGE("https://m.media-amazon.com/images/I/71FjymcBzYL._AC_UL320_.jpg")</f>
        <v/>
      </c>
      <c r="I501" t="inlineStr">
        <is>
          <t>24.99</t>
        </is>
      </c>
      <c r="J501" t="n">
        <v>59.99</v>
      </c>
      <c r="K501" s="3" t="inlineStr">
        <is>
          <t>140.06%</t>
        </is>
      </c>
      <c r="L501" t="n">
        <v>4.9</v>
      </c>
      <c r="M501" t="n">
        <v>23</v>
      </c>
      <c r="O501" t="inlineStr">
        <is>
          <t>InStock</t>
        </is>
      </c>
      <c r="P501" t="inlineStr">
        <is>
          <t>undefined</t>
        </is>
      </c>
      <c r="Q501" t="inlineStr">
        <is>
          <t>6225754620056</t>
        </is>
      </c>
    </row>
    <row r="502">
      <c r="A502" s="2">
        <f>HYPERLINK("https://shop.sonapharmacy.com/products/dulcolax%C2%AE-fast-relief-laxative-suppositories", "https://shop.sonapharmacy.com/products/dulcolax%C2%AE-fast-relief-laxative-suppositories")</f>
        <v/>
      </c>
      <c r="B502" s="2">
        <f>HYPERLINK("https://shop.sonapharmacy.com/products/dulcolax%c2%ae-fast-relief-laxative-suppositories", "https://shop.sonapharmacy.com/products/dulcolax%c2%ae-fast-relief-laxative-suppositories")</f>
        <v/>
      </c>
      <c r="C502" t="inlineStr">
        <is>
          <t>Dulcolax® Fast Relief Laxative Suppositories</t>
        </is>
      </c>
      <c r="D502" t="inlineStr">
        <is>
          <t>Dulcolax Fast Relief Medicated Laxative Suppositories Fast Relief, Rectal Use Only, Bisacodyl, 10 mg, 28 Count</t>
        </is>
      </c>
      <c r="E502" s="2">
        <f>HYPERLINK("https://www.amazon.com/Dulcolax-Laxative-Suppositories-Constipation-Medicated/dp/B00007MII0/ref=sr_1_1?keywords=Dulcolax%C2%AE+Fast+Relief+Laxative+Suppositories&amp;qid=1695260270&amp;sr=8-1", "https://www.amazon.com/Dulcolax-Laxative-Suppositories-Constipation-Medicated/dp/B00007MII0/ref=sr_1_1?keywords=Dulcolax%C2%AE+Fast+Relief+Laxative+Suppositories&amp;qid=1695260270&amp;sr=8-1")</f>
        <v/>
      </c>
      <c r="F502" t="inlineStr">
        <is>
          <t>B00007MII0</t>
        </is>
      </c>
      <c r="G502">
        <f>IMAGE("https://shop.sonapharmacy.com/cdn/shop/products/DulcolaxFastFront.png?v=1606854844")</f>
        <v/>
      </c>
      <c r="H502">
        <f>IMAGE("https://m.media-amazon.com/images/I/81FVwl28HtL._AC_UL320_.jpg")</f>
        <v/>
      </c>
      <c r="I502" t="inlineStr">
        <is>
          <t>9.59</t>
        </is>
      </c>
      <c r="J502" t="n">
        <v>22.99</v>
      </c>
      <c r="K502" s="3" t="inlineStr">
        <is>
          <t>139.73%</t>
        </is>
      </c>
      <c r="L502" t="n">
        <v>4.6</v>
      </c>
      <c r="M502" t="n">
        <v>3927</v>
      </c>
      <c r="O502" t="inlineStr">
        <is>
          <t>InStock</t>
        </is>
      </c>
      <c r="P502" t="inlineStr">
        <is>
          <t>undefined</t>
        </is>
      </c>
      <c r="Q502" t="inlineStr">
        <is>
          <t>6117406343320</t>
        </is>
      </c>
    </row>
    <row r="503">
      <c r="A503" s="2">
        <f>HYPERLINK("https://shop.sonapharmacy.com/products/nasacort-allergy-24hr-nasal-spray", "https://shop.sonapharmacy.com/products/nasacort-allergy-24hr-nasal-spray")</f>
        <v/>
      </c>
      <c r="B503" s="2">
        <f>HYPERLINK("https://shop.sonapharmacy.com/products/nasacort-allergy-24hr-nasal-spray", "https://shop.sonapharmacy.com/products/nasacort-allergy-24hr-nasal-spray")</f>
        <v/>
      </c>
      <c r="C503" t="inlineStr">
        <is>
          <t>Nasacort Allergy 24HR Nasal Spray</t>
        </is>
      </c>
      <c r="D503" t="inlineStr">
        <is>
          <t>Nasacort Allergy 24hr Non-Drip Nasal Spray (120 sprays, 3 pk..)</t>
        </is>
      </c>
      <c r="E503" s="2">
        <f>HYPERLINK("https://www.amazon.com/Nasacort-Allergy-Non-Drip-Nasal-sprays/dp/B01FTIGIVW/ref=sr_1_6?keywords=Nasacort+Allergy+24HR+Nasal+Spray&amp;qid=1695260517&amp;sr=8-6", "https://www.amazon.com/Nasacort-Allergy-Non-Drip-Nasal-sprays/dp/B01FTIGIVW/ref=sr_1_6?keywords=Nasacort+Allergy+24HR+Nasal+Spray&amp;qid=1695260517&amp;sr=8-6")</f>
        <v/>
      </c>
      <c r="F503" t="inlineStr">
        <is>
          <t>B01FTIGIVW</t>
        </is>
      </c>
      <c r="G503">
        <f>IMAGE("https://shop.sonapharmacy.com/cdn/shop/products/NasacortAllergy24HRNasalSpray.png?v=1595517896")</f>
        <v/>
      </c>
      <c r="H503">
        <f>IMAGE("https://m.media-amazon.com/images/I/61wlPzbBkBL._AC_UL320_.jpg")</f>
        <v/>
      </c>
      <c r="I503" t="inlineStr">
        <is>
          <t>16.19</t>
        </is>
      </c>
      <c r="J503" t="n">
        <v>38.76</v>
      </c>
      <c r="K503" s="3" t="inlineStr">
        <is>
          <t>139.41%</t>
        </is>
      </c>
      <c r="L503" t="n">
        <v>4.8</v>
      </c>
      <c r="M503" t="n">
        <v>1679</v>
      </c>
      <c r="O503" t="inlineStr">
        <is>
          <t>InStock</t>
        </is>
      </c>
      <c r="P503" t="inlineStr">
        <is>
          <t>undefined</t>
        </is>
      </c>
      <c r="Q503" t="inlineStr">
        <is>
          <t>5242282967192</t>
        </is>
      </c>
    </row>
    <row r="504">
      <c r="A504" s="2">
        <f>HYPERLINK("https://shop.sonapharmacy.com/products/mederma%C2%AE-advanced-scar-gel", "https://shop.sonapharmacy.com/products/mederma%C2%AE-advanced-scar-gel")</f>
        <v/>
      </c>
      <c r="B504" s="2">
        <f>HYPERLINK("https://shop.sonapharmacy.com/products/mederma%c2%ae-advanced-scar-gel", "https://shop.sonapharmacy.com/products/mederma%c2%ae-advanced-scar-gel")</f>
        <v/>
      </c>
      <c r="C504" t="inlineStr">
        <is>
          <t>Mederma® Advanced Scar Gel</t>
        </is>
      </c>
      <c r="D504" t="inlineStr">
        <is>
          <t>Mederma Advanced Scar Gel, Treats Old and New Scars, Reduces the Appearance of Scars from Acne, Stitches, Burns and More 1.76oz, Clear, 100g (2x50g)</t>
        </is>
      </c>
      <c r="E504" s="2">
        <f>HYPERLINK("https://www.amazon.com/Mederma-Advanced-Appearance-Pharmacist-Recommended/dp/B09MX99PKC/ref=sr_1_5?keywords=Mederma%C2%AE+Advanced+Scar+Gel&amp;qid=1695260461&amp;sr=8-5", "https://www.amazon.com/Mederma-Advanced-Appearance-Pharmacist-Recommended/dp/B09MX99PKC/ref=sr_1_5?keywords=Mederma%C2%AE+Advanced+Scar+Gel&amp;qid=1695260461&amp;sr=8-5")</f>
        <v/>
      </c>
      <c r="F504" t="inlineStr">
        <is>
          <t>B09MX99PKC</t>
        </is>
      </c>
      <c r="G504">
        <f>IMAGE("https://shop.sonapharmacy.com/cdn/shop/products/mederma0.70.jpg?v=1607956045")</f>
        <v/>
      </c>
      <c r="H504">
        <f>IMAGE("https://m.media-amazon.com/images/I/714LA6fdTVL._AC_UL320_.jpg")</f>
        <v/>
      </c>
      <c r="I504" t="inlineStr">
        <is>
          <t>22.49</t>
        </is>
      </c>
      <c r="J504" t="n">
        <v>51.99</v>
      </c>
      <c r="K504" s="3" t="inlineStr">
        <is>
          <t>131.17%</t>
        </is>
      </c>
      <c r="L504" t="n">
        <v>4.3</v>
      </c>
      <c r="M504" t="n">
        <v>78</v>
      </c>
      <c r="O504" t="inlineStr">
        <is>
          <t>InStock</t>
        </is>
      </c>
      <c r="P504" t="inlineStr">
        <is>
          <t>undefined</t>
        </is>
      </c>
      <c r="Q504" t="inlineStr">
        <is>
          <t>6152048115864</t>
        </is>
      </c>
    </row>
    <row r="505">
      <c r="A505" s="2">
        <f>HYPERLINK("https://shop.sonapharmacy.com/products/theraslim", "https://shop.sonapharmacy.com/products/theraslim")</f>
        <v/>
      </c>
      <c r="B505" s="2">
        <f>HYPERLINK("https://shop.sonapharmacy.com/products/theraslim", "https://shop.sonapharmacy.com/products/theraslim")</f>
        <v/>
      </c>
      <c r="C505" t="inlineStr">
        <is>
          <t>Klaire Labs Theraslim Capsules</t>
        </is>
      </c>
      <c r="D505" t="inlineStr">
        <is>
          <t>Klaire Labs Ther-Biotic Detoxification Probiotic Supplement - 50 Billion CFU Probiotics - Supports GI Detox, Digestive + Colon Health - Hypoallergenic Lactobacillus + Bifidobacterium (60 Capsules)</t>
        </is>
      </c>
      <c r="E505" s="2">
        <f>HYPERLINK("https://www.amazon.com/Klaire-Labs-Ther-Biotic-Detoxification-Probiotic/dp/B0057ZEDCO/ref=sr_1_9?keywords=Klaire+Labs+Theraslim+Capsules&amp;qid=1695260437&amp;sr=8-9", "https://www.amazon.com/Klaire-Labs-Ther-Biotic-Detoxification-Probiotic/dp/B0057ZEDCO/ref=sr_1_9?keywords=Klaire+Labs+Theraslim+Capsules&amp;qid=1695260437&amp;sr=8-9")</f>
        <v/>
      </c>
      <c r="F505" t="inlineStr">
        <is>
          <t>B0057ZEDCO</t>
        </is>
      </c>
      <c r="G505">
        <f>IMAGE("https://shop.sonapharmacy.com/cdn/shop/products/61UgGn_O7ML._AC_SL1500.jpg?v=1609358113")</f>
        <v/>
      </c>
      <c r="H505">
        <f>IMAGE("https://m.media-amazon.com/images/I/61QboaQLaIL._AC_UL320_.jpg")</f>
        <v/>
      </c>
      <c r="I505" t="inlineStr">
        <is>
          <t>25.99</t>
        </is>
      </c>
      <c r="J505" t="n">
        <v>59.99</v>
      </c>
      <c r="K505" s="3" t="inlineStr">
        <is>
          <t>130.82%</t>
        </is>
      </c>
      <c r="L505" t="n">
        <v>4.4</v>
      </c>
      <c r="M505" t="n">
        <v>118</v>
      </c>
      <c r="O505" t="inlineStr">
        <is>
          <t>InStock</t>
        </is>
      </c>
      <c r="P505" t="inlineStr">
        <is>
          <t>undefined</t>
        </is>
      </c>
      <c r="Q505" t="inlineStr">
        <is>
          <t>4435727810699</t>
        </is>
      </c>
    </row>
    <row r="506">
      <c r="A506" s="2">
        <f>HYPERLINK("https://shop.sonapharmacy.com/products/goodsense%C2%AE-double-edge-stainless-steel-razor-10ct", "https://shop.sonapharmacy.com/products/goodsense%C2%AE-double-edge-stainless-steel-razor-10ct")</f>
        <v/>
      </c>
      <c r="B506" s="2">
        <f>HYPERLINK("https://shop.sonapharmacy.com/products/goodsense%c2%ae-double-edge-stainless-steel-razor-10ct", "https://shop.sonapharmacy.com/products/goodsense%c2%ae-double-edge-stainless-steel-razor-10ct")</f>
        <v/>
      </c>
      <c r="C506" t="inlineStr">
        <is>
          <t>GoodSense® Double Edge Stainless Steel Razor 10ct.</t>
        </is>
      </c>
      <c r="D506" t="inlineStr">
        <is>
          <t>Viking Revolution Long Handle Double Edge Safety Razor - Butterfly Open Razor with 10 Japanese Stainless Steel Double Edge Safety Razor Blades - Close, Clean Shaving Razor for Men (Chrome Metal Razor)</t>
        </is>
      </c>
      <c r="E506" s="2">
        <f>HYPERLINK("https://www.amazon.com/Viking-Revolution-Handle-Double-Safety/dp/B0BBRGDY56/ref=sr_1_7?keywords=GoodSense%C2%AE+Double+Edge+Stainless+Steel+Razor+10ct.&amp;qid=1695260322&amp;sr=8-7", "https://www.amazon.com/Viking-Revolution-Handle-Double-Safety/dp/B0BBRGDY56/ref=sr_1_7?keywords=GoodSense%C2%AE+Double+Edge+Stainless+Steel+Razor+10ct.&amp;qid=1695260322&amp;sr=8-7")</f>
        <v/>
      </c>
      <c r="F506" t="inlineStr">
        <is>
          <t>B0BBRGDY56</t>
        </is>
      </c>
      <c r="G506">
        <f>IMAGE("https://shop.sonapharmacy.com/cdn/shop/products/337121.jpg?v=1610904297")</f>
        <v/>
      </c>
      <c r="H506">
        <f>IMAGE("https://m.media-amazon.com/images/I/71MPwlqRb3L._AC_UL320_.jpg")</f>
        <v/>
      </c>
      <c r="I506" t="inlineStr">
        <is>
          <t>7.79</t>
        </is>
      </c>
      <c r="J506" t="n">
        <v>17.88</v>
      </c>
      <c r="K506" s="3" t="inlineStr">
        <is>
          <t>129.53%</t>
        </is>
      </c>
      <c r="L506" t="n">
        <v>4.5</v>
      </c>
      <c r="M506" t="n">
        <v>7780</v>
      </c>
      <c r="O506" t="inlineStr">
        <is>
          <t>InStock</t>
        </is>
      </c>
      <c r="P506" t="inlineStr">
        <is>
          <t>undefined</t>
        </is>
      </c>
      <c r="Q506" t="inlineStr">
        <is>
          <t>6223250391192</t>
        </is>
      </c>
    </row>
    <row r="507">
      <c r="A507" s="2">
        <f>HYPERLINK("https://shop.sonapharmacy.com/products/goodsense%C2%AE-double-edge-stainless-steel-razor-10ct", "https://shop.sonapharmacy.com/products/goodsense%C2%AE-double-edge-stainless-steel-razor-10ct")</f>
        <v/>
      </c>
      <c r="B507" s="2">
        <f>HYPERLINK("https://shop.sonapharmacy.com/products/goodsense%c2%ae-double-edge-stainless-steel-razor-10ct", "https://shop.sonapharmacy.com/products/goodsense%c2%ae-double-edge-stainless-steel-razor-10ct")</f>
        <v/>
      </c>
      <c r="C507" t="inlineStr">
        <is>
          <t>GoodSense® Double Edge Stainless Steel Razor 10ct.</t>
        </is>
      </c>
      <c r="D507" t="inlineStr">
        <is>
          <t>100 Count Double Edge Razor Blades - Men's Safety Razor Blades for Shaving - Platinum Japanese Stainless Steel Double Razor Shaving Blades for Men for a Smooth, Precise and Clean Shave</t>
        </is>
      </c>
      <c r="E507" s="2">
        <f>HYPERLINK("https://www.amazon.com/Count-Double-Edge-Razor-Blades/dp/B0B9Y9Z4LL/ref=sr_1_6?keywords=GoodSense%C2%AE+Double+Edge+Stainless+Steel+Razor+10ct.&amp;qid=1695260322&amp;sr=8-6", "https://www.amazon.com/Count-Double-Edge-Razor-Blades/dp/B0B9Y9Z4LL/ref=sr_1_6?keywords=GoodSense%C2%AE+Double+Edge+Stainless+Steel+Razor+10ct.&amp;qid=1695260322&amp;sr=8-6")</f>
        <v/>
      </c>
      <c r="F507" t="inlineStr">
        <is>
          <t>B0B9Y9Z4LL</t>
        </is>
      </c>
      <c r="G507">
        <f>IMAGE("https://shop.sonapharmacy.com/cdn/shop/products/337121.jpg?v=1610904297")</f>
        <v/>
      </c>
      <c r="H507">
        <f>IMAGE("https://m.media-amazon.com/images/I/41kJasfBTWL._AC_UL320_.jpg")</f>
        <v/>
      </c>
      <c r="I507" t="inlineStr">
        <is>
          <t>7.79</t>
        </is>
      </c>
      <c r="J507" t="n">
        <v>17.88</v>
      </c>
      <c r="K507" s="3" t="inlineStr">
        <is>
          <t>129.53%</t>
        </is>
      </c>
      <c r="L507" t="n">
        <v>4.5</v>
      </c>
      <c r="M507" t="n">
        <v>16019</v>
      </c>
      <c r="O507" t="inlineStr">
        <is>
          <t>InStock</t>
        </is>
      </c>
      <c r="P507" t="inlineStr">
        <is>
          <t>undefined</t>
        </is>
      </c>
      <c r="Q507" t="inlineStr">
        <is>
          <t>6223250391192</t>
        </is>
      </c>
    </row>
    <row r="508">
      <c r="A508" s="2">
        <f>HYPERLINK("https://shop.sonapharmacy.com/products/boiron-oscillococcinum-homeopathic-medicine", "https://shop.sonapharmacy.com/products/boiron-oscillococcinum-homeopathic-medicine")</f>
        <v/>
      </c>
      <c r="B508" s="2">
        <f>HYPERLINK("https://shop.sonapharmacy.com/products/boiron-oscillococcinum-homeopathic-medicine", "https://shop.sonapharmacy.com/products/boiron-oscillococcinum-homeopathic-medicine")</f>
        <v/>
      </c>
      <c r="C508" t="inlineStr">
        <is>
          <t>Boiron® Oscillococcinum Homeopathic Medicine</t>
        </is>
      </c>
      <c r="D508" t="inlineStr">
        <is>
          <t>Boiron Oscillococcinum Homeopathic Medicine for flu-Like Symptoms, White, 36 Count</t>
        </is>
      </c>
      <c r="E508" s="2">
        <f>HYPERLINK("https://www.amazon.com/Oscillococcinum-Boiron-oscillococcinum-homeopathic-Medicine/dp/B07Y51PNSZ/ref=sr_1_2?keywords=Boiron%C2%AE+Oscillococcinum+Homeopathic+Medicine&amp;qid=1695260104&amp;sr=8-2", "https://www.amazon.com/Oscillococcinum-Boiron-oscillococcinum-homeopathic-Medicine/dp/B07Y51PNSZ/ref=sr_1_2?keywords=Boiron%C2%AE+Oscillococcinum+Homeopathic+Medicine&amp;qid=1695260104&amp;sr=8-2")</f>
        <v/>
      </c>
      <c r="F508" t="inlineStr">
        <is>
          <t>B07Y51PNSZ</t>
        </is>
      </c>
      <c r="G508">
        <f>IMAGE("https://shop.sonapharmacy.com/cdn/shop/products/Untitled-80.jpg?v=1592926556")</f>
        <v/>
      </c>
      <c r="H508">
        <f>IMAGE("https://m.media-amazon.com/images/I/81VHcXqUbdL._AC_UL320_.jpg")</f>
        <v/>
      </c>
      <c r="I508" t="inlineStr">
        <is>
          <t>14.89</t>
        </is>
      </c>
      <c r="J508" t="n">
        <v>33.99</v>
      </c>
      <c r="K508" s="3" t="inlineStr">
        <is>
          <t>128.27%</t>
        </is>
      </c>
      <c r="L508" t="n">
        <v>4.9</v>
      </c>
      <c r="M508" t="n">
        <v>3639</v>
      </c>
      <c r="O508" t="inlineStr">
        <is>
          <t>InStock</t>
        </is>
      </c>
      <c r="P508" t="inlineStr">
        <is>
          <t>undefined</t>
        </is>
      </c>
      <c r="Q508" t="inlineStr">
        <is>
          <t>5244889366680</t>
        </is>
      </c>
    </row>
    <row r="509">
      <c r="A509" s="2">
        <f>HYPERLINK("https://shop.sonapharmacy.com/products/sun-bum%C2%AE-mineral-spf-50-sunscreen-lotion-3oz", "https://shop.sonapharmacy.com/products/sun-bum%C2%AE-mineral-spf-50-sunscreen-lotion-3oz")</f>
        <v/>
      </c>
      <c r="B509" s="2">
        <f>HYPERLINK("https://shop.sonapharmacy.com/products/sun-bum%c2%ae-mineral-spf-50-sunscreen-lotion-3oz", "https://shop.sonapharmacy.com/products/sun-bum%c2%ae-mineral-spf-50-sunscreen-lotion-3oz")</f>
        <v/>
      </c>
      <c r="C509" t="inlineStr">
        <is>
          <t>Sun Bum® Mineral SPF 50 Sunscreen Lotion 3oz.</t>
        </is>
      </c>
      <c r="D509" t="inlineStr">
        <is>
          <t>EltaMD UV Active SPF 50+ Mineral Sunscreen Lotion, Broad Spectrum Physical Sunscreen for Face and Body, Water-Resistant Up to 80 Minutes, Oil-Free, Non-Greasy, Full Body Sunscreen</t>
        </is>
      </c>
      <c r="E509" s="2">
        <f>HYPERLINK("https://www.amazon.com/EltaMD-Sunscreen-Broad-Spectrum-Water-Resistant-Non-Greasy/dp/B08FP3S97T/ref=sr_1_4?keywords=Sun+Bum%C2%AE+Mineral+SPF+50+Sunscreen+Lotion+3oz.&amp;qid=1695260736&amp;sr=8-4", "https://www.amazon.com/EltaMD-Sunscreen-Broad-Spectrum-Water-Resistant-Non-Greasy/dp/B08FP3S97T/ref=sr_1_4?keywords=Sun+Bum%C2%AE+Mineral+SPF+50+Sunscreen+Lotion+3oz.&amp;qid=1695260736&amp;sr=8-4")</f>
        <v/>
      </c>
      <c r="F509" t="inlineStr">
        <is>
          <t>B08FP3S97T</t>
        </is>
      </c>
      <c r="G509">
        <f>IMAGE("https://shop.sonapharmacy.com/cdn/shop/products/61BXE36gB1L._SL1500__1.jpg?v=1629233458")</f>
        <v/>
      </c>
      <c r="H509">
        <f>IMAGE("https://m.media-amazon.com/images/I/611bpKPDUyL._AC_UL320_.jpg")</f>
        <v/>
      </c>
      <c r="I509" t="inlineStr">
        <is>
          <t>14.99</t>
        </is>
      </c>
      <c r="J509" t="n">
        <v>34</v>
      </c>
      <c r="K509" s="3" t="inlineStr">
        <is>
          <t>126.82%</t>
        </is>
      </c>
      <c r="L509" t="n">
        <v>4.5</v>
      </c>
      <c r="M509" t="n">
        <v>673</v>
      </c>
      <c r="O509" t="inlineStr">
        <is>
          <t>InStock</t>
        </is>
      </c>
      <c r="P509" t="inlineStr">
        <is>
          <t>undefined</t>
        </is>
      </c>
      <c r="Q509" t="inlineStr">
        <is>
          <t>6952244904088</t>
        </is>
      </c>
    </row>
    <row r="510">
      <c r="A510" s="2">
        <f>HYPERLINK("https://shop.sonapharmacy.com/products/burts-bees%C2%AE-body-lotion-for-normal-to-dry-skin-6oz", "https://shop.sonapharmacy.com/products/burts-bees%C2%AE-body-lotion-for-normal-to-dry-skin-6oz")</f>
        <v/>
      </c>
      <c r="B510" s="2">
        <f>HYPERLINK("https://shop.sonapharmacy.com/products/burts-bees%c2%ae-body-lotion-for-normal-to-dry-skin-6oz", "https://shop.sonapharmacy.com/products/burts-bees%c2%ae-body-lotion-for-normal-to-dry-skin-6oz")</f>
        <v/>
      </c>
      <c r="C510" t="inlineStr">
        <is>
          <t>Burt's Bees® Body Lotion for Normal to Dry Skin 6oz.</t>
        </is>
      </c>
      <c r="D510" t="inlineStr">
        <is>
          <t>Burt's Bees Milk and Honey Body Lotion for Normal to Dry Skin -- 6 fl oz</t>
        </is>
      </c>
      <c r="E510" s="2">
        <f>HYPERLINK("https://www.amazon.com/Burts-Bees-Honey-Lotion-Normal/dp/B0054S3ZIW/ref=sr_1_3?keywords=Burt%27s+Bees%C2%AE+Body+Lotion+for+Normal+to+Dry+Skin+6oz.&amp;qid=1695260106&amp;sr=8-3", "https://www.amazon.com/Burts-Bees-Honey-Lotion-Normal/dp/B0054S3ZIW/ref=sr_1_3?keywords=Burt%27s+Bees%C2%AE+Body+Lotion+for+Normal+to+Dry+Skin+6oz.&amp;qid=1695260106&amp;sr=8-3")</f>
        <v/>
      </c>
      <c r="F510" t="inlineStr">
        <is>
          <t>B0054S3ZIW</t>
        </is>
      </c>
      <c r="G510">
        <f>IMAGE("https://shop.sonapharmacy.com/cdn/shop/products/9a611ebb-b8a1-41c7-a403-c66677d03669_1.fed3cfd8a6b0335c80a30a2082752e3f.jpg?v=1610641930")</f>
        <v/>
      </c>
      <c r="H510">
        <f>IMAGE("https://m.media-amazon.com/images/I/21P2ZmjDXwL._AC_UL320_.jpg")</f>
        <v/>
      </c>
      <c r="I510" t="inlineStr">
        <is>
          <t>7.99</t>
        </is>
      </c>
      <c r="J510" t="n">
        <v>17.95</v>
      </c>
      <c r="K510" s="3" t="inlineStr">
        <is>
          <t>124.66%</t>
        </is>
      </c>
      <c r="L510" t="n">
        <v>5</v>
      </c>
      <c r="M510" t="n">
        <v>1</v>
      </c>
      <c r="O510" t="inlineStr">
        <is>
          <t>InStock</t>
        </is>
      </c>
      <c r="P510" t="inlineStr">
        <is>
          <t>undefined</t>
        </is>
      </c>
      <c r="Q510" t="inlineStr">
        <is>
          <t>6216696070296</t>
        </is>
      </c>
    </row>
    <row r="511">
      <c r="A511" s="2">
        <f>HYPERLINK("https://shop.sonapharmacy.com/products/theraslim", "https://shop.sonapharmacy.com/products/theraslim")</f>
        <v/>
      </c>
      <c r="B511" s="2">
        <f>HYPERLINK("https://shop.sonapharmacy.com/products/theraslim", "https://shop.sonapharmacy.com/products/theraslim")</f>
        <v/>
      </c>
      <c r="C511" t="inlineStr">
        <is>
          <t>Klaire Labs Theraslim Capsules</t>
        </is>
      </c>
      <c r="D511" t="inlineStr">
        <is>
          <t>Klaire Labs Ther-Biotic Metabolic Formula Probiotic - Lactobacillus &amp; Bifidobacterium Species - Healthy Weight Management, Metabolism + Immune Support - Vegetarian 25b CFU for Adults (60 Capsules)</t>
        </is>
      </c>
      <c r="E511" s="2">
        <f>HYPERLINK("https://www.amazon.com/Klaire-Labs-Ther-Biotic-Metabolic-Formula/dp/B01AVJ3OW0/ref=sr_1_2?keywords=Klaire+Labs+Theraslim+Capsules&amp;qid=1695260437&amp;sr=8-2", "https://www.amazon.com/Klaire-Labs-Ther-Biotic-Metabolic-Formula/dp/B01AVJ3OW0/ref=sr_1_2?keywords=Klaire+Labs+Theraslim+Capsules&amp;qid=1695260437&amp;sr=8-2")</f>
        <v/>
      </c>
      <c r="F511" t="inlineStr">
        <is>
          <t>B01AVJ3OW0</t>
        </is>
      </c>
      <c r="G511">
        <f>IMAGE("https://shop.sonapharmacy.com/cdn/shop/products/61UgGn_O7ML._AC_SL1500.jpg?v=1609358113")</f>
        <v/>
      </c>
      <c r="H511">
        <f>IMAGE("https://m.media-amazon.com/images/I/61Tr62p1ImL._AC_UL320_.jpg")</f>
        <v/>
      </c>
      <c r="I511" t="inlineStr">
        <is>
          <t>25.99</t>
        </is>
      </c>
      <c r="J511" t="n">
        <v>57.99</v>
      </c>
      <c r="K511" s="3" t="inlineStr">
        <is>
          <t>123.12%</t>
        </is>
      </c>
      <c r="L511" t="n">
        <v>4.3</v>
      </c>
      <c r="M511" t="n">
        <v>74</v>
      </c>
      <c r="O511" t="inlineStr">
        <is>
          <t>InStock</t>
        </is>
      </c>
      <c r="P511" t="inlineStr">
        <is>
          <t>undefined</t>
        </is>
      </c>
      <c r="Q511" t="inlineStr">
        <is>
          <t>4435727810699</t>
        </is>
      </c>
    </row>
    <row r="512">
      <c r="A512" s="2">
        <f>HYPERLINK("https://shop.sonapharmacy.com/products/metamucil%C2%AE-cinnamon-spice-fiber-thins-packets-12ct", "https://shop.sonapharmacy.com/products/metamucil%C2%AE-cinnamon-spice-fiber-thins-packets-12ct")</f>
        <v/>
      </c>
      <c r="B512" s="2">
        <f>HYPERLINK("https://shop.sonapharmacy.com/products/metamucil%c2%ae-cinnamon-spice-fiber-thins-packets-12ct", "https://shop.sonapharmacy.com/products/metamucil%c2%ae-cinnamon-spice-fiber-thins-packets-12ct")</f>
        <v/>
      </c>
      <c r="C512" t="inlineStr">
        <is>
          <t>Metamucil® Cinnamon Spice Fiber Thins Packets 12ct.</t>
        </is>
      </c>
      <c r="D512" t="inlineStr">
        <is>
          <t>Metamucil FiberThins Fiber Supplement with Bleam Digestive Health Support Tip Card Psyllium Fiber Bars - 12CT Cinnamon Spice &amp; 12CT Chocolate - Set</t>
        </is>
      </c>
      <c r="E512" s="2">
        <f>HYPERLINK("https://www.amazon.com/Metamucil-FiberThins-Supplement-Digestive-Psyllium/dp/B0BPQ3784L/ref=sr_1_7?keywords=Metamucil%C2%AE+Cinnamon+Spice+Fiber+Thins+Packets+12ct.&amp;qid=1695260488&amp;sr=8-7", "https://www.amazon.com/Metamucil-FiberThins-Supplement-Digestive-Psyllium/dp/B0BPQ3784L/ref=sr_1_7?keywords=Metamucil%C2%AE+Cinnamon+Spice+Fiber+Thins+Packets+12ct.&amp;qid=1695260488&amp;sr=8-7")</f>
        <v/>
      </c>
      <c r="F512" t="inlineStr">
        <is>
          <t>B0BPQ3784L</t>
        </is>
      </c>
      <c r="G512">
        <f>IMAGE("https://shop.sonapharmacy.com/cdn/shop/products/726eb087-0381-4215-b1f3-f89e466bbd9d.35df8617e4a955c015f3eee5a9430fb8.jpg?v=1610854591")</f>
        <v/>
      </c>
      <c r="H512">
        <f>IMAGE("https://m.media-amazon.com/images/I/91EBs5nGYyL._AC_UL320_.jpg")</f>
        <v/>
      </c>
      <c r="I512" t="inlineStr">
        <is>
          <t>11.79</t>
        </is>
      </c>
      <c r="J512" t="n">
        <v>25.99</v>
      </c>
      <c r="K512" s="3" t="inlineStr">
        <is>
          <t>120.44%</t>
        </is>
      </c>
      <c r="L512" t="n">
        <v>4.4</v>
      </c>
      <c r="M512" t="n">
        <v>61</v>
      </c>
      <c r="O512" t="inlineStr">
        <is>
          <t>InStock</t>
        </is>
      </c>
      <c r="P512" t="inlineStr">
        <is>
          <t>undefined</t>
        </is>
      </c>
      <c r="Q512" t="inlineStr">
        <is>
          <t>6222712471704</t>
        </is>
      </c>
    </row>
    <row r="513">
      <c r="A513" s="2">
        <f>HYPERLINK("https://shop.sonapharmacy.com/products/diabetic-tussin-cough-and-chest-congestion-dm-fluid", "https://shop.sonapharmacy.com/products/diabetic-tussin-cough-and-chest-congestion-dm-fluid")</f>
        <v/>
      </c>
      <c r="B513" s="2">
        <f>HYPERLINK("https://shop.sonapharmacy.com/products/diabetic-tussin-cough-and-chest-congestion-dm-fluid", "https://shop.sonapharmacy.com/products/diabetic-tussin-cough-and-chest-congestion-dm-fluid")</f>
        <v/>
      </c>
      <c r="C513" t="inlineStr">
        <is>
          <t>Diabetic Tussin® Cough and Chest Congestion DM Fluid</t>
        </is>
      </c>
      <c r="D513" t="inlineStr">
        <is>
          <t>Diabetic Tussin DM Maximum Strength Cough and Chest Congestion Relief Liquid Cough Syrup, Safe for Diabetics, Berry Flavored, 4 Fluid Ounce</t>
        </is>
      </c>
      <c r="E513" s="2">
        <f>HYPERLINK("https://www.amazon.com/Diabetic-Tussin-Suppressant-Expectorant-Diabetics/dp/B001GCTZWK/ref=sr_1_1?keywords=Diabetic+Tussin%C2%AE+Cough+and+Chest+Congestion+DM+Fluid&amp;qid=1695260195&amp;sr=8-1", "https://www.amazon.com/Diabetic-Tussin-Suppressant-Expectorant-Diabetics/dp/B001GCTZWK/ref=sr_1_1?keywords=Diabetic+Tussin%C2%AE+Cough+and+Chest+Congestion+DM+Fluid&amp;qid=1695260195&amp;sr=8-1")</f>
        <v/>
      </c>
      <c r="F513" t="inlineStr">
        <is>
          <t>B001GCTZWK</t>
        </is>
      </c>
      <c r="G513">
        <f>IMAGE("https://shop.sonapharmacy.com/cdn/shop/products/DiabeticTussinCoughandChestCongestionDMFluid.jpg?v=1595430405")</f>
        <v/>
      </c>
      <c r="H513">
        <f>IMAGE("https://m.media-amazon.com/images/I/81YZx3ZPnOL._AC_UL320_.jpg")</f>
        <v/>
      </c>
      <c r="I513" t="inlineStr">
        <is>
          <t>9.09</t>
        </is>
      </c>
      <c r="J513" t="n">
        <v>19.99</v>
      </c>
      <c r="K513" s="3" t="inlineStr">
        <is>
          <t>119.91%</t>
        </is>
      </c>
      <c r="L513" t="n">
        <v>4.1</v>
      </c>
      <c r="M513" t="n">
        <v>491</v>
      </c>
      <c r="O513" t="inlineStr">
        <is>
          <t>OutOfStock</t>
        </is>
      </c>
      <c r="P513" t="inlineStr">
        <is>
          <t>undefined</t>
        </is>
      </c>
      <c r="Q513" t="inlineStr">
        <is>
          <t>5241734824088</t>
        </is>
      </c>
    </row>
    <row r="514">
      <c r="A514" s="2">
        <f>HYPERLINK("https://shop.sonapharmacy.com/products/freshkote%C2%AE-preservative-free-lubricant-eye-drops-10ml", "https://shop.sonapharmacy.com/products/freshkote%C2%AE-preservative-free-lubricant-eye-drops-10ml")</f>
        <v/>
      </c>
      <c r="B514" s="2">
        <f>HYPERLINK("https://shop.sonapharmacy.com/products/freshkote%c2%ae-preservative-free-lubricant-eye-drops-10ml", "https://shop.sonapharmacy.com/products/freshkote%c2%ae-preservative-free-lubricant-eye-drops-10ml")</f>
        <v/>
      </c>
      <c r="C514" t="inlineStr">
        <is>
          <t>FRESHKOTE® Preservative Free Lubricant Eye Drops 10ml</t>
        </is>
      </c>
      <c r="D514" t="inlineStr">
        <is>
          <t>FRESHKOTE Preservative Free Lubricant Eye Drops, 2pk.33 fl oz Bottle of Artificial Tears for Dry Eye Relief (Totaling .66 fl oz), Bundled with 1 Tea Tree Eyelid/Eyelash Wipe</t>
        </is>
      </c>
      <c r="E514" s="2">
        <f>HYPERLINK("https://www.amazon.com/FRESHKOTE-Preservative-Lubricant-Eye-Artificial/dp/B0BRBT9DWF/ref=sr_1_6?keywords=FRESHKOTE%C2%AE+Preservative+Free+Lubricant+Eye+Drops+10ml&amp;qid=1695260263&amp;sr=8-6", "https://www.amazon.com/FRESHKOTE-Preservative-Lubricant-Eye-Artificial/dp/B0BRBT9DWF/ref=sr_1_6?keywords=FRESHKOTE%C2%AE+Preservative+Free+Lubricant+Eye+Drops+10ml&amp;qid=1695260263&amp;sr=8-6")</f>
        <v/>
      </c>
      <c r="F514" t="inlineStr">
        <is>
          <t>B0BRBT9DWF</t>
        </is>
      </c>
      <c r="G514">
        <f>IMAGE("https://shop.sonapharmacy.com/cdn/shop/products/cc95bb31-dd1e-4df1-b218-f6fb162a9828_1.cc44574cec8f4b07384423f902aeba51.jpg?v=1608663131")</f>
        <v/>
      </c>
      <c r="H514">
        <f>IMAGE("https://m.media-amazon.com/images/I/717yRR0Zo7L._AC_UL320_.jpg")</f>
        <v/>
      </c>
      <c r="I514" t="inlineStr">
        <is>
          <t>32.01</t>
        </is>
      </c>
      <c r="J514" t="n">
        <v>69.98999999999999</v>
      </c>
      <c r="K514" s="3" t="inlineStr">
        <is>
          <t>118.65%</t>
        </is>
      </c>
      <c r="L514" t="n">
        <v>4.5</v>
      </c>
      <c r="M514" t="n">
        <v>46</v>
      </c>
      <c r="O514" t="inlineStr">
        <is>
          <t>OutOfStock</t>
        </is>
      </c>
      <c r="P514" t="inlineStr">
        <is>
          <t>undefined</t>
        </is>
      </c>
      <c r="Q514" t="inlineStr">
        <is>
          <t>6167942561944</t>
        </is>
      </c>
    </row>
    <row r="515">
      <c r="A515" s="2">
        <f>HYPERLINK("https://shop.sonapharmacy.com/products/poise%C2%AE-pads-ultimate-absorbency-regular-length-33ct", "https://shop.sonapharmacy.com/products/poise%C2%AE-pads-ultimate-absorbency-regular-length-33ct")</f>
        <v/>
      </c>
      <c r="B515" s="2">
        <f>HYPERLINK("https://shop.sonapharmacy.com/products/poise%c2%ae-pads-ultimate-absorbency-regular-length-33ct", "https://shop.sonapharmacy.com/products/poise%c2%ae-pads-ultimate-absorbency-regular-length-33ct")</f>
        <v/>
      </c>
      <c r="C515" t="inlineStr">
        <is>
          <t>Poise® Pads Ultimate Absorbency Regular Length 33ct.</t>
        </is>
      </c>
      <c r="D515" t="inlineStr">
        <is>
          <t>TENA Incontinence Pads, Bladder Control &amp; Postpartum for Women, Ultimate Absorbency, Regular Length, Intimates - 99 Count</t>
        </is>
      </c>
      <c r="E515" s="2">
        <f>HYPERLINK("https://www.amazon.com/Intimates-Ultimate-Incontinence-Women-Count/dp/B01GJS9M6E/ref=sr_1_10?keywords=Poise%C2%AE+Pads+Ultimate+Absorbency+Regular+Length+33ct.&amp;qid=1695260641&amp;rdc=1&amp;sr=8-10", "https://www.amazon.com/Intimates-Ultimate-Incontinence-Women-Count/dp/B01GJS9M6E/ref=sr_1_10?keywords=Poise%C2%AE+Pads+Ultimate+Absorbency+Regular+Length+33ct.&amp;qid=1695260641&amp;rdc=1&amp;sr=8-10")</f>
        <v/>
      </c>
      <c r="F515" t="inlineStr">
        <is>
          <t>B01GJS9M6E</t>
        </is>
      </c>
      <c r="G515">
        <f>IMAGE("https://shop.sonapharmacy.com/cdn/shop/products/81jKQQoGnuL._AC_SL1500.jpg?v=1611073225")</f>
        <v/>
      </c>
      <c r="H515">
        <f>IMAGE("https://m.media-amazon.com/images/I/71s8iTbdj1L._AC_UL320_.jpg")</f>
        <v/>
      </c>
      <c r="I515" t="inlineStr">
        <is>
          <t>16.99</t>
        </is>
      </c>
      <c r="J515" t="n">
        <v>36.75</v>
      </c>
      <c r="K515" s="3" t="inlineStr">
        <is>
          <t>116.30%</t>
        </is>
      </c>
      <c r="L515" t="n">
        <v>4.5</v>
      </c>
      <c r="M515" t="n">
        <v>4189</v>
      </c>
      <c r="O515" t="inlineStr">
        <is>
          <t>InStock</t>
        </is>
      </c>
      <c r="P515" t="inlineStr">
        <is>
          <t>undefined</t>
        </is>
      </c>
      <c r="Q515" t="inlineStr">
        <is>
          <t>6226491670680</t>
        </is>
      </c>
    </row>
    <row r="516">
      <c r="A516" s="2">
        <f>HYPERLINK("https://shop.sonapharmacy.com/products/florastor-kids-daily-probiotic-supplement", "https://shop.sonapharmacy.com/products/florastor-kids-daily-probiotic-supplement")</f>
        <v/>
      </c>
      <c r="B516" s="2">
        <f>HYPERLINK("https://shop.sonapharmacy.com/products/florastor-kids-daily-probiotic-supplement", "https://shop.sonapharmacy.com/products/florastor-kids-daily-probiotic-supplement")</f>
        <v/>
      </c>
      <c r="C516" t="inlineStr">
        <is>
          <t>Florastor Kids Daily Probiotic Supplement</t>
        </is>
      </c>
      <c r="D516" t="inlineStr">
        <is>
          <t>Ele Chocolates Dark Chocolate Daily Probiotic Supplement Bites 3 Billion CFUs for Digestive Gut Health, Immune Support for Women, Men and Kids, 100% Natural and Organic, Gluten-Free, 30 Days Supply</t>
        </is>
      </c>
      <c r="F516" t="inlineStr">
        <is>
          <t>B0BXQMXDT7</t>
        </is>
      </c>
      <c r="G516">
        <f>IMAGE("https://shop.sonapharmacy.com/cdn/shop/products/florastorkidsfront.png?v=1606931808")</f>
        <v/>
      </c>
      <c r="H516">
        <f>IMAGE("https://m.media-amazon.com/images/I/71zghisTjHL._AC_UL320_.jpg")</f>
        <v/>
      </c>
      <c r="I516" t="inlineStr">
        <is>
          <t>23.29</t>
        </is>
      </c>
      <c r="J516" t="n">
        <v>49.99</v>
      </c>
      <c r="K516" s="3" t="inlineStr">
        <is>
          <t>114.64%</t>
        </is>
      </c>
      <c r="L516" t="n">
        <v>5</v>
      </c>
      <c r="M516" t="n">
        <v>11</v>
      </c>
      <c r="O516" t="inlineStr">
        <is>
          <t>InStock</t>
        </is>
      </c>
      <c r="P516" t="inlineStr">
        <is>
          <t>undefined</t>
        </is>
      </c>
      <c r="Q516" t="inlineStr">
        <is>
          <t>6120056651928</t>
        </is>
      </c>
    </row>
    <row r="517">
      <c r="A517" s="2">
        <f>HYPERLINK("https://shop.sonapharmacy.com/products/amlactin%C2%AE-ultra-smoothing-intensely-hydrating-cream-49oz", "https://shop.sonapharmacy.com/products/amlactin%C2%AE-ultra-smoothing-intensely-hydrating-cream-49oz")</f>
        <v/>
      </c>
      <c r="B517" s="2">
        <f>HYPERLINK("https://shop.sonapharmacy.com/products/amlactin%c2%ae-ultra-smoothing-intensely-hydrating-cream-49oz", "https://shop.sonapharmacy.com/products/amlactin%c2%ae-ultra-smoothing-intensely-hydrating-cream-49oz")</f>
        <v/>
      </c>
      <c r="C517" t="inlineStr">
        <is>
          <t>Amlactin Ultra Smoothing Intensely Hydrating Cream 49oz.</t>
        </is>
      </c>
      <c r="D517" t="inlineStr">
        <is>
          <t>AmLactin Rapid Relief Restoring Body Lotion– 14.1 oz Pump Bottle – 2-in-1 Exfoliator and Moisturizer with Ceramides and 15% Lactic Acid &amp; Ultra Smoothing Intensely Hydrating Cream - 4.9 Oz Tube</t>
        </is>
      </c>
      <c r="E517" s="2">
        <f>HYPERLINK("https://www.amazon.com/AmLactin-Relief-Restoring-Lotion-Bottle/dp/B0C2YDZ1JZ/ref=sr_1_1?keywords=Amlactin+Ultra+Smoothing+Intensely+Hydrating+Cream+49oz.&amp;qid=1695260013&amp;sr=8-1", "https://www.amazon.com/AmLactin-Relief-Restoring-Lotion-Bottle/dp/B0C2YDZ1JZ/ref=sr_1_1?keywords=Amlactin+Ultra+Smoothing+Intensely+Hydrating+Cream+49oz.&amp;qid=1695260013&amp;sr=8-1")</f>
        <v/>
      </c>
      <c r="F517" t="inlineStr">
        <is>
          <t>B0C2YDZ1JZ</t>
        </is>
      </c>
      <c r="G517">
        <f>IMAGE("https://shop.sonapharmacy.com/cdn/shop/products/61_6mKEUzAL._SL1500.jpg?v=1630863785")</f>
        <v/>
      </c>
      <c r="H517">
        <f>IMAGE("https://m.media-amazon.com/images/I/41sCkfnR6IL._AC_UL320_.jpg")</f>
        <v/>
      </c>
      <c r="I517" t="inlineStr">
        <is>
          <t>17.79</t>
        </is>
      </c>
      <c r="J517" t="n">
        <v>37.99</v>
      </c>
      <c r="K517" s="3" t="inlineStr">
        <is>
          <t>113.55%</t>
        </is>
      </c>
      <c r="L517" t="n">
        <v>4.5</v>
      </c>
      <c r="M517" t="n">
        <v>11281</v>
      </c>
      <c r="O517" t="inlineStr">
        <is>
          <t>InStock</t>
        </is>
      </c>
      <c r="P517" t="inlineStr">
        <is>
          <t>undefined</t>
        </is>
      </c>
      <c r="Q517" t="inlineStr">
        <is>
          <t>6996640858264</t>
        </is>
      </c>
    </row>
    <row r="518">
      <c r="A518" s="2">
        <f>HYPERLINK("https://shop.sonapharmacy.com/products/depend%C2%AE-for-women-fit-flex-underwear-maximum-absorbency-medium-30ct", "https://shop.sonapharmacy.com/products/depend%C2%AE-for-women-fit-flex-underwear-maximum-absorbency-medium-30ct")</f>
        <v/>
      </c>
      <c r="B518" s="2">
        <f>HYPERLINK("https://shop.sonapharmacy.com/products/depend%c2%ae-for-women-fit-flex-underwear-maximum-absorbency-medium-30ct", "https://shop.sonapharmacy.com/products/depend%c2%ae-for-women-fit-flex-underwear-maximum-absorbency-medium-30ct")</f>
        <v/>
      </c>
      <c r="C518" t="inlineStr">
        <is>
          <t>Depend® For Women Fit-Flex Underwear Maximum Absorbency Medium 30ct.</t>
        </is>
      </c>
      <c r="D518" t="inlineStr">
        <is>
          <t>Depend Fit-Flex Adult Incontinence Underwear for Women, Disposable, Maximum Absorbency, Medium, Blush, 76 Count</t>
        </is>
      </c>
      <c r="E518" s="2">
        <f>HYPERLINK("https://www.amazon.com/Depend-FIT-Flex-Incontinence-Underwear-Absorbency/dp/B0954ZQ39R/ref=sr_1_2?keywords=Depend%C2%AE+For+Women+Fit-Flex+Underwear+Maximum+Absorbency+Medium+30ct.&amp;qid=1695260227&amp;rdc=1&amp;sr=8-2", "https://www.amazon.com/Depend-FIT-Flex-Incontinence-Underwear-Absorbency/dp/B0954ZQ39R/ref=sr_1_2?keywords=Depend%C2%AE+For+Women+Fit-Flex+Underwear+Maximum+Absorbency+Medium+30ct.&amp;qid=1695260227&amp;rdc=1&amp;sr=8-2")</f>
        <v/>
      </c>
      <c r="F518" t="inlineStr">
        <is>
          <t>B0954ZQ39R</t>
        </is>
      </c>
      <c r="G518">
        <f>IMAGE("https://shop.sonapharmacy.com/cdn/shop/products/08770e46-2f46-4215-998c-05afa1fdc016.e9af13c99efa4da29c4ba783018d0a20.jpg?v=1611076535")</f>
        <v/>
      </c>
      <c r="H518">
        <f>IMAGE("https://m.media-amazon.com/images/I/81rmec140kL._AC_UL320_.jpg")</f>
        <v/>
      </c>
      <c r="I518" t="inlineStr">
        <is>
          <t>24.99</t>
        </is>
      </c>
      <c r="J518" t="n">
        <v>53.24</v>
      </c>
      <c r="K518" s="3" t="inlineStr">
        <is>
          <t>113.05%</t>
        </is>
      </c>
      <c r="L518" t="n">
        <v>4.6</v>
      </c>
      <c r="M518" t="n">
        <v>14005</v>
      </c>
      <c r="O518" t="inlineStr">
        <is>
          <t>InStock</t>
        </is>
      </c>
      <c r="P518" t="inlineStr">
        <is>
          <t>undefined</t>
        </is>
      </c>
      <c r="Q518" t="inlineStr">
        <is>
          <t>6226590597272</t>
        </is>
      </c>
    </row>
    <row r="519">
      <c r="A519" s="2">
        <f>HYPERLINK("https://shop.sonapharmacy.com/products/sunbum%C2%AE-original-spf-50-sunscreen-spray-6oz", "https://shop.sonapharmacy.com/products/sunbum%C2%AE-original-spf-50-sunscreen-spray-6oz")</f>
        <v/>
      </c>
      <c r="B519" s="2">
        <f>HYPERLINK("https://shop.sonapharmacy.com/products/sunbum%c2%ae-original-spf-50-sunscreen-spray-6oz", "https://shop.sonapharmacy.com/products/sunbum%c2%ae-original-spf-50-sunscreen-spray-6oz")</f>
        <v/>
      </c>
      <c r="C519" t="inlineStr">
        <is>
          <t>Sun Bum® Original SPF 50 Sunscreen Spray 6oz.</t>
        </is>
      </c>
      <c r="D519" t="inlineStr">
        <is>
          <t>Sun Bum Original SPF 50 Sunscreen Spray Vegan and Reef Friendly, natural &amp; Sun Bum Skin Care SPF 30 Daily Sunscreen Face Mist | Vegan and Reef Friendly | 2.5 Fl oz</t>
        </is>
      </c>
      <c r="E519" s="2">
        <f>HYPERLINK("https://www.amazon.com/Sun-Bum-Original-Sunscreen-Friendly/dp/B0BXFW6JF6/ref=sr_1_5?keywords=Sun+Bum%C2%AE+Original+SPF+50+Sunscreen+Spray+6oz.&amp;qid=1695260740&amp;sr=8-5", "https://www.amazon.com/Sun-Bum-Original-Sunscreen-Friendly/dp/B0BXFW6JF6/ref=sr_1_5?keywords=Sun+Bum%C2%AE+Original+SPF+50+Sunscreen+Spray+6oz.&amp;qid=1695260740&amp;sr=8-5")</f>
        <v/>
      </c>
      <c r="F519" t="inlineStr">
        <is>
          <t>B0BXFW6JF6</t>
        </is>
      </c>
      <c r="G519">
        <f>IMAGE("https://shop.sonapharmacy.com/cdn/shop/products/71a9elrSXbL._AC_SL1500.jpg?v=1611869711")</f>
        <v/>
      </c>
      <c r="H519">
        <f>IMAGE("https://m.media-amazon.com/images/I/412FMcw8toL._AC_UL320_.jpg")</f>
        <v/>
      </c>
      <c r="I519" t="inlineStr">
        <is>
          <t>15.99</t>
        </is>
      </c>
      <c r="J519" t="n">
        <v>34.03</v>
      </c>
      <c r="K519" s="3" t="inlineStr">
        <is>
          <t>112.82%</t>
        </is>
      </c>
      <c r="L519" t="n">
        <v>5</v>
      </c>
      <c r="M519" t="n">
        <v>1</v>
      </c>
      <c r="O519" t="inlineStr">
        <is>
          <t>InStock</t>
        </is>
      </c>
      <c r="P519" t="inlineStr">
        <is>
          <t>undefined</t>
        </is>
      </c>
      <c r="Q519" t="inlineStr">
        <is>
          <t>6244609949848</t>
        </is>
      </c>
    </row>
    <row r="520">
      <c r="A520" s="2">
        <f>HYPERLINK("https://shop.sonapharmacy.com/products/sunbum%C2%AE-original-spf-30-sunscreen-spray-6oz", "https://shop.sonapharmacy.com/products/sunbum%C2%AE-original-spf-30-sunscreen-spray-6oz")</f>
        <v/>
      </c>
      <c r="B520" s="2">
        <f>HYPERLINK("https://shop.sonapharmacy.com/products/sunbum%c2%ae-original-spf-30-sunscreen-spray-6oz", "https://shop.sonapharmacy.com/products/sunbum%c2%ae-original-spf-30-sunscreen-spray-6oz")</f>
        <v/>
      </c>
      <c r="C520" t="inlineStr">
        <is>
          <t>Sun Bum® Original SPF 30 Sunscreen Spray 6oz.</t>
        </is>
      </c>
      <c r="D520" t="inlineStr">
        <is>
          <t>Sun Bum Original SPF 50 Sunscreen Spray Vegan and Reef Friendly, natural &amp; Sun Bum Skin Care SPF 30 Daily Sunscreen Face Mist | Vegan and Reef Friendly | 2.5 Fl oz</t>
        </is>
      </c>
      <c r="E520" s="2">
        <f>HYPERLINK("https://www.amazon.com/Sun-Bum-Original-Sunscreen-Friendly/dp/B0BXFW6JF6/ref=sr_1_3?keywords=Sun+Bum%C2%AE+Original+SPF+30+Sunscreen+Spray+6oz.&amp;qid=1695260749&amp;sr=8-3", "https://www.amazon.com/Sun-Bum-Original-Sunscreen-Friendly/dp/B0BXFW6JF6/ref=sr_1_3?keywords=Sun+Bum%C2%AE+Original+SPF+30+Sunscreen+Spray+6oz.&amp;qid=1695260749&amp;sr=8-3")</f>
        <v/>
      </c>
      <c r="F520" t="inlineStr">
        <is>
          <t>B0BXFW6JF6</t>
        </is>
      </c>
      <c r="G520">
        <f>IMAGE("https://shop.sonapharmacy.com/cdn/shop/products/71Z-XuOhvOL._AC_SL1500.jpg?v=1611870033")</f>
        <v/>
      </c>
      <c r="H520">
        <f>IMAGE("https://m.media-amazon.com/images/I/412FMcw8toL._AC_UL320_.jpg")</f>
        <v/>
      </c>
      <c r="I520" t="inlineStr">
        <is>
          <t>15.99</t>
        </is>
      </c>
      <c r="J520" t="n">
        <v>34.03</v>
      </c>
      <c r="K520" s="3" t="inlineStr">
        <is>
          <t>112.82%</t>
        </is>
      </c>
      <c r="L520" t="n">
        <v>5</v>
      </c>
      <c r="M520" t="n">
        <v>1</v>
      </c>
      <c r="O520" t="inlineStr">
        <is>
          <t>InStock</t>
        </is>
      </c>
      <c r="P520" t="inlineStr">
        <is>
          <t>undefined</t>
        </is>
      </c>
      <c r="Q520" t="inlineStr">
        <is>
          <t>6244617158808</t>
        </is>
      </c>
    </row>
    <row r="521">
      <c r="A521" s="2">
        <f>HYPERLINK("https://shop.sonapharmacy.com/products/metagenics-metakids-baby-probiotic", "https://shop.sonapharmacy.com/products/metagenics-metakids-baby-probiotic")</f>
        <v/>
      </c>
      <c r="B521" s="2">
        <f>HYPERLINK("https://shop.sonapharmacy.com/products/metagenics-metakids-baby-probiotic", "https://shop.sonapharmacy.com/products/metagenics-metakids-baby-probiotic")</f>
        <v/>
      </c>
      <c r="C521" t="inlineStr">
        <is>
          <t>Metagenics MetaKids Baby Probiotic</t>
        </is>
      </c>
      <c r="D521" t="inlineStr">
        <is>
          <t>Metagenics MetaKids™ Probiotic, Chewable Daily Probiotic Support*, 120 Count</t>
        </is>
      </c>
      <c r="E521" s="2">
        <f>HYPERLINK("https://www.amazon.com/Metagenics-MetaKidsTM-Probiotic-Chewable-Support/dp/B09PXN3QC2/ref=sr_1_4?keywords=Metagenics+MetaKids+Baby+Probiotic&amp;qid=1695260468&amp;sr=8-4", "https://www.amazon.com/Metagenics-MetaKidsTM-Probiotic-Chewable-Support/dp/B09PXN3QC2/ref=sr_1_4?keywords=Metagenics+MetaKids+Baby+Probiotic&amp;qid=1695260468&amp;sr=8-4")</f>
        <v/>
      </c>
      <c r="F521" t="inlineStr">
        <is>
          <t>B09PXN3QC2</t>
        </is>
      </c>
      <c r="G521">
        <f>IMAGE("https://shop.sonapharmacy.com/cdn/shop/products/13211.png?v=1676581823")</f>
        <v/>
      </c>
      <c r="H521">
        <f>IMAGE("https://m.media-amazon.com/images/I/51bPnV4729L._AC_UL320_.jpg")</f>
        <v/>
      </c>
      <c r="I521" t="inlineStr">
        <is>
          <t>37.75</t>
        </is>
      </c>
      <c r="J521" t="n">
        <v>80</v>
      </c>
      <c r="K521" s="3" t="inlineStr">
        <is>
          <t>111.92%</t>
        </is>
      </c>
      <c r="L521" t="n">
        <v>4.9</v>
      </c>
      <c r="M521" t="n">
        <v>11</v>
      </c>
      <c r="O521" t="inlineStr">
        <is>
          <t>InStock</t>
        </is>
      </c>
      <c r="P521" t="inlineStr">
        <is>
          <t>undefined</t>
        </is>
      </c>
      <c r="Q521" t="inlineStr">
        <is>
          <t>7987747881180</t>
        </is>
      </c>
    </row>
    <row r="522">
      <c r="A522" s="2">
        <f>HYPERLINK("https://shop.sonapharmacy.com/products/gold-bond%C2%AE-medicated-extra-strength-body-powder", "https://shop.sonapharmacy.com/products/gold-bond%C2%AE-medicated-extra-strength-body-powder")</f>
        <v/>
      </c>
      <c r="B522" s="2">
        <f>HYPERLINK("https://shop.sonapharmacy.com/products/gold-bond%c2%ae-medicated-extra-strength-body-powder", "https://shop.sonapharmacy.com/products/gold-bond%c2%ae-medicated-extra-strength-body-powder")</f>
        <v/>
      </c>
      <c r="C522" t="inlineStr">
        <is>
          <t>Gold Bond® Medicated Extra Strength Body Powder</t>
        </is>
      </c>
      <c r="D522" t="inlineStr">
        <is>
          <t>Gold Bond Xstr Pwd Size 4z Gold Bond Extra Strength Medicated Body Powder Triple Action Relief</t>
        </is>
      </c>
      <c r="E522" s="2">
        <f>HYPERLINK("https://www.amazon.com/Gold-Bond-Strength-Medicated-Powder/dp/B007QEVY5S/ref=sr_1_4?keywords=Gold+Bond%C2%AE+Medicated+Extra+Strength+Body+Powder&amp;qid=1695260345&amp;sr=8-4", "https://www.amazon.com/Gold-Bond-Strength-Medicated-Powder/dp/B007QEVY5S/ref=sr_1_4?keywords=Gold+Bond%C2%AE+Medicated+Extra+Strength+Body+Powder&amp;qid=1695260345&amp;sr=8-4")</f>
        <v/>
      </c>
      <c r="F522" t="inlineStr">
        <is>
          <t>B007QEVY5S</t>
        </is>
      </c>
      <c r="G522">
        <f>IMAGE("https://shop.sonapharmacy.com/cdn/shop/products/large_a047ca99-d384-45ca-bfaf-e8e86c00ee6b.jpg?v=1608488454")</f>
        <v/>
      </c>
      <c r="H522">
        <f>IMAGE("https://m.media-amazon.com/images/I/71x7JBQ8yZL._AC_UL320_.jpg")</f>
        <v/>
      </c>
      <c r="I522" t="inlineStr">
        <is>
          <t>10.33</t>
        </is>
      </c>
      <c r="J522" t="n">
        <v>21.86</v>
      </c>
      <c r="K522" s="3" t="inlineStr">
        <is>
          <t>111.62%</t>
        </is>
      </c>
      <c r="L522" t="n">
        <v>4.2</v>
      </c>
      <c r="M522" t="n">
        <v>15</v>
      </c>
      <c r="O522" t="inlineStr">
        <is>
          <t>InStock</t>
        </is>
      </c>
      <c r="P522" t="inlineStr">
        <is>
          <t>undefined</t>
        </is>
      </c>
      <c r="Q522" t="inlineStr">
        <is>
          <t>6164767473816</t>
        </is>
      </c>
    </row>
    <row r="523">
      <c r="A523" s="2">
        <f>HYPERLINK("https://shop.sonapharmacy.com/products/sun-bum%C2%AE-mineral-spf-30-tinted-sunscreen-face-lotion-1-7oz", "https://shop.sonapharmacy.com/products/sun-bum%C2%AE-mineral-spf-30-tinted-sunscreen-face-lotion-1-7oz")</f>
        <v/>
      </c>
      <c r="B523" s="2">
        <f>HYPERLINK("https://shop.sonapharmacy.com/products/sun-bum%c2%ae-mineral-spf-30-tinted-sunscreen-face-lotion-1-7oz", "https://shop.sonapharmacy.com/products/sun-bum%c2%ae-mineral-spf-30-tinted-sunscreen-face-lotion-1-7oz")</f>
        <v/>
      </c>
      <c r="C523" t="inlineStr">
        <is>
          <t>Sun Bum® Mineral SPF 30 Tinted Sunscreen Face Lotion 1.7oz</t>
        </is>
      </c>
      <c r="D523" t="inlineStr">
        <is>
          <t>Love Sun Body Daily Tinted Face Sunscreen &amp; Moisturizer SPF 30 (Tan) Broad Spectrum Mineral Zinc Oxide | 100% Natural | All-Day Protection | Pregnancy Safe | 100% Natural Origin | Vitamin-Enriched | Reef Safe CC Cream | 1 fl oz</t>
        </is>
      </c>
      <c r="E523" s="2">
        <f>HYPERLINK("https://www.amazon.com/Love-Sun-Body-Moisturizer-Fragrance-Free/dp/B0B46ZJQNT/ref=sr_1_9?keywords=Sun+Bum%C2%AE+Mineral+SPF+30+Tinted+Sunscreen+Face+Lotion+1.7oz&amp;qid=1695260766&amp;sr=8-9", "https://www.amazon.com/Love-Sun-Body-Moisturizer-Fragrance-Free/dp/B0B46ZJQNT/ref=sr_1_9?keywords=Sun+Bum%C2%AE+Mineral+SPF+30+Tinted+Sunscreen+Face+Lotion+1.7oz&amp;qid=1695260766&amp;sr=8-9")</f>
        <v/>
      </c>
      <c r="F523" t="inlineStr">
        <is>
          <t>B0B46ZJQNT</t>
        </is>
      </c>
      <c r="G523">
        <f>IMAGE("https://shop.sonapharmacy.com/cdn/shop/products/sunbum12389mineral.jpg?v=1629233395")</f>
        <v/>
      </c>
      <c r="H523">
        <f>IMAGE("https://m.media-amazon.com/images/I/71YagyrRyfL._AC_UL320_.jpg")</f>
        <v/>
      </c>
      <c r="I523" t="inlineStr">
        <is>
          <t>17.99</t>
        </is>
      </c>
      <c r="J523" t="n">
        <v>38</v>
      </c>
      <c r="K523" s="3" t="inlineStr">
        <is>
          <t>111.23%</t>
        </is>
      </c>
      <c r="L523" t="n">
        <v>3.9</v>
      </c>
      <c r="M523" t="n">
        <v>31</v>
      </c>
      <c r="O523" t="inlineStr">
        <is>
          <t>InStock</t>
        </is>
      </c>
      <c r="P523" t="inlineStr">
        <is>
          <t>undefined</t>
        </is>
      </c>
      <c r="Q523" t="inlineStr">
        <is>
          <t>6952233369752</t>
        </is>
      </c>
    </row>
    <row r="524">
      <c r="A524" s="2">
        <f>HYPERLINK("https://shop.sonapharmacy.com/products/lice-shield-shampoo-conditioner", "https://shop.sonapharmacy.com/products/lice-shield-shampoo-conditioner")</f>
        <v/>
      </c>
      <c r="B524" s="2">
        <f>HYPERLINK("https://shop.sonapharmacy.com/products/lice-shield-shampoo-conditioner", "https://shop.sonapharmacy.com/products/lice-shield-shampoo-conditioner")</f>
        <v/>
      </c>
      <c r="C524" t="inlineStr">
        <is>
          <t>Lice Shield Shampoo &amp; Conditioner 10 fl. oz.</t>
        </is>
      </c>
      <c r="D524" t="inlineStr">
        <is>
          <t>Lice Shield Shampoo &amp; Conditioner 2 in 1 - 10 oz - 2 pk</t>
        </is>
      </c>
      <c r="E524" s="2">
        <f>HYPERLINK("https://www.amazon.com/Lice-Shield-Shampoo-Conditioner-10/dp/B00JISMSG4/ref=sr_1_4?keywords=Lice+Shield+Shampoo&amp;qid=1695260434&amp;sr=8-4", "https://www.amazon.com/Lice-Shield-Shampoo-Conditioner-10/dp/B00JISMSG4/ref=sr_1_4?keywords=Lice+Shield+Shampoo&amp;qid=1695260434&amp;sr=8-4")</f>
        <v/>
      </c>
      <c r="F524" t="inlineStr">
        <is>
          <t>B00JISMSG4</t>
        </is>
      </c>
      <c r="G524">
        <f>IMAGE("https://shop.sonapharmacy.com/cdn/shop/products/liceshield.jpg?v=1608136014")</f>
        <v/>
      </c>
      <c r="H524">
        <f>IMAGE("https://m.media-amazon.com/images/I/61XBNUa7ZWL._AC_UL320_.jpg")</f>
        <v/>
      </c>
      <c r="I524" t="inlineStr">
        <is>
          <t>10.79</t>
        </is>
      </c>
      <c r="J524" t="n">
        <v>22.46</v>
      </c>
      <c r="K524" s="3" t="inlineStr">
        <is>
          <t>108.16%</t>
        </is>
      </c>
      <c r="L524" t="n">
        <v>4.6</v>
      </c>
      <c r="M524" t="n">
        <v>48</v>
      </c>
      <c r="O524" t="inlineStr">
        <is>
          <t>InStock</t>
        </is>
      </c>
      <c r="P524" t="inlineStr">
        <is>
          <t>undefined</t>
        </is>
      </c>
      <c r="Q524" t="inlineStr">
        <is>
          <t>6156972458136</t>
        </is>
      </c>
    </row>
    <row r="525">
      <c r="A525" s="2">
        <f>HYPERLINK("https://shop.sonapharmacy.com/products/buffered-vitamin-c-1000-mg-60-vegcaps", "https://shop.sonapharmacy.com/products/buffered-vitamin-c-1000-mg-60-vegcaps")</f>
        <v/>
      </c>
      <c r="B525" s="2">
        <f>HYPERLINK("https://shop.sonapharmacy.com/products/buffered-vitamin-c-1000-mg-60-vegcaps", "https://shop.sonapharmacy.com/products/buffered-vitamin-c-1000-mg-60-vegcaps")</f>
        <v/>
      </c>
      <c r="C525" t="inlineStr">
        <is>
          <t>Integrative Therapeutics® Buffered Vitamin C 1000mg Capsule</t>
        </is>
      </c>
      <c r="D525" t="inlineStr">
        <is>
          <t>SOLARAY Super Bio Vitamin C 1000mg, Buffered, Time Release Capsules with Bioflavonoids, Two-Stage for High Absorption &amp; All Day Immune Support, Vegan, 60 Day Guarantee, 125 Servings, 250 VegCaps</t>
        </is>
      </c>
      <c r="E525" s="2">
        <f>HYPERLINK("https://www.amazon.com/SOLARAY-Bioflavonoids-Two-Stage-Absorption-Guarantee/dp/B00013YZ0M/ref=sr_1_8?keywords=Integrative+Therapeutics%C2%AE+Buffered+Vitamin+C+1000mg+Capsule&amp;qid=1695260407&amp;sr=8-8", "https://www.amazon.com/SOLARAY-Bioflavonoids-Two-Stage-Absorption-Guarantee/dp/B00013YZ0M/ref=sr_1_8?keywords=Integrative+Therapeutics%C2%AE+Buffered+Vitamin+C+1000mg+Capsule&amp;qid=1695260407&amp;sr=8-8")</f>
        <v/>
      </c>
      <c r="F525" t="inlineStr">
        <is>
          <t>B00013YZ0M</t>
        </is>
      </c>
      <c r="G525">
        <f>IMAGE("https://shop.sonapharmacy.com/cdn/shop/products/618C731cXIL._AC_SL1500.jpg?v=1609356444")</f>
        <v/>
      </c>
      <c r="H525">
        <f>IMAGE("https://m.media-amazon.com/images/I/61WLL5Tk5FL._AC_UL320_.jpg")</f>
        <v/>
      </c>
      <c r="I525" t="inlineStr">
        <is>
          <t>13.5</t>
        </is>
      </c>
      <c r="J525" t="n">
        <v>27.99</v>
      </c>
      <c r="K525" s="3" t="inlineStr">
        <is>
          <t>107.33%</t>
        </is>
      </c>
      <c r="L525" t="n">
        <v>4.8</v>
      </c>
      <c r="M525" t="n">
        <v>2074</v>
      </c>
      <c r="O525" t="inlineStr">
        <is>
          <t>undefined</t>
        </is>
      </c>
      <c r="P525" t="inlineStr">
        <is>
          <t>undefined</t>
        </is>
      </c>
      <c r="Q525" t="inlineStr">
        <is>
          <t>4885744124043</t>
        </is>
      </c>
    </row>
    <row r="526">
      <c r="A526" s="2">
        <f>HYPERLINK("https://shop.sonapharmacy.com/products/buffered-vitamin-c-1000-mg-60-vegcaps", "https://shop.sonapharmacy.com/products/buffered-vitamin-c-1000-mg-60-vegcaps")</f>
        <v/>
      </c>
      <c r="B526" s="2">
        <f>HYPERLINK("https://shop.sonapharmacy.com/products/buffered-vitamin-c-1000-mg-60-vegcaps", "https://shop.sonapharmacy.com/products/buffered-vitamin-c-1000-mg-60-vegcaps")</f>
        <v/>
      </c>
      <c r="C526" t="inlineStr">
        <is>
          <t>Integrative Therapeutics® Buffered Vitamin C 1000mg Capsule</t>
        </is>
      </c>
      <c r="D526" t="inlineStr">
        <is>
          <t>SOLARAY Super Bio Vitamin C 1000mg, Buffered, Time Release Capsules with Bioflavonoids, Two-Stage for High Absorption &amp; All Day Immune Support, Vegan, 60 Day Guarantee, 125 Servings, 250 VegCaps</t>
        </is>
      </c>
      <c r="F526" t="inlineStr">
        <is>
          <t>B00013YZ0M</t>
        </is>
      </c>
      <c r="G526">
        <f>IMAGE("https://shop.sonapharmacy.com/cdn/shop/products/618C731cXIL._AC_SL1500.jpg?v=1609356444")</f>
        <v/>
      </c>
      <c r="H526">
        <f>IMAGE("https://m.media-amazon.com/images/I/61WLL5Tk5FL._AC_UL320_.jpg")</f>
        <v/>
      </c>
      <c r="I526" t="inlineStr">
        <is>
          <t>13.5</t>
        </is>
      </c>
      <c r="J526" t="n">
        <v>27.99</v>
      </c>
      <c r="K526" s="3" t="inlineStr">
        <is>
          <t>107.33%</t>
        </is>
      </c>
      <c r="L526" t="n">
        <v>4.8</v>
      </c>
      <c r="M526" t="n">
        <v>2074</v>
      </c>
      <c r="O526" t="inlineStr">
        <is>
          <t>undefined</t>
        </is>
      </c>
      <c r="P526" t="inlineStr">
        <is>
          <t>undefined</t>
        </is>
      </c>
      <c r="Q526" t="inlineStr">
        <is>
          <t>4885744124043</t>
        </is>
      </c>
    </row>
    <row r="527">
      <c r="A527" s="2">
        <f>HYPERLINK("https://shop.sonapharmacy.com/products/nature-made-1200-mg-fish-oil-with-vitamin-d-softgels", "https://shop.sonapharmacy.com/products/nature-made-1200-mg-fish-oil-with-vitamin-d-softgels")</f>
        <v/>
      </c>
      <c r="B527" s="2">
        <f>HYPERLINK("https://shop.sonapharmacy.com/products/nature-made-1200-mg-fish-oil-with-vitamin-d-softgels", "https://shop.sonapharmacy.com/products/nature-made-1200-mg-fish-oil-with-vitamin-d-softgels")</f>
        <v/>
      </c>
      <c r="C527" t="inlineStr">
        <is>
          <t>Nature Made® Fish Oil With Vitamin D 1000IU Softgels 90ct.</t>
        </is>
      </c>
      <c r="D527" t="inlineStr">
        <is>
          <t>Nature Made Fish Oil 1200 mg, Omega 3 Fish Oil for Healthy Heart Support, Omega 3 Supplement with 300 Softgels, 150 Day Supply+Better Guide Vitamins Supplements</t>
        </is>
      </c>
      <c r="E527" s="2">
        <f>HYPERLINK("https://www.amazon.com/Healthy-Supplement-Softgels-Vitamins-Supplements/dp/B0C2GQSY8N/ref=sr_1_8?keywords=Nature+Made%C2%AE+Fish+Oil+With+Vitamin+D+1000IU+Softgels+90ct.&amp;qid=1695260532&amp;sr=8-8", "https://www.amazon.com/Healthy-Supplement-Softgels-Vitamins-Supplements/dp/B0C2GQSY8N/ref=sr_1_8?keywords=Nature+Made%C2%AE+Fish+Oil+With+Vitamin+D+1000IU+Softgels+90ct.&amp;qid=1695260532&amp;sr=8-8")</f>
        <v/>
      </c>
      <c r="F527" t="inlineStr">
        <is>
          <t>B0C2GQSY8N</t>
        </is>
      </c>
      <c r="G527">
        <f>IMAGE("https://shop.sonapharmacy.com/cdn/shop/products/51_VoT57JNL._AC.jpg?v=1610049471")</f>
        <v/>
      </c>
      <c r="H527">
        <f>IMAGE("https://m.media-amazon.com/images/I/61HM7DmOTQL._AC_UL320_.jpg")</f>
        <v/>
      </c>
      <c r="I527" t="inlineStr">
        <is>
          <t>19.13</t>
        </is>
      </c>
      <c r="J527" t="n">
        <v>39.15</v>
      </c>
      <c r="K527" s="3" t="inlineStr">
        <is>
          <t>104.65%</t>
        </is>
      </c>
      <c r="L527" t="n">
        <v>3.9</v>
      </c>
      <c r="M527" t="n">
        <v>5</v>
      </c>
      <c r="O527" t="inlineStr">
        <is>
          <t>InStock</t>
        </is>
      </c>
      <c r="P527" t="inlineStr">
        <is>
          <t>undefined</t>
        </is>
      </c>
      <c r="Q527" t="inlineStr">
        <is>
          <t>4898982461579</t>
        </is>
      </c>
    </row>
    <row r="528">
      <c r="A528" s="2">
        <f>HYPERLINK("https://shop.sonapharmacy.com/products/sunbum%C2%AE-original-spf-50-sunscreen-spray-6oz", "https://shop.sonapharmacy.com/products/sunbum%C2%AE-original-spf-50-sunscreen-spray-6oz")</f>
        <v/>
      </c>
      <c r="B528" s="2">
        <f>HYPERLINK("https://shop.sonapharmacy.com/products/sunbum%c2%ae-original-spf-50-sunscreen-spray-6oz", "https://shop.sonapharmacy.com/products/sunbum%c2%ae-original-spf-50-sunscreen-spray-6oz")</f>
        <v/>
      </c>
      <c r="C528" t="inlineStr">
        <is>
          <t>Sun Bum® Original SPF 50 Sunscreen Spray 6oz.</t>
        </is>
      </c>
      <c r="D528" t="inlineStr">
        <is>
          <t>Sun Bum Original SPF 50 Sunscreen Spray Vegan and Reef Friendly (Octinoxate &amp; Oxybenzone Free) Broad Spectrum Moisturizing UVA/UVB Sunscreen &amp; Original SPF 45 Sunscreen Face Mist 3.4 oz</t>
        </is>
      </c>
      <c r="E528" s="2">
        <f>HYPERLINK("https://www.amazon.com/Sun-Bum-Octinoxate-Oxybenzone-Moisturizing/dp/B0C2VJF4MY/ref=sr_1_6?keywords=Sun+Bum%C2%AE+Original+SPF+50+Sunscreen+Spray+6oz.&amp;qid=1695260740&amp;sr=8-6", "https://www.amazon.com/Sun-Bum-Octinoxate-Oxybenzone-Moisturizing/dp/B0C2VJF4MY/ref=sr_1_6?keywords=Sun+Bum%C2%AE+Original+SPF+50+Sunscreen+Spray+6oz.&amp;qid=1695260740&amp;sr=8-6")</f>
        <v/>
      </c>
      <c r="F528" t="inlineStr">
        <is>
          <t>B0C2VJF4MY</t>
        </is>
      </c>
      <c r="G528">
        <f>IMAGE("https://shop.sonapharmacy.com/cdn/shop/products/71a9elrSXbL._AC_SL1500.jpg?v=1611869711")</f>
        <v/>
      </c>
      <c r="H528">
        <f>IMAGE("https://m.media-amazon.com/images/I/41VLpeG89DL._AC_UL320_.jpg")</f>
        <v/>
      </c>
      <c r="I528" t="inlineStr">
        <is>
          <t>15.99</t>
        </is>
      </c>
      <c r="J528" t="n">
        <v>32.03</v>
      </c>
      <c r="K528" s="3" t="inlineStr">
        <is>
          <t>100.31%</t>
        </is>
      </c>
      <c r="L528" t="n">
        <v>5</v>
      </c>
      <c r="M528" t="n">
        <v>2</v>
      </c>
      <c r="O528" t="inlineStr">
        <is>
          <t>InStock</t>
        </is>
      </c>
      <c r="P528" t="inlineStr">
        <is>
          <t>undefined</t>
        </is>
      </c>
      <c r="Q528" t="inlineStr">
        <is>
          <t>6244609949848</t>
        </is>
      </c>
    </row>
    <row r="529">
      <c r="A529" s="2">
        <f>HYPERLINK("https://shop.sonapharmacy.com/products/philips%C2%AE-sonicare-1100-daily-clean-electric-toothbrush", "https://shop.sonapharmacy.com/products/philips%C2%AE-sonicare-1100-daily-clean-electric-toothbrush")</f>
        <v/>
      </c>
      <c r="B529" s="2">
        <f>HYPERLINK("https://shop.sonapharmacy.com/products/philips%c2%ae-sonicare-1100-daily-clean-electric-toothbrush", "https://shop.sonapharmacy.com/products/philips%c2%ae-sonicare-1100-daily-clean-electric-toothbrush")</f>
        <v/>
      </c>
      <c r="C529" t="inlineStr">
        <is>
          <t>Philip's® Sonicare 1100 Daily Clean Electric Toothbrush</t>
        </is>
      </c>
      <c r="D529" t="inlineStr">
        <is>
          <t>Philips Sonicare cleanDaily Rechargeable Electric Toothbrush, 2 Count</t>
        </is>
      </c>
      <c r="E529" s="2">
        <f>HYPERLINK("https://www.amazon.com/Philips-Sonicare-Dailyclean-Rechargeable-Toothbrush/dp/B09K8RYDK3/ref=sr_1_5?keywords=Philip%27s%C2%AE+Sonicare+1100+Daily+Clean+Electric+Toothbrush&amp;qid=1695260635&amp;sr=8-5", "https://www.amazon.com/Philips-Sonicare-Dailyclean-Rechargeable-Toothbrush/dp/B09K8RYDK3/ref=sr_1_5?keywords=Philip%27s%C2%AE+Sonicare+1100+Daily+Clean+Electric+Toothbrush&amp;qid=1695260635&amp;sr=8-5")</f>
        <v/>
      </c>
      <c r="F529" t="inlineStr">
        <is>
          <t>B09K8RYDK3</t>
        </is>
      </c>
      <c r="G529">
        <f>IMAGE("https://shop.sonapharmacy.com/cdn/shop/products/ead938eb-0b84-44ca-80e3-51c79afb01d2.74bc2eab271bbad9bb49b14d4cdea77e.jpg?v=1608583461")</f>
        <v/>
      </c>
      <c r="H529">
        <f>IMAGE("https://m.media-amazon.com/images/I/61xN+1caMlL._AC_UL320_.jpg")</f>
        <v/>
      </c>
      <c r="I529" t="inlineStr">
        <is>
          <t>29.99</t>
        </is>
      </c>
      <c r="J529" t="n">
        <v>59.99</v>
      </c>
      <c r="K529" s="3" t="inlineStr">
        <is>
          <t>100.03%</t>
        </is>
      </c>
      <c r="L529" t="n">
        <v>4.6</v>
      </c>
      <c r="M529" t="n">
        <v>295</v>
      </c>
      <c r="O529" t="inlineStr">
        <is>
          <t>InStock</t>
        </is>
      </c>
      <c r="P529" t="inlineStr">
        <is>
          <t>undefined</t>
        </is>
      </c>
      <c r="Q529" t="inlineStr">
        <is>
          <t>6166225944728</t>
        </is>
      </c>
    </row>
    <row r="530">
      <c r="A530" s="2">
        <f>HYPERLINK("https://shop.sonapharmacy.com/products/nature-made-hair-skin-and-nails-gummies", "https://shop.sonapharmacy.com/products/nature-made-hair-skin-and-nails-gummies")</f>
        <v/>
      </c>
      <c r="B530" s="2">
        <f>HYPERLINK("https://shop.sonapharmacy.com/products/nature-made-hair-skin-and-nails-gummies", "https://shop.sonapharmacy.com/products/nature-made-hair-skin-and-nails-gummies")</f>
        <v/>
      </c>
      <c r="C530" t="inlineStr">
        <is>
          <t>Nature Made® Hair Skin and Nails Gummies</t>
        </is>
      </c>
      <c r="D530" t="inlineStr">
        <is>
          <t>Nature's Bounty Optimal Solutions Advanced Hair, Skin, Nails, 2X Biotin, 200 Strawberry Gummies</t>
        </is>
      </c>
      <c r="E530" s="2">
        <f>HYPERLINK("https://www.amazon.com/Natures-Bounty-Solutions-Advanced-Strawberry/dp/B085JDD3V8/ref=sr_1_4?keywords=Nature+Made%C2%AE+Hair+Skin+and+Nails+Gummies&amp;qid=1695260542&amp;sr=8-4", "https://www.amazon.com/Natures-Bounty-Solutions-Advanced-Strawberry/dp/B085JDD3V8/ref=sr_1_4?keywords=Nature+Made%C2%AE+Hair+Skin+and+Nails+Gummies&amp;qid=1695260542&amp;sr=8-4")</f>
        <v/>
      </c>
      <c r="F530" t="inlineStr">
        <is>
          <t>B085JDD3V8</t>
        </is>
      </c>
      <c r="G530">
        <f>IMAGE("https://shop.sonapharmacy.com/cdn/shop/products/71o8Z6P3alL._AC_SL1500.jpg?v=1610048535")</f>
        <v/>
      </c>
      <c r="H530">
        <f>IMAGE("https://m.media-amazon.com/images/I/71S7UuTUxFL._AC_UL320_.jpg")</f>
        <v/>
      </c>
      <c r="I530" t="inlineStr">
        <is>
          <t>9.49</t>
        </is>
      </c>
      <c r="J530" t="n">
        <v>18.87</v>
      </c>
      <c r="K530" s="3" t="inlineStr">
        <is>
          <t>98.84%</t>
        </is>
      </c>
      <c r="L530" t="n">
        <v>4.6</v>
      </c>
      <c r="M530" t="n">
        <v>15218</v>
      </c>
      <c r="O530" t="inlineStr">
        <is>
          <t>InStock</t>
        </is>
      </c>
      <c r="P530" t="inlineStr">
        <is>
          <t>undefined</t>
        </is>
      </c>
      <c r="Q530" t="inlineStr">
        <is>
          <t>4896662618251</t>
        </is>
      </c>
    </row>
    <row r="531">
      <c r="A531" s="2">
        <f>HYPERLINK("https://shop.sonapharmacy.com/products/mueller-kinesiology-tape%C2%AE-i-strips-pre-cut-tape-roll", "https://shop.sonapharmacy.com/products/mueller-kinesiology-tape%C2%AE-i-strips-pre-cut-tape-roll")</f>
        <v/>
      </c>
      <c r="B531" s="2">
        <f>HYPERLINK("https://shop.sonapharmacy.com/products/mueller-kinesiology-tape%c2%ae-i-strips-pre-cut-tape-roll", "https://shop.sonapharmacy.com/products/mueller-kinesiology-tape%c2%ae-i-strips-pre-cut-tape-roll")</f>
        <v/>
      </c>
      <c r="C531" t="inlineStr">
        <is>
          <t>Mueller Kinesiology Tape® I-Strips Pre-Cut Tape Roll</t>
        </is>
      </c>
      <c r="D531" t="inlineStr">
        <is>
          <t>Mueller Pre-Cut Kinesiology Tape I-Strip Roll, 2" x 16.4' - 20 Strips per Roll Black</t>
        </is>
      </c>
      <c r="E531" s="2">
        <f>HYPERLINK("https://www.amazon.com/Mueller-Pre-Cut-Kinesiology-Tape-I-Strip/dp/B00PKKXNHW/ref=sr_1_4?keywords=Mueller+Kinesiology+Tape%C2%AE+I-Strips+Pre-Cut+Tape+Roll&amp;qid=1695260503&amp;sr=8-4", "https://www.amazon.com/Mueller-Pre-Cut-Kinesiology-Tape-I-Strip/dp/B00PKKXNHW/ref=sr_1_4?keywords=Mueller+Kinesiology+Tape%C2%AE+I-Strips+Pre-Cut+Tape+Roll&amp;qid=1695260503&amp;sr=8-4")</f>
        <v/>
      </c>
      <c r="F531" t="inlineStr">
        <is>
          <t>B00PKKXNHW</t>
        </is>
      </c>
      <c r="G531">
        <f>IMAGE("https://shop.sonapharmacy.com/cdn/shop/products/black_fd3353bd-3884-4f87-90b8-1327b7073970.jpg?v=1609944494")</f>
        <v/>
      </c>
      <c r="H531">
        <f>IMAGE("https://m.media-amazon.com/images/I/11Y9CU3dlGL._AC_UL320_.jpg")</f>
        <v/>
      </c>
      <c r="I531" t="inlineStr">
        <is>
          <t>9.09</t>
        </is>
      </c>
      <c r="J531" t="n">
        <v>17.92</v>
      </c>
      <c r="K531" s="3" t="inlineStr">
        <is>
          <t>97.14%</t>
        </is>
      </c>
      <c r="L531" t="n">
        <v>5</v>
      </c>
      <c r="M531" t="n">
        <v>2</v>
      </c>
      <c r="O531" t="inlineStr">
        <is>
          <t>InStock</t>
        </is>
      </c>
      <c r="P531" t="inlineStr">
        <is>
          <t>undefined</t>
        </is>
      </c>
      <c r="Q531" t="inlineStr">
        <is>
          <t>6197523906712</t>
        </is>
      </c>
    </row>
    <row r="532">
      <c r="A532" s="2">
        <f>HYPERLINK("https://shop.sonapharmacy.com/products/nature-made-1200-mg-fish-oil-with-720-mg-omega-3", "https://shop.sonapharmacy.com/products/nature-made-1200-mg-fish-oil-with-720-mg-omega-3")</f>
        <v/>
      </c>
      <c r="B532" s="2">
        <f>HYPERLINK("https://shop.sonapharmacy.com/products/nature-made-1200-mg-fish-oil-with-720-mg-omega-3", "https://shop.sonapharmacy.com/products/nature-made-1200-mg-fish-oil-with-720-mg-omega-3")</f>
        <v/>
      </c>
      <c r="C532" t="inlineStr">
        <is>
          <t>Nature Made® Fish Oil with Omega-3 1200 mg/720 mg Softgels 100ct.</t>
        </is>
      </c>
      <c r="D532" t="inlineStr">
        <is>
          <t>Nature Made Fish Oil 1200 mg, Omega 3 Fish Oil for Healthy Heart Support, Omega 3 Supplement with 300 Softgels, 150 Day Supply+Better Guide Vitamins Supplements</t>
        </is>
      </c>
      <c r="E532" s="2">
        <f>HYPERLINK("https://www.amazon.com/Healthy-Supplement-Softgels-Vitamins-Supplements/dp/B0C2GQSY8N/ref=sr_1_10?keywords=Nature+Made%C2%AE+Fish+Oil+with+Omega-3+1200+mg%2F720+mg+Softgels+100ct.&amp;qid=1695260558&amp;sr=8-10", "https://www.amazon.com/Healthy-Supplement-Softgels-Vitamins-Supplements/dp/B0C2GQSY8N/ref=sr_1_10?keywords=Nature+Made%C2%AE+Fish+Oil+with+Omega-3+1200+mg%2F720+mg+Softgels+100ct.&amp;qid=1695260558&amp;sr=8-10")</f>
        <v/>
      </c>
      <c r="F532" t="inlineStr">
        <is>
          <t>B0C2GQSY8N</t>
        </is>
      </c>
      <c r="G532">
        <f>IMAGE("https://shop.sonapharmacy.com/cdn/shop/products/7151vaVLcoL._AC_SL1500__2.jpg?v=1610049528")</f>
        <v/>
      </c>
      <c r="H532">
        <f>IMAGE("https://m.media-amazon.com/images/I/61HM7DmOTQL._AC_UL320_.jpg")</f>
        <v/>
      </c>
      <c r="I532" t="inlineStr">
        <is>
          <t>19.99</t>
        </is>
      </c>
      <c r="J532" t="n">
        <v>39.15</v>
      </c>
      <c r="K532" s="3" t="inlineStr">
        <is>
          <t>95.85%</t>
        </is>
      </c>
      <c r="L532" t="n">
        <v>3.9</v>
      </c>
      <c r="M532" t="n">
        <v>5</v>
      </c>
      <c r="O532" t="inlineStr">
        <is>
          <t>InStock</t>
        </is>
      </c>
      <c r="P532" t="inlineStr">
        <is>
          <t>undefined</t>
        </is>
      </c>
      <c r="Q532" t="inlineStr">
        <is>
          <t>5238336061592</t>
        </is>
      </c>
    </row>
    <row r="533">
      <c r="A533" s="2">
        <f>HYPERLINK("https://shop.sonapharmacy.com/products/prevagen-regular-strength-10-mg-capsules", "https://shop.sonapharmacy.com/products/prevagen-regular-strength-10-mg-capsules")</f>
        <v/>
      </c>
      <c r="B533" s="2">
        <f>HYPERLINK("https://shop.sonapharmacy.com/products/prevagen-regular-strength-10-mg-capsules", "https://shop.sonapharmacy.com/products/prevagen-regular-strength-10-mg-capsules")</f>
        <v/>
      </c>
      <c r="C533" t="inlineStr">
        <is>
          <t>Prevagen Regular Strength 10 mg Capsules 30 ct.</t>
        </is>
      </c>
      <c r="D533" t="inlineStr">
        <is>
          <t>Prevagen Improves Memory - Regular Strength 10mg, 60 Capsules, with Apoaequorin &amp; Vitamin D &amp; Prevagen 7-Day Pill Minder | Brain Supplement for Better Brain Health, Supports Healthy Brain Function</t>
        </is>
      </c>
      <c r="E533" s="2">
        <f>HYPERLINK("https://www.amazon.com/Prevagen-Mineral-Supplement-60-Count/dp/B00GB9AWXO/ref=sr_1_2?keywords=Prevagen+Regular+Strength+10+mg+Capsules+30+ct.&amp;qid=1695260646&amp;sr=8-2", "https://www.amazon.com/Prevagen-Mineral-Supplement-60-Count/dp/B00GB9AWXO/ref=sr_1_2?keywords=Prevagen+Regular+Strength+10+mg+Capsules+30+ct.&amp;qid=1695260646&amp;sr=8-2")</f>
        <v/>
      </c>
      <c r="F533" t="inlineStr">
        <is>
          <t>B00GB9AWXO</t>
        </is>
      </c>
      <c r="G533">
        <f>IMAGE("https://shop.sonapharmacy.com/cdn/shop/products/Prevagen.jpg?v=1628795146")</f>
        <v/>
      </c>
      <c r="H533">
        <f>IMAGE("https://m.media-amazon.com/images/I/71f4e+ruaZL._AC_UL320_.jpg")</f>
        <v/>
      </c>
      <c r="I533" t="inlineStr">
        <is>
          <t>35.09</t>
        </is>
      </c>
      <c r="J533" t="n">
        <v>68.20999999999999</v>
      </c>
      <c r="K533" s="3" t="inlineStr">
        <is>
          <t>94.39%</t>
        </is>
      </c>
      <c r="L533" t="n">
        <v>4.4</v>
      </c>
      <c r="M533" t="n">
        <v>2506</v>
      </c>
      <c r="O533" t="inlineStr">
        <is>
          <t>undefined</t>
        </is>
      </c>
      <c r="P533" t="inlineStr">
        <is>
          <t>undefined</t>
        </is>
      </c>
      <c r="Q533" t="inlineStr">
        <is>
          <t>4892618489995</t>
        </is>
      </c>
    </row>
    <row r="534">
      <c r="A534" s="2">
        <f>HYPERLINK("https://shop.sonapharmacy.com/products/theraslim", "https://shop.sonapharmacy.com/products/theraslim")</f>
        <v/>
      </c>
      <c r="B534" s="2">
        <f>HYPERLINK("https://shop.sonapharmacy.com/products/theraslim", "https://shop.sonapharmacy.com/products/theraslim")</f>
        <v/>
      </c>
      <c r="C534" t="inlineStr">
        <is>
          <t>Klaire Labs Theraslim Capsules</t>
        </is>
      </c>
      <c r="D534" t="inlineStr">
        <is>
          <t>Klaire Labs Ther-Biotic Women's Probiotic Supplement - Support Healthy Vaginal pH &amp; Comfort - 25b CFU Lactobacillus &amp; Bifidobacterium - Hypoallergenic, Dairy-Free Probiotics (60 Capsules)</t>
        </is>
      </c>
      <c r="E534" s="2">
        <f>HYPERLINK("https://www.amazon.com/Klaire-Labs-Ther-Biotic-Womens-Formula/dp/B003PQNOM2/ref=sr_1_3?keywords=Klaire+Labs+Theraslim+Capsules&amp;qid=1695260437&amp;sr=8-3", "https://www.amazon.com/Klaire-Labs-Ther-Biotic-Womens-Formula/dp/B003PQNOM2/ref=sr_1_3?keywords=Klaire+Labs+Theraslim+Capsules&amp;qid=1695260437&amp;sr=8-3")</f>
        <v/>
      </c>
      <c r="F534" t="inlineStr">
        <is>
          <t>B003PQNOM2</t>
        </is>
      </c>
      <c r="G534">
        <f>IMAGE("https://shop.sonapharmacy.com/cdn/shop/products/61UgGn_O7ML._AC_SL1500.jpg?v=1609358113")</f>
        <v/>
      </c>
      <c r="H534">
        <f>IMAGE("https://m.media-amazon.com/images/I/612f-BhqIVL._AC_UL320_.jpg")</f>
        <v/>
      </c>
      <c r="I534" t="inlineStr">
        <is>
          <t>25.99</t>
        </is>
      </c>
      <c r="J534" t="n">
        <v>49.99</v>
      </c>
      <c r="K534" s="3" t="inlineStr">
        <is>
          <t>92.34%</t>
        </is>
      </c>
      <c r="L534" t="n">
        <v>4.6</v>
      </c>
      <c r="M534" t="n">
        <v>458</v>
      </c>
      <c r="O534" t="inlineStr">
        <is>
          <t>InStock</t>
        </is>
      </c>
      <c r="P534" t="inlineStr">
        <is>
          <t>undefined</t>
        </is>
      </c>
      <c r="Q534" t="inlineStr">
        <is>
          <t>4435727810699</t>
        </is>
      </c>
    </row>
    <row r="535">
      <c r="A535" s="2">
        <f>HYPERLINK("https://shop.sonapharmacy.com/products/prilosec-otc%C2%AE-delayed-release-acid-reducer-tablets", "https://shop.sonapharmacy.com/products/prilosec-otc%C2%AE-delayed-release-acid-reducer-tablets")</f>
        <v/>
      </c>
      <c r="B535" s="2">
        <f>HYPERLINK("https://shop.sonapharmacy.com/products/prilosec-otc%c2%ae-delayed-release-acid-reducer-tablets", "https://shop.sonapharmacy.com/products/prilosec-otc%c2%ae-delayed-release-acid-reducer-tablets")</f>
        <v/>
      </c>
      <c r="C535" t="inlineStr">
        <is>
          <t>Prilosec OTC® Delayed Release Acid Reducer Tablets</t>
        </is>
      </c>
      <c r="D535" t="inlineStr">
        <is>
          <t>Prilosec OTC, Omeprazole Delayed Release 20mg, Acid Reducer, Treats Frequent Heartburn for 24 Hour Relief, All Day, All Night*, 20mg, 42 Tablets</t>
        </is>
      </c>
      <c r="E535" s="2">
        <f>HYPERLINK("https://www.amazon.com/Prilosec-OTC-Frequent-Heartburn-Medicine/dp/B0000AN9L7/ref=sr_1_1?keywords=Prilosec+OTC%C2%AE+Delayed+Release+Acid+Reducer+Tablets&amp;qid=1695260683&amp;sr=8-1", "https://www.amazon.com/Prilosec-OTC-Frequent-Heartburn-Medicine/dp/B0000AN9L7/ref=sr_1_1?keywords=Prilosec+OTC%C2%AE+Delayed+Release+Acid+Reducer+Tablets&amp;qid=1695260683&amp;sr=8-1")</f>
        <v/>
      </c>
      <c r="F535" t="inlineStr">
        <is>
          <t>B0000AN9L7</t>
        </is>
      </c>
      <c r="G535">
        <f>IMAGE("https://shop.sonapharmacy.com/cdn/shop/products/81ogWiPVy2L._AC_SL1500.jpg?v=1611026906")</f>
        <v/>
      </c>
      <c r="H535">
        <f>IMAGE("https://m.media-amazon.com/images/I/61MCxc2GZ6L._AC_UL320_.jpg")</f>
        <v/>
      </c>
      <c r="I535" t="inlineStr">
        <is>
          <t>11.99</t>
        </is>
      </c>
      <c r="J535" t="n">
        <v>22.98</v>
      </c>
      <c r="K535" s="3" t="inlineStr">
        <is>
          <t>91.66%</t>
        </is>
      </c>
      <c r="L535" t="n">
        <v>4.8</v>
      </c>
      <c r="M535" t="n">
        <v>15420</v>
      </c>
      <c r="O535" t="inlineStr">
        <is>
          <t>InStock</t>
        </is>
      </c>
      <c r="P535" t="inlineStr">
        <is>
          <t>undefined</t>
        </is>
      </c>
      <c r="Q535" t="inlineStr">
        <is>
          <t>6225795416216</t>
        </is>
      </c>
    </row>
    <row r="536">
      <c r="A536" s="2">
        <f>HYPERLINK("https://shop.sonapharmacy.com/products/norms-farms-elderberry-wellness-syrup-8oz", "https://shop.sonapharmacy.com/products/norms-farms-elderberry-wellness-syrup-8oz")</f>
        <v/>
      </c>
      <c r="B536" s="2">
        <f>HYPERLINK("https://shop.sonapharmacy.com/products/norms-farms-elderberry-wellness-syrup-8oz", "https://shop.sonapharmacy.com/products/norms-farms-elderberry-wellness-syrup-8oz")</f>
        <v/>
      </c>
      <c r="C536" t="inlineStr">
        <is>
          <t>Norm's Farms Elderberry Wellness Syrup 8oz</t>
        </is>
      </c>
      <c r="D536" t="inlineStr">
        <is>
          <t>Norm's Farms Black Elderberry Wellness Syrup and Black Elderberry Extract - Natural Immune Support - 2 8 Oz. Containers</t>
        </is>
      </c>
      <c r="E536" s="2">
        <f>HYPERLINK("https://www.amazon.com/Norms-Supplement-Elderberry-Wellness-Extract/dp/B018WOMMRO/ref=sr_1_2?keywords=Norm%27s+Farms+Elderberry+Wellness+Syrup+8oz&amp;qid=1695260593&amp;sr=8-2", "https://www.amazon.com/Norms-Supplement-Elderberry-Wellness-Extract/dp/B018WOMMRO/ref=sr_1_2?keywords=Norm%27s+Farms+Elderberry+Wellness+Syrup+8oz&amp;qid=1695260593&amp;sr=8-2")</f>
        <v/>
      </c>
      <c r="F536" t="inlineStr">
        <is>
          <t>B018WOMMRO</t>
        </is>
      </c>
      <c r="G536">
        <f>IMAGE("https://shop.sonapharmacy.com/cdn/shop/products/NormsFarmsEldWellFront.png?v=1605980347")</f>
        <v/>
      </c>
      <c r="H536">
        <f>IMAGE("https://m.media-amazon.com/images/I/61e2IJkXOaL._AC_UL320_.jpg")</f>
        <v/>
      </c>
      <c r="I536" t="inlineStr">
        <is>
          <t>19.99</t>
        </is>
      </c>
      <c r="J536" t="n">
        <v>37.99</v>
      </c>
      <c r="K536" s="3" t="inlineStr">
        <is>
          <t>90.05%</t>
        </is>
      </c>
      <c r="L536" t="n">
        <v>4.6</v>
      </c>
      <c r="M536" t="n">
        <v>792</v>
      </c>
      <c r="O536" t="inlineStr">
        <is>
          <t>InStock</t>
        </is>
      </c>
      <c r="P536" t="inlineStr">
        <is>
          <t>undefined</t>
        </is>
      </c>
      <c r="Q536" t="inlineStr">
        <is>
          <t>6080471990424</t>
        </is>
      </c>
    </row>
    <row r="537">
      <c r="A537" s="2">
        <f>HYPERLINK("https://shop.sonapharmacy.com/products/mueller%C2%AE-patella-stabilizer-knee-brace-small", "https://shop.sonapharmacy.com/products/mueller%C2%AE-patella-stabilizer-knee-brace-small")</f>
        <v/>
      </c>
      <c r="B537" s="2">
        <f>HYPERLINK("https://shop.sonapharmacy.com/products/mueller%c2%ae-patella-stabilizer-knee-brace-small", "https://shop.sonapharmacy.com/products/mueller%c2%ae-patella-stabilizer-knee-brace-small")</f>
        <v/>
      </c>
      <c r="C537" t="inlineStr">
        <is>
          <t>Mueller® Patella Stabilizer Knee Brace Small</t>
        </is>
      </c>
      <c r="D537" t="inlineStr">
        <is>
          <t>BraceAbility J Patella Knee Brace - Lateral Patellar Stabilizer with Medial and J-Lat Support Straps for Dislocation, Subluxation, Patellofemoral Pain, Left or Right Kneecap Tracking (Small)</t>
        </is>
      </c>
      <c r="F537" t="inlineStr">
        <is>
          <t>B00PJWCOAI</t>
        </is>
      </c>
      <c r="G537">
        <f>IMAGE("https://shop.sonapharmacy.com/cdn/shop/products/70c09fcb-c37d-4329-b1fe-4ae9357c2e51_1.c82a15112bc135095cb7730cd9d1c1be.jpg?v=1609870873")</f>
        <v/>
      </c>
      <c r="H537">
        <f>IMAGE("https://m.media-amazon.com/images/I/71Kl2H-JZCL._AC_UL320_.jpg")</f>
        <v/>
      </c>
      <c r="I537" t="inlineStr">
        <is>
          <t>31.73</t>
        </is>
      </c>
      <c r="J537" t="n">
        <v>59.99</v>
      </c>
      <c r="K537" s="3" t="inlineStr">
        <is>
          <t>89.06%</t>
        </is>
      </c>
      <c r="L537" t="n">
        <v>4.1</v>
      </c>
      <c r="M537" t="n">
        <v>80</v>
      </c>
      <c r="O537" t="inlineStr">
        <is>
          <t>OutOfStock</t>
        </is>
      </c>
      <c r="P537" t="inlineStr">
        <is>
          <t>undefined</t>
        </is>
      </c>
      <c r="Q537" t="inlineStr">
        <is>
          <t>6196392525976</t>
        </is>
      </c>
    </row>
    <row r="538">
      <c r="A538" s="2">
        <f>HYPERLINK("https://shop.sonapharmacy.com/products/centrum%C2%AE-men-120-tablets", "https://shop.sonapharmacy.com/products/centrum%C2%AE-men-120-tablets")</f>
        <v/>
      </c>
      <c r="B538" s="2">
        <f>HYPERLINK("https://shop.sonapharmacy.com/products/centrum%c2%ae-men-120-tablets", "https://shop.sonapharmacy.com/products/centrum%c2%ae-men-120-tablets")</f>
        <v/>
      </c>
      <c r="C538" t="inlineStr">
        <is>
          <t>Centrum® Men 120 Tablets</t>
        </is>
      </c>
      <c r="D538" t="inlineStr">
        <is>
          <t>Centrum Mens Multivitamin Supplement Tablets, 120 Count+ Better Guide Vitamins Supplements (2 ITENS)</t>
        </is>
      </c>
      <c r="E538" s="2">
        <f>HYPERLINK("https://www.amazon.com/Centrum-Multivitamin-Supplement-Vitamins-Supplements/dp/B0C9611ZLM/ref=sr_1_2?keywords=Centrum%C2%AE+Men+120+Tablets&amp;qid=1695260124&amp;sr=8-2", "https://www.amazon.com/Centrum-Multivitamin-Supplement-Vitamins-Supplements/dp/B0C9611ZLM/ref=sr_1_2?keywords=Centrum%C2%AE+Men+120+Tablets&amp;qid=1695260124&amp;sr=8-2")</f>
        <v/>
      </c>
      <c r="F538" t="inlineStr">
        <is>
          <t>B0C9611ZLM</t>
        </is>
      </c>
      <c r="G538">
        <f>IMAGE("https://shop.sonapharmacy.com/cdn/shop/files/Sona-Shop-banner2_0c7162f3-c367-451d-8193-c2967a0e8d8e.jpg?v=1614290083")</f>
        <v/>
      </c>
      <c r="H538">
        <f>IMAGE("https://m.media-amazon.com/images/I/51wVUQhSNzL._AC_UL320_.jpg")</f>
        <v/>
      </c>
      <c r="I538" t="inlineStr">
        <is>
          <t>12.73</t>
        </is>
      </c>
      <c r="J538" t="n">
        <v>23.99</v>
      </c>
      <c r="K538" s="3" t="inlineStr">
        <is>
          <t>88.45%</t>
        </is>
      </c>
      <c r="L538" t="n">
        <v>5</v>
      </c>
      <c r="M538" t="n">
        <v>1</v>
      </c>
      <c r="O538" t="inlineStr">
        <is>
          <t>InStock</t>
        </is>
      </c>
      <c r="P538" t="inlineStr">
        <is>
          <t>undefined</t>
        </is>
      </c>
      <c r="Q538" t="inlineStr">
        <is>
          <t>4896635420811</t>
        </is>
      </c>
    </row>
    <row r="539">
      <c r="A539" s="2">
        <f>HYPERLINK("https://shop.sonapharmacy.com/products/neutrogena%C2%AE-neutrogena-gentle-oil-free-liquid-eye-makeup-remover-5-5fl-oz", "https://shop.sonapharmacy.com/products/neutrogena%C2%AE-neutrogena-gentle-oil-free-liquid-eye-makeup-remover-5-5fl-oz")</f>
        <v/>
      </c>
      <c r="B539" s="2">
        <f>HYPERLINK("https://shop.sonapharmacy.com/products/neutrogena%c2%ae-neutrogena-gentle-oil-free-liquid-eye-makeup-remover-5-5fl-oz", "https://shop.sonapharmacy.com/products/neutrogena%c2%ae-neutrogena-gentle-oil-free-liquid-eye-makeup-remover-5-5fl-oz")</f>
        <v/>
      </c>
      <c r="C539" t="inlineStr">
        <is>
          <t>Neutrogena® Gentle Oil-Free Liquid Eye Makeup Remover 5.5fl. oz</t>
        </is>
      </c>
      <c r="D539" t="inlineStr">
        <is>
          <t>Neutrogena Gentle Oil-Free Eye Makeup Remover &amp; Cleanser for Sensitive Eyes, Non-Greasy Makeup Remover, Removes Waterproof Mascara, Dermatologist &amp; Ophthalmologist Tested, 3 x 5.5 fl. oz</t>
        </is>
      </c>
      <c r="E539" s="2">
        <f>HYPERLINK("https://www.amazon.com/Neutrogena-Non-Greasy-Waterproof-Dermatologist-Ophthalmologist/dp/B088N4CB19/ref=sr_1_fkmr0_2?keywords=Neutrogena%C2%AE+Gentle+Oil-Free+Liquid+Eye+Makeup+Remover+5.5fl.+oz&amp;qid=1695260558&amp;sr=8-2-fkmr0", "https://www.amazon.com/Neutrogena-Non-Greasy-Waterproof-Dermatologist-Ophthalmologist/dp/B088N4CB19/ref=sr_1_fkmr0_2?keywords=Neutrogena%C2%AE+Gentle+Oil-Free+Liquid+Eye+Makeup+Remover+5.5fl.+oz&amp;qid=1695260558&amp;sr=8-2-fkmr0")</f>
        <v/>
      </c>
      <c r="F539" t="inlineStr">
        <is>
          <t>B088N4CB19</t>
        </is>
      </c>
      <c r="G539">
        <f>IMAGE("https://shop.sonapharmacy.com/cdn/shop/products/6805065XX_5pt5oz_0.jpg?v=1608304177")</f>
        <v/>
      </c>
      <c r="H539">
        <f>IMAGE("https://m.media-amazon.com/images/I/81oivjiqZXL._AC_UL320_.jpg")</f>
        <v/>
      </c>
      <c r="I539" t="inlineStr">
        <is>
          <t>10.89</t>
        </is>
      </c>
      <c r="J539" t="n">
        <v>20.46</v>
      </c>
      <c r="K539" s="3" t="inlineStr">
        <is>
          <t>87.88%</t>
        </is>
      </c>
      <c r="L539" t="n">
        <v>4.7</v>
      </c>
      <c r="M539" t="n">
        <v>15778</v>
      </c>
      <c r="O539" t="inlineStr">
        <is>
          <t>InStock</t>
        </is>
      </c>
      <c r="P539" t="inlineStr">
        <is>
          <t>undefined</t>
        </is>
      </c>
      <c r="Q539" t="inlineStr">
        <is>
          <t>6160620421272</t>
        </is>
      </c>
    </row>
    <row r="540">
      <c r="A540" s="2">
        <f>HYPERLINK("https://shop.sonapharmacy.com/products/sona-buffered-c-capsules", "https://shop.sonapharmacy.com/products/sona-buffered-c-capsules")</f>
        <v/>
      </c>
      <c r="B540" s="2">
        <f>HYPERLINK("https://shop.sonapharmacy.com/products/sona-buffered-c-capsules", "https://shop.sonapharmacy.com/products/sona-buffered-c-capsules")</f>
        <v/>
      </c>
      <c r="C540" t="inlineStr">
        <is>
          <t>Sona Buffered C Capsules</t>
        </is>
      </c>
      <c r="D540" t="inlineStr">
        <is>
          <t>Vital Nutrients - Buffered C - Gentle Vitamin C for Sensitive Individuals - 220 Vegetarian Capsules per Bottle - 500 mg</t>
        </is>
      </c>
      <c r="E540" s="2">
        <f>HYPERLINK("https://www.amazon.com/Vital-Nutrients-Buffered-Sensitive-Individuals/dp/B002E9ZAW8/ref=sr_1_10?keywords=Sona+Buffered+C+Capsules&amp;qid=1695260718&amp;sr=8-10", "https://www.amazon.com/Vital-Nutrients-Buffered-Sensitive-Individuals/dp/B002E9ZAW8/ref=sr_1_10?keywords=Sona+Buffered+C+Capsules&amp;qid=1695260718&amp;sr=8-10")</f>
        <v/>
      </c>
      <c r="F540" t="inlineStr">
        <is>
          <t>B002E9ZAW8</t>
        </is>
      </c>
      <c r="G540">
        <f>IMAGE("https://shop.sonapharmacy.com/cdn/shop/files/BufferedC_SonaShop.jpg?v=1692370201")</f>
        <v/>
      </c>
      <c r="H540">
        <f>IMAGE("https://m.media-amazon.com/images/I/71jAPC7uU7L._AC_UL320_.jpg")</f>
        <v/>
      </c>
      <c r="I540" t="inlineStr">
        <is>
          <t>19.71</t>
        </is>
      </c>
      <c r="J540" t="n">
        <v>36.9</v>
      </c>
      <c r="K540" s="3" t="inlineStr">
        <is>
          <t>87.21%</t>
        </is>
      </c>
      <c r="L540" t="n">
        <v>4.7</v>
      </c>
      <c r="M540" t="n">
        <v>89</v>
      </c>
      <c r="O540" t="inlineStr">
        <is>
          <t>InStock</t>
        </is>
      </c>
      <c r="P540" t="inlineStr">
        <is>
          <t>undefined</t>
        </is>
      </c>
      <c r="Q540" t="inlineStr">
        <is>
          <t>8086616408284</t>
        </is>
      </c>
    </row>
    <row r="541">
      <c r="A541" s="2">
        <f>HYPERLINK("https://shop.sonapharmacy.com/products/differin%C2%AE-gel-adapalene-gel-0-1-acne-treatment", "https://shop.sonapharmacy.com/products/differin%C2%AE-gel-adapalene-gel-0-1-acne-treatment")</f>
        <v/>
      </c>
      <c r="B541" s="2">
        <f>HYPERLINK("https://shop.sonapharmacy.com/products/differin%c2%ae-gel-adapalene-gel-0-1-acne-treatment", "https://shop.sonapharmacy.com/products/differin%c2%ae-gel-adapalene-gel-0-1-acne-treatment")</f>
        <v/>
      </c>
      <c r="C541" t="inlineStr">
        <is>
          <t>Differin® Gel Adapalene Gel 0.1% Acne Treatment</t>
        </is>
      </c>
      <c r="D541" t="inlineStr">
        <is>
          <t>Differin Acne Skin Care Kit, Differin Gel Retinoid Acne Treatment for Face with 0.1% Adapalene &amp; 5% Benzoyl Peroxide Face Wash &amp; Body Wash, Designed for Pimple and Acne Prone Skin</t>
        </is>
      </c>
      <c r="E541" s="2">
        <f>HYPERLINK("https://www.amazon.com/Differin-Retinoid-Treatment-Adapalene-Peroxide/dp/B0C67DBGJ7/ref=sr_1_9?keywords=Differin%C2%AE+Gel+Adapalene+Gel+0.1%25+Acne+Treatment&amp;qid=1695260198&amp;sr=8-9", "https://www.amazon.com/Differin-Retinoid-Treatment-Adapalene-Peroxide/dp/B0C67DBGJ7/ref=sr_1_9?keywords=Differin%C2%AE+Gel+Adapalene+Gel+0.1%25+Acne+Treatment&amp;qid=1695260198&amp;sr=8-9")</f>
        <v/>
      </c>
      <c r="F541" t="inlineStr">
        <is>
          <t>B0C67DBGJ7</t>
        </is>
      </c>
      <c r="G541">
        <f>IMAGE("https://shop.sonapharmacy.com/cdn/shop/products/5oz.jpg?v=1608302260")</f>
        <v/>
      </c>
      <c r="H541">
        <f>IMAGE("https://m.media-amazon.com/images/I/81y5xamjFOL._AC_UY218_.jpg")</f>
        <v/>
      </c>
      <c r="I541" t="inlineStr">
        <is>
          <t>14.99</t>
        </is>
      </c>
      <c r="J541" t="n">
        <v>27.99</v>
      </c>
      <c r="K541" s="3" t="inlineStr">
        <is>
          <t>86.72%</t>
        </is>
      </c>
      <c r="L541" t="n">
        <v>4.6</v>
      </c>
      <c r="M541" t="n">
        <v>6</v>
      </c>
      <c r="O541" t="inlineStr">
        <is>
          <t>InStock</t>
        </is>
      </c>
      <c r="P541" t="inlineStr">
        <is>
          <t>undefined</t>
        </is>
      </c>
      <c r="Q541" t="inlineStr">
        <is>
          <t>6160540696728</t>
        </is>
      </c>
    </row>
    <row r="542">
      <c r="A542" s="2">
        <f>HYPERLINK("https://shop.sonapharmacy.com/products/always%C2%AE-discreet-maximum-absorbency-xl-underwear-for-women-15ct", "https://shop.sonapharmacy.com/products/always%C2%AE-discreet-maximum-absorbency-xl-underwear-for-women-15ct")</f>
        <v/>
      </c>
      <c r="B542" s="2">
        <f>HYPERLINK("https://shop.sonapharmacy.com/products/always%c2%ae-discreet-maximum-absorbency-xl-underwear-for-women-15ct", "https://shop.sonapharmacy.com/products/always%c2%ae-discreet-maximum-absorbency-xl-underwear-for-women-15ct")</f>
        <v/>
      </c>
      <c r="C542" t="inlineStr">
        <is>
          <t>Always Discreet Maximum Absorbency XL Underwear for Women 15ct.</t>
        </is>
      </c>
      <c r="D542" t="inlineStr">
        <is>
          <t>Always Discreet Boutique Adult Incontinence &amp; Postpartum Underwear For Women, Low-Rise, Size Large, Black, Maximum Absorbency, Disposable, 20 Count</t>
        </is>
      </c>
      <c r="E542" s="2">
        <f>HYPERLINK("https://www.amazon.com/Always-Discreet-Incontinence-Postpartum-Absorbency/dp/B08BVKTLZM/ref=sr_1_6?keywords=Always+Discreet+Maximum+Absorbency+XL+Underwear+for+Women+15ct.&amp;qid=1695260003&amp;sr=8-6", "https://www.amazon.com/Always-Discreet-Incontinence-Postpartum-Absorbency/dp/B08BVKTLZM/ref=sr_1_6?keywords=Always+Discreet+Maximum+Absorbency+XL+Underwear+for+Women+15ct.&amp;qid=1695260003&amp;sr=8-6")</f>
        <v/>
      </c>
      <c r="F542" t="inlineStr">
        <is>
          <t>B08BVKTLZM</t>
        </is>
      </c>
      <c r="G542">
        <f>IMAGE("https://shop.sonapharmacy.com/cdn/shop/products/338639f2-0083-468e-b2eb-218450a0aa4f_1.a078bb5a3baa7563816301e343b7d24b.jpg?v=1611074803")</f>
        <v/>
      </c>
      <c r="H542">
        <f>IMAGE("https://m.media-amazon.com/images/I/81Yk9v0tBgL._AC_UL320_.jpg")</f>
        <v/>
      </c>
      <c r="I542" t="inlineStr">
        <is>
          <t>14.99</t>
        </is>
      </c>
      <c r="J542" t="n">
        <v>27.76</v>
      </c>
      <c r="K542" s="3" t="inlineStr">
        <is>
          <t>85.19%</t>
        </is>
      </c>
      <c r="L542" t="n">
        <v>4.6</v>
      </c>
      <c r="M542" t="n">
        <v>16711</v>
      </c>
      <c r="O542" t="inlineStr">
        <is>
          <t>InStock</t>
        </is>
      </c>
      <c r="P542" t="inlineStr">
        <is>
          <t>undefined</t>
        </is>
      </c>
      <c r="Q542" t="inlineStr">
        <is>
          <t>6226523062424</t>
        </is>
      </c>
    </row>
    <row r="543">
      <c r="A543" s="2">
        <f>HYPERLINK("https://shop.sonapharmacy.com/products/sunbum%C2%AE-original-spf-50-sunscreen-lotion-3oz", "https://shop.sonapharmacy.com/products/sunbum%C2%AE-original-spf-50-sunscreen-lotion-3oz")</f>
        <v/>
      </c>
      <c r="B543" s="2">
        <f>HYPERLINK("https://shop.sonapharmacy.com/products/sunbum%c2%ae-original-spf-50-sunscreen-lotion-3oz", "https://shop.sonapharmacy.com/products/sunbum%c2%ae-original-spf-50-sunscreen-lotion-3oz")</f>
        <v/>
      </c>
      <c r="C543" t="inlineStr">
        <is>
          <t>Sun Bum® Original SPF 50 Sunscreen Lotion</t>
        </is>
      </c>
      <c r="D543" t="inlineStr">
        <is>
          <t>Sun Bum Original SPF 50 Sunscreen Lotion | Vegan and Hawaii 104 Reef Act Compliant (Octinoxate &amp; Oxybenzone Free) Broad Spectrum Moisturizing UVA/UVB Sunscreen with Vitamin E | 8 oz</t>
        </is>
      </c>
      <c r="E543" s="2">
        <f>HYPERLINK("https://www.amazon.com/Sun-Bum-Moisturizing-SPF-Hypoallergenic/dp/B004XGPM32/ref=sr_1_1?keywords=Sun+Bum%C2%AE+Original+SPF+50+Sunscreen+Lotion&amp;qid=1695260742&amp;rdc=1&amp;sr=8-1", "https://www.amazon.com/Sun-Bum-Moisturizing-SPF-Hypoallergenic/dp/B004XGPM32/ref=sr_1_1?keywords=Sun+Bum%C2%AE+Original+SPF+50+Sunscreen+Lotion&amp;qid=1695260742&amp;rdc=1&amp;sr=8-1")</f>
        <v/>
      </c>
      <c r="F543" t="inlineStr">
        <is>
          <t>B004XGPM32</t>
        </is>
      </c>
      <c r="G543">
        <f>IMAGE("https://shop.sonapharmacy.com/cdn/shop/products/71liju0WraL._SL1500.jpg?v=1611868598")</f>
        <v/>
      </c>
      <c r="H543">
        <f>IMAGE("https://m.media-amazon.com/images/I/71RoOxdOQDL._AC_UL320_.jpg")</f>
        <v/>
      </c>
      <c r="I543" t="inlineStr">
        <is>
          <t>9.99</t>
        </is>
      </c>
      <c r="J543" t="n">
        <v>18.49</v>
      </c>
      <c r="K543" s="3" t="inlineStr">
        <is>
          <t>85.09%</t>
        </is>
      </c>
      <c r="L543" t="n">
        <v>4.8</v>
      </c>
      <c r="M543" t="n">
        <v>19197</v>
      </c>
      <c r="O543" t="inlineStr">
        <is>
          <t>InStock</t>
        </is>
      </c>
      <c r="P543" t="inlineStr">
        <is>
          <t>undefined</t>
        </is>
      </c>
      <c r="Q543" t="inlineStr">
        <is>
          <t>6228108279960</t>
        </is>
      </c>
    </row>
    <row r="544">
      <c r="A544" s="2">
        <f>HYPERLINK("https://shop.sonapharmacy.com/products/omega-3-pet", "https://shop.sonapharmacy.com/products/omega-3-pet")</f>
        <v/>
      </c>
      <c r="B544" s="2">
        <f>HYPERLINK("https://shop.sonapharmacy.com/products/omega-3-pet", "https://shop.sonapharmacy.com/products/omega-3-pet")</f>
        <v/>
      </c>
      <c r="C544" t="inlineStr">
        <is>
          <t>Nordic Naturals Omega-3 Pet Softgels</t>
        </is>
      </c>
      <c r="D544" t="inlineStr">
        <is>
          <t>Nordic Naturals Omega-3 Pet, Unflavored - 16 oz - 1518 mg Omega-3 Per Teaspoon - Fish Oil for Large to Very Large Dogs with EPA &amp; DHA - Promotes Heart, Skin, Coat, Joint, &amp; Immune Health</t>
        </is>
      </c>
      <c r="E544" s="2">
        <f>HYPERLINK("https://www.amazon.com/Nordic-Naturals-Supplement-Promotes-Multi-Dog/dp/B00CBY93XS/ref=sr_1_2?keywords=Nordic+Naturals+Omega-3+Pet+Softgels&amp;qid=1695260579&amp;sr=8-2", "https://www.amazon.com/Nordic-Naturals-Supplement-Promotes-Multi-Dog/dp/B00CBY93XS/ref=sr_1_2?keywords=Nordic+Naturals+Omega-3+Pet+Softgels&amp;qid=1695260579&amp;sr=8-2")</f>
        <v/>
      </c>
      <c r="F544" t="inlineStr">
        <is>
          <t>B00CBY93XS</t>
        </is>
      </c>
      <c r="G544">
        <f>IMAGE("https://shop.sonapharmacy.com/cdn/shop/products/90.jpg?v=1610050123")</f>
        <v/>
      </c>
      <c r="H544">
        <f>IMAGE("https://m.media-amazon.com/images/I/61npiSHGO4L._AC_UL320_.jpg")</f>
        <v/>
      </c>
      <c r="I544" t="inlineStr">
        <is>
          <t>19.76</t>
        </is>
      </c>
      <c r="J544" t="n">
        <v>36.51</v>
      </c>
      <c r="K544" s="3" t="inlineStr">
        <is>
          <t>84.77%</t>
        </is>
      </c>
      <c r="L544" t="n">
        <v>4.6</v>
      </c>
      <c r="M544" t="n">
        <v>10021</v>
      </c>
      <c r="O544" t="inlineStr">
        <is>
          <t>undefined</t>
        </is>
      </c>
      <c r="P544" t="inlineStr">
        <is>
          <t>undefined</t>
        </is>
      </c>
      <c r="Q544" t="inlineStr">
        <is>
          <t>4793280069771</t>
        </is>
      </c>
    </row>
    <row r="545">
      <c r="A545" s="2">
        <f>HYPERLINK("https://shop.sonapharmacy.com/products/prevagen-extra-strength-chewables-20-mg", "https://shop.sonapharmacy.com/products/prevagen-extra-strength-chewables-20-mg")</f>
        <v/>
      </c>
      <c r="B545" s="2">
        <f>HYPERLINK("https://shop.sonapharmacy.com/products/prevagen-extra-strength-chewables-20-mg", "https://shop.sonapharmacy.com/products/prevagen-extra-strength-chewables-20-mg")</f>
        <v/>
      </c>
      <c r="C545" t="inlineStr">
        <is>
          <t>Prevagen Extra Strength Chewables 20 mg</t>
        </is>
      </c>
      <c r="D545" t="inlineStr">
        <is>
          <t>Prevagen Improves Memory - Extra Strength 20mg, 60 Capsules, with Apoaequorin &amp; Vitamin D &amp; Prevagen 7-Day Pill Minder | Brain Supplement for Better Brain Health, Supports Healthy Brain Function</t>
        </is>
      </c>
      <c r="E545" s="2">
        <f>HYPERLINK("https://www.amazon.com/Prevagen-Extra-Strength-20mg-capsules/dp/B00GBESZVA/ref=sr_1_8?keywords=Prevagen+Extra+Strength+Chewables+20+mg&amp;qid=1695260655&amp;sr=8-8", "https://www.amazon.com/Prevagen-Extra-Strength-20mg-capsules/dp/B00GBESZVA/ref=sr_1_8?keywords=Prevagen+Extra+Strength+Chewables+20+mg&amp;qid=1695260655&amp;sr=8-8")</f>
        <v/>
      </c>
      <c r="F545" t="inlineStr">
        <is>
          <t>B00GBESZVA</t>
        </is>
      </c>
      <c r="G545">
        <f>IMAGE("https://shop.sonapharmacy.com/cdn/shop/products/PrevagenExtraStrengthChewables20mg.jpg?v=1594303828")</f>
        <v/>
      </c>
      <c r="H545">
        <f>IMAGE("https://m.media-amazon.com/images/I/71Gm1MhlvCL._AC_UL320_.jpg")</f>
        <v/>
      </c>
      <c r="I545" t="inlineStr">
        <is>
          <t>51.29</t>
        </is>
      </c>
      <c r="J545" t="n">
        <v>94.43000000000001</v>
      </c>
      <c r="K545" s="3" t="inlineStr">
        <is>
          <t>84.11%</t>
        </is>
      </c>
      <c r="L545" t="n">
        <v>4.3</v>
      </c>
      <c r="M545" t="n">
        <v>7238</v>
      </c>
      <c r="O545" t="inlineStr">
        <is>
          <t>undefined</t>
        </is>
      </c>
      <c r="P545" t="inlineStr">
        <is>
          <t>undefined</t>
        </is>
      </c>
      <c r="Q545" t="inlineStr">
        <is>
          <t>4892692283531</t>
        </is>
      </c>
    </row>
    <row r="546">
      <c r="A546" s="2">
        <f>HYPERLINK("https://shop.sonapharmacy.com/products/metagenics-coq10-st-100", "https://shop.sonapharmacy.com/products/metagenics-coq10-st-100")</f>
        <v/>
      </c>
      <c r="B546" s="2">
        <f>HYPERLINK("https://shop.sonapharmacy.com/products/metagenics-coq10-st-100", "https://shop.sonapharmacy.com/products/metagenics-coq10-st-100")</f>
        <v/>
      </c>
      <c r="C546" t="inlineStr">
        <is>
          <t>Metagenics CoQ10 ST-100</t>
        </is>
      </c>
      <c r="D546" t="inlineStr">
        <is>
          <t>Metagenics - CoQ10 ST-100, Highly Absorbable Coenzyme Q10, 120 Count</t>
        </is>
      </c>
      <c r="E546" s="2">
        <f>HYPERLINK("https://www.amazon.com/Metagenics-CoQ10-ST-100-Softgel-Count/dp/B004GLBAFI/ref=sr_1_1?keywords=Metagenics+CoQ10+ST-100&amp;qid=1695260461&amp;sr=8-1", "https://www.amazon.com/Metagenics-CoQ10-ST-100-Softgel-Count/dp/B004GLBAFI/ref=sr_1_1?keywords=Metagenics+CoQ10+ST-100&amp;qid=1695260461&amp;sr=8-1")</f>
        <v/>
      </c>
      <c r="F546" t="inlineStr">
        <is>
          <t>B004GLBAFI</t>
        </is>
      </c>
      <c r="G546">
        <f>IMAGE("https://shop.sonapharmacy.com/cdn/shop/products/ccabd559-90cf-4ade-9938-9635db5c3192-358-358.png?v=1668627545")</f>
        <v/>
      </c>
      <c r="H546">
        <f>IMAGE("https://m.media-amazon.com/images/I/71paxZwlFlL._AC_UL320_.jpg")</f>
        <v/>
      </c>
      <c r="I546" t="inlineStr">
        <is>
          <t>64.25</t>
        </is>
      </c>
      <c r="J546" t="n">
        <v>117.7</v>
      </c>
      <c r="K546" s="3" t="inlineStr">
        <is>
          <t>83.19%</t>
        </is>
      </c>
      <c r="L546" t="n">
        <v>4.5</v>
      </c>
      <c r="M546" t="n">
        <v>63</v>
      </c>
      <c r="O546" t="inlineStr">
        <is>
          <t>InStock</t>
        </is>
      </c>
      <c r="P546" t="inlineStr">
        <is>
          <t>undefined</t>
        </is>
      </c>
      <c r="Q546" t="inlineStr">
        <is>
          <t>7920466690268</t>
        </is>
      </c>
    </row>
    <row r="547">
      <c r="A547" s="2">
        <f>HYPERLINK("https://shop.sonapharmacy.com/products/metagenics-coq10-st-100", "https://shop.sonapharmacy.com/products/metagenics-coq10-st-100")</f>
        <v/>
      </c>
      <c r="B547" s="2">
        <f>HYPERLINK("https://shop.sonapharmacy.com/products/metagenics-coq10-st-100", "https://shop.sonapharmacy.com/products/metagenics-coq10-st-100")</f>
        <v/>
      </c>
      <c r="C547" t="inlineStr">
        <is>
          <t>Metagenics CoQ10 ST-100</t>
        </is>
      </c>
      <c r="D547" t="inlineStr">
        <is>
          <t>Metagenics CoQ10 ST-200, Highly Absorbable 200 mg Coenzyme Q10 Supplement to Help Support Energy Production and Cardiovascular Function - 60 Count</t>
        </is>
      </c>
      <c r="E547" s="2">
        <f>HYPERLINK("https://www.amazon.com/Metagenics-Absorbable-Supplement-Production-Cardiovascular/dp/B0068VOIIA/ref=sr_1_5?keywords=Metagenics+CoQ10+ST-100&amp;qid=1695260461&amp;sr=8-5", "https://www.amazon.com/Metagenics-Absorbable-Supplement-Production-Cardiovascular/dp/B0068VOIIA/ref=sr_1_5?keywords=Metagenics+CoQ10+ST-100&amp;qid=1695260461&amp;sr=8-5")</f>
        <v/>
      </c>
      <c r="F547" t="inlineStr">
        <is>
          <t>B0068VOIIA</t>
        </is>
      </c>
      <c r="G547">
        <f>IMAGE("https://shop.sonapharmacy.com/cdn/shop/products/ccabd559-90cf-4ade-9938-9635db5c3192-358-358.png?v=1668627545")</f>
        <v/>
      </c>
      <c r="H547">
        <f>IMAGE("https://m.media-amazon.com/images/I/71OLtWH8xpL._AC_UL320_.jpg")</f>
        <v/>
      </c>
      <c r="I547" t="inlineStr">
        <is>
          <t>64.25</t>
        </is>
      </c>
      <c r="J547" t="n">
        <v>117.7</v>
      </c>
      <c r="K547" s="3" t="inlineStr">
        <is>
          <t>83.19%</t>
        </is>
      </c>
      <c r="L547" t="n">
        <v>4.4</v>
      </c>
      <c r="M547" t="n">
        <v>32</v>
      </c>
      <c r="O547" t="inlineStr">
        <is>
          <t>InStock</t>
        </is>
      </c>
      <c r="P547" t="inlineStr">
        <is>
          <t>undefined</t>
        </is>
      </c>
      <c r="Q547" t="inlineStr">
        <is>
          <t>7920466690268</t>
        </is>
      </c>
    </row>
    <row r="548">
      <c r="A548" s="2">
        <f>HYPERLINK("https://shop.sonapharmacy.com/products/nature-made-1000-mg-l-lysine-tablets", "https://shop.sonapharmacy.com/products/nature-made-1000-mg-l-lysine-tablets")</f>
        <v/>
      </c>
      <c r="B548" s="2">
        <f>HYPERLINK("https://shop.sonapharmacy.com/products/nature-made-1000-mg-l-lysine-tablets", "https://shop.sonapharmacy.com/products/nature-made-1000-mg-l-lysine-tablets")</f>
        <v/>
      </c>
      <c r="C548" t="inlineStr">
        <is>
          <t>Nature Made® L-Lysine 1000mg Tablets 60ct.</t>
        </is>
      </c>
      <c r="D548" t="inlineStr">
        <is>
          <t>Nature's Bounty L-Lysine, 1000mg, 120 Tablets (2 x 60 Count Bottles)</t>
        </is>
      </c>
      <c r="E548" s="2">
        <f>HYPERLINK("https://www.amazon.com/Natures-Bounty-L-Lysine-Tablets-Bottles/dp/B010ONJV8O/ref=sr_1_2?keywords=Nature+Made%C2%AE+L-Lysine+1000mg+Tablets+60ct.&amp;qid=1695260567&amp;sr=8-2", "https://www.amazon.com/Natures-Bounty-L-Lysine-Tablets-Bottles/dp/B010ONJV8O/ref=sr_1_2?keywords=Nature+Made%C2%AE+L-Lysine+1000mg+Tablets+60ct.&amp;qid=1695260567&amp;sr=8-2")</f>
        <v/>
      </c>
      <c r="F548" t="inlineStr">
        <is>
          <t>B010ONJV8O</t>
        </is>
      </c>
      <c r="G548">
        <f>IMAGE("https://shop.sonapharmacy.com/cdn/shop/products/71NZZEcgnEL._AC_SL1500.jpg?v=1610047509")</f>
        <v/>
      </c>
      <c r="H548">
        <f>IMAGE("https://m.media-amazon.com/images/I/51hOF3EGUfL._AC_UL320_.jpg")</f>
        <v/>
      </c>
      <c r="I548" t="inlineStr">
        <is>
          <t>8.73</t>
        </is>
      </c>
      <c r="J548" t="n">
        <v>15.92</v>
      </c>
      <c r="K548" s="3" t="inlineStr">
        <is>
          <t>82.36%</t>
        </is>
      </c>
      <c r="L548" t="n">
        <v>4.7</v>
      </c>
      <c r="M548" t="n">
        <v>677</v>
      </c>
      <c r="O548" t="inlineStr">
        <is>
          <t>InStock</t>
        </is>
      </c>
      <c r="P548" t="inlineStr">
        <is>
          <t>undefined</t>
        </is>
      </c>
      <c r="Q548" t="inlineStr">
        <is>
          <t>5238364766360</t>
        </is>
      </c>
    </row>
    <row r="549">
      <c r="A549" s="2">
        <f>HYPERLINK("https://shop.sonapharmacy.com/products/omron-3-series%C2%AE-upper-arm-blood-pressure-monitor", "https://shop.sonapharmacy.com/products/omron-3-series%C2%AE-upper-arm-blood-pressure-monitor")</f>
        <v/>
      </c>
      <c r="B549" s="2">
        <f>HYPERLINK("https://shop.sonapharmacy.com/products/omron-3-series%c2%ae-upper-arm-blood-pressure-monitor", "https://shop.sonapharmacy.com/products/omron-3-series%c2%ae-upper-arm-blood-pressure-monitor")</f>
        <v/>
      </c>
      <c r="C549" t="inlineStr">
        <is>
          <t>Omron 3 Series® Upper Arm Blood Pressure Monitor</t>
        </is>
      </c>
      <c r="D549" t="inlineStr">
        <is>
          <t>OMRON BP742N 5 Series Upper Arm Blood Pressure Monitor</t>
        </is>
      </c>
      <c r="E549" s="2">
        <f>HYPERLINK("https://www.amazon.com/OMRON-BP742N-Upper-Pressure-Monitor/dp/B00WAIJZX8/ref=sr_1_10?keywords=Omron+3+Series%C2%AE+Upper+Arm+Blood+Pressure+Monitor&amp;qid=1695260613&amp;sr=8-10", "https://www.amazon.com/OMRON-BP742N-Upper-Pressure-Monitor/dp/B00WAIJZX8/ref=sr_1_10?keywords=Omron+3+Series%C2%AE+Upper+Arm+Blood+Pressure+Monitor&amp;qid=1695260613&amp;sr=8-10")</f>
        <v/>
      </c>
      <c r="F549" t="inlineStr">
        <is>
          <t>B00WAIJZX8</t>
        </is>
      </c>
      <c r="G549">
        <f>IMAGE("https://shop.sonapharmacy.com/cdn/shop/products/Omron3Series_UpperArmBloodPressureMonitor.png?v=1594217120")</f>
        <v/>
      </c>
      <c r="H549">
        <f>IMAGE("https://m.media-amazon.com/images/I/714oIAQNgML._AC_UL320_.jpg")</f>
        <v/>
      </c>
      <c r="I549" t="inlineStr">
        <is>
          <t>54.39</t>
        </is>
      </c>
      <c r="J549" t="n">
        <v>98.64</v>
      </c>
      <c r="K549" s="3" t="inlineStr">
        <is>
          <t>81.36%</t>
        </is>
      </c>
      <c r="L549" t="n">
        <v>4.5</v>
      </c>
      <c r="M549" t="n">
        <v>361</v>
      </c>
      <c r="O549" t="inlineStr">
        <is>
          <t>InStock</t>
        </is>
      </c>
      <c r="P549" t="inlineStr">
        <is>
          <t>undefined</t>
        </is>
      </c>
      <c r="Q549" t="inlineStr">
        <is>
          <t>4896239878283</t>
        </is>
      </c>
    </row>
    <row r="550">
      <c r="A550" s="2">
        <f>HYPERLINK("https://shop.sonapharmacy.com/products/breathe-right-original-nasal-strips", "https://shop.sonapharmacy.com/products/breathe-right-original-nasal-strips")</f>
        <v/>
      </c>
      <c r="B550" s="2">
        <f>HYPERLINK("https://shop.sonapharmacy.com/products/breathe-right-original-nasal-strips", "https://shop.sonapharmacy.com/products/breathe-right-original-nasal-strips")</f>
        <v/>
      </c>
      <c r="C550" t="inlineStr">
        <is>
          <t>Breathe Right® Original Nasal Strips Large/Tan</t>
        </is>
      </c>
      <c r="D550" t="inlineStr">
        <is>
          <t>Breathe Right Nasal Strips to Stop Snoring, Drug-Free, Original Tan Large</t>
        </is>
      </c>
      <c r="E550" s="2">
        <f>HYPERLINK("https://www.amazon.com/Breathe-Right-Drug-Free-Original-Packages/dp/B07VG9MKTZ/ref=sr_1_4?keywords=Breathe+Right%C2%AE+Original+Nasal+Strips+Large%2FTan&amp;qid=1695260103&amp;sr=8-4", "https://www.amazon.com/Breathe-Right-Drug-Free-Original-Packages/dp/B07VG9MKTZ/ref=sr_1_4?keywords=Breathe+Right%C2%AE+Original+Nasal+Strips+Large%2FTan&amp;qid=1695260103&amp;sr=8-4")</f>
        <v/>
      </c>
      <c r="F550" t="inlineStr">
        <is>
          <t>B07VG9MKTZ</t>
        </is>
      </c>
      <c r="G550">
        <f>IMAGE("https://shop.sonapharmacy.com/cdn/shop/files/Sona-Shop-banner2_0c7162f3-c367-451d-8193-c2967a0e8d8e.jpg?v=1614290083")</f>
        <v/>
      </c>
      <c r="H550">
        <f>IMAGE("https://m.media-amazon.com/images/I/61kVo62CeEL._AC_UL320_.jpg")</f>
        <v/>
      </c>
      <c r="I550" t="inlineStr">
        <is>
          <t>13.49</t>
        </is>
      </c>
      <c r="J550" t="n">
        <v>24.2</v>
      </c>
      <c r="K550" s="3" t="inlineStr">
        <is>
          <t>79.39%</t>
        </is>
      </c>
      <c r="L550" t="n">
        <v>4.4</v>
      </c>
      <c r="M550" t="n">
        <v>46</v>
      </c>
      <c r="O550" t="inlineStr">
        <is>
          <t>InStock</t>
        </is>
      </c>
      <c r="P550" t="inlineStr">
        <is>
          <t>undefined</t>
        </is>
      </c>
      <c r="Q550" t="inlineStr">
        <is>
          <t>5241255002264</t>
        </is>
      </c>
    </row>
    <row r="551">
      <c r="A551" s="2">
        <f>HYPERLINK("https://shop.sonapharmacy.com/products/essential%C2%AE-medical-supply-super-bigfoot-standing-cane-tip", "https://shop.sonapharmacy.com/products/essential%C2%AE-medical-supply-super-bigfoot-standing-cane-tip")</f>
        <v/>
      </c>
      <c r="B551" s="2">
        <f>HYPERLINK("https://shop.sonapharmacy.com/products/essential%c2%ae-medical-supply-super-bigfoot-standing-cane-tip", "https://shop.sonapharmacy.com/products/essential%c2%ae-medical-supply-super-bigfoot-standing-cane-tip")</f>
        <v/>
      </c>
      <c r="C551" t="inlineStr">
        <is>
          <t>Essential® Medical Supply Super Bigfoot Standing Cane Tip</t>
        </is>
      </c>
      <c r="D551" t="inlineStr">
        <is>
          <t>Essential Medical Supply Couture Offset Fashion Cane with Matching Standing Super Big Foot Tip, Swirl Style</t>
        </is>
      </c>
      <c r="E551" s="2">
        <f>HYPERLINK("https://www.amazon.com/Essential-Medical-Supply-Matching-Standing/dp/B07CB1Z6XC/ref=sr_1_2?keywords=Essential%C2%AE+Medical+Supply+Super+Bigfoot+Standing+Cane+Tip&amp;qid=1695260217&amp;sr=8-2", "https://www.amazon.com/Essential-Medical-Supply-Matching-Standing/dp/B07CB1Z6XC/ref=sr_1_2?keywords=Essential%C2%AE+Medical+Supply+Super+Bigfoot+Standing+Cane+Tip&amp;qid=1695260217&amp;sr=8-2")</f>
        <v/>
      </c>
      <c r="F551" t="inlineStr">
        <is>
          <t>B07CB1Z6XC</t>
        </is>
      </c>
      <c r="G551">
        <f>IMAGE("https://shop.sonapharmacy.com/cdn/shop/products/7e0d6f12-3ba6-49ed-9404-b9747c1e3705_1.98841e81978cf9093b317f3a5d752a8b.jpg?v=1609954102")</f>
        <v/>
      </c>
      <c r="H551">
        <f>IMAGE("https://m.media-amazon.com/images/I/71dub7hbvyL._AC_UL320_.jpg")</f>
        <v/>
      </c>
      <c r="I551" t="inlineStr">
        <is>
          <t>13.68</t>
        </is>
      </c>
      <c r="J551" t="n">
        <v>24.53</v>
      </c>
      <c r="K551" s="3" t="inlineStr">
        <is>
          <t>79.31%</t>
        </is>
      </c>
      <c r="L551" t="n">
        <v>4.6</v>
      </c>
      <c r="M551" t="n">
        <v>1869</v>
      </c>
      <c r="O551" t="inlineStr">
        <is>
          <t>OutOfStock</t>
        </is>
      </c>
      <c r="P551" t="inlineStr">
        <is>
          <t>undefined</t>
        </is>
      </c>
      <c r="Q551" t="inlineStr">
        <is>
          <t>6197771501720</t>
        </is>
      </c>
    </row>
    <row r="552">
      <c r="A552" s="2">
        <f>HYPERLINK("https://shop.sonapharmacy.com/products/clear-the-air-purifying-blend-1-oz", "https://shop.sonapharmacy.com/products/clear-the-air-purifying-blend-1-oz")</f>
        <v/>
      </c>
      <c r="B552" s="2">
        <f>HYPERLINK("https://shop.sonapharmacy.com/products/clear-the-air-purifying-blend-1-oz", "https://shop.sonapharmacy.com/products/clear-the-air-purifying-blend-1-oz")</f>
        <v/>
      </c>
      <c r="C552" t="inlineStr">
        <is>
          <t>NOW® Clear the Air Purifying Blend 1oz.</t>
        </is>
      </c>
      <c r="D552" t="inlineStr">
        <is>
          <t>Now Foods Clear the Air Purifying Blend, 1 oz</t>
        </is>
      </c>
      <c r="E552" s="2">
        <f>HYPERLINK("https://www.amazon.com/Clear-Purifying-Blend-Foods-Pack/dp/B00LB442BM/ref=sr_1_2?keywords=NOW%C2%AE+Clear+the+Air+Purifying+Blend+1oz.&amp;qid=1695260588&amp;sr=8-2", "https://www.amazon.com/Clear-Purifying-Blend-Foods-Pack/dp/B00LB442BM/ref=sr_1_2?keywords=NOW%C2%AE+Clear+the+Air+Purifying+Blend+1oz.&amp;qid=1695260588&amp;sr=8-2")</f>
        <v/>
      </c>
      <c r="F552" t="inlineStr">
        <is>
          <t>B00LB442BM</t>
        </is>
      </c>
      <c r="G552">
        <f>IMAGE("https://shop.sonapharmacy.com/cdn/shop/products/1740069601315-2t.jpg?v=1611163425")</f>
        <v/>
      </c>
      <c r="H552">
        <f>IMAGE("https://m.media-amazon.com/images/I/61rn8ghs1TL._AC_UL320_.jpg")</f>
        <v/>
      </c>
      <c r="I552" t="inlineStr">
        <is>
          <t>12.99</t>
        </is>
      </c>
      <c r="J552" t="n">
        <v>23.28</v>
      </c>
      <c r="K552" s="3" t="inlineStr">
        <is>
          <t>79.21%</t>
        </is>
      </c>
      <c r="L552" t="n">
        <v>4.5</v>
      </c>
      <c r="M552" t="n">
        <v>7</v>
      </c>
      <c r="O552" t="inlineStr">
        <is>
          <t>InStock</t>
        </is>
      </c>
      <c r="P552" t="inlineStr">
        <is>
          <t>undefined</t>
        </is>
      </c>
      <c r="Q552" t="inlineStr">
        <is>
          <t>4885873426571</t>
        </is>
      </c>
    </row>
    <row r="553">
      <c r="A553" s="2">
        <f>HYPERLINK("https://shop.sonapharmacy.com/products/carex%E2%84%A2-aluminum-adult-crutches", "https://shop.sonapharmacy.com/products/carex%E2%84%A2-aluminum-adult-crutches")</f>
        <v/>
      </c>
      <c r="B553" s="2">
        <f>HYPERLINK("https://shop.sonapharmacy.com/products/carex%e2%84%a2-aluminum-adult-crutches", "https://shop.sonapharmacy.com/products/carex%e2%84%a2-aluminum-adult-crutches")</f>
        <v/>
      </c>
      <c r="C553" t="inlineStr">
        <is>
          <t>Carex™ Aluminum Adult Crutches</t>
        </is>
      </c>
      <c r="D553" t="inlineStr">
        <is>
          <t>WIRUAG Crutches for Adults Folding Aluminum Underarm,Adjustable Crutches for Walking,Push Button Adjustable Height,with Underarm Pads,Great for Travel or Work,Silver,2 Count</t>
        </is>
      </c>
      <c r="F553" t="inlineStr">
        <is>
          <t>B09VKLKY1Q</t>
        </is>
      </c>
      <c r="G553">
        <f>IMAGE("https://shop.sonapharmacy.com/cdn/shop/products/CarexAluminumCrutchesYouth_AdultandTall_1_720x_17f8688a-06ff-4271-84a2-9e898ae6a65a.png?v=1609953352")</f>
        <v/>
      </c>
      <c r="H553">
        <f>IMAGE("https://m.media-amazon.com/images/I/51Ma3mIQ1yL._AC_UL320_.jpg")</f>
        <v/>
      </c>
      <c r="I553" t="inlineStr">
        <is>
          <t>44.72</t>
        </is>
      </c>
      <c r="J553" t="n">
        <v>79.98999999999999</v>
      </c>
      <c r="K553" s="3" t="inlineStr">
        <is>
          <t>78.87%</t>
        </is>
      </c>
      <c r="L553" t="n">
        <v>4.1</v>
      </c>
      <c r="M553" t="n">
        <v>56</v>
      </c>
      <c r="O553" t="inlineStr">
        <is>
          <t>InStock</t>
        </is>
      </c>
      <c r="P553" t="inlineStr">
        <is>
          <t>undefined</t>
        </is>
      </c>
      <c r="Q553" t="inlineStr">
        <is>
          <t>6197742370968</t>
        </is>
      </c>
    </row>
    <row r="554">
      <c r="A554" s="2">
        <f>HYPERLINK("https://shop.sonapharmacy.com/products/lice-shield-shampoo-conditioner", "https://shop.sonapharmacy.com/products/lice-shield-shampoo-conditioner")</f>
        <v/>
      </c>
      <c r="B554" s="2">
        <f>HYPERLINK("https://shop.sonapharmacy.com/products/lice-shield-shampoo-conditioner", "https://shop.sonapharmacy.com/products/lice-shield-shampoo-conditioner")</f>
        <v/>
      </c>
      <c r="C554" t="inlineStr">
        <is>
          <t>Lice Shield Shampoo &amp; Conditioner 10 fl. oz.</t>
        </is>
      </c>
      <c r="D554" t="inlineStr">
        <is>
          <t>Lice Shield Lice Repellent Shampoo &amp; Conditioner, 6.7 Fl Oz</t>
        </is>
      </c>
      <c r="E554" s="2">
        <f>HYPERLINK("https://www.amazon.com/Lice-Shield-Repellent-Shampoo-Conditioner/dp/B00UIFG27M/ref=sr_1_8?keywords=Lice+Shield+Shampoo&amp;qid=1695260434&amp;sr=8-8", "https://www.amazon.com/Lice-Shield-Repellent-Shampoo-Conditioner/dp/B00UIFG27M/ref=sr_1_8?keywords=Lice+Shield+Shampoo&amp;qid=1695260434&amp;sr=8-8")</f>
        <v/>
      </c>
      <c r="F554" t="inlineStr">
        <is>
          <t>B00UIFG27M</t>
        </is>
      </c>
      <c r="G554">
        <f>IMAGE("https://shop.sonapharmacy.com/cdn/shop/products/liceshield.jpg?v=1608136014")</f>
        <v/>
      </c>
      <c r="H554">
        <f>IMAGE("https://m.media-amazon.com/images/I/41slT66xA8L._AC_UL320_.jpg")</f>
        <v/>
      </c>
      <c r="I554" t="inlineStr">
        <is>
          <t>10.79</t>
        </is>
      </c>
      <c r="J554" t="n">
        <v>19.29</v>
      </c>
      <c r="K554" s="3" t="inlineStr">
        <is>
          <t>78.78%</t>
        </is>
      </c>
      <c r="L554" t="n">
        <v>4.4</v>
      </c>
      <c r="M554" t="n">
        <v>4</v>
      </c>
      <c r="O554" t="inlineStr">
        <is>
          <t>InStock</t>
        </is>
      </c>
      <c r="P554" t="inlineStr">
        <is>
          <t>undefined</t>
        </is>
      </c>
      <c r="Q554" t="inlineStr">
        <is>
          <t>6156972458136</t>
        </is>
      </c>
    </row>
    <row r="555">
      <c r="A555" s="2">
        <f>HYPERLINK("https://shop.sonapharmacy.com/products/off-%C2%AE-family-care-insect-repellent-smooth-dry-spray-4oz", "https://shop.sonapharmacy.com/products/off-%C2%AE-family-care-insect-repellent-smooth-dry-spray-4oz")</f>
        <v/>
      </c>
      <c r="B555" s="2">
        <f>HYPERLINK("https://shop.sonapharmacy.com/products/off-%c2%ae-family-care-insect-repellent-smooth-dry-spray-4oz", "https://shop.sonapharmacy.com/products/off-%c2%ae-family-care-insect-repellent-smooth-dry-spray-4oz")</f>
        <v/>
      </c>
      <c r="C555" t="inlineStr">
        <is>
          <t>OFF!® Family Care Insect Repellent Smooth &amp; Dry Spray 4oz.</t>
        </is>
      </c>
      <c r="D555" t="inlineStr">
        <is>
          <t>OFF! Family Care Smooth &amp; Dry Insect Spray, 4 OZ</t>
        </is>
      </c>
      <c r="E555" s="2">
        <f>HYPERLINK("https://www.amazon.com/OFF-Family-Smooth-Insect-Spray/dp/B07TTV4SG6/ref=sr_1_3?keywords=OFF%21%C2%AE+Family+Care+Insect+Repellent+Smooth+%26+Dry+Spray+4oz.&amp;qid=1695260656&amp;sr=8-3", "https://www.amazon.com/OFF-Family-Smooth-Insect-Spray/dp/B07TTV4SG6/ref=sr_1_3?keywords=OFF%21%C2%AE+Family+Care+Insect+Repellent+Smooth+%26+Dry+Spray+4oz.&amp;qid=1695260656&amp;sr=8-3")</f>
        <v/>
      </c>
      <c r="F555" t="inlineStr">
        <is>
          <t>B07TTV4SG6</t>
        </is>
      </c>
      <c r="G555">
        <f>IMAGE("https://shop.sonapharmacy.com/cdn/shop/products/82380d77-220c-40b4-8024-71396ca6a7d8.a797d23efa84ece1415562ae9d549027_4e55f6cf-6eb1-4669-a3ee-922c1347d47c.jpg?v=1610757010")</f>
        <v/>
      </c>
      <c r="H555">
        <f>IMAGE("https://m.media-amazon.com/images/I/71jfZdj+2hL._AC_UL320_.jpg")</f>
        <v/>
      </c>
      <c r="I555" t="inlineStr">
        <is>
          <t>9.27</t>
        </is>
      </c>
      <c r="J555" t="n">
        <v>16.49</v>
      </c>
      <c r="K555" s="3" t="inlineStr">
        <is>
          <t>77.89%</t>
        </is>
      </c>
      <c r="L555" t="n">
        <v>4.7</v>
      </c>
      <c r="M555" t="n">
        <v>11</v>
      </c>
      <c r="O555" t="inlineStr">
        <is>
          <t>InStock</t>
        </is>
      </c>
      <c r="P555" t="inlineStr">
        <is>
          <t>undefined</t>
        </is>
      </c>
      <c r="Q555" t="inlineStr">
        <is>
          <t>6220375916696</t>
        </is>
      </c>
    </row>
    <row r="556">
      <c r="A556" s="2">
        <f>HYPERLINK("https://shop.sonapharmacy.com/products/coq10", "https://shop.sonapharmacy.com/products/coq10")</f>
        <v/>
      </c>
      <c r="B556" s="2">
        <f>HYPERLINK("https://shop.sonapharmacy.com/products/coq10", "https://shop.sonapharmacy.com/products/coq10")</f>
        <v/>
      </c>
      <c r="C556" t="inlineStr">
        <is>
          <t>Integrative Therapeutics CoQ10 Softgel 60ct.</t>
        </is>
      </c>
      <c r="D556" t="inlineStr">
        <is>
          <t>Integrative Therapeutics - UBQH 100 mg - Reduced Ubiquinol - CoQ10 Supplement - Supports Cellular Energy* - Dairy Free - 60 Softgels</t>
        </is>
      </c>
      <c r="E556" s="2">
        <f>HYPERLINK("https://www.amazon.com/Integrative-Therapeutics-Patented-Stabilized-Ubiquinol/dp/B001PYXM1Y/ref=sr_1_2?keywords=Integrative+Therapeutics+CoQ10+Softgel+60ct.&amp;qid=1695260406&amp;sr=8-2", "https://www.amazon.com/Integrative-Therapeutics-Patented-Stabilized-Ubiquinol/dp/B001PYXM1Y/ref=sr_1_2?keywords=Integrative+Therapeutics+CoQ10+Softgel+60ct.&amp;qid=1695260406&amp;sr=8-2")</f>
        <v/>
      </c>
      <c r="F556" t="inlineStr">
        <is>
          <t>B001PYXM1Y</t>
        </is>
      </c>
      <c r="G556">
        <f>IMAGE("https://shop.sonapharmacy.com/cdn/shop/products/61htMunw_-L._AC_SL1500.jpg?v=1609356631")</f>
        <v/>
      </c>
      <c r="H556">
        <f>IMAGE("https://m.media-amazon.com/images/I/517w0PKSAoL._AC_UL320_.jpg")</f>
        <v/>
      </c>
      <c r="I556" t="inlineStr">
        <is>
          <t>37.8</t>
        </is>
      </c>
      <c r="J556" t="n">
        <v>66.75</v>
      </c>
      <c r="K556" s="3" t="inlineStr">
        <is>
          <t>76.59%</t>
        </is>
      </c>
      <c r="L556" t="n">
        <v>4.7</v>
      </c>
      <c r="M556" t="n">
        <v>182</v>
      </c>
      <c r="O556" t="inlineStr">
        <is>
          <t>undefined</t>
        </is>
      </c>
      <c r="P556" t="inlineStr">
        <is>
          <t>undefined</t>
        </is>
      </c>
      <c r="Q556" t="inlineStr">
        <is>
          <t>4805116166283</t>
        </is>
      </c>
    </row>
    <row r="557">
      <c r="A557" s="2">
        <f>HYPERLINK("https://shop.sonapharmacy.com/products/mueller-kinesiology-tape%C2%AE-i-strips-pre-cut-tape-roll", "https://shop.sonapharmacy.com/products/mueller-kinesiology-tape%C2%AE-i-strips-pre-cut-tape-roll")</f>
        <v/>
      </c>
      <c r="B557" s="2">
        <f>HYPERLINK("https://shop.sonapharmacy.com/products/mueller-kinesiology-tape%c2%ae-i-strips-pre-cut-tape-roll", "https://shop.sonapharmacy.com/products/mueller-kinesiology-tape%c2%ae-i-strips-pre-cut-tape-roll")</f>
        <v/>
      </c>
      <c r="C557" t="inlineStr">
        <is>
          <t>Mueller Kinesiology Tape® I-Strips Pre-Cut Tape Roll</t>
        </is>
      </c>
      <c r="D557" t="inlineStr">
        <is>
          <t>Mueller Sports Medicine Typhoon Elite Kinesiology Therapeutic Tape, Pre-Cut I-Strips, Beige, 20 Count</t>
        </is>
      </c>
      <c r="E557" s="2">
        <f>HYPERLINK("https://www.amazon.com/MUELLER-Typhoon-Kinesiology-Therapeutic-I-Strips/dp/B08C6TNFT1/ref=sr_1_3?keywords=Mueller+Kinesiology+Tape%C2%AE+I-Strips+Pre-Cut+Tape+Roll&amp;qid=1695260503&amp;sr=8-3", "https://www.amazon.com/MUELLER-Typhoon-Kinesiology-Therapeutic-I-Strips/dp/B08C6TNFT1/ref=sr_1_3?keywords=Mueller+Kinesiology+Tape%C2%AE+I-Strips+Pre-Cut+Tape+Roll&amp;qid=1695260503&amp;sr=8-3")</f>
        <v/>
      </c>
      <c r="F557" t="inlineStr">
        <is>
          <t>B08C6TNFT1</t>
        </is>
      </c>
      <c r="G557">
        <f>IMAGE("https://shop.sonapharmacy.com/cdn/shop/products/black_fd3353bd-3884-4f87-90b8-1327b7073970.jpg?v=1609944494")</f>
        <v/>
      </c>
      <c r="H557">
        <f>IMAGE("https://m.media-amazon.com/images/I/71WUJYna9gL._AC_UL320_.jpg")</f>
        <v/>
      </c>
      <c r="I557" t="inlineStr">
        <is>
          <t>9.09</t>
        </is>
      </c>
      <c r="J557" t="n">
        <v>15.99</v>
      </c>
      <c r="K557" s="3" t="inlineStr">
        <is>
          <t>75.91%</t>
        </is>
      </c>
      <c r="L557" t="n">
        <v>4.6</v>
      </c>
      <c r="M557" t="n">
        <v>31</v>
      </c>
      <c r="O557" t="inlineStr">
        <is>
          <t>InStock</t>
        </is>
      </c>
      <c r="P557" t="inlineStr">
        <is>
          <t>undefined</t>
        </is>
      </c>
      <c r="Q557" t="inlineStr">
        <is>
          <t>6197523906712</t>
        </is>
      </c>
    </row>
    <row r="558">
      <c r="A558" s="2">
        <f>HYPERLINK("https://shop.sonapharmacy.com/products/nature-made-hair-skin-and-nails-gummies", "https://shop.sonapharmacy.com/products/nature-made-hair-skin-and-nails-gummies")</f>
        <v/>
      </c>
      <c r="B558" s="2">
        <f>HYPERLINK("https://shop.sonapharmacy.com/products/nature-made-hair-skin-and-nails-gummies", "https://shop.sonapharmacy.com/products/nature-made-hair-skin-and-nails-gummies")</f>
        <v/>
      </c>
      <c r="C558" t="inlineStr">
        <is>
          <t>Nature Made® Hair Skin and Nails Gummies</t>
        </is>
      </c>
      <c r="D558" t="inlineStr">
        <is>
          <t>Nature's Bounty Vitamin Biotin Optimal Solutions Hair, Skin and Nails Gummies, 200 Count</t>
        </is>
      </c>
      <c r="E558" s="2">
        <f>HYPERLINK("https://www.amazon.com/Natures-Bounty-Vitamin-Optimal-Solutions/dp/B07X57RCD8/ref=sr_1_5?keywords=Nature+Made%C2%AE+Hair+Skin+and+Nails+Gummies&amp;qid=1695260542&amp;sr=8-5", "https://www.amazon.com/Natures-Bounty-Vitamin-Optimal-Solutions/dp/B07X57RCD8/ref=sr_1_5?keywords=Nature+Made%C2%AE+Hair+Skin+and+Nails+Gummies&amp;qid=1695260542&amp;sr=8-5")</f>
        <v/>
      </c>
      <c r="F558" t="inlineStr">
        <is>
          <t>B07X57RCD8</t>
        </is>
      </c>
      <c r="G558">
        <f>IMAGE("https://shop.sonapharmacy.com/cdn/shop/products/71o8Z6P3alL._AC_SL1500.jpg?v=1610048535")</f>
        <v/>
      </c>
      <c r="H558">
        <f>IMAGE("https://m.media-amazon.com/images/I/71aN2iQtOML._AC_UL320_.jpg")</f>
        <v/>
      </c>
      <c r="I558" t="inlineStr">
        <is>
          <t>9.49</t>
        </is>
      </c>
      <c r="J558" t="n">
        <v>16.64</v>
      </c>
      <c r="K558" s="3" t="inlineStr">
        <is>
          <t>75.34%</t>
        </is>
      </c>
      <c r="L558" t="n">
        <v>4.7</v>
      </c>
      <c r="M558" t="n">
        <v>12293</v>
      </c>
      <c r="O558" t="inlineStr">
        <is>
          <t>InStock</t>
        </is>
      </c>
      <c r="P558" t="inlineStr">
        <is>
          <t>undefined</t>
        </is>
      </c>
      <c r="Q558" t="inlineStr">
        <is>
          <t>4896662618251</t>
        </is>
      </c>
    </row>
    <row r="559">
      <c r="A559" s="2">
        <f>HYPERLINK("https://shop.sonapharmacy.com/products/metagenics-coq10-st-100", "https://shop.sonapharmacy.com/products/metagenics-coq10-st-100")</f>
        <v/>
      </c>
      <c r="B559" s="2">
        <f>HYPERLINK("https://shop.sonapharmacy.com/products/metagenics-coq10-st-100", "https://shop.sonapharmacy.com/products/metagenics-coq10-st-100")</f>
        <v/>
      </c>
      <c r="C559" t="inlineStr">
        <is>
          <t>Metagenics CoQ10 ST-100</t>
        </is>
      </c>
      <c r="D559" t="inlineStr">
        <is>
          <t>Metagenics - CoQ10 ST-100 Highly Absorbable Coenzyme Q10 100 mg. - 60 Softgels</t>
        </is>
      </c>
      <c r="E559" s="2">
        <f>HYPERLINK("https://www.amazon.com/Metagenics-ST-100-Absorbable-Coenzyme-Softgels/dp/B005P0SH3C/ref=sr_1_3?keywords=Metagenics+CoQ10+ST-100&amp;qid=1695260461&amp;sr=8-3", "https://www.amazon.com/Metagenics-ST-100-Absorbable-Coenzyme-Softgels/dp/B005P0SH3C/ref=sr_1_3?keywords=Metagenics+CoQ10+ST-100&amp;qid=1695260461&amp;sr=8-3")</f>
        <v/>
      </c>
      <c r="F559" t="inlineStr">
        <is>
          <t>B005P0SH3C</t>
        </is>
      </c>
      <c r="G559">
        <f>IMAGE("https://shop.sonapharmacy.com/cdn/shop/products/ccabd559-90cf-4ade-9938-9635db5c3192-358-358.png?v=1668627545")</f>
        <v/>
      </c>
      <c r="H559">
        <f>IMAGE("https://m.media-amazon.com/images/I/51eNQfq4aOL._AC_UL320_.jpg")</f>
        <v/>
      </c>
      <c r="I559" t="inlineStr">
        <is>
          <t>64.25</t>
        </is>
      </c>
      <c r="J559" t="n">
        <v>112.64</v>
      </c>
      <c r="K559" s="3" t="inlineStr">
        <is>
          <t>75.32%</t>
        </is>
      </c>
      <c r="L559" t="n">
        <v>5</v>
      </c>
      <c r="M559" t="n">
        <v>2</v>
      </c>
      <c r="O559" t="inlineStr">
        <is>
          <t>InStock</t>
        </is>
      </c>
      <c r="P559" t="inlineStr">
        <is>
          <t>undefined</t>
        </is>
      </c>
      <c r="Q559" t="inlineStr">
        <is>
          <t>7920466690268</t>
        </is>
      </c>
    </row>
    <row r="560">
      <c r="A560" s="2">
        <f>HYPERLINK("https://shop.sonapharmacy.com/products/lactaid%C2%AE-fast-act-lactase-enzyme-caplets-60ct", "https://shop.sonapharmacy.com/products/lactaid%C2%AE-fast-act-lactase-enzyme-caplets-60ct")</f>
        <v/>
      </c>
      <c r="B560" s="2">
        <f>HYPERLINK("https://shop.sonapharmacy.com/products/lactaid%c2%ae-fast-act-lactase-enzyme-caplets-60ct", "https://shop.sonapharmacy.com/products/lactaid%c2%ae-fast-act-lactase-enzyme-caplets-60ct")</f>
        <v/>
      </c>
      <c r="C560" t="inlineStr">
        <is>
          <t>Lactaid® Fast Act Lactase Enzyme Caplets 60ct.</t>
        </is>
      </c>
      <c r="D560" t="inlineStr">
        <is>
          <t>Guardian Dairy Relief Fast Acting Lactase, 360 Caplets, 9000 FCC Maximum Strength, Lactose Intolerance Pills, Lactase Enzyme Supplement (360 CT)</t>
        </is>
      </c>
      <c r="E560" s="2">
        <f>HYPERLINK("https://www.amazon.com/Guardian-Relief-Acting-Caplets-Lactase/dp/B07BRQP9YR/ref=sr_1_6?keywords=Lactaid%C2%AE+Fast+Act+Lactase+Enzyme+Caplets+60ct.&amp;qid=1695260472&amp;sr=8-6", "https://www.amazon.com/Guardian-Relief-Acting-Caplets-Lactase/dp/B07BRQP9YR/ref=sr_1_6?keywords=Lactaid%C2%AE+Fast+Act+Lactase+Enzyme+Caplets+60ct.&amp;qid=1695260472&amp;sr=8-6")</f>
        <v/>
      </c>
      <c r="F560" t="inlineStr">
        <is>
          <t>B07BRQP9YR</t>
        </is>
      </c>
      <c r="G560">
        <f>IMAGE("https://shop.sonapharmacy.com/cdn/shop/products/46208c60-00c3-4dad-92a8-9e7168f0b83f.4ac6c75c3d69059101e9e1a9b10c2e01.jpg?v=1610985551")</f>
        <v/>
      </c>
      <c r="H560">
        <f>IMAGE("https://m.media-amazon.com/images/I/81F+zRgQ9fL._AC_UL320_.jpg")</f>
        <v/>
      </c>
      <c r="I560" t="inlineStr">
        <is>
          <t>19.39</t>
        </is>
      </c>
      <c r="J560" t="n">
        <v>33.99</v>
      </c>
      <c r="K560" s="3" t="inlineStr">
        <is>
          <t>75.30%</t>
        </is>
      </c>
      <c r="L560" t="n">
        <v>4.7</v>
      </c>
      <c r="M560" t="n">
        <v>3393</v>
      </c>
      <c r="O560" t="inlineStr">
        <is>
          <t>InStock</t>
        </is>
      </c>
      <c r="P560" t="inlineStr">
        <is>
          <t>undefined</t>
        </is>
      </c>
      <c r="Q560" t="inlineStr">
        <is>
          <t>6224672915608</t>
        </is>
      </c>
    </row>
    <row r="561">
      <c r="A561" s="2">
        <f>HYPERLINK("https://shop.sonapharmacy.com/products/sunbum%C2%AE-original-spf-50-sunscreen-lotion-3oz", "https://shop.sonapharmacy.com/products/sunbum%C2%AE-original-spf-50-sunscreen-lotion-3oz")</f>
        <v/>
      </c>
      <c r="B561" s="2">
        <f>HYPERLINK("https://shop.sonapharmacy.com/products/sunbum%c2%ae-original-spf-50-sunscreen-lotion-3oz", "https://shop.sonapharmacy.com/products/sunbum%c2%ae-original-spf-50-sunscreen-lotion-3oz")</f>
        <v/>
      </c>
      <c r="C561" t="inlineStr">
        <is>
          <t>Sun Bum® Original SPF 50 Sunscreen Lotion</t>
        </is>
      </c>
      <c r="D561" t="inlineStr">
        <is>
          <t>Sun Bum Original SPF 50 Sunscreen Roll-On Lotion | Vegan and Hawaii 104 Reef Act Compliant (Octinoxate &amp; Oxybenzone Free) Broad Spectrum Moisturizing UVA/UVB Sunscreen Lotion with Vitamin E | 3 oz</t>
        </is>
      </c>
      <c r="E561" s="2">
        <f>HYPERLINK("https://www.amazon.com/Sun-Bum-Octinoxate-Oxybenzone-Moisturizing/dp/B09JHWKHVF/ref=sr_1_7?keywords=Sun+Bum%C2%AE+Original+SPF+50+Sunscreen+Lotion&amp;qid=1695260742&amp;rdc=1&amp;sr=8-7", "https://www.amazon.com/Sun-Bum-Octinoxate-Oxybenzone-Moisturizing/dp/B09JHWKHVF/ref=sr_1_7?keywords=Sun+Bum%C2%AE+Original+SPF+50+Sunscreen+Lotion&amp;qid=1695260742&amp;rdc=1&amp;sr=8-7")</f>
        <v/>
      </c>
      <c r="F561" t="inlineStr">
        <is>
          <t>B09JHWKHVF</t>
        </is>
      </c>
      <c r="G561">
        <f>IMAGE("https://shop.sonapharmacy.com/cdn/shop/products/71liju0WraL._SL1500.jpg?v=1611868598")</f>
        <v/>
      </c>
      <c r="H561">
        <f>IMAGE("https://m.media-amazon.com/images/I/71Q2sCeHRrL._AC_UL320_.jpg")</f>
        <v/>
      </c>
      <c r="I561" t="inlineStr">
        <is>
          <t>9.99</t>
        </is>
      </c>
      <c r="J561" t="n">
        <v>17.49</v>
      </c>
      <c r="K561" s="3" t="inlineStr">
        <is>
          <t>75.08%</t>
        </is>
      </c>
      <c r="L561" t="n">
        <v>4.7</v>
      </c>
      <c r="M561" t="n">
        <v>472</v>
      </c>
      <c r="O561" t="inlineStr">
        <is>
          <t>InStock</t>
        </is>
      </c>
      <c r="P561" t="inlineStr">
        <is>
          <t>undefined</t>
        </is>
      </c>
      <c r="Q561" t="inlineStr">
        <is>
          <t>6228108279960</t>
        </is>
      </c>
    </row>
    <row r="562">
      <c r="A562" s="2">
        <f>HYPERLINK("https://shop.sonapharmacy.com/products/prevagen-extra-strength-capsules-20-mg", "https://shop.sonapharmacy.com/products/prevagen-extra-strength-capsules-20-mg")</f>
        <v/>
      </c>
      <c r="B562" s="2">
        <f>HYPERLINK("https://shop.sonapharmacy.com/products/prevagen-extra-strength-capsules-20-mg", "https://shop.sonapharmacy.com/products/prevagen-extra-strength-capsules-20-mg")</f>
        <v/>
      </c>
      <c r="C562" t="inlineStr">
        <is>
          <t>Prevagen Extra Strength Capsules 20 mg</t>
        </is>
      </c>
      <c r="D562" t="inlineStr">
        <is>
          <t>Prevagen Improves Memory - Extra Strength 20mg, 60 Capsules, with Apoaequorin &amp; Vitamin D &amp; Prevagen 7-Day Pill Minder | Brain Supplement for Better Brain Health, Supports Healthy Brain Function</t>
        </is>
      </c>
      <c r="E562" s="2">
        <f>HYPERLINK("https://www.amazon.com/Prevagen-Extra-Strength-20mg-capsules/dp/B00GBESZVA/ref=sr_1_1?keywords=Prevagen+Extra+Strength+Capsules+20+mg&amp;qid=1695260651&amp;sr=8-1", "https://www.amazon.com/Prevagen-Extra-Strength-20mg-capsules/dp/B00GBESZVA/ref=sr_1_1?keywords=Prevagen+Extra+Strength+Capsules+20+mg&amp;qid=1695260651&amp;sr=8-1")</f>
        <v/>
      </c>
      <c r="F562" t="inlineStr">
        <is>
          <t>B00GBESZVA</t>
        </is>
      </c>
      <c r="G562">
        <f>IMAGE("https://shop.sonapharmacy.com/cdn/shop/products/PrevagenExtraStrengthCapsules20mg.jpg?v=1594304097")</f>
        <v/>
      </c>
      <c r="H562">
        <f>IMAGE("https://m.media-amazon.com/images/I/71Gm1MhlvCL._AC_UL320_.jpg")</f>
        <v/>
      </c>
      <c r="I562" t="inlineStr">
        <is>
          <t>53.99</t>
        </is>
      </c>
      <c r="J562" t="n">
        <v>94.43000000000001</v>
      </c>
      <c r="K562" s="3" t="inlineStr">
        <is>
          <t>74.90%</t>
        </is>
      </c>
      <c r="L562" t="n">
        <v>4.3</v>
      </c>
      <c r="M562" t="n">
        <v>7238</v>
      </c>
      <c r="O562" t="inlineStr">
        <is>
          <t>undefined</t>
        </is>
      </c>
      <c r="P562" t="inlineStr">
        <is>
          <t>undefined</t>
        </is>
      </c>
      <c r="Q562" t="inlineStr">
        <is>
          <t>4892652732555</t>
        </is>
      </c>
    </row>
    <row r="563">
      <c r="A563" s="2">
        <f>HYPERLINK("https://shop.sonapharmacy.com/products/prevagen-extra-strength-capsules-20-mg", "https://shop.sonapharmacy.com/products/prevagen-extra-strength-capsules-20-mg")</f>
        <v/>
      </c>
      <c r="B563" s="2">
        <f>HYPERLINK("https://shop.sonapharmacy.com/products/prevagen-extra-strength-capsules-20-mg", "https://shop.sonapharmacy.com/products/prevagen-extra-strength-capsules-20-mg")</f>
        <v/>
      </c>
      <c r="C563" t="inlineStr">
        <is>
          <t>Prevagen Extra Strength Capsules 20 mg</t>
        </is>
      </c>
      <c r="D563" t="inlineStr">
        <is>
          <t>Prevagen Improves Memory - Extra Strength 20mg, 60 Capsules, with Apoaequorin &amp; Vitamin D &amp; Prevagen 7-Day Pill Minder | Brain Supplement for Better Brain Health, Supports Healthy Brain Function</t>
        </is>
      </c>
      <c r="E563" s="2">
        <f>HYPERLINK("https://www.amazon.com/Prevagen-Improves-Memory-Extra-Strength/dp/B08HHDKJKQ/ref=sr_1_4?keywords=Prevagen+Extra+Strength+Capsules+20+mg&amp;qid=1695260651&amp;sr=8-4", "https://www.amazon.com/Prevagen-Improves-Memory-Extra-Strength/dp/B08HHDKJKQ/ref=sr_1_4?keywords=Prevagen+Extra+Strength+Capsules+20+mg&amp;qid=1695260651&amp;sr=8-4")</f>
        <v/>
      </c>
      <c r="F563" t="inlineStr">
        <is>
          <t>B08HHDKJKQ</t>
        </is>
      </c>
      <c r="G563">
        <f>IMAGE("https://shop.sonapharmacy.com/cdn/shop/products/PrevagenExtraStrengthCapsules20mg.jpg?v=1594304097")</f>
        <v/>
      </c>
      <c r="H563">
        <f>IMAGE("https://m.media-amazon.com/images/I/71Gm1MhlvCL._AC_UL320_.jpg")</f>
        <v/>
      </c>
      <c r="I563" t="inlineStr">
        <is>
          <t>53.99</t>
        </is>
      </c>
      <c r="J563" t="n">
        <v>94.43000000000001</v>
      </c>
      <c r="K563" s="3" t="inlineStr">
        <is>
          <t>74.90%</t>
        </is>
      </c>
      <c r="L563" t="n">
        <v>4.4</v>
      </c>
      <c r="M563" t="n">
        <v>2703</v>
      </c>
      <c r="O563" t="inlineStr">
        <is>
          <t>undefined</t>
        </is>
      </c>
      <c r="P563" t="inlineStr">
        <is>
          <t>undefined</t>
        </is>
      </c>
      <c r="Q563" t="inlineStr">
        <is>
          <t>4892652732555</t>
        </is>
      </c>
    </row>
    <row r="564">
      <c r="A564" s="2">
        <f>HYPERLINK("https://shop.sonapharmacy.com/products/theraslim", "https://shop.sonapharmacy.com/products/theraslim")</f>
        <v/>
      </c>
      <c r="B564" s="2">
        <f>HYPERLINK("https://shop.sonapharmacy.com/products/theraslim", "https://shop.sonapharmacy.com/products/theraslim")</f>
        <v/>
      </c>
      <c r="C564" t="inlineStr">
        <is>
          <t>Klaire Labs Theraslim Capsules</t>
        </is>
      </c>
      <c r="D564" t="inlineStr">
        <is>
          <t>Klaire Labs Pro-Biotic Complex - Intestinal Support for Men &amp; Women, 5 Billion CFU Lactobacillus acidophilus &amp; Bifidobacterium bifidum Probiotic, Hypoallergenic &amp; Dairy-Free (100 Capsules)</t>
        </is>
      </c>
      <c r="E564" s="2">
        <f>HYPERLINK("https://www.amazon.com/Klaire-Labs-Pro-Biotic-Complex-Bifidobacterium/dp/B001PYZDOS/ref=sr_1_5?keywords=Klaire+Labs+Theraslim+Capsules&amp;qid=1695260437&amp;sr=8-5", "https://www.amazon.com/Klaire-Labs-Pro-Biotic-Complex-Bifidobacterium/dp/B001PYZDOS/ref=sr_1_5?keywords=Klaire+Labs+Theraslim+Capsules&amp;qid=1695260437&amp;sr=8-5")</f>
        <v/>
      </c>
      <c r="F564" t="inlineStr">
        <is>
          <t>B001PYZDOS</t>
        </is>
      </c>
      <c r="G564">
        <f>IMAGE("https://shop.sonapharmacy.com/cdn/shop/products/61UgGn_O7ML._AC_SL1500.jpg?v=1609358113")</f>
        <v/>
      </c>
      <c r="H564">
        <f>IMAGE("https://m.media-amazon.com/images/I/61tCHuqRExL._AC_UL320_.jpg")</f>
        <v/>
      </c>
      <c r="I564" t="inlineStr">
        <is>
          <t>25.99</t>
        </is>
      </c>
      <c r="J564" t="n">
        <v>44.99</v>
      </c>
      <c r="K564" s="3" t="inlineStr">
        <is>
          <t>73.11%</t>
        </is>
      </c>
      <c r="L564" t="n">
        <v>4.6</v>
      </c>
      <c r="M564" t="n">
        <v>115</v>
      </c>
      <c r="O564" t="inlineStr">
        <is>
          <t>InStock</t>
        </is>
      </c>
      <c r="P564" t="inlineStr">
        <is>
          <t>undefined</t>
        </is>
      </c>
      <c r="Q564" t="inlineStr">
        <is>
          <t>4435727810699</t>
        </is>
      </c>
    </row>
    <row r="565">
      <c r="A565" s="2">
        <f>HYPERLINK("https://shop.sonapharmacy.com/products/goodsense%C2%AE-omeprazole-delayed-release-acid-reducer-tablets", "https://shop.sonapharmacy.com/products/goodsense%C2%AE-omeprazole-delayed-release-acid-reducer-tablets")</f>
        <v/>
      </c>
      <c r="B565" s="2">
        <f>HYPERLINK("https://shop.sonapharmacy.com/products/goodsense%c2%ae-omeprazole-delayed-release-acid-reducer-tablets", "https://shop.sonapharmacy.com/products/goodsense%c2%ae-omeprazole-delayed-release-acid-reducer-tablets")</f>
        <v/>
      </c>
      <c r="C565" t="inlineStr">
        <is>
          <t>GoodSense® Omeprazole Delayed Release Acid Reducer Tablets</t>
        </is>
      </c>
      <c r="D565" t="inlineStr">
        <is>
          <t>GoodSense Omeprazole Delayed Release, Acid Reducer Tablets 20 mg, 42 Count (2)</t>
        </is>
      </c>
      <c r="E565" s="2">
        <f>HYPERLINK("https://www.amazon.com/GoodSense-Omeprazole-Delayed-Release-Reducer/dp/B07QZCZQ5N/ref=sr_1_1?keywords=GoodSense%C2%AE+Omeprazole+Delayed+Release+Acid+Reducer+Tablets&amp;qid=1695260366&amp;sr=8-1", "https://www.amazon.com/GoodSense-Omeprazole-Delayed-Release-Reducer/dp/B07QZCZQ5N/ref=sr_1_1?keywords=GoodSense%C2%AE+Omeprazole+Delayed+Release+Acid+Reducer+Tablets&amp;qid=1695260366&amp;sr=8-1")</f>
        <v/>
      </c>
      <c r="F565" t="inlineStr">
        <is>
          <t>B07QZCZQ5N</t>
        </is>
      </c>
      <c r="G565">
        <f>IMAGE("https://shop.sonapharmacy.com/cdn/shop/products/61mXugZtvTL._AC_SL1000_1a51445e-2089-4814-b7ea-c9463c6da8ef.jpg?v=1611027744")</f>
        <v/>
      </c>
      <c r="H565">
        <f>IMAGE("https://m.media-amazon.com/images/I/713NF21m0-L._AC_UL320_.jpg")</f>
        <v/>
      </c>
      <c r="I565" t="inlineStr">
        <is>
          <t>16.63</t>
        </is>
      </c>
      <c r="J565" t="n">
        <v>28.74</v>
      </c>
      <c r="K565" s="3" t="inlineStr">
        <is>
          <t>72.82%</t>
        </is>
      </c>
      <c r="L565" t="n">
        <v>4.8</v>
      </c>
      <c r="M565" t="n">
        <v>5391</v>
      </c>
      <c r="O565" t="inlineStr">
        <is>
          <t>InStock</t>
        </is>
      </c>
      <c r="P565" t="inlineStr">
        <is>
          <t>undefined</t>
        </is>
      </c>
      <c r="Q565" t="inlineStr">
        <is>
          <t>6225812062360</t>
        </is>
      </c>
    </row>
    <row r="566">
      <c r="A566" s="2">
        <f>HYPERLINK("https://shop.sonapharmacy.com/products/omega-3-pet", "https://shop.sonapharmacy.com/products/omega-3-pet")</f>
        <v/>
      </c>
      <c r="B566" s="2">
        <f>HYPERLINK("https://shop.sonapharmacy.com/products/omega-3-pet", "https://shop.sonapharmacy.com/products/omega-3-pet")</f>
        <v/>
      </c>
      <c r="C566" t="inlineStr">
        <is>
          <t>Nordic Naturals Omega-3 Pet Softgels</t>
        </is>
      </c>
      <c r="D566" t="inlineStr">
        <is>
          <t>Nordic Naturals Omega 3 Pet, 180 Count</t>
        </is>
      </c>
      <c r="E566" s="2">
        <f>HYPERLINK("https://www.amazon.com/Nordic-Naturals-Omega-Pet-Count/dp/B002CQU596/ref=sr_1_1?keywords=Nordic+Naturals+Omega-3+Pet+Softgels&amp;qid=1695260579&amp;sr=8-1", "https://www.amazon.com/Nordic-Naturals-Omega-Pet-Count/dp/B002CQU596/ref=sr_1_1?keywords=Nordic+Naturals+Omega-3+Pet+Softgels&amp;qid=1695260579&amp;sr=8-1")</f>
        <v/>
      </c>
      <c r="F566" t="inlineStr">
        <is>
          <t>B002CQU596</t>
        </is>
      </c>
      <c r="G566">
        <f>IMAGE("https://shop.sonapharmacy.com/cdn/shop/products/90.jpg?v=1610050123")</f>
        <v/>
      </c>
      <c r="H566">
        <f>IMAGE("https://m.media-amazon.com/images/I/71p+I6crpbL._AC_UL320_.jpg")</f>
        <v/>
      </c>
      <c r="I566" t="inlineStr">
        <is>
          <t>19.76</t>
        </is>
      </c>
      <c r="J566" t="n">
        <v>33.96</v>
      </c>
      <c r="K566" s="3" t="inlineStr">
        <is>
          <t>71.86%</t>
        </is>
      </c>
      <c r="L566" t="n">
        <v>4.7</v>
      </c>
      <c r="M566" t="n">
        <v>3636</v>
      </c>
      <c r="O566" t="inlineStr">
        <is>
          <t>undefined</t>
        </is>
      </c>
      <c r="P566" t="inlineStr">
        <is>
          <t>undefined</t>
        </is>
      </c>
      <c r="Q566" t="inlineStr">
        <is>
          <t>4793280069771</t>
        </is>
      </c>
    </row>
    <row r="567">
      <c r="A567" s="2">
        <f>HYPERLINK("https://shop.sonapharmacy.com/products/preservision-areds-formula-soft-gels", "https://shop.sonapharmacy.com/products/preservision-areds-formula-soft-gels")</f>
        <v/>
      </c>
      <c r="B567" s="2">
        <f>HYPERLINK("https://shop.sonapharmacy.com/products/preservision-areds-formula-soft-gels", "https://shop.sonapharmacy.com/products/preservision-areds-formula-soft-gels")</f>
        <v/>
      </c>
      <c r="C567" t="inlineStr">
        <is>
          <t>PreserVision AREDS Formula Soft Gels</t>
        </is>
      </c>
      <c r="D567" t="inlineStr">
        <is>
          <t>PreserVision® AREDS 2 Formula + MultiVitamin Vitamin &amp; Mineral Supplement 80 ct Soft Gels</t>
        </is>
      </c>
      <c r="E567" s="2">
        <f>HYPERLINK("https://www.amazon.com/PreserVision%C2%AE-Formula-MultiVitamin-Vitamin-Supplement/dp/B07SXTZVRN/ref=sr_1_1?keywords=PreserVision+AREDS+Formula+Soft+Gels&amp;qid=1695260640&amp;sr=8-1", "https://www.amazon.com/PreserVision%C2%AE-Formula-MultiVitamin-Vitamin-Supplement/dp/B07SXTZVRN/ref=sr_1_1?keywords=PreserVision+AREDS+Formula+Soft+Gels&amp;qid=1695260640&amp;sr=8-1")</f>
        <v/>
      </c>
      <c r="F567" t="inlineStr">
        <is>
          <t>B07SXTZVRN</t>
        </is>
      </c>
      <c r="G567">
        <f>IMAGE("https://shop.sonapharmacy.com/cdn/shop/products/PreserVisionAREDSFormulaSoftGels3.jpg?v=1594926297")</f>
        <v/>
      </c>
      <c r="H567">
        <f>IMAGE("https://m.media-amazon.com/images/I/816gqMzPNnL._AC_UL320_.jpg")</f>
        <v/>
      </c>
      <c r="I567" t="inlineStr">
        <is>
          <t>19.69</t>
        </is>
      </c>
      <c r="J567" t="n">
        <v>33.79</v>
      </c>
      <c r="K567" s="3" t="inlineStr">
        <is>
          <t>71.61%</t>
        </is>
      </c>
      <c r="L567" t="n">
        <v>4.6</v>
      </c>
      <c r="M567" t="n">
        <v>215</v>
      </c>
      <c r="O567" t="inlineStr">
        <is>
          <t>InStock</t>
        </is>
      </c>
      <c r="P567" t="inlineStr">
        <is>
          <t>undefined</t>
        </is>
      </c>
      <c r="Q567" t="inlineStr">
        <is>
          <t>5240260133016</t>
        </is>
      </c>
    </row>
    <row r="568">
      <c r="A568" s="2">
        <f>HYPERLINK("https://shop.sonapharmacy.com/products/lotrimin%C2%AE-af-jock-itch-antifungal-cream", "https://shop.sonapharmacy.com/products/lotrimin%C2%AE-af-jock-itch-antifungal-cream")</f>
        <v/>
      </c>
      <c r="B568" s="2">
        <f>HYPERLINK("https://shop.sonapharmacy.com/products/lotrimin%c2%ae-af-jock-itch-antifungal-cream", "https://shop.sonapharmacy.com/products/lotrimin%c2%ae-af-jock-itch-antifungal-cream")</f>
        <v/>
      </c>
      <c r="C568" t="inlineStr">
        <is>
          <t>Lotrimin® AF Jock Itch Antifungal Cream</t>
        </is>
      </c>
      <c r="D568" t="inlineStr">
        <is>
          <t>Lotrimin AF Cream for Athlete's Foot, Clotrimazole 1% Antifungal Treatment, Clinically Proven Effective Antifungal Treatment of Most AF, Jock Itch and Ringworm, Cream, 1.1 Ounce (30 Grams)</t>
        </is>
      </c>
      <c r="E568" s="2">
        <f>HYPERLINK("https://www.amazon.com/Lotrimin-AF-Antifungal-Cream-1-05/dp/B073SYVYWT/ref=sr_1_7?keywords=Lotrimin%C2%AE+AF+Jock+Itch+Antifungal+Cream&amp;qid=1695260464&amp;sr=8-7", "https://www.amazon.com/Lotrimin-AF-Antifungal-Cream-1-05/dp/B073SYVYWT/ref=sr_1_7?keywords=Lotrimin%C2%AE+AF+Jock+Itch+Antifungal+Cream&amp;qid=1695260464&amp;sr=8-7")</f>
        <v/>
      </c>
      <c r="F568" t="inlineStr">
        <is>
          <t>B073SYVYWT</t>
        </is>
      </c>
      <c r="G568">
        <f>IMAGE("https://shop.sonapharmacy.com/cdn/shop/products/lotrimincream.jpg?v=1607963126")</f>
        <v/>
      </c>
      <c r="H568">
        <f>IMAGE("https://m.media-amazon.com/images/I/61Kxq7T-keL._AC_UL320_.jpg")</f>
        <v/>
      </c>
      <c r="I568" t="inlineStr">
        <is>
          <t>13.99</t>
        </is>
      </c>
      <c r="J568" t="n">
        <v>23.9</v>
      </c>
      <c r="K568" s="3" t="inlineStr">
        <is>
          <t>70.84%</t>
        </is>
      </c>
      <c r="L568" t="n">
        <v>4.6</v>
      </c>
      <c r="M568" t="n">
        <v>495</v>
      </c>
      <c r="O568" t="inlineStr">
        <is>
          <t>InStock</t>
        </is>
      </c>
      <c r="P568" t="inlineStr">
        <is>
          <t>undefined</t>
        </is>
      </c>
      <c r="Q568" t="inlineStr">
        <is>
          <t>6152206516376</t>
        </is>
      </c>
    </row>
    <row r="569">
      <c r="A569" s="2">
        <f>HYPERLINK("https://shop.sonapharmacy.com/products/lactaid%C2%AE-fast-act-lactase-enzyme-caplets-60ct", "https://shop.sonapharmacy.com/products/lactaid%C2%AE-fast-act-lactase-enzyme-caplets-60ct")</f>
        <v/>
      </c>
      <c r="B569" s="2">
        <f>HYPERLINK("https://shop.sonapharmacy.com/products/lactaid%c2%ae-fast-act-lactase-enzyme-caplets-60ct", "https://shop.sonapharmacy.com/products/lactaid%c2%ae-fast-act-lactase-enzyme-caplets-60ct")</f>
        <v/>
      </c>
      <c r="C569" t="inlineStr">
        <is>
          <t>Lactaid® Fast Act Lactase Enzyme Caplets 60ct.</t>
        </is>
      </c>
      <c r="D569" t="inlineStr">
        <is>
          <t>Lactaid-Fast Act Lactase Enzyme Supplement, 96 Caplets</t>
        </is>
      </c>
      <c r="E569" s="2">
        <f>HYPERLINK("https://www.amazon.com/Lactaid-Fast-Lactase-Enzyme-Supplement-Caplets/dp/B001B3KEK6/ref=sr_1_5?keywords=Lactaid%C2%AE+Fast+Act+Lactase+Enzyme+Caplets+60ct.&amp;qid=1695260472&amp;sr=8-5", "https://www.amazon.com/Lactaid-Fast-Lactase-Enzyme-Supplement-Caplets/dp/B001B3KEK6/ref=sr_1_5?keywords=Lactaid%C2%AE+Fast+Act+Lactase+Enzyme+Caplets+60ct.&amp;qid=1695260472&amp;sr=8-5")</f>
        <v/>
      </c>
      <c r="F569" t="inlineStr">
        <is>
          <t>B001B3KEK6</t>
        </is>
      </c>
      <c r="G569">
        <f>IMAGE("https://shop.sonapharmacy.com/cdn/shop/products/46208c60-00c3-4dad-92a8-9e7168f0b83f.4ac6c75c3d69059101e9e1a9b10c2e01.jpg?v=1610985551")</f>
        <v/>
      </c>
      <c r="H569">
        <f>IMAGE("https://m.media-amazon.com/images/I/81DGoSRhuvL._AC_UL320_.jpg")</f>
        <v/>
      </c>
      <c r="I569" t="inlineStr">
        <is>
          <t>19.39</t>
        </is>
      </c>
      <c r="J569" t="n">
        <v>32.99</v>
      </c>
      <c r="K569" s="3" t="inlineStr">
        <is>
          <t>70.14%</t>
        </is>
      </c>
      <c r="L569" t="n">
        <v>4.6</v>
      </c>
      <c r="M569" t="n">
        <v>234</v>
      </c>
      <c r="O569" t="inlineStr">
        <is>
          <t>InStock</t>
        </is>
      </c>
      <c r="P569" t="inlineStr">
        <is>
          <t>undefined</t>
        </is>
      </c>
      <c r="Q569" t="inlineStr">
        <is>
          <t>6224672915608</t>
        </is>
      </c>
    </row>
    <row r="570">
      <c r="A570" s="2">
        <f>HYPERLINK("https://shop.sonapharmacy.com/products/mueller%C2%AE-adjustable-knee-support-one-size", "https://shop.sonapharmacy.com/products/mueller%C2%AE-adjustable-knee-support-one-size")</f>
        <v/>
      </c>
      <c r="B570" s="2">
        <f>HYPERLINK("https://shop.sonapharmacy.com/products/mueller%c2%ae-adjustable-knee-support-one-size", "https://shop.sonapharmacy.com/products/mueller%c2%ae-adjustable-knee-support-one-size")</f>
        <v/>
      </c>
      <c r="C570" t="inlineStr">
        <is>
          <t>Mueller® Adjustable Knee Support One Size</t>
        </is>
      </c>
      <c r="D570" t="inlineStr">
        <is>
          <t>Mueller Sport Care Adjustable Knee Support One Size, Each By Mueller Sport Care</t>
        </is>
      </c>
      <c r="E570" s="2">
        <f>HYPERLINK("https://www.amazon.com/Mueller-Sport-Care-Adjustable-Support/dp/B00E4MNUNY/ref=sr_1_3?keywords=Mueller%C2%AE+Adjustable+Knee+Support+One+Size&amp;qid=1695260508&amp;sr=8-3", "https://www.amazon.com/Mueller-Sport-Care-Adjustable-Support/dp/B00E4MNUNY/ref=sr_1_3?keywords=Mueller%C2%AE+Adjustable+Knee+Support+One+Size&amp;qid=1695260508&amp;sr=8-3")</f>
        <v/>
      </c>
      <c r="F570" t="inlineStr">
        <is>
          <t>B00E4MNUNY</t>
        </is>
      </c>
      <c r="G570">
        <f>IMAGE("https://shop.sonapharmacy.com/cdn/shop/products/mueller-fitness-mueller-adjustable-knee-support-with-straps-black_1000x1000_2b28ef4c-e541-48d6-b63b-f578210ad0f6.jpg?v=1609863349")</f>
        <v/>
      </c>
      <c r="H570">
        <f>IMAGE("https://m.media-amazon.com/images/I/71T4rxOhUnL._AC_UL320_.jpg")</f>
        <v/>
      </c>
      <c r="I570" t="inlineStr">
        <is>
          <t>14.14</t>
        </is>
      </c>
      <c r="J570" t="n">
        <v>23.99</v>
      </c>
      <c r="K570" s="3" t="inlineStr">
        <is>
          <t>69.66%</t>
        </is>
      </c>
      <c r="L570" t="n">
        <v>5</v>
      </c>
      <c r="M570" t="n">
        <v>1</v>
      </c>
      <c r="O570" t="inlineStr">
        <is>
          <t>InStock</t>
        </is>
      </c>
      <c r="P570" t="inlineStr">
        <is>
          <t>undefined</t>
        </is>
      </c>
      <c r="Q570" t="inlineStr">
        <is>
          <t>6196296712344</t>
        </is>
      </c>
    </row>
    <row r="571">
      <c r="A571" s="2">
        <f>HYPERLINK("https://shop.sonapharmacy.com/products/sun-bum%C2%AE-baby-bum%C2%AE-mineral-spf-50-sunscreen-lotion-fragrance-free-3oz", "https://shop.sonapharmacy.com/products/sun-bum%C2%AE-baby-bum%C2%AE-mineral-spf-50-sunscreen-lotion-fragrance-free-3oz")</f>
        <v/>
      </c>
      <c r="B571" s="2">
        <f>HYPERLINK("https://shop.sonapharmacy.com/products/sun-bum%c2%ae-baby-bum%c2%ae-mineral-spf-50-sunscreen-lotion-fragrance-free-3oz", "https://shop.sonapharmacy.com/products/sun-bum%c2%ae-baby-bum%c2%ae-mineral-spf-50-sunscreen-lotion-fragrance-free-3oz")</f>
        <v/>
      </c>
      <c r="C571" t="inlineStr">
        <is>
          <t>Sun Bum® Baby Bum® Mineral SPF 50 Sunscreen Lotion-Fragrance Free 3oz.</t>
        </is>
      </c>
      <c r="D571" t="inlineStr">
        <is>
          <t>Sun Bum Baby Bum Spf 50 Sunscreen Face Stick and Lotion Mineral Uva/uvb Face and Body Protection for Sensitive Skin Fragrance Free Travel Size</t>
        </is>
      </c>
      <c r="E571" s="2">
        <f>HYPERLINK("https://www.amazon.com/Sun-Bum-Sunscreen-Protection-Sensitive/dp/B086R85W4W/ref=sr_1_5?keywords=Sun+Bum%C2%AE+Baby+Bum%C2%AE+Mineral+SPF+50+Sunscreen+Lotion-Fragrance+Free+3oz.&amp;qid=1695260741&amp;sr=8-5", "https://www.amazon.com/Sun-Bum-Sunscreen-Protection-Sensitive/dp/B086R85W4W/ref=sr_1_5?keywords=Sun+Bum%C2%AE+Baby+Bum%C2%AE+Mineral+SPF+50+Sunscreen+Lotion-Fragrance+Free+3oz.&amp;qid=1695260741&amp;sr=8-5")</f>
        <v/>
      </c>
      <c r="F571" t="inlineStr">
        <is>
          <t>B086R85W4W</t>
        </is>
      </c>
      <c r="G571">
        <f>IMAGE("https://shop.sonapharmacy.com/cdn/shop/products/e4280c3c0cadfa994e93b07302be64e8_ra_w403_h806_pa_w403_h806.jpg?v=1629233192")</f>
        <v/>
      </c>
      <c r="H571">
        <f>IMAGE("https://m.media-amazon.com/images/I/71-mUK8g7ZL._AC_UL320_.jpg")</f>
        <v/>
      </c>
      <c r="I571" t="inlineStr">
        <is>
          <t>14.99</t>
        </is>
      </c>
      <c r="J571" t="n">
        <v>25.4</v>
      </c>
      <c r="K571" s="3" t="inlineStr">
        <is>
          <t>69.45%</t>
        </is>
      </c>
      <c r="L571" t="n">
        <v>4.9</v>
      </c>
      <c r="M571" t="n">
        <v>173</v>
      </c>
      <c r="O571" t="inlineStr">
        <is>
          <t>InStock</t>
        </is>
      </c>
      <c r="P571" t="inlineStr">
        <is>
          <t>undefined</t>
        </is>
      </c>
      <c r="Q571" t="inlineStr">
        <is>
          <t>6952278163608</t>
        </is>
      </c>
    </row>
    <row r="572">
      <c r="A572" s="2">
        <f>HYPERLINK("https://shop.sonapharmacy.com/products/sunbum%C2%AE-original-spf-30-sunscreen-lotion", "https://shop.sonapharmacy.com/products/sunbum%C2%AE-original-spf-30-sunscreen-lotion")</f>
        <v/>
      </c>
      <c r="B572" s="2">
        <f>HYPERLINK("https://shop.sonapharmacy.com/products/sunbum%c2%ae-original-spf-30-sunscreen-lotion", "https://shop.sonapharmacy.com/products/sunbum%c2%ae-original-spf-30-sunscreen-lotion")</f>
        <v/>
      </c>
      <c r="C572" t="inlineStr">
        <is>
          <t>Sun Bum® Original SPF 30 Sunscreen Lotion</t>
        </is>
      </c>
      <c r="D572" t="inlineStr">
        <is>
          <t>Sun Bum Original SPF 30 Sunscreen Spray |Vegan and Hawaii 104 Reef Act Compliant (Octinoxate &amp; Oxybenzone Free) Broad Spectrum Moisturizing UVA/UVB Sunscreen with Vitamin E | 6 oz</t>
        </is>
      </c>
      <c r="E572" s="2">
        <f>HYPERLINK("https://www.amazon.com/Sun-Bum-Moisturizing-Protection-Hypoallergenic/dp/B004XGLE7K/ref=sr_1_5?keywords=Sun+Bum%C2%AE+Original+SPF+30+Sunscreen+Lotion&amp;qid=1695260773&amp;rdc=1&amp;sr=8-5", "https://www.amazon.com/Sun-Bum-Moisturizing-Protection-Hypoallergenic/dp/B004XGLE7K/ref=sr_1_5?keywords=Sun+Bum%C2%AE+Original+SPF+30+Sunscreen+Lotion&amp;qid=1695260773&amp;rdc=1&amp;sr=8-5")</f>
        <v/>
      </c>
      <c r="F572" t="inlineStr">
        <is>
          <t>B004XGLE7K</t>
        </is>
      </c>
      <c r="G572">
        <f>IMAGE("https://shop.sonapharmacy.com/cdn/shop/products/7112Mn16XDL._SL1500.jpg?v=1611869378")</f>
        <v/>
      </c>
      <c r="H572">
        <f>IMAGE("https://m.media-amazon.com/images/I/51vDqka5ZWL._AC_UL320_.jpg")</f>
        <v/>
      </c>
      <c r="I572" t="inlineStr">
        <is>
          <t>9.99</t>
        </is>
      </c>
      <c r="J572" t="n">
        <v>16.92</v>
      </c>
      <c r="K572" s="3" t="inlineStr">
        <is>
          <t>69.37%</t>
        </is>
      </c>
      <c r="L572" t="n">
        <v>4.8</v>
      </c>
      <c r="M572" t="n">
        <v>21217</v>
      </c>
      <c r="O572" t="inlineStr">
        <is>
          <t>InStock</t>
        </is>
      </c>
      <c r="P572" t="inlineStr">
        <is>
          <t>undefined</t>
        </is>
      </c>
      <c r="Q572" t="inlineStr">
        <is>
          <t>6244601200792</t>
        </is>
      </c>
    </row>
    <row r="573">
      <c r="A573" s="2">
        <f>HYPERLINK("https://shop.sonapharmacy.com/products/refresh%C2%AE-optive%C2%AE-mega-3-preservative-free-lubricant-eye-drops", "https://shop.sonapharmacy.com/products/refresh%C2%AE-optive%C2%AE-mega-3-preservative-free-lubricant-eye-drops")</f>
        <v/>
      </c>
      <c r="B573" s="2">
        <f>HYPERLINK("https://shop.sonapharmacy.com/products/refresh%c2%ae-optive%c2%ae-mega-3-preservative-free-lubricant-eye-drops", "https://shop.sonapharmacy.com/products/refresh%c2%ae-optive%c2%ae-mega-3-preservative-free-lubricant-eye-drops")</f>
        <v/>
      </c>
      <c r="C573" t="inlineStr">
        <is>
          <t>Refresh® Optive® Mega-3 Preservative Free Lubricant Eye Drops</t>
        </is>
      </c>
      <c r="D573" t="inlineStr">
        <is>
          <t>Refresh Optive Mega-3 Lubricant Eye Drops, Preservative-Free, 0.01 Fl Oz Single-Use Containers, 60 Count</t>
        </is>
      </c>
      <c r="E573" s="2">
        <f>HYPERLINK("https://www.amazon.com/Refresh-Lubricant-Preservative-Free-Single-Use-Containers/dp/B092G6QKNV/ref=sr_1_1?keywords=Refresh%C2%AE+Optive%C2%AE+Mega-3+Preservative+Free+Lubricant+Eye+Drops&amp;qid=1695260678&amp;sr=8-1", "https://www.amazon.com/Refresh-Lubricant-Preservative-Free-Single-Use-Containers/dp/B092G6QKNV/ref=sr_1_1?keywords=Refresh%C2%AE+Optive%C2%AE+Mega-3+Preservative+Free+Lubricant+Eye+Drops&amp;qid=1695260678&amp;sr=8-1")</f>
        <v/>
      </c>
      <c r="F573" t="inlineStr">
        <is>
          <t>B092G6QKNV</t>
        </is>
      </c>
      <c r="G573">
        <f>IMAGE("https://shop.sonapharmacy.com/cdn/shop/products/mega3-hero-packaging.png?v=1608823768")</f>
        <v/>
      </c>
      <c r="H573">
        <f>IMAGE("https://m.media-amazon.com/images/I/71ZnX2mrSEL._AC_UL320_.jpg")</f>
        <v/>
      </c>
      <c r="I573" t="inlineStr">
        <is>
          <t>18.89</t>
        </is>
      </c>
      <c r="J573" t="n">
        <v>31.98</v>
      </c>
      <c r="K573" s="3" t="inlineStr">
        <is>
          <t>69.30%</t>
        </is>
      </c>
      <c r="L573" t="n">
        <v>4.7</v>
      </c>
      <c r="M573" t="n">
        <v>17991</v>
      </c>
      <c r="O573" t="inlineStr">
        <is>
          <t>InStock</t>
        </is>
      </c>
      <c r="P573" t="inlineStr">
        <is>
          <t>undefined</t>
        </is>
      </c>
      <c r="Q573" t="inlineStr">
        <is>
          <t>6171325104280</t>
        </is>
      </c>
    </row>
    <row r="574">
      <c r="A574" s="2">
        <f>HYPERLINK("https://shop.sonapharmacy.com/products/major-fexofenadine-hydrochloride-180-mg-tablets", "https://shop.sonapharmacy.com/products/major-fexofenadine-hydrochloride-180-mg-tablets")</f>
        <v/>
      </c>
      <c r="B574" s="2">
        <f>HYPERLINK("https://shop.sonapharmacy.com/products/major-fexofenadine-hydrochloride-180-mg-tablets", "https://shop.sonapharmacy.com/products/major-fexofenadine-hydrochloride-180-mg-tablets")</f>
        <v/>
      </c>
      <c r="C574" t="inlineStr">
        <is>
          <t>Major Fexofenadine Hydrochloride 180 mg Tablets</t>
        </is>
      </c>
      <c r="D574" t="inlineStr">
        <is>
          <t>Amazon Basic Care All Day Allergy Relief, Fexofenadine Hydrochloride Tablets, 180 mg, Antihistamine, Non-Drowsy, 24-Hour Relief, 150 Count</t>
        </is>
      </c>
      <c r="E574" s="2">
        <f>HYPERLINK("https://www.amazon.com/Amazon-Basic-Care-Hydrochloride-Antihistamine/dp/B0C5473JWN/ref=sr_1_4?keywords=Major+Fexofenadine+Hydrochloride+180+mg+Tablets&amp;qid=1695260482&amp;sr=8-4", "https://www.amazon.com/Amazon-Basic-Care-Hydrochloride-Antihistamine/dp/B0C5473JWN/ref=sr_1_4?keywords=Major+Fexofenadine+Hydrochloride+180+mg+Tablets&amp;qid=1695260482&amp;sr=8-4")</f>
        <v/>
      </c>
      <c r="F574" t="inlineStr">
        <is>
          <t>B0C5473JWN</t>
        </is>
      </c>
      <c r="G574">
        <f>IMAGE("https://shop.sonapharmacy.com/cdn/shop/products/MajorFexofenadineHydrochloride180mgTablets.jpg?v=1595528492")</f>
        <v/>
      </c>
      <c r="H574">
        <f>IMAGE("https://m.media-amazon.com/images/I/61tMJ-KtMCL._AC_UL320_.jpg")</f>
        <v/>
      </c>
      <c r="I574" t="inlineStr">
        <is>
          <t>19.56</t>
        </is>
      </c>
      <c r="J574" t="n">
        <v>32.85</v>
      </c>
      <c r="K574" s="3" t="inlineStr">
        <is>
          <t>67.94%</t>
        </is>
      </c>
      <c r="L574" t="n">
        <v>4.4</v>
      </c>
      <c r="M574" t="n">
        <v>38</v>
      </c>
      <c r="O574" t="inlineStr">
        <is>
          <t>InStock</t>
        </is>
      </c>
      <c r="P574" t="inlineStr">
        <is>
          <t>undefined</t>
        </is>
      </c>
      <c r="Q574" t="inlineStr">
        <is>
          <t>5242468466840</t>
        </is>
      </c>
    </row>
    <row r="575">
      <c r="A575" s="2">
        <f>HYPERLINK("https://shop.sonapharmacy.com/products/nature-made-1400-mg-flaxseed-oil-700-mg-omega-3-softgels", "https://shop.sonapharmacy.com/products/nature-made-1400-mg-flaxseed-oil-700-mg-omega-3-softgels")</f>
        <v/>
      </c>
      <c r="B575" s="2">
        <f>HYPERLINK("https://shop.sonapharmacy.com/products/nature-made-1400-mg-flaxseed-oil-700-mg-omega-3-softgels", "https://shop.sonapharmacy.com/products/nature-made-1400-mg-flaxseed-oil-700-mg-omega-3-softgels")</f>
        <v/>
      </c>
      <c r="C575" t="inlineStr">
        <is>
          <t>Nature Made® Flaxseed Oil Omega-3 1400 mg/700 mg Softgels 100ct.</t>
        </is>
      </c>
      <c r="D575" t="inlineStr">
        <is>
          <t>Flaxseed Oil 1400mg Softgels, 300 Counts | w/ 700mg ALA Omega 3, Cold Pressed, Rich in Fatty Acids, Alpha Linolenic Acid, Support Heart Health &amp; Immune System | Non-GMO, No Gluten - 300 Servings</t>
        </is>
      </c>
      <c r="E575" s="2">
        <f>HYPERLINK("https://www.amazon.com/Softgels-Contains-Linolenic-Powerfully-Supports/dp/B01DPW5TXW/ref=sr_1_8?keywords=Nature+Made%C2%AE+Flaxseed+Oil+Omega-3+1400+mg%2F700+mg+Softgels+100ct.&amp;qid=1695260538&amp;sr=8-8", "https://www.amazon.com/Softgels-Contains-Linolenic-Powerfully-Supports/dp/B01DPW5TXW/ref=sr_1_8?keywords=Nature+Made%C2%AE+Flaxseed+Oil+Omega-3+1400+mg%2F700+mg+Softgels+100ct.&amp;qid=1695260538&amp;sr=8-8")</f>
        <v/>
      </c>
      <c r="F575" t="inlineStr">
        <is>
          <t>B01DPW5TXW</t>
        </is>
      </c>
      <c r="G575">
        <f>IMAGE("https://shop.sonapharmacy.com/cdn/shop/products/71FBpkInSkL._AC_SL1500.jpg?v=1610046851")</f>
        <v/>
      </c>
      <c r="H575">
        <f>IMAGE("https://m.media-amazon.com/images/I/6149fJeWfAL._AC_UL320_.jpg")</f>
        <v/>
      </c>
      <c r="I575" t="inlineStr">
        <is>
          <t>13.09</t>
        </is>
      </c>
      <c r="J575" t="n">
        <v>21.95</v>
      </c>
      <c r="K575" s="3" t="inlineStr">
        <is>
          <t>67.69%</t>
        </is>
      </c>
      <c r="L575" t="n">
        <v>4.6</v>
      </c>
      <c r="M575" t="n">
        <v>772</v>
      </c>
      <c r="O575" t="inlineStr">
        <is>
          <t>InStock</t>
        </is>
      </c>
      <c r="P575" t="inlineStr">
        <is>
          <t>undefined</t>
        </is>
      </c>
      <c r="Q575" t="inlineStr">
        <is>
          <t>5238352871576</t>
        </is>
      </c>
    </row>
    <row r="576">
      <c r="A576" s="2">
        <f>HYPERLINK("https://shop.sonapharmacy.com/products/citrucel%C2%AE-orange-flavor-sugar-free-fiber-powder-16-9oz", "https://shop.sonapharmacy.com/products/citrucel%C2%AE-orange-flavor-sugar-free-fiber-powder-16-9oz")</f>
        <v/>
      </c>
      <c r="B576" s="2">
        <f>HYPERLINK("https://shop.sonapharmacy.com/products/citrucel%c2%ae-orange-flavor-sugar-free-fiber-powder-16-9oz", "https://shop.sonapharmacy.com/products/citrucel%c2%ae-orange-flavor-sugar-free-fiber-powder-16-9oz")</f>
        <v/>
      </c>
      <c r="C576" t="inlineStr">
        <is>
          <t>Citrucel® Orange Flavor Sugar-Free Fiber Powder 16.9oz.</t>
        </is>
      </c>
      <c r="D576" t="inlineStr">
        <is>
          <t>Equate - Fiber Therapy, Smooth Texture, Orange Flavor, Powder, 36.8 oz, Sugar Free 180 Doses</t>
        </is>
      </c>
      <c r="E576" s="2">
        <f>HYPERLINK("https://www.amazon.com/Equate-Therapy-Smooth-Texture-Orange/dp/B0013U052Y/ref=sr_1_5?keywords=Citrucel%C2%AE+Orange+Flavor+Sugar-Free+Fiber+Powder+16.9oz.&amp;qid=1695260135&amp;sr=8-5", "https://www.amazon.com/Equate-Therapy-Smooth-Texture-Orange/dp/B0013U052Y/ref=sr_1_5?keywords=Citrucel%C2%AE+Orange+Flavor+Sugar-Free+Fiber+Powder+16.9oz.&amp;qid=1695260135&amp;sr=8-5")</f>
        <v/>
      </c>
      <c r="F576" t="inlineStr">
        <is>
          <t>B0013U052Y</t>
        </is>
      </c>
      <c r="G576">
        <f>IMAGE("https://shop.sonapharmacy.com/cdn/shop/products/711W3DclJgL._AC_SL1500.jpg?v=1610982192")</f>
        <v/>
      </c>
      <c r="H576">
        <f>IMAGE("https://m.media-amazon.com/images/I/71I7i7X+h9L._AC_UL320_.jpg")</f>
        <v/>
      </c>
      <c r="I576" t="inlineStr">
        <is>
          <t>21.19</t>
        </is>
      </c>
      <c r="J576" t="n">
        <v>35.44</v>
      </c>
      <c r="K576" s="3" t="inlineStr">
        <is>
          <t>67.25%</t>
        </is>
      </c>
      <c r="L576" t="n">
        <v>4.6</v>
      </c>
      <c r="M576" t="n">
        <v>708</v>
      </c>
      <c r="O576" t="inlineStr">
        <is>
          <t>InStock</t>
        </is>
      </c>
      <c r="P576" t="inlineStr">
        <is>
          <t>undefined</t>
        </is>
      </c>
      <c r="Q576" t="inlineStr">
        <is>
          <t>6224593485976</t>
        </is>
      </c>
    </row>
    <row r="577">
      <c r="A577" s="2">
        <f>HYPERLINK("https://shop.sonapharmacy.com/products/nasacort-allergy-24hr-nasal-spray", "https://shop.sonapharmacy.com/products/nasacort-allergy-24hr-nasal-spray")</f>
        <v/>
      </c>
      <c r="B577" s="2">
        <f>HYPERLINK("https://shop.sonapharmacy.com/products/nasacort-allergy-24hr-nasal-spray", "https://shop.sonapharmacy.com/products/nasacort-allergy-24hr-nasal-spray")</f>
        <v/>
      </c>
      <c r="C577" t="inlineStr">
        <is>
          <t>Nasacort Allergy 24HR Nasal Spray</t>
        </is>
      </c>
      <c r="D577" t="inlineStr">
        <is>
          <t>Nasacort 24HR Allergy Nasal Spray for Adults, Non-drowsy &amp; Alcohol Free, 240 Sprays, 0.57 fl.oz. 2Ct</t>
        </is>
      </c>
      <c r="E577" s="2">
        <f>HYPERLINK("https://www.amazon.com/Nasacort-Allergy-Adults-Non-Drowsy-Alcohol-Free/dp/B00M1QM8EM/ref=sr_1_1?keywords=Nasacort+Allergy+24HR+Nasal+Spray&amp;qid=1695260517&amp;sr=8-1", "https://www.amazon.com/Nasacort-Allergy-Adults-Non-Drowsy-Alcohol-Free/dp/B00M1QM8EM/ref=sr_1_1?keywords=Nasacort+Allergy+24HR+Nasal+Spray&amp;qid=1695260517&amp;sr=8-1")</f>
        <v/>
      </c>
      <c r="F577" t="inlineStr">
        <is>
          <t>B00M1QM8EM</t>
        </is>
      </c>
      <c r="G577">
        <f>IMAGE("https://shop.sonapharmacy.com/cdn/shop/products/NasacortAllergy24HRNasalSpray.png?v=1595517896")</f>
        <v/>
      </c>
      <c r="H577">
        <f>IMAGE("https://m.media-amazon.com/images/I/61moV2Fw6OL._AC_UL320_.jpg")</f>
        <v/>
      </c>
      <c r="I577" t="inlineStr">
        <is>
          <t>16.19</t>
        </is>
      </c>
      <c r="J577" t="n">
        <v>26.97</v>
      </c>
      <c r="K577" s="3" t="inlineStr">
        <is>
          <t>66.58%</t>
        </is>
      </c>
      <c r="L577" t="n">
        <v>4.7</v>
      </c>
      <c r="M577" t="n">
        <v>9043</v>
      </c>
      <c r="O577" t="inlineStr">
        <is>
          <t>InStock</t>
        </is>
      </c>
      <c r="P577" t="inlineStr">
        <is>
          <t>undefined</t>
        </is>
      </c>
      <c r="Q577" t="inlineStr">
        <is>
          <t>5242282967192</t>
        </is>
      </c>
    </row>
    <row r="578">
      <c r="A578" s="2">
        <f>HYPERLINK("https://shop.sonapharmacy.com/products/natrapel%C2%AE-deet-free-lemon-eucalyptus-insect-repellent-spray-6oz", "https://shop.sonapharmacy.com/products/natrapel%C2%AE-deet-free-lemon-eucalyptus-insect-repellent-spray-6oz")</f>
        <v/>
      </c>
      <c r="B578" s="2">
        <f>HYPERLINK("https://shop.sonapharmacy.com/products/natrapel%c2%ae-deet-free-lemon-eucalyptus-insect-repellent-spray-6oz", "https://shop.sonapharmacy.com/products/natrapel%c2%ae-deet-free-lemon-eucalyptus-insect-repellent-spray-6oz")</f>
        <v/>
      </c>
      <c r="C578" t="inlineStr">
        <is>
          <t>Natrapel® Deet Free Lemon Eucalyptus Insect Repellent Spray 6oz.</t>
        </is>
      </c>
      <c r="D578" t="inlineStr">
        <is>
          <t>KICKOUTOR Mosquito Repellent Spray for Body Skin 4 Fl Oz Lemon Eucalyptus Essential Oil Insect Bug Spray DEET Free Anti Mosquito Tick Gnat Fly Control for Outdoor Patio Yard Travel Camping (2 Pcs)</t>
        </is>
      </c>
      <c r="E578" s="2">
        <f>HYPERLINK("https://www.amazon.com/KICKOUTOR-Mosquito-Repellent-Eucalyptus-Essential/dp/B0C2ZDJSH7/ref=sr_1_5?keywords=Natrapel%C2%AE+Deet+Free+Lemon+Eucalyptus+Insect+Repellent+Spray+6oz.&amp;qid=1695260519&amp;sr=8-5", "https://www.amazon.com/KICKOUTOR-Mosquito-Repellent-Eucalyptus-Essential/dp/B0C2ZDJSH7/ref=sr_1_5?keywords=Natrapel%C2%AE+Deet+Free+Lemon+Eucalyptus+Insect+Repellent+Spray+6oz.&amp;qid=1695260519&amp;sr=8-5")</f>
        <v/>
      </c>
      <c r="F578" t="inlineStr">
        <is>
          <t>B0C2ZDJSH7</t>
        </is>
      </c>
      <c r="G578">
        <f>IMAGE("https://shop.sonapharmacy.com/cdn/shop/products/61Dm0mqSnVL._AC_SL1500.jpg?v=1610764180")</f>
        <v/>
      </c>
      <c r="H578">
        <f>IMAGE("https://m.media-amazon.com/images/I/810tWG5tFfL._AC_UL320_.jpg")</f>
        <v/>
      </c>
      <c r="I578" t="inlineStr">
        <is>
          <t>10.89</t>
        </is>
      </c>
      <c r="J578" t="n">
        <v>17.99</v>
      </c>
      <c r="K578" s="3" t="inlineStr">
        <is>
          <t>65.20%</t>
        </is>
      </c>
      <c r="L578" t="n">
        <v>3.9</v>
      </c>
      <c r="M578" t="n">
        <v>33</v>
      </c>
      <c r="O578" t="inlineStr">
        <is>
          <t>InStock</t>
        </is>
      </c>
      <c r="P578" t="inlineStr">
        <is>
          <t>undefined</t>
        </is>
      </c>
      <c r="Q578" t="inlineStr">
        <is>
          <t>6220839878808</t>
        </is>
      </c>
    </row>
    <row r="579">
      <c r="A579" s="2">
        <f>HYPERLINK("https://shop.sonapharmacy.com/products/sunbum%C2%AE-original-spf-30-sunscreen-lotion", "https://shop.sonapharmacy.com/products/sunbum%C2%AE-original-spf-30-sunscreen-lotion")</f>
        <v/>
      </c>
      <c r="B579" s="2">
        <f>HYPERLINK("https://shop.sonapharmacy.com/products/sunbum%c2%ae-original-spf-30-sunscreen-lotion", "https://shop.sonapharmacy.com/products/sunbum%c2%ae-original-spf-30-sunscreen-lotion")</f>
        <v/>
      </c>
      <c r="C579" t="inlineStr">
        <is>
          <t>Sun Bum® Original SPF 30 Sunscreen Lotion</t>
        </is>
      </c>
      <c r="D579" t="inlineStr">
        <is>
          <t>Sun Bum Original SPF 30 Sunscreen Lotion | Vegan and Hawaii 104 Reef Act Compliant (Octinoxate &amp; Oxybenzone Free) Broad Spectrum Moisturizing UVA/UVB Sunscreen with Vitamin E | 8 oz</t>
        </is>
      </c>
      <c r="E579" s="2">
        <f>HYPERLINK("https://www.amazon.com/Sun-Bum-Moisturizing-SPF-Hypoallergenic/dp/B004XGPMFA/ref=sr_1_1?keywords=Sun+Bum%C2%AE+Original+SPF+30+Sunscreen+Lotion&amp;qid=1695260773&amp;rdc=1&amp;sr=8-1", "https://www.amazon.com/Sun-Bum-Moisturizing-SPF-Hypoallergenic/dp/B004XGPMFA/ref=sr_1_1?keywords=Sun+Bum%C2%AE+Original+SPF+30+Sunscreen+Lotion&amp;qid=1695260773&amp;rdc=1&amp;sr=8-1")</f>
        <v/>
      </c>
      <c r="F579" t="inlineStr">
        <is>
          <t>B004XGPMFA</t>
        </is>
      </c>
      <c r="G579">
        <f>IMAGE("https://shop.sonapharmacy.com/cdn/shop/products/7112Mn16XDL._SL1500.jpg?v=1611869378")</f>
        <v/>
      </c>
      <c r="H579">
        <f>IMAGE("https://m.media-amazon.com/images/I/51r7EEM3paL._AC_UL320_.jpg")</f>
        <v/>
      </c>
      <c r="I579" t="inlineStr">
        <is>
          <t>9.99</t>
        </is>
      </c>
      <c r="J579" t="n">
        <v>16.49</v>
      </c>
      <c r="K579" s="3" t="inlineStr">
        <is>
          <t>65.07%</t>
        </is>
      </c>
      <c r="L579" t="n">
        <v>4.8</v>
      </c>
      <c r="M579" t="n">
        <v>19197</v>
      </c>
      <c r="O579" t="inlineStr">
        <is>
          <t>InStock</t>
        </is>
      </c>
      <c r="P579" t="inlineStr">
        <is>
          <t>undefined</t>
        </is>
      </c>
      <c r="Q579" t="inlineStr">
        <is>
          <t>6244601200792</t>
        </is>
      </c>
    </row>
    <row r="580">
      <c r="A580" s="2">
        <f>HYPERLINK("https://shop.sonapharmacy.com/products/aveeno%C2%AE-daily-moisturizing-body-wash-12fl-oz", "https://shop.sonapharmacy.com/products/aveeno%C2%AE-daily-moisturizing-body-wash-12fl-oz")</f>
        <v/>
      </c>
      <c r="B580" s="2">
        <f>HYPERLINK("https://shop.sonapharmacy.com/products/aveeno%c2%ae-daily-moisturizing-body-wash-12fl-oz", "https://shop.sonapharmacy.com/products/aveeno%c2%ae-daily-moisturizing-body-wash-12fl-oz")</f>
        <v/>
      </c>
      <c r="C580" t="inlineStr">
        <is>
          <t>Aveeno® Daily Moisturizing Body Wash 12fl. oz.</t>
        </is>
      </c>
      <c r="D580" t="inlineStr">
        <is>
          <t>Aveeno Skin Relief Fragrance-Free Moisturizing Daily Body Wash, 18 oz &amp; Skin Relief 24 Hour Moisturizing Body Lotion for Sensitive Skin, 12 oz</t>
        </is>
      </c>
      <c r="E580" s="2">
        <f>HYPERLINK("https://www.amazon.com/Aveeno-Skin-Relief-Moisturizing-Lotion/dp/B0774PWF6N/ref=sr_1_5?keywords=Aveeno%C2%AE+Daily+Moisturizing+Body+Wash+12fl.+oz.&amp;qid=1695260037&amp;sr=8-5", "https://www.amazon.com/Aveeno-Skin-Relief-Moisturizing-Lotion/dp/B0774PWF6N/ref=sr_1_5?keywords=Aveeno%C2%AE+Daily+Moisturizing+Body+Wash+12fl.+oz.&amp;qid=1695260037&amp;sr=8-5")</f>
        <v/>
      </c>
      <c r="F580" t="inlineStr">
        <is>
          <t>B0774PWF6N</t>
        </is>
      </c>
      <c r="G580">
        <f>IMAGE("https://shop.sonapharmacy.com/cdn/shop/products/ave_381370014188_dailymoist_bodywash_12oz_00000_1000w_1000h.jpg?v=1611191757")</f>
        <v/>
      </c>
      <c r="H580">
        <f>IMAGE("https://m.media-amazon.com/images/I/71PfrehsE-L._AC_UL320_.jpg")</f>
        <v/>
      </c>
      <c r="I580" t="inlineStr">
        <is>
          <t>9.19</t>
        </is>
      </c>
      <c r="J580" t="n">
        <v>15.14</v>
      </c>
      <c r="K580" s="3" t="inlineStr">
        <is>
          <t>64.74%</t>
        </is>
      </c>
      <c r="L580" t="n">
        <v>4.7</v>
      </c>
      <c r="M580" t="n">
        <v>4622</v>
      </c>
      <c r="O580" t="inlineStr">
        <is>
          <t>OutOfStock</t>
        </is>
      </c>
      <c r="P580" t="inlineStr">
        <is>
          <t>undefined</t>
        </is>
      </c>
      <c r="Q580" t="inlineStr">
        <is>
          <t>6164760428696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2023-09-21T20:24:06Z</dcterms:created>
  <dcterms:modified xsi:type="dcterms:W3CDTF">2023-09-21T20:24:09Z</dcterms:modified>
</cp:coreProperties>
</file>