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91bf4d"/>
        <bgColor rgb="0091bf4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0" fillId="2" borderId="0" pivotButton="0" quotePrefix="0" xfId="0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canonicalUrl</t>
        </is>
      </c>
      <c r="C1" s="1" t="inlineStr">
        <is>
          <t>name</t>
        </is>
      </c>
      <c r="D1" s="1" t="inlineStr">
        <is>
          <t>Amazon Product Title</t>
        </is>
      </c>
      <c r="E1" s="1" t="inlineStr">
        <is>
          <t>Amazon Product URL</t>
        </is>
      </c>
      <c r="F1" s="1" t="inlineStr">
        <is>
          <t>ASIN</t>
        </is>
      </c>
      <c r="G1" s="1" t="inlineStr">
        <is>
          <t>Source Image</t>
        </is>
      </c>
      <c r="H1" s="1" t="inlineStr">
        <is>
          <t>Amazon Image</t>
        </is>
      </c>
      <c r="I1" s="1" t="inlineStr">
        <is>
          <t>offers/0/price</t>
        </is>
      </c>
      <c r="J1" s="1" t="inlineStr">
        <is>
          <t>Amazon Price</t>
        </is>
      </c>
      <c r="K1" s="1" t="inlineStr">
        <is>
          <t>ROI</t>
        </is>
      </c>
      <c r="L1" s="1" t="inlineStr">
        <is>
          <t>Rating</t>
        </is>
      </c>
      <c r="M1" s="1" t="inlineStr">
        <is>
          <t>ReviewCount</t>
        </is>
      </c>
      <c r="N1" s="1" t="inlineStr">
        <is>
          <t>offerCount</t>
        </is>
      </c>
      <c r="O1" s="1" t="inlineStr">
        <is>
          <t>offers/0/availability</t>
        </is>
      </c>
      <c r="P1" s="1" t="inlineStr">
        <is>
          <t>offers/0/regularPrice</t>
        </is>
      </c>
      <c r="Q1" s="1" t="inlineStr">
        <is>
          <t>sku</t>
        </is>
      </c>
      <c r="R1" s="1" t="inlineStr">
        <is>
          <t>Match?</t>
        </is>
      </c>
      <c r="S1" s="1" t="inlineStr">
        <is>
          <t>Qualified?</t>
        </is>
      </c>
      <c r="T1" s="1" t="inlineStr">
        <is>
          <t>Approved</t>
        </is>
      </c>
      <c r="U1" s="1" t="inlineStr">
        <is>
          <t>Notes</t>
        </is>
      </c>
    </row>
    <row r="2">
      <c r="A2" s="2">
        <f>HYPERLINK("https://www.als.com/scient-line-amplitude-smooth-trout/p?skuId=481208", "https://www.als.com/scient-line-amplitude-smooth-trout/p?skuId=481208")</f>
        <v/>
      </c>
      <c r="B2" s="2">
        <f>HYPERLINK("https://www.als.com/scient-line-amplitude-smooth-trout/p", "https://www.als.com/scient-line-amplitude-smooth-trout/p")</f>
        <v/>
      </c>
      <c r="C2" t="inlineStr">
        <is>
          <t>Scientific Anglers Amplitude Smooth Trout Fly Line</t>
        </is>
      </c>
      <c r="D2" t="inlineStr">
        <is>
          <t>Scientific Anglers Amplitude Smooth Infinity Taper Fly Line</t>
        </is>
      </c>
      <c r="E2" s="2">
        <f>HYPERLINK("https://www.amazon.com/Scientific-Anglers-Amplitude-Smooth-Infinity/dp/B07DV3W7G6/ref=sr_1_18?keywords=Scientific+Anglers+Amplitude+Smooth+Trout+Fly+Line&amp;qid=1695124414&amp;sr=8-18", "https://www.amazon.com/Scientific-Anglers-Amplitude-Smooth-Infinity/dp/B07DV3W7G6/ref=sr_1_18?keywords=Scientific+Anglers+Amplitude+Smooth+Trout+Fly+Line&amp;qid=1695124414&amp;sr=8-18")</f>
        <v/>
      </c>
      <c r="F2" t="inlineStr">
        <is>
          <t>B07DV3W7G6</t>
        </is>
      </c>
      <c r="G2">
        <f>IMAGE("https://alssports.vtexassets.com/arquivos/ids/1138376-800-auto?v=637993875297330000&amp;width=800&amp;height=auto&amp;aspect=true")</f>
        <v/>
      </c>
      <c r="H2">
        <f>IMAGE("https://m.media-amazon.com/images/I/51XbNLi3sPL._AC_UL320_.jpg")</f>
        <v/>
      </c>
      <c r="I2" t="inlineStr">
        <is>
          <t>99.95</t>
        </is>
      </c>
      <c r="J2" t="n">
        <v>99.95</v>
      </c>
      <c r="K2" s="3" t="inlineStr">
        <is>
          <t>0.00%</t>
        </is>
      </c>
      <c r="L2" t="n">
        <v>4.7</v>
      </c>
      <c r="M2" t="n">
        <v>75</v>
      </c>
      <c r="O2" t="inlineStr">
        <is>
          <t>InStock</t>
        </is>
      </c>
      <c r="P2" t="inlineStr">
        <is>
          <t>undefined</t>
        </is>
      </c>
      <c r="Q2" t="inlineStr">
        <is>
          <t>481208</t>
        </is>
      </c>
    </row>
    <row r="3">
      <c r="A3" s="2">
        <f>HYPERLINK("https://www.als.com/bigag-rapide-sl-insulated/p?skuId=981028", "https://www.als.com/bigag-rapide-sl-insulated/p?skuId=981028")</f>
        <v/>
      </c>
      <c r="B3" s="2">
        <f>HYPERLINK("https://www.als.com/bigag-rapide-sl-insulated/p", "https://www.als.com/bigag-rapide-sl-insulated/p")</f>
        <v/>
      </c>
      <c r="C3" t="inlineStr">
        <is>
          <t>Big Agnes Rapide SL Insulated Sleeping Pad</t>
        </is>
      </c>
      <c r="D3" t="inlineStr">
        <is>
          <t>Big Agnes Rapide SL Insulated Sleeping Pad</t>
        </is>
      </c>
      <c r="E3" s="2">
        <f>HYPERLINK("https://www.amazon.com/Big-Agnes-Insulated-Sleeping-Regular/dp/B09Q7HVB11/ref=sr_1_1?keywords=Big+Agnes+Rapide+SL+Insulated+Sleeping+Pad&amp;qid=1695124305&amp;sr=8-1", "https://www.amazon.com/Big-Agnes-Insulated-Sleeping-Regular/dp/B09Q7HVB11/ref=sr_1_1?keywords=Big+Agnes+Rapide+SL+Insulated+Sleeping+Pad&amp;qid=1695124305&amp;sr=8-1")</f>
        <v/>
      </c>
      <c r="F3" t="inlineStr">
        <is>
          <t>B09Q7HVB11</t>
        </is>
      </c>
      <c r="G3">
        <f>IMAGE("https://alssports.vtexassets.com/arquivos/ids/1257749-800-auto?v=638134857129500000&amp;width=800&amp;height=auto&amp;aspect=true")</f>
        <v/>
      </c>
      <c r="H3">
        <f>IMAGE("https://m.media-amazon.com/images/I/61ZHNSpq0yL._AC_UL320_.jpg")</f>
        <v/>
      </c>
      <c r="I3" t="inlineStr">
        <is>
          <t>149.95</t>
        </is>
      </c>
      <c r="J3" t="n">
        <v>149.95</v>
      </c>
      <c r="K3" s="3" t="inlineStr">
        <is>
          <t>0.00%</t>
        </is>
      </c>
      <c r="L3" t="n">
        <v>4.7</v>
      </c>
      <c r="M3" t="n">
        <v>140</v>
      </c>
      <c r="O3" t="inlineStr">
        <is>
          <t>InStock</t>
        </is>
      </c>
      <c r="P3" t="inlineStr">
        <is>
          <t>undefined</t>
        </is>
      </c>
      <c r="Q3" t="inlineStr">
        <is>
          <t>981028</t>
        </is>
      </c>
    </row>
    <row r="4">
      <c r="A4" s="2">
        <f>HYPERLINK("https://www.als.com/black-diamond-momentum-harness-mens-30998/p?skuId=565613", "https://www.als.com/black-diamond-momentum-harness-mens-30998/p?skuId=565613")</f>
        <v/>
      </c>
      <c r="B4" s="2">
        <f>HYPERLINK("https://www.als.com/black-diamond-momentum-harness-mens-30998/p", "https://www.als.com/black-diamond-momentum-harness-mens-30998/p")</f>
        <v/>
      </c>
      <c r="C4" t="inlineStr">
        <is>
          <t>Black Diamond Momentum Harness - Men's</t>
        </is>
      </c>
      <c r="D4" t="inlineStr">
        <is>
          <t>Black Diamond Men's Momentum Rock Climbing Harness</t>
        </is>
      </c>
      <c r="E4" s="2">
        <f>HYPERLINK("https://www.amazon.com/Black-Diamond-Momentum-Harness-Anthracite/dp/B081B772T1/ref=sr_1_1?keywords=Black+Diamond+Momentum+Harness+-+Men%27s&amp;qid=1695124426&amp;sr=8-1", "https://www.amazon.com/Black-Diamond-Momentum-Harness-Anthracite/dp/B081B772T1/ref=sr_1_1?keywords=Black+Diamond+Momentum+Harness+-+Men%27s&amp;qid=1695124426&amp;sr=8-1")</f>
        <v/>
      </c>
      <c r="F4" t="inlineStr">
        <is>
          <t>B081B772T1</t>
        </is>
      </c>
      <c r="G4">
        <f>IMAGE("https://alssports.vtexassets.com/arquivos/ids/1308135-800-auto?v=638189190355030000&amp;width=800&amp;height=auto&amp;aspect=true")</f>
        <v/>
      </c>
      <c r="H4">
        <f>IMAGE("https://m.media-amazon.com/images/I/81cMuGOMALS._AC_UL320_.jpg")</f>
        <v/>
      </c>
      <c r="I4" t="inlineStr">
        <is>
          <t>64.95</t>
        </is>
      </c>
      <c r="J4" t="n">
        <v>64.95</v>
      </c>
      <c r="K4" s="3" t="inlineStr">
        <is>
          <t>0.00%</t>
        </is>
      </c>
      <c r="L4" t="n">
        <v>4.8</v>
      </c>
      <c r="M4" t="n">
        <v>829</v>
      </c>
      <c r="O4" t="inlineStr">
        <is>
          <t>InStock</t>
        </is>
      </c>
      <c r="P4" t="inlineStr">
        <is>
          <t>undefined</t>
        </is>
      </c>
      <c r="Q4" t="inlineStr">
        <is>
          <t>565613</t>
        </is>
      </c>
    </row>
    <row r="5">
      <c r="A5" s="2">
        <f>HYPERLINK("https://www.als.com/under-m-charged-verssert-run-shoe/p?skuId=1204906", "https://www.als.com/under-m-charged-verssert-run-shoe/p?skuId=1204906")</f>
        <v/>
      </c>
      <c r="B5" s="2">
        <f>HYPERLINK("https://www.als.com/under-m-charged-verssert-run-shoe/p", "https://www.als.com/under-m-charged-verssert-run-shoe/p")</f>
        <v/>
      </c>
      <c r="C5" t="inlineStr">
        <is>
          <t>Under Armour Charged Verssert Running Shoe - Men's</t>
        </is>
      </c>
      <c r="D5" t="inlineStr">
        <is>
          <t>Under Armour Men's Charged Pursuit 3 Tech Running Shoe</t>
        </is>
      </c>
      <c r="E5" s="2">
        <f>HYPERLINK("https://www.amazon.com/Under-Armour-Charged-Pursuit-Running/dp/B09XBVRHCS/ref=sr_1_15?keywords=Under+Armour+Charged+Verssert+Running+Shoe+-+Mens&amp;qid=1695124491&amp;sr=8-15", "https://www.amazon.com/Under-Armour-Charged-Pursuit-Running/dp/B09XBVRHCS/ref=sr_1_15?keywords=Under+Armour+Charged+Verssert+Running+Shoe+-+Mens&amp;qid=1695124491&amp;sr=8-15")</f>
        <v/>
      </c>
      <c r="F5" t="inlineStr">
        <is>
          <t>B09XBVRHCS</t>
        </is>
      </c>
      <c r="G5">
        <f>IMAGE("https://alssports.vtexassets.com/arquivos/ids/1282426-800-auto?v=638158001411130000&amp;width=800&amp;height=auto&amp;aspect=true")</f>
        <v/>
      </c>
      <c r="H5">
        <f>IMAGE("https://m.media-amazon.com/images/I/71rI5cgQweL._AC_UL320_.jpg")</f>
        <v/>
      </c>
      <c r="I5" t="inlineStr">
        <is>
          <t>75.0</t>
        </is>
      </c>
      <c r="J5" t="n">
        <v>75</v>
      </c>
      <c r="K5" s="3" t="inlineStr">
        <is>
          <t>0.00%</t>
        </is>
      </c>
      <c r="L5" t="n">
        <v>4.5</v>
      </c>
      <c r="M5" t="n">
        <v>68</v>
      </c>
      <c r="O5" t="inlineStr">
        <is>
          <t>InStock</t>
        </is>
      </c>
      <c r="P5" t="inlineStr">
        <is>
          <t>undefined</t>
        </is>
      </c>
      <c r="Q5" t="inlineStr">
        <is>
          <t>1204906</t>
        </is>
      </c>
    </row>
    <row r="6">
      <c r="A6" s="2">
        <f>HYPERLINK("https://www.als.com/sorel-m-boot-madson-ii-moc-toe-wp/p?skuId=1067549", "https://www.als.com/sorel-m-boot-madson-ii-moc-toe-wp/p?skuId=1067549")</f>
        <v/>
      </c>
      <c r="B6" s="2">
        <f>HYPERLINK("https://www.als.com/sorel-m-boot-madson-ii-moc-toe-wp/p", "https://www.als.com/sorel-m-boot-madson-ii-moc-toe-wp/p")</f>
        <v/>
      </c>
      <c r="C6" t="inlineStr">
        <is>
          <t>Sorel Madson II Moc Toe Waterproof Boot - Men's</t>
        </is>
      </c>
      <c r="D6" t="inlineStr">
        <is>
          <t>Sorel Men's Madson II Moc Toe Waterproof Boot</t>
        </is>
      </c>
      <c r="E6" s="2">
        <f>HYPERLINK("https://www.amazon.com/Sorel-Madson-Moc-Waterproof-Coal/dp/B083QDL1HL/ref=sr_1_1?keywords=Sorel+Madson+II+Moc+Toe+Waterproof+Boot+-+Men%27s&amp;qid=1695124455&amp;sr=8-1", "https://www.amazon.com/Sorel-Madson-Moc-Waterproof-Coal/dp/B083QDL1HL/ref=sr_1_1?keywords=Sorel+Madson+II+Moc+Toe+Waterproof+Boot+-+Men%27s&amp;qid=1695124455&amp;sr=8-1")</f>
        <v/>
      </c>
      <c r="F6" t="inlineStr">
        <is>
          <t>B083QDL1HL</t>
        </is>
      </c>
      <c r="G6">
        <f>IMAGE("https://alssports.vtexassets.com/arquivos/ids/1131590-800-auto?v=637986124854400000&amp;width=800&amp;height=auto&amp;aspect=true")</f>
        <v/>
      </c>
      <c r="H6">
        <f>IMAGE("https://m.media-amazon.com/images/I/81yF0CYThkL._AC_UL320_.jpg")</f>
        <v/>
      </c>
      <c r="I6" t="inlineStr">
        <is>
          <t>199.95</t>
        </is>
      </c>
      <c r="J6" t="n">
        <v>199.95</v>
      </c>
      <c r="K6" s="3" t="inlineStr">
        <is>
          <t>0.00%</t>
        </is>
      </c>
      <c r="L6" t="n">
        <v>4.6</v>
      </c>
      <c r="M6" t="n">
        <v>892</v>
      </c>
      <c r="O6" t="inlineStr">
        <is>
          <t>InStock</t>
        </is>
      </c>
      <c r="P6" t="inlineStr">
        <is>
          <t>undefined</t>
        </is>
      </c>
      <c r="Q6" t="inlineStr">
        <is>
          <t>1067549</t>
        </is>
      </c>
    </row>
    <row r="7">
      <c r="A7" s="2">
        <f>HYPERLINK("https://www.als.com/expedi-megamat-10/p?skuId=457899", "https://www.als.com/expedi-megamat-10/p?skuId=457899")</f>
        <v/>
      </c>
      <c r="B7" s="2">
        <f>HYPERLINK("https://www.als.com/expedi-megamat-10/p", "https://www.als.com/expedi-megamat-10/p")</f>
        <v/>
      </c>
      <c r="C7" t="inlineStr">
        <is>
          <t>Exped MegaMat 10 Sleeping Pad</t>
        </is>
      </c>
      <c r="D7" t="inlineStr">
        <is>
          <t>Exped MegaMat 10 | Self-Inflating Camping Mat | Extremely Comfortable &amp; Luxurious Sleeping Pad, Green, Medium Wide</t>
        </is>
      </c>
      <c r="E7" s="2">
        <f>HYPERLINK("https://www.amazon.com/Exped-MegaMat-10-Medium-Wide/dp/B01NCU56OK/ref=sr_1_1?keywords=Exped+MegaMat+10+Sleeping+Pad&amp;qid=1695124388&amp;sr=8-1", "https://www.amazon.com/Exped-MegaMat-10-Medium-Wide/dp/B01NCU56OK/ref=sr_1_1?keywords=Exped+MegaMat+10+Sleeping+Pad&amp;qid=1695124388&amp;sr=8-1")</f>
        <v/>
      </c>
      <c r="F7" t="inlineStr">
        <is>
          <t>B01NCU56OK</t>
        </is>
      </c>
      <c r="G7">
        <f>IMAGE("https://alssports.vtexassets.com/arquivos/ids/1139738-800-auto?v=637995835697400000&amp;width=800&amp;height=auto&amp;aspect=true")</f>
        <v/>
      </c>
      <c r="H7">
        <f>IMAGE("https://m.media-amazon.com/images/I/719z0L-0BeL._AC_UL320_.jpg")</f>
        <v/>
      </c>
      <c r="I7" t="inlineStr">
        <is>
          <t>239.95</t>
        </is>
      </c>
      <c r="J7" t="n">
        <v>239.95</v>
      </c>
      <c r="K7" s="3" t="inlineStr">
        <is>
          <t>0.00%</t>
        </is>
      </c>
      <c r="L7" t="n">
        <v>4.7</v>
      </c>
      <c r="M7" t="n">
        <v>624</v>
      </c>
      <c r="O7" t="inlineStr">
        <is>
          <t>InStock</t>
        </is>
      </c>
      <c r="P7" t="inlineStr">
        <is>
          <t>undefined</t>
        </is>
      </c>
      <c r="Q7" t="inlineStr">
        <is>
          <t>457899</t>
        </is>
      </c>
    </row>
    <row r="8">
      <c r="A8" s="2">
        <f>HYPERLINK("https://www.als.com/nemo-pad-quasar-3d-insulated/p?skuId=879866", "https://www.als.com/nemo-pad-quasar-3d-insulated/p?skuId=879866")</f>
        <v/>
      </c>
      <c r="B8" s="2">
        <f>HYPERLINK("https://www.als.com/nemo-pad-quasar-3d-insulated/p", "https://www.als.com/nemo-pad-quasar-3d-insulated/p")</f>
        <v/>
      </c>
      <c r="C8" t="inlineStr">
        <is>
          <t>NEMO Quasar 3D Insulated Sleeping Pad</t>
        </is>
      </c>
      <c r="D8" t="inlineStr">
        <is>
          <t>NEMO Quasar 3D Lightweight Sleeping Pad, Insulated Regular</t>
        </is>
      </c>
      <c r="E8" s="2">
        <f>HYPERLINK("https://www.amazon.com/Nemo-Quasar-3D-Insulated-Regular/dp/B08QBP893L/ref=sr_1_1?keywords=NEMO+Quasar+3D+Insulated+Sleeping+Pad&amp;qid=1695124425&amp;sr=8-1", "https://www.amazon.com/Nemo-Quasar-3D-Insulated-Regular/dp/B08QBP893L/ref=sr_1_1?keywords=NEMO+Quasar+3D+Insulated+Sleeping+Pad&amp;qid=1695124425&amp;sr=8-1")</f>
        <v/>
      </c>
      <c r="F8" t="inlineStr">
        <is>
          <t>B08QBP893L</t>
        </is>
      </c>
      <c r="G8">
        <f>IMAGE("https://alssports.vtexassets.com/arquivos/ids/879964-800-auto?v=637655243784100000&amp;width=800&amp;height=auto&amp;aspect=true")</f>
        <v/>
      </c>
      <c r="H8">
        <f>IMAGE("https://m.media-amazon.com/images/I/81Bd-AM-fdL._AC_UL320_.jpg")</f>
        <v/>
      </c>
      <c r="I8" t="inlineStr">
        <is>
          <t>159.95</t>
        </is>
      </c>
      <c r="J8" t="n">
        <v>159.95</v>
      </c>
      <c r="K8" s="3" t="inlineStr">
        <is>
          <t>0.00%</t>
        </is>
      </c>
      <c r="L8" t="n">
        <v>4.6</v>
      </c>
      <c r="M8" t="n">
        <v>112</v>
      </c>
      <c r="O8" t="inlineStr">
        <is>
          <t>InStock</t>
        </is>
      </c>
      <c r="P8" t="inlineStr">
        <is>
          <t>undefined</t>
        </is>
      </c>
      <c r="Q8" t="inlineStr">
        <is>
          <t>879866</t>
        </is>
      </c>
    </row>
    <row r="9">
      <c r="A9" s="2">
        <f>HYPERLINK("https://www.als.com/rio-flyline-elite-rio-gold/p?skuId=684277", "https://www.als.com/rio-flyline-elite-rio-gold/p?skuId=684277")</f>
        <v/>
      </c>
      <c r="B9" s="2">
        <f>HYPERLINK("https://www.als.com/rio-flyline-elite-rio-gold/p", "https://www.als.com/rio-flyline-elite-rio-gold/p")</f>
        <v/>
      </c>
      <c r="C9" t="inlineStr">
        <is>
          <t>RIO Elite Gold Fly Fishing Line</t>
        </is>
      </c>
      <c r="D9" t="inlineStr">
        <is>
          <t>Rio Elite Rio Gold Slick Cast Fly Line</t>
        </is>
      </c>
      <c r="E9" s="2">
        <f>HYPERLINK("https://www.amazon.com/Elite-Ultimate-All-Around-Ultra-Slick-Performance/dp/B08B448B2D/ref=sr_1_1?keywords=RIO+Elite+Gold+Fly+Fishing+Line&amp;qid=1695124454&amp;sr=8-1", "https://www.amazon.com/Elite-Ultimate-All-Around-Ultra-Slick-Performance/dp/B08B448B2D/ref=sr_1_1?keywords=RIO+Elite+Gold+Fly+Fishing+Line&amp;qid=1695124454&amp;sr=8-1")</f>
        <v/>
      </c>
      <c r="F9" t="inlineStr">
        <is>
          <t>B08B448B2D</t>
        </is>
      </c>
      <c r="G9">
        <f>IMAGE("https://alssports.vtexassets.com/arquivos/ids/462671-800-auto?v=637402024608700000&amp;width=800&amp;height=auto&amp;aspect=true")</f>
        <v/>
      </c>
      <c r="H9">
        <f>IMAGE("https://m.media-amazon.com/images/I/71w62jYOOsL._AC_UL320_.jpg")</f>
        <v/>
      </c>
      <c r="I9" t="inlineStr">
        <is>
          <t>129.99</t>
        </is>
      </c>
      <c r="J9" t="n">
        <v>129.99</v>
      </c>
      <c r="K9" s="3" t="inlineStr">
        <is>
          <t>0.00%</t>
        </is>
      </c>
      <c r="L9" t="n">
        <v>4.6</v>
      </c>
      <c r="M9" t="n">
        <v>122</v>
      </c>
      <c r="O9" t="inlineStr">
        <is>
          <t>InStock</t>
        </is>
      </c>
      <c r="P9" t="inlineStr">
        <is>
          <t>undefined</t>
        </is>
      </c>
      <c r="Q9" t="inlineStr">
        <is>
          <t>684277</t>
        </is>
      </c>
    </row>
    <row r="10">
      <c r="A10" s="2">
        <f>HYPERLINK("https://www.als.com/black-diamond-distance-z-trekking-pole-1-pair-101630/p?skuId=931475", "https://www.als.com/black-diamond-distance-z-trekking-pole-1-pair-101630/p?skuId=931475")</f>
        <v/>
      </c>
      <c r="B10" s="2">
        <f>HYPERLINK("https://www.als.com/black-diamond-distance-z-trekking-pole-1-pair-101630/p", "https://www.als.com/black-diamond-distance-z-trekking-pole-1-pair-101630/p")</f>
        <v/>
      </c>
      <c r="C10" t="inlineStr">
        <is>
          <t>Black Diamond Distance Z Trekking Pole (1 Pair)</t>
        </is>
      </c>
      <c r="D10" t="inlineStr">
        <is>
          <t>Black Diamond Distance Z Folding Trekking Poles</t>
        </is>
      </c>
      <c r="E10" s="2">
        <f>HYPERLINK("https://www.amazon.com/Black-Diamond-Equipment-Distance-Pewter/dp/B09N7VC3DN/ref=sr_1_3?keywords=Black+Diamond+Distance+Z+Trekking+Pole+%281+Pair%29&amp;qid=1695124412&amp;sr=8-3", "https://www.amazon.com/Black-Diamond-Equipment-Distance-Pewter/dp/B09N7VC3DN/ref=sr_1_3?keywords=Black+Diamond+Distance+Z+Trekking+Pole+%281+Pair%29&amp;qid=1695124412&amp;sr=8-3")</f>
        <v/>
      </c>
      <c r="F10" t="inlineStr">
        <is>
          <t>B09N7VC3DN</t>
        </is>
      </c>
      <c r="G10">
        <f>IMAGE("https://alssports.vtexassets.com/arquivos/ids/1024909-800-auto?v=637824770973330000&amp;width=800&amp;height=auto&amp;aspect=true")</f>
        <v/>
      </c>
      <c r="H10">
        <f>IMAGE("https://m.media-amazon.com/images/I/710T6PmcwQL._AC_UY218_.jpg")</f>
        <v/>
      </c>
      <c r="I10" t="inlineStr">
        <is>
          <t>139.95</t>
        </is>
      </c>
      <c r="J10" t="n">
        <v>139.95</v>
      </c>
      <c r="K10" s="3" t="inlineStr">
        <is>
          <t>0.00%</t>
        </is>
      </c>
      <c r="L10" t="n">
        <v>4.7</v>
      </c>
      <c r="M10" t="n">
        <v>22</v>
      </c>
      <c r="O10" t="inlineStr">
        <is>
          <t>InStock</t>
        </is>
      </c>
      <c r="P10" t="inlineStr">
        <is>
          <t>undefined</t>
        </is>
      </c>
      <c r="Q10" t="inlineStr">
        <is>
          <t>931475</t>
        </is>
      </c>
    </row>
    <row r="11">
      <c r="A11" s="2">
        <f>HYPERLINK("https://www.als.com/scient-line-amplitude-smooth-trout/p?skuId=481208", "https://www.als.com/scient-line-amplitude-smooth-trout/p?skuId=481208")</f>
        <v/>
      </c>
      <c r="B11" s="2">
        <f>HYPERLINK("https://www.als.com/scient-line-amplitude-smooth-trout/p", "https://www.als.com/scient-line-amplitude-smooth-trout/p")</f>
        <v/>
      </c>
      <c r="C11" t="inlineStr">
        <is>
          <t>Scientific Anglers Amplitude Smooth Trout Fly Line</t>
        </is>
      </c>
      <c r="D11" t="inlineStr">
        <is>
          <t>Scientific Anglers Amplitude Smooth Grand Slam Taper Fly Line</t>
        </is>
      </c>
      <c r="E11" s="2">
        <f>HYPERLINK("https://www.amazon.com/Scientific-Anglers-Amplitude-Smooth-WF-8-F/dp/B07DV1Y13H/ref=sr_1_5?keywords=Scientific+Anglers+Amplitude+Smooth+Trout+Fly+Line&amp;qid=1695124414&amp;sr=8-5", "https://www.amazon.com/Scientific-Anglers-Amplitude-Smooth-WF-8-F/dp/B07DV1Y13H/ref=sr_1_5?keywords=Scientific+Anglers+Amplitude+Smooth+Trout+Fly+Line&amp;qid=1695124414&amp;sr=8-5")</f>
        <v/>
      </c>
      <c r="F11" t="inlineStr">
        <is>
          <t>B07DV1Y13H</t>
        </is>
      </c>
      <c r="G11">
        <f>IMAGE("https://alssports.vtexassets.com/arquivos/ids/1138376-800-auto?v=637993875297330000&amp;width=800&amp;height=auto&amp;aspect=true")</f>
        <v/>
      </c>
      <c r="H11">
        <f>IMAGE("https://m.media-amazon.com/images/I/51Dft8eFWkL._AC_UL320_.jpg")</f>
        <v/>
      </c>
      <c r="I11" t="inlineStr">
        <is>
          <t>99.95</t>
        </is>
      </c>
      <c r="J11" t="n">
        <v>99.95</v>
      </c>
      <c r="K11" s="3" t="inlineStr">
        <is>
          <t>0.00%</t>
        </is>
      </c>
      <c r="L11" t="n">
        <v>4.5</v>
      </c>
      <c r="M11" t="n">
        <v>28</v>
      </c>
      <c r="O11" t="inlineStr">
        <is>
          <t>InStock</t>
        </is>
      </c>
      <c r="P11" t="inlineStr">
        <is>
          <t>undefined</t>
        </is>
      </c>
      <c r="Q11" t="inlineStr">
        <is>
          <t>481208</t>
        </is>
      </c>
    </row>
    <row r="12">
      <c r="A12" s="2">
        <f>HYPERLINK("https://www.als.com/brooks-ms-shoe-adrenaline-gts-22/p?skuId=900565", "https://www.als.com/brooks-ms-shoe-adrenaline-gts-22/p?skuId=900565")</f>
        <v/>
      </c>
      <c r="B12" s="2">
        <f>HYPERLINK("https://www.als.com/brooks-ms-shoe-adrenaline-gts-22/p", "https://www.als.com/brooks-ms-shoe-adrenaline-gts-22/p")</f>
        <v/>
      </c>
      <c r="C12" t="inlineStr">
        <is>
          <t>Brooks Adrenaline GTS 22 Running Shoe - Men's</t>
        </is>
      </c>
      <c r="D12" t="inlineStr">
        <is>
          <t>Brooks Men's Adrenaline GTS 22 Supportive Running Shoe</t>
        </is>
      </c>
      <c r="E12" s="2">
        <f>HYPERLINK("https://www.amazon.com/Brooks-Adrenaline-Mens-Supportive-Running/dp/B08QTSSVRZ/ref=sr_1_1?keywords=Brooks+Adrenaline+GTS+22+Running+Shoe+-+Mens&amp;qid=1695124319&amp;sr=8-1", "https://www.amazon.com/Brooks-Adrenaline-Mens-Supportive-Running/dp/B08QTSSVRZ/ref=sr_1_1?keywords=Brooks+Adrenaline+GTS+22+Running+Shoe+-+Mens&amp;qid=1695124319&amp;sr=8-1")</f>
        <v/>
      </c>
      <c r="F12" t="inlineStr">
        <is>
          <t>B08QTSSVRZ</t>
        </is>
      </c>
      <c r="G12">
        <f>IMAGE("https://alssports.vtexassets.com/arquivos/ids/1076112-800-auto?v=637904171081370000&amp;width=800&amp;height=auto&amp;aspect=true")</f>
        <v/>
      </c>
      <c r="H12">
        <f>IMAGE("https://m.media-amazon.com/images/I/81J1DglqEGL._AC_UL320_.jpg")</f>
        <v/>
      </c>
      <c r="I12" t="inlineStr">
        <is>
          <t>109.95</t>
        </is>
      </c>
      <c r="J12" t="n">
        <v>109.95</v>
      </c>
      <c r="K12" s="3" t="inlineStr">
        <is>
          <t>0.00%</t>
        </is>
      </c>
      <c r="L12" t="n">
        <v>4.7</v>
      </c>
      <c r="M12" t="n">
        <v>10927</v>
      </c>
      <c r="O12" t="inlineStr">
        <is>
          <t>InStock</t>
        </is>
      </c>
      <c r="P12" t="inlineStr">
        <is>
          <t>139.95</t>
        </is>
      </c>
      <c r="Q12" t="inlineStr">
        <is>
          <t>900565</t>
        </is>
      </c>
    </row>
    <row r="13">
      <c r="A13" s="2">
        <f>HYPERLINK("https://www.als.com/black-diamond-spot-400-headlamp-101632/p?skuId=931481", "https://www.als.com/black-diamond-spot-400-headlamp-101632/p?skuId=931481")</f>
        <v/>
      </c>
      <c r="B13" s="2">
        <f>HYPERLINK("https://www.als.com/black-diamond-spot-400-headlamp-101632/p", "https://www.als.com/black-diamond-spot-400-headlamp-101632/p")</f>
        <v/>
      </c>
      <c r="C13" t="inlineStr">
        <is>
          <t>Black Diamond Spot 400 Headlamp</t>
        </is>
      </c>
      <c r="D13" t="inlineStr">
        <is>
          <t>Black Diamond Equipment Spot 400 Headlamp, Graphite</t>
        </is>
      </c>
      <c r="E13" s="2">
        <f>HYPERLINK("https://www.amazon.com/Black-Diamond-Equipment-Headlamp-Graphite/dp/B09NQK2581/ref=sr_1_1?keywords=Black+Diamond+Spot+400+Headlamp&amp;qid=1695124486&amp;sr=8-1", "https://www.amazon.com/Black-Diamond-Equipment-Headlamp-Graphite/dp/B09NQK2581/ref=sr_1_1?keywords=Black+Diamond+Spot+400+Headlamp&amp;qid=1695124486&amp;sr=8-1")</f>
        <v/>
      </c>
      <c r="F13" t="inlineStr">
        <is>
          <t>B09NQK2581</t>
        </is>
      </c>
      <c r="G13">
        <f>IMAGE("https://alssports.vtexassets.com/arquivos/ids/1053612-800-auto?v=637867784637730000&amp;width=800&amp;height=auto&amp;aspect=true")</f>
        <v/>
      </c>
      <c r="H13">
        <f>IMAGE("https://m.media-amazon.com/images/I/71epdZSRw0L._AC_UL320_.jpg")</f>
        <v/>
      </c>
      <c r="I13" t="inlineStr">
        <is>
          <t>49.95</t>
        </is>
      </c>
      <c r="J13" t="n">
        <v>49.95</v>
      </c>
      <c r="K13" s="3" t="inlineStr">
        <is>
          <t>0.00%</t>
        </is>
      </c>
      <c r="L13" t="n">
        <v>4.5</v>
      </c>
      <c r="M13" t="n">
        <v>279</v>
      </c>
      <c r="O13" t="inlineStr">
        <is>
          <t>InStock</t>
        </is>
      </c>
      <c r="P13" t="inlineStr">
        <is>
          <t>undefined</t>
        </is>
      </c>
      <c r="Q13" t="inlineStr">
        <is>
          <t>931481</t>
        </is>
      </c>
    </row>
    <row r="14">
      <c r="A14" s="2">
        <f>HYPERLINK("https://www.als.com/oofos-flip-ooriginal-sandal/p?skuId=1055748", "https://www.als.com/oofos-flip-ooriginal-sandal/p?skuId=1055748")</f>
        <v/>
      </c>
      <c r="B14" s="2">
        <f>HYPERLINK("https://www.als.com/oofos-flip-ooriginal-sandal/p", "https://www.als.com/oofos-flip-ooriginal-sandal/p")</f>
        <v/>
      </c>
      <c r="C14" t="inlineStr">
        <is>
          <t>Oofos Ooriginal Sandal</t>
        </is>
      </c>
      <c r="D14" t="inlineStr">
        <is>
          <t>OOFOS Unisex OOriginal - Post Run Sports Recovery Thong Sandal</t>
        </is>
      </c>
      <c r="E14" s="2">
        <f>HYPERLINK("https://www.amazon.com/OOFOS-Unisex-Original-Thong-Black/dp/B007VDJSTI/ref=sr_1_1?keywords=Oofos+Ooriginal+Sandal&amp;qid=1695124091&amp;sr=8-1", "https://www.amazon.com/OOFOS-Unisex-Original-Thong-Black/dp/B007VDJSTI/ref=sr_1_1?keywords=Oofos+Ooriginal+Sandal&amp;qid=1695124091&amp;sr=8-1")</f>
        <v/>
      </c>
      <c r="F14" t="inlineStr">
        <is>
          <t>B007VDJSTI</t>
        </is>
      </c>
      <c r="G14">
        <f>IMAGE("https://alssports.vtexassets.com/arquivos/ids/1046662-800-auto?v=637855437393830000&amp;width=800&amp;height=auto&amp;aspect=true")</f>
        <v/>
      </c>
      <c r="H14">
        <f>IMAGE("https://m.media-amazon.com/images/I/517swJicDOL._AC_UL320_.jpg")</f>
        <v/>
      </c>
      <c r="I14" t="inlineStr">
        <is>
          <t>59.95</t>
        </is>
      </c>
      <c r="J14" t="n">
        <v>59.95</v>
      </c>
      <c r="K14" s="3" t="inlineStr">
        <is>
          <t>0.00%</t>
        </is>
      </c>
      <c r="L14" t="n">
        <v>4.6</v>
      </c>
      <c r="M14" t="n">
        <v>23157</v>
      </c>
      <c r="O14" t="inlineStr">
        <is>
          <t>InStock</t>
        </is>
      </c>
      <c r="P14" t="inlineStr">
        <is>
          <t>undefined</t>
        </is>
      </c>
      <c r="Q14" t="inlineStr">
        <is>
          <t>1055748</t>
        </is>
      </c>
    </row>
    <row r="15">
      <c r="A15" s="2">
        <f>HYPERLINK("https://www.als.com/scient-line-amplitude-smooth-trout/p?skuId=481208", "https://www.als.com/scient-line-amplitude-smooth-trout/p?skuId=481208")</f>
        <v/>
      </c>
      <c r="B15" s="2">
        <f>HYPERLINK("https://www.als.com/scient-line-amplitude-smooth-trout/p", "https://www.als.com/scient-line-amplitude-smooth-trout/p")</f>
        <v/>
      </c>
      <c r="C15" t="inlineStr">
        <is>
          <t>Scientific Anglers Amplitude Smooth Trout Fly Line</t>
        </is>
      </c>
      <c r="D15" t="inlineStr">
        <is>
          <t>Scientific Anglers Amplitude Smooth Creek Trout</t>
        </is>
      </c>
      <c r="E15" s="2">
        <f>HYPERLINK("https://www.amazon.com/AMPLITUDE-SMOOTH-CREEK-TROUT-WF3F/dp/B08J9VTC5L/ref=sr_1_2?keywords=Scientific+Anglers+Amplitude+Smooth+Trout+Fly+Line&amp;qid=1695124414&amp;sr=8-2", "https://www.amazon.com/AMPLITUDE-SMOOTH-CREEK-TROUT-WF3F/dp/B08J9VTC5L/ref=sr_1_2?keywords=Scientific+Anglers+Amplitude+Smooth+Trout+Fly+Line&amp;qid=1695124414&amp;sr=8-2")</f>
        <v/>
      </c>
      <c r="F15" t="inlineStr">
        <is>
          <t>B08J9VTC5L</t>
        </is>
      </c>
      <c r="G15">
        <f>IMAGE("https://alssports.vtexassets.com/arquivos/ids/1138376-800-auto?v=637993875297330000&amp;width=800&amp;height=auto&amp;aspect=true")</f>
        <v/>
      </c>
      <c r="H15">
        <f>IMAGE("https://m.media-amazon.com/images/I/51X1IE9ws-L._AC_UL320_.jpg")</f>
        <v/>
      </c>
      <c r="I15" t="inlineStr">
        <is>
          <t>99.95</t>
        </is>
      </c>
      <c r="J15" t="n">
        <v>99.95</v>
      </c>
      <c r="K15" s="3" t="inlineStr">
        <is>
          <t>0.00%</t>
        </is>
      </c>
      <c r="L15" t="n">
        <v>4.7</v>
      </c>
      <c r="M15" t="n">
        <v>21</v>
      </c>
      <c r="O15" t="inlineStr">
        <is>
          <t>InStock</t>
        </is>
      </c>
      <c r="P15" t="inlineStr">
        <is>
          <t>undefined</t>
        </is>
      </c>
      <c r="Q15" t="inlineStr">
        <is>
          <t>481208</t>
        </is>
      </c>
    </row>
    <row r="16">
      <c r="A16" s="2">
        <f>HYPERLINK("https://www.als.com/mizuno-m-wave-sky-6/p?skuId=1249127", "https://www.als.com/mizuno-m-wave-sky-6/p?skuId=1249127")</f>
        <v/>
      </c>
      <c r="B16" s="2">
        <f>HYPERLINK("https://www.als.com/mizuno-m-wave-sky-6/p", "https://www.als.com/mizuno-m-wave-sky-6/p")</f>
        <v/>
      </c>
      <c r="C16" t="inlineStr">
        <is>
          <t>Mizuno Wave Sky 6 Wide Running Shoe - Men's</t>
        </is>
      </c>
      <c r="D16" t="inlineStr">
        <is>
          <t>Mizuno Men's Wave Sky 7 Running Shoe</t>
        </is>
      </c>
      <c r="E16" s="2">
        <f>HYPERLINK("https://www.amazon.com/Mizuno-Mens-Running-Black-Glacial-Ridge/dp/B0BLR5RJ14/ref=sr_1_10?keywords=Mizuno+Wave+Sky+6+Wide+Running+Shoe+-+Mens&amp;qid=1695124408&amp;sr=8-10", "https://www.amazon.com/Mizuno-Mens-Running-Black-Glacial-Ridge/dp/B0BLR5RJ14/ref=sr_1_10?keywords=Mizuno+Wave+Sky+6+Wide+Running+Shoe+-+Mens&amp;qid=1695124408&amp;sr=8-10")</f>
        <v/>
      </c>
      <c r="F16" t="inlineStr">
        <is>
          <t>B0BLR5RJ14</t>
        </is>
      </c>
      <c r="G16">
        <f>IMAGE("https://alssports.vtexassets.com/arquivos/ids/1277484-800-auto?v=638152954723900000&amp;width=800&amp;height=auto&amp;aspect=true")</f>
        <v/>
      </c>
      <c r="H16">
        <f>IMAGE("https://m.media-amazon.com/images/I/71Lok2QFNQL._AC_UL320_.jpg")</f>
        <v/>
      </c>
      <c r="I16" t="inlineStr">
        <is>
          <t>169.99</t>
        </is>
      </c>
      <c r="J16" t="n">
        <v>169.95</v>
      </c>
      <c r="K16" s="3" t="inlineStr">
        <is>
          <t>-0.02%</t>
        </is>
      </c>
      <c r="L16" t="n">
        <v>4.5</v>
      </c>
      <c r="M16" t="n">
        <v>21</v>
      </c>
      <c r="O16" t="inlineStr">
        <is>
          <t>InStock</t>
        </is>
      </c>
      <c r="P16" t="inlineStr">
        <is>
          <t>169.99</t>
        </is>
      </c>
      <c r="Q16" t="inlineStr">
        <is>
          <t>1249127</t>
        </is>
      </c>
    </row>
    <row r="17">
      <c r="A17" s="2">
        <f>HYPERLINK("https://www.als.com/laspor-shoe-climb-tc-pro/p?skuId=860394", "https://www.als.com/laspor-shoe-climb-tc-pro/p?skuId=860394")</f>
        <v/>
      </c>
      <c r="B17" s="2">
        <f>HYPERLINK("https://www.als.com/laspor-shoe-climb-tc-pro/p", "https://www.als.com/laspor-shoe-climb-tc-pro/p")</f>
        <v/>
      </c>
      <c r="C17" t="inlineStr">
        <is>
          <t>La Sportiva TC PRO Vibram Edge Climbing Shoe - Men's</t>
        </is>
      </c>
      <c r="D17" t="inlineStr">
        <is>
          <t>La Sportiva Mens TC Pro Rock Climbing Shoes</t>
        </is>
      </c>
      <c r="E17" s="2">
        <f>HYPERLINK("https://www.amazon.com/Sportiva-TC-Pro-Olive-Mens/dp/B099QL9NHD/ref=sr_1_1?keywords=La+Sportiva+TC+PRO+Vibram+Edge+Climbing+Shoe+-+Mens&amp;qid=1695124454&amp;sr=8-1", "https://www.amazon.com/Sportiva-TC-Pro-Olive-Mens/dp/B099QL9NHD/ref=sr_1_1?keywords=La+Sportiva+TC+PRO+Vibram+Edge+Climbing+Shoe+-+Mens&amp;qid=1695124454&amp;sr=8-1")</f>
        <v/>
      </c>
      <c r="F17" t="inlineStr">
        <is>
          <t>B099QL9NHD</t>
        </is>
      </c>
      <c r="G17">
        <f>IMAGE("https://alssports.vtexassets.com/arquivos/ids/914959-800-auto?v=637673990018800000&amp;width=800&amp;height=auto&amp;aspect=true")</f>
        <v/>
      </c>
      <c r="H17">
        <f>IMAGE("https://m.media-amazon.com/images/I/61oJVDU+CqL._AC_UL320_.jpg")</f>
        <v/>
      </c>
      <c r="I17" t="inlineStr">
        <is>
          <t>219.0</t>
        </is>
      </c>
      <c r="J17" t="n">
        <v>218.94</v>
      </c>
      <c r="K17" s="3" t="inlineStr">
        <is>
          <t>-0.03%</t>
        </is>
      </c>
      <c r="L17" t="n">
        <v>4.8</v>
      </c>
      <c r="M17" t="n">
        <v>12</v>
      </c>
      <c r="O17" t="inlineStr">
        <is>
          <t>InStock</t>
        </is>
      </c>
      <c r="P17" t="inlineStr">
        <is>
          <t>undefined</t>
        </is>
      </c>
      <c r="Q17" t="inlineStr">
        <is>
          <t>860394</t>
        </is>
      </c>
    </row>
    <row r="18">
      <c r="A18" s="2">
        <f>HYPERLINK("https://www.als.com/sitka-m-pant-mountain-optifade/p?skuId=90738", "https://www.als.com/sitka-m-pant-mountain-optifade/p?skuId=90738")</f>
        <v/>
      </c>
      <c r="B18" s="2">
        <f>HYPERLINK("https://www.als.com/sitka-m-pant-mountain-optifade/p", "https://www.als.com/sitka-m-pant-mountain-optifade/p")</f>
        <v/>
      </c>
      <c r="C18" t="inlineStr">
        <is>
          <t>Sitka Mountain Pant - Men's</t>
        </is>
      </c>
      <c r="D18" t="inlineStr">
        <is>
          <t>SITKA Gear Men's Timberline Pant</t>
        </is>
      </c>
      <c r="E18" s="2">
        <f>HYPERLINK("https://www.amazon.com/SITKA-Gear-Timberline-Optifade-Subalpine/dp/B01MCXP0V3/ref=sr_1_3?keywords=Sitka+Mountain+Pant+-+Mens&amp;qid=1695124392&amp;sr=8-3", "https://www.amazon.com/SITKA-Gear-Timberline-Optifade-Subalpine/dp/B01MCXP0V3/ref=sr_1_3?keywords=Sitka+Mountain+Pant+-+Mens&amp;qid=1695124392&amp;sr=8-3")</f>
        <v/>
      </c>
      <c r="F18" t="inlineStr">
        <is>
          <t>B01MCXP0V3</t>
        </is>
      </c>
      <c r="G18">
        <f>IMAGE("https://alssports.vtexassets.com/arquivos/ids/1369099-800-auto?v=638242004529500000&amp;width=800&amp;height=auto&amp;aspect=true")</f>
        <v/>
      </c>
      <c r="H18">
        <f>IMAGE("https://m.media-amazon.com/images/I/61BF1uxbG7L._AC_UL320_.jpg")</f>
        <v/>
      </c>
      <c r="I18" t="inlineStr">
        <is>
          <t>209.0</t>
        </is>
      </c>
      <c r="J18" t="n">
        <v>208.86</v>
      </c>
      <c r="K18" s="3" t="inlineStr">
        <is>
          <t>-0.07%</t>
        </is>
      </c>
      <c r="L18" t="n">
        <v>4.9</v>
      </c>
      <c r="M18" t="n">
        <v>19</v>
      </c>
      <c r="O18" t="inlineStr">
        <is>
          <t>InStock</t>
        </is>
      </c>
      <c r="P18" t="inlineStr">
        <is>
          <t>undefined</t>
        </is>
      </c>
      <c r="Q18" t="inlineStr">
        <is>
          <t>90738</t>
        </is>
      </c>
    </row>
    <row r="19">
      <c r="A19" s="2">
        <f>HYPERLINK("https://www.als.com/chaco-m-sandal-z2-classic/p?skuId=932109", "https://www.als.com/chaco-m-sandal-z2-classic/p?skuId=932109")</f>
        <v/>
      </c>
      <c r="B19" s="2">
        <f>HYPERLINK("https://www.als.com/chaco-m-sandal-z2-classic/p", "https://www.als.com/chaco-m-sandal-z2-classic/p")</f>
        <v/>
      </c>
      <c r="C19" t="inlineStr">
        <is>
          <t>Chaco Z/2 Classic Sandal - Men's</t>
        </is>
      </c>
      <c r="D19" t="inlineStr">
        <is>
          <t>Chaco Mens Z/1 Classic, Outdoor Sandal</t>
        </is>
      </c>
      <c r="E19" s="2">
        <f>HYPERLINK("https://www.amazon.com/Chaco-Z1-Classic-Sport-Sandal/dp/B012RQBWF6/ref=sr_1_2?keywords=Chaco+Z%2F2+Classic+Sandal+-+Mens&amp;qid=1695124330&amp;sr=8-2", "https://www.amazon.com/Chaco-Z1-Classic-Sport-Sandal/dp/B012RQBWF6/ref=sr_1_2?keywords=Chaco+Z%2F2+Classic+Sandal+-+Mens&amp;qid=1695124330&amp;sr=8-2")</f>
        <v/>
      </c>
      <c r="F19" t="inlineStr">
        <is>
          <t>B012RQBWF6</t>
        </is>
      </c>
      <c r="G19">
        <f>IMAGE("https://alssports.vtexassets.com/arquivos/ids/1340421-800-auto?v=638216154610800000&amp;width=800&amp;height=auto&amp;aspect=true")</f>
        <v/>
      </c>
      <c r="H19">
        <f>IMAGE("https://m.media-amazon.com/images/I/71OSUmy60rL._AC_UL320_.jpg")</f>
        <v/>
      </c>
      <c r="I19" t="inlineStr">
        <is>
          <t>41.98</t>
        </is>
      </c>
      <c r="J19" t="n">
        <v>41.95</v>
      </c>
      <c r="K19" s="3" t="inlineStr">
        <is>
          <t>-0.07%</t>
        </is>
      </c>
      <c r="L19" t="n">
        <v>4.5</v>
      </c>
      <c r="M19" t="n">
        <v>4514</v>
      </c>
      <c r="O19" t="inlineStr">
        <is>
          <t>undefined</t>
        </is>
      </c>
      <c r="P19" t="inlineStr">
        <is>
          <t>104.95</t>
        </is>
      </c>
      <c r="Q19" t="inlineStr">
        <is>
          <t>932109</t>
        </is>
      </c>
    </row>
    <row r="20">
      <c r="A20" s="2">
        <f>HYPERLINK("https://www.als.com/on-m-shoe-cloud-x-3/p?skuId=1045296", "https://www.als.com/on-m-shoe-cloud-x-3/p?skuId=1045296")</f>
        <v/>
      </c>
      <c r="B20" s="2">
        <f>HYPERLINK("https://www.als.com/on-m-shoe-cloud-x-3/p", "https://www.als.com/on-m-shoe-cloud-x-3/p")</f>
        <v/>
      </c>
      <c r="C20" t="inlineStr">
        <is>
          <t>On Cloud X 3 Running Shoe - Men's</t>
        </is>
      </c>
      <c r="D20" t="inlineStr">
        <is>
          <t>ON Men's Cloud X 3 Sneakers</t>
        </is>
      </c>
      <c r="E20" s="2">
        <f>HYPERLINK("https://www.amazon.com/Mens-Cloud-Sneakers-Pewter-White/dp/B0B2F2P3R9/ref=sr_1_2?keywords=On+Cloud+X+3+Running+Shoe+-+Mens&amp;qid=1695124135&amp;sr=8-2", "https://www.amazon.com/Mens-Cloud-Sneakers-Pewter-White/dp/B0B2F2P3R9/ref=sr_1_2?keywords=On+Cloud+X+3+Running+Shoe+-+Mens&amp;qid=1695124135&amp;sr=8-2")</f>
        <v/>
      </c>
      <c r="F20" t="inlineStr">
        <is>
          <t>B0B2F2P3R9</t>
        </is>
      </c>
      <c r="G20">
        <f>IMAGE("https://alssports.vtexassets.com/arquivos/ids/1224675-800-auto?v=638104295224200000&amp;width=800&amp;height=auto&amp;aspect=true")</f>
        <v/>
      </c>
      <c r="H20">
        <f>IMAGE("https://m.media-amazon.com/images/I/61x6DpNQmIL._AC_UL320_.jpg")</f>
        <v/>
      </c>
      <c r="I20" t="inlineStr">
        <is>
          <t>149.95</t>
        </is>
      </c>
      <c r="J20" t="n">
        <v>148.9</v>
      </c>
      <c r="K20" s="3" t="inlineStr">
        <is>
          <t>-0.70%</t>
        </is>
      </c>
      <c r="L20" t="n">
        <v>4.6</v>
      </c>
      <c r="M20" t="n">
        <v>152</v>
      </c>
      <c r="O20" t="inlineStr">
        <is>
          <t>InStock</t>
        </is>
      </c>
      <c r="P20" t="inlineStr">
        <is>
          <t>undefined</t>
        </is>
      </c>
      <c r="Q20" t="inlineStr">
        <is>
          <t>1045296</t>
        </is>
      </c>
    </row>
    <row r="21">
      <c r="A21" s="2">
        <f>HYPERLINK("https://www.als.com/sitka-m-jacket-jetstream/p?skuId=990959", "https://www.als.com/sitka-m-jacket-jetstream/p?skuId=990959")</f>
        <v/>
      </c>
      <c r="B21" s="2">
        <f>HYPERLINK("https://www.als.com/sitka-m-jacket-jetstream/p", "https://www.als.com/sitka-m-jacket-jetstream/p")</f>
        <v/>
      </c>
      <c r="C21" t="inlineStr">
        <is>
          <t>Sitka Jetstream Jacket - Men's</t>
        </is>
      </c>
      <c r="D21" t="inlineStr">
        <is>
          <t>SITKA Gear Men's Traverse Hunting Jacket</t>
        </is>
      </c>
      <c r="E21" s="2">
        <f>HYPERLINK("https://www.amazon.com/SITKA-Gear-Traverse-Hunting-Elevated/dp/B0BJ6HRL89/ref=sr_1_16?keywords=Sitka+Jetstream+Jacket+-+Men%27s&amp;qid=1695124152&amp;sr=8-16", "https://www.amazon.com/SITKA-Gear-Traverse-Hunting-Elevated/dp/B0BJ6HRL89/ref=sr_1_16?keywords=Sitka+Jetstream+Jacket+-+Men%27s&amp;qid=1695124152&amp;sr=8-16")</f>
        <v/>
      </c>
      <c r="F21" t="inlineStr">
        <is>
          <t>B0BJ6HRL89</t>
        </is>
      </c>
      <c r="G21">
        <f>IMAGE("https://alssports.vtexassets.com/arquivos/ids/1369506-800-auto?v=638242519630400000&amp;width=800&amp;height=auto&amp;aspect=true")</f>
        <v/>
      </c>
      <c r="H21">
        <f>IMAGE("https://m.media-amazon.com/images/I/71Fd+i8dgRL._AC_UL320_.jpg")</f>
        <v/>
      </c>
      <c r="I21" t="inlineStr">
        <is>
          <t>149.99</t>
        </is>
      </c>
      <c r="J21" t="n">
        <v>148.63</v>
      </c>
      <c r="K21" s="3" t="inlineStr">
        <is>
          <t>-0.91%</t>
        </is>
      </c>
      <c r="L21" t="n">
        <v>4.7</v>
      </c>
      <c r="M21" t="n">
        <v>22</v>
      </c>
      <c r="O21" t="inlineStr">
        <is>
          <t>undefined</t>
        </is>
      </c>
      <c r="P21" t="inlineStr">
        <is>
          <t>379.0</t>
        </is>
      </c>
      <c r="Q21" t="inlineStr">
        <is>
          <t>990959</t>
        </is>
      </c>
    </row>
    <row r="22">
      <c r="A22" s="2">
        <f>HYPERLINK("https://www.als.com/heydud-w-shoe-wendy-rise-woven/p?skuId=1317686", "https://www.als.com/heydud-w-shoe-wendy-rise-woven/p?skuId=1317686")</f>
        <v/>
      </c>
      <c r="B22" s="2">
        <f>HYPERLINK("https://www.als.com/heydud-w-shoe-wendy-rise-woven/p", "https://www.als.com/heydud-w-shoe-wendy-rise-woven/p")</f>
        <v/>
      </c>
      <c r="C22" t="inlineStr">
        <is>
          <t>Hey Dude Wendy Rise Woven Shoe - Women's</t>
        </is>
      </c>
      <c r="D22" t="inlineStr">
        <is>
          <t>Hey Dude Women's Wendy Washed Canvas | Women’s Shoes | Women’s Lace Up Loafers | Comfortable &amp; Light-Weight</t>
        </is>
      </c>
      <c r="E22" s="2">
        <f>HYPERLINK("https://www.amazon.com/Hey-Dude-Loafers-Comfortable-Light-Weight/dp/B0C5R4VPJK/ref=sr_1_5?keywords=Hey+Dude+Wendy+Rise+Woven+Shoe+-+Womens&amp;qid=1695124483&amp;sr=8-5", "https://www.amazon.com/Hey-Dude-Loafers-Comfortable-Light-Weight/dp/B0C5R4VPJK/ref=sr_1_5?keywords=Hey+Dude+Wendy+Rise+Woven+Shoe+-+Womens&amp;qid=1695124483&amp;sr=8-5")</f>
        <v/>
      </c>
      <c r="F22" t="inlineStr">
        <is>
          <t>B0C5R4VPJK</t>
        </is>
      </c>
      <c r="G22">
        <f>IMAGE("https://alssports.vtexassets.com/arquivos/ids/1387367-800-auto?v=638255482261930000&amp;width=800&amp;height=auto&amp;aspect=true")</f>
        <v/>
      </c>
      <c r="H22">
        <f>IMAGE("https://m.media-amazon.com/images/I/51+G6kzNW2L._AC_UL320_.jpg")</f>
        <v/>
      </c>
      <c r="I22" t="inlineStr">
        <is>
          <t>64.95</t>
        </is>
      </c>
      <c r="J22" t="n">
        <v>64.08</v>
      </c>
      <c r="K22" s="3" t="inlineStr">
        <is>
          <t>-1.34%</t>
        </is>
      </c>
      <c r="L22" t="n">
        <v>4.8</v>
      </c>
      <c r="M22" t="n">
        <v>66</v>
      </c>
      <c r="O22" t="inlineStr">
        <is>
          <t>InStock</t>
        </is>
      </c>
      <c r="P22" t="inlineStr">
        <is>
          <t>undefined</t>
        </is>
      </c>
      <c r="Q22" t="inlineStr">
        <is>
          <t>1317686</t>
        </is>
      </c>
    </row>
    <row r="23">
      <c r="A23" s="2">
        <f>HYPERLINK("https://www.als.com/vans-shoe-classic-slip-on/p?skuId=226085", "https://www.als.com/vans-shoe-classic-slip-on/p?skuId=226085")</f>
        <v/>
      </c>
      <c r="B23" s="2">
        <f>HYPERLINK("https://www.als.com/vans-shoe-classic-slip-on/p", "https://www.als.com/vans-shoe-classic-slip-on/p")</f>
        <v/>
      </c>
      <c r="C23" t="inlineStr">
        <is>
          <t>Vans Classic Slip-On Shoe</t>
        </is>
      </c>
      <c r="D23" t="inlineStr">
        <is>
          <t>Vans Unisex-Adult Classic Slip on Sneaker</t>
        </is>
      </c>
      <c r="E23" s="2">
        <f>HYPERLINK("https://www.amazon.com/Vans-Slip-Classics-Womens-Medium/dp/B000K7CACY/ref=sr_1_20?keywords=Vans+Classic+Slip-On+Shoe&amp;qid=1695124089&amp;sr=8-20", "https://www.amazon.com/Vans-Slip-Classics-Womens-Medium/dp/B000K7CACY/ref=sr_1_20?keywords=Vans+Classic+Slip-On+Shoe&amp;qid=1695124089&amp;sr=8-20")</f>
        <v/>
      </c>
      <c r="F23" t="inlineStr">
        <is>
          <t>B000K7CACY</t>
        </is>
      </c>
      <c r="G23">
        <f>IMAGE("https://alssports.vtexassets.com/arquivos/ids/1443076-800-auto?v=638292000890400000&amp;width=800&amp;height=auto&amp;aspect=true")</f>
        <v/>
      </c>
      <c r="H23">
        <f>IMAGE("https://m.media-amazon.com/images/I/71gpFHJlnoL._AC_UL320_.jpg")</f>
        <v/>
      </c>
      <c r="I23" t="inlineStr">
        <is>
          <t>59.95</t>
        </is>
      </c>
      <c r="J23" t="n">
        <v>59.14</v>
      </c>
      <c r="K23" s="3" t="inlineStr">
        <is>
          <t>-1.35%</t>
        </is>
      </c>
      <c r="L23" t="n">
        <v>4.6</v>
      </c>
      <c r="M23" t="n">
        <v>1698</v>
      </c>
      <c r="O23" t="inlineStr">
        <is>
          <t>InStock</t>
        </is>
      </c>
      <c r="P23" t="inlineStr">
        <is>
          <t>undefined</t>
        </is>
      </c>
      <c r="Q23" t="inlineStr">
        <is>
          <t>226085</t>
        </is>
      </c>
    </row>
    <row r="24">
      <c r="A24" s="2">
        <f>HYPERLINK("https://www.als.com/adidas-m-shoe-ultraboost-22/p?skuId=1085421", "https://www.als.com/adidas-m-shoe-ultraboost-22/p?skuId=1085421")</f>
        <v/>
      </c>
      <c r="B24" s="2">
        <f>HYPERLINK("https://www.als.com/adidas-m-shoe-ultraboost-22/p", "https://www.als.com/adidas-m-shoe-ultraboost-22/p")</f>
        <v/>
      </c>
      <c r="C24" t="inlineStr">
        <is>
          <t>adidas Ultraboost 22 Running Shoe - Men's</t>
        </is>
      </c>
      <c r="D24" t="inlineStr">
        <is>
          <t>adidas Men's Pureboost 22 Running Shoe</t>
        </is>
      </c>
      <c r="E24" s="2">
        <f>HYPERLINK("https://www.amazon.com/adidas-Pureboost-Running-Black-Yellow/dp/B09KMHRMPN/ref=sr_1_13?keywords=adidas+Ultraboost+22+Running+Shoe+-+Mens&amp;qid=1695124353&amp;sr=8-13", "https://www.amazon.com/adidas-Pureboost-Running-Black-Yellow/dp/B09KMHRMPN/ref=sr_1_13?keywords=adidas+Ultraboost+22+Running+Shoe+-+Mens&amp;qid=1695124353&amp;sr=8-13")</f>
        <v/>
      </c>
      <c r="F24" t="inlineStr">
        <is>
          <t>B09KMHRMPN</t>
        </is>
      </c>
      <c r="G24">
        <f>IMAGE("https://alssports.vtexassets.com/arquivos/ids/1159986-800-auto?v=638023104026230000&amp;width=800&amp;height=auto&amp;aspect=true")</f>
        <v/>
      </c>
      <c r="H24">
        <f>IMAGE("https://m.media-amazon.com/images/I/71brn+PzBpL._AC_UL320_.jpg")</f>
        <v/>
      </c>
      <c r="I24" t="inlineStr">
        <is>
          <t>75.98</t>
        </is>
      </c>
      <c r="J24" t="n">
        <v>74.51000000000001</v>
      </c>
      <c r="K24" s="3" t="inlineStr">
        <is>
          <t>-1.93%</t>
        </is>
      </c>
      <c r="L24" t="n">
        <v>4.6</v>
      </c>
      <c r="M24" t="n">
        <v>152</v>
      </c>
      <c r="O24" t="inlineStr">
        <is>
          <t>InStock</t>
        </is>
      </c>
      <c r="P24" t="inlineStr">
        <is>
          <t>189.95</t>
        </is>
      </c>
      <c r="Q24" t="inlineStr">
        <is>
          <t>1085421</t>
        </is>
      </c>
    </row>
    <row r="25">
      <c r="A25" s="2">
        <f>HYPERLINK("https://www.als.com/under-ua-drive-pant/p?skuId=997492", "https://www.als.com/under-ua-drive-pant/p?skuId=997492")</f>
        <v/>
      </c>
      <c r="B25" s="2">
        <f>HYPERLINK("https://www.als.com/under-ua-drive-pant/p", "https://www.als.com/under-ua-drive-pant/p")</f>
        <v/>
      </c>
      <c r="C25" t="inlineStr">
        <is>
          <t>Under Armour Drive Pant - Men's</t>
        </is>
      </c>
      <c r="D25" t="inlineStr">
        <is>
          <t>Under Armour Men's Pique Track Pants</t>
        </is>
      </c>
      <c r="E25" s="2">
        <f>HYPERLINK("https://www.amazon.com/Under-Armour-Pique-Track-Pants/dp/B08LNVF2JJ/ref=sr_1_35?keywords=Under+Armour+Drive+Pant+-+Men%27s&amp;qid=1695124299&amp;sr=8-35", "https://www.amazon.com/Under-Armour-Pique-Track-Pants/dp/B08LNVF2JJ/ref=sr_1_35?keywords=Under+Armour+Drive+Pant+-+Men%27s&amp;qid=1695124299&amp;sr=8-35")</f>
        <v/>
      </c>
      <c r="F25" t="inlineStr">
        <is>
          <t>B08LNVF2JJ</t>
        </is>
      </c>
      <c r="G25">
        <f>IMAGE("https://alssports.vtexassets.com/arquivos/ids/1442508-800-auto?v=638291812057330000&amp;width=800&amp;height=auto&amp;aspect=true")</f>
        <v/>
      </c>
      <c r="H25">
        <f>IMAGE("https://m.media-amazon.com/images/I/51Y13mxusrL._AC_UL320_.jpg")</f>
        <v/>
      </c>
      <c r="I25" t="inlineStr">
        <is>
          <t>51.0</t>
        </is>
      </c>
      <c r="J25" t="n">
        <v>50</v>
      </c>
      <c r="K25" s="3" t="inlineStr">
        <is>
          <t>-1.96%</t>
        </is>
      </c>
      <c r="L25" t="n">
        <v>4.5</v>
      </c>
      <c r="M25" t="n">
        <v>298</v>
      </c>
      <c r="O25" t="inlineStr">
        <is>
          <t>undefined</t>
        </is>
      </c>
      <c r="P25" t="inlineStr">
        <is>
          <t>85.0</t>
        </is>
      </c>
      <c r="Q25" t="inlineStr">
        <is>
          <t>997492</t>
        </is>
      </c>
    </row>
    <row r="26">
      <c r="A26" s="2">
        <f>HYPERLINK("https://www.als.com/chaco-m-sandal-z2-classic/p?skuId=932109", "https://www.als.com/chaco-m-sandal-z2-classic/p?skuId=932109")</f>
        <v/>
      </c>
      <c r="B26" s="2">
        <f>HYPERLINK("https://www.als.com/chaco-m-sandal-z2-classic/p", "https://www.als.com/chaco-m-sandal-z2-classic/p")</f>
        <v/>
      </c>
      <c r="C26" t="inlineStr">
        <is>
          <t>Chaco Z/2 Classic Sandal - Men's</t>
        </is>
      </c>
      <c r="D26" t="inlineStr">
        <is>
          <t>Chaco Women's Zcloud 2 Sport Sandal</t>
        </is>
      </c>
      <c r="E26" s="2">
        <f>HYPERLINK("https://www.amazon.com/Chaco-ZCLOUD-Womens-Sandals-Oculi/dp/B08C2L7BXK/ref=sr_1_13?keywords=Chaco+Z%2F2+Classic+Sandal+-+Mens&amp;qid=1695124330&amp;sr=8-13", "https://www.amazon.com/Chaco-ZCLOUD-Womens-Sandals-Oculi/dp/B08C2L7BXK/ref=sr_1_13?keywords=Chaco+Z%2F2+Classic+Sandal+-+Mens&amp;qid=1695124330&amp;sr=8-13")</f>
        <v/>
      </c>
      <c r="F26" t="inlineStr">
        <is>
          <t>B08C2L7BXK</t>
        </is>
      </c>
      <c r="G26">
        <f>IMAGE("https://alssports.vtexassets.com/arquivos/ids/1340421-800-auto?v=638216154610800000&amp;width=800&amp;height=auto&amp;aspect=true")</f>
        <v/>
      </c>
      <c r="H26">
        <f>IMAGE("https://m.media-amazon.com/images/I/71OS28EHelL._AC_UL320_.jpg")</f>
        <v/>
      </c>
      <c r="I26" t="inlineStr">
        <is>
          <t>41.98</t>
        </is>
      </c>
      <c r="J26" t="n">
        <v>41.1</v>
      </c>
      <c r="K26" s="3" t="inlineStr">
        <is>
          <t>-2.10%</t>
        </is>
      </c>
      <c r="L26" t="n">
        <v>4.5</v>
      </c>
      <c r="M26" t="n">
        <v>643</v>
      </c>
      <c r="O26" t="inlineStr">
        <is>
          <t>undefined</t>
        </is>
      </c>
      <c r="P26" t="inlineStr">
        <is>
          <t>104.95</t>
        </is>
      </c>
      <c r="Q26" t="inlineStr">
        <is>
          <t>932109</t>
        </is>
      </c>
    </row>
    <row r="27">
      <c r="A27" s="2">
        <f>HYPERLINK("https://www.als.com/heydud-m-shoe-wally-washed-canvas/p?skuId=1317816", "https://www.als.com/heydud-m-shoe-wally-washed-canvas/p?skuId=1317816")</f>
        <v/>
      </c>
      <c r="B27" s="2">
        <f>HYPERLINK("https://www.als.com/heydud-m-shoe-wally-washed-canvas/p", "https://www.als.com/heydud-m-shoe-wally-washed-canvas/p")</f>
        <v/>
      </c>
      <c r="C27" t="inlineStr">
        <is>
          <t>Hey Dude Wally Washed Canvas Shoe - Men's</t>
        </is>
      </c>
      <c r="D27" t="inlineStr">
        <is>
          <t>Hey Dude Men's Wally Wash Lead Size Dark Grey | Men’s Shoes Lace Up Loafers Comfortable &amp; Light-Weight</t>
        </is>
      </c>
      <c r="E27" s="2">
        <f>HYPERLINK("https://www.amazon.com/Hey-Dude-Wally-Washed-Comfortable/dp/B08SVZ8Y17/ref=sr_1_10?keywords=Hey+Dude+Wally+Washed+Canvas+Shoe+-+Mens&amp;qid=1695124460&amp;sr=8-10", "https://www.amazon.com/Hey-Dude-Wally-Washed-Comfortable/dp/B08SVZ8Y17/ref=sr_1_10?keywords=Hey+Dude+Wally+Washed+Canvas+Shoe+-+Mens&amp;qid=1695124460&amp;sr=8-10")</f>
        <v/>
      </c>
      <c r="F27" t="inlineStr">
        <is>
          <t>B08SVZ8Y17</t>
        </is>
      </c>
      <c r="G27">
        <f>IMAGE("https://alssports.vtexassets.com/arquivos/ids/1388214-800-auto?v=638255521966130000&amp;width=800&amp;height=auto&amp;aspect=true")</f>
        <v/>
      </c>
      <c r="H27">
        <f>IMAGE("https://m.media-amazon.com/images/I/81JAQbII63L._AC_UL320_.jpg")</f>
        <v/>
      </c>
      <c r="I27" t="inlineStr">
        <is>
          <t>64.95</t>
        </is>
      </c>
      <c r="J27" t="n">
        <v>63.45</v>
      </c>
      <c r="K27" s="3" t="inlineStr">
        <is>
          <t>-2.31%</t>
        </is>
      </c>
      <c r="L27" t="n">
        <v>4.6</v>
      </c>
      <c r="M27" t="n">
        <v>1611</v>
      </c>
      <c r="O27" t="inlineStr">
        <is>
          <t>InStock</t>
        </is>
      </c>
      <c r="P27" t="inlineStr">
        <is>
          <t>undefined</t>
        </is>
      </c>
      <c r="Q27" t="inlineStr">
        <is>
          <t>1317816</t>
        </is>
      </c>
    </row>
    <row r="28">
      <c r="A28" s="2">
        <f>HYPERLINK("https://www.als.com/heydud-m-shoe-wally-braided/p?skuId=599445", "https://www.als.com/heydud-m-shoe-wally-braided/p?skuId=599445")</f>
        <v/>
      </c>
      <c r="B28" s="2">
        <f>HYPERLINK("https://www.als.com/heydud-m-shoe-wally-braided/p", "https://www.als.com/heydud-m-shoe-wally-braided/p")</f>
        <v/>
      </c>
      <c r="C28" t="inlineStr">
        <is>
          <t>Hey Dude Wally Braided Shoe - Men's</t>
        </is>
      </c>
      <c r="D28" t="inlineStr">
        <is>
          <t>Hey Dude Men's Wally Wash Lead Size Dark Grey | Men’s Shoes Lace Up Loafers Comfortable &amp; Light-Weight</t>
        </is>
      </c>
      <c r="E28" s="2">
        <f>HYPERLINK("https://www.amazon.com/Hey-Dude-Wally-Washed-Comfortable/dp/B08SVZ8Y17/ref=sr_1_13?keywords=Hey+Dude+Wally+Braided+Shoe+-+Mens&amp;qid=1695124451&amp;sr=8-13", "https://www.amazon.com/Hey-Dude-Wally-Washed-Comfortable/dp/B08SVZ8Y17/ref=sr_1_13?keywords=Hey+Dude+Wally+Braided+Shoe+-+Mens&amp;qid=1695124451&amp;sr=8-13")</f>
        <v/>
      </c>
      <c r="F28" t="inlineStr">
        <is>
          <t>B08SVZ8Y17</t>
        </is>
      </c>
      <c r="G28">
        <f>IMAGE("https://alssports.vtexassets.com/arquivos/ids/1386107-800-auto?v=638254870959300000&amp;width=800&amp;height=auto&amp;aspect=true")</f>
        <v/>
      </c>
      <c r="H28">
        <f>IMAGE("https://m.media-amazon.com/images/I/81JAQbII63L._AC_UL320_.jpg")</f>
        <v/>
      </c>
      <c r="I28" t="inlineStr">
        <is>
          <t>64.95</t>
        </is>
      </c>
      <c r="J28" t="n">
        <v>63.45</v>
      </c>
      <c r="K28" s="3" t="inlineStr">
        <is>
          <t>-2.31%</t>
        </is>
      </c>
      <c r="L28" t="n">
        <v>4.6</v>
      </c>
      <c r="M28" t="n">
        <v>1611</v>
      </c>
      <c r="O28" t="inlineStr">
        <is>
          <t>InStock</t>
        </is>
      </c>
      <c r="P28" t="inlineStr">
        <is>
          <t>undefined</t>
        </is>
      </c>
      <c r="Q28" t="inlineStr">
        <is>
          <t>599445</t>
        </is>
      </c>
    </row>
    <row r="29">
      <c r="A29" s="2">
        <f>HYPERLINK("https://www.als.com/sram-cassette-nx-eagle-pg-1230/p?skuId=495741", "https://www.als.com/sram-cassette-nx-eagle-pg-1230/p?skuId=495741")</f>
        <v/>
      </c>
      <c r="B29" s="2">
        <f>HYPERLINK("https://www.als.com/sram-cassette-nx-eagle-pg-1230/p", "https://www.als.com/sram-cassette-nx-eagle-pg-1230/p")</f>
        <v/>
      </c>
      <c r="C29" t="inlineStr">
        <is>
          <t>Sram NX Eagle Pg-1230 Cassette</t>
        </is>
      </c>
      <c r="D29" t="inlineStr">
        <is>
          <t>SRAM Pg-1230 Nx Eagle 12-Speed Cassette</t>
        </is>
      </c>
      <c r="E29" s="2">
        <f>HYPERLINK("https://www.amazon.com/SRAM-PG-1230-12-Speed-Cassette-11-50t/dp/B07DQP71JS/ref=sr_1_1?keywords=Sram+NX+Eagle+Pg-1230+Cassette&amp;qid=1695124410&amp;sr=8-1", "https://www.amazon.com/SRAM-PG-1230-12-Speed-Cassette-11-50t/dp/B07DQP71JS/ref=sr_1_1?keywords=Sram+NX+Eagle+Pg-1230+Cassette&amp;qid=1695124410&amp;sr=8-1")</f>
        <v/>
      </c>
      <c r="F29" t="inlineStr">
        <is>
          <t>B07DQP71JS</t>
        </is>
      </c>
      <c r="G29">
        <f>IMAGE("https://alssports.vtexassets.com/arquivos/ids/685030-800-auto?v=637571183522830000&amp;width=800&amp;height=auto&amp;aspect=true")</f>
        <v/>
      </c>
      <c r="H29">
        <f>IMAGE("https://m.media-amazon.com/images/I/61Ctij+bPVL._AC_UL320_.jpg")</f>
        <v/>
      </c>
      <c r="I29" t="inlineStr">
        <is>
          <t>108.0</t>
        </is>
      </c>
      <c r="J29" t="n">
        <v>105.28</v>
      </c>
      <c r="K29" s="3" t="inlineStr">
        <is>
          <t>-2.52%</t>
        </is>
      </c>
      <c r="L29" t="n">
        <v>4.7</v>
      </c>
      <c r="M29" t="n">
        <v>834</v>
      </c>
      <c r="O29" t="inlineStr">
        <is>
          <t>InStock</t>
        </is>
      </c>
      <c r="P29" t="inlineStr">
        <is>
          <t>undefined</t>
        </is>
      </c>
      <c r="Q29" t="inlineStr">
        <is>
          <t>495741</t>
        </is>
      </c>
    </row>
    <row r="30">
      <c r="A30" s="2">
        <f>HYPERLINK("https://www.als.com/shimab-pedal-pd-m9100-spd-cleat-pack/p?skuId=500218", "https://www.als.com/shimab-pedal-pd-m9100-spd-cleat-pack/p?skuId=500218")</f>
        <v/>
      </c>
      <c r="B30" s="2">
        <f>HYPERLINK("https://www.als.com/shimab-pedal-pd-m9100-spd-cleat-pack/p", "https://www.als.com/shimab-pedal-pd-m9100-spd-cleat-pack/p")</f>
        <v/>
      </c>
      <c r="C30" t="inlineStr">
        <is>
          <t>Shimano TR PD-M9100 Pedal</t>
        </is>
      </c>
      <c r="D30" t="inlineStr">
        <is>
          <t>SHIMANO XTR PD-M9120 Top Enduro/Trail Pedals</t>
        </is>
      </c>
      <c r="E30" s="2">
        <f>HYPERLINK("https://www.amazon.com/SHIMANO-PD-M9120-Pedal-Cleat-Included/dp/B07HF4Z2N2/ref=sr_1_11?keywords=Shimano+TR+PD-M9100+Pedal&amp;qid=1695124455&amp;sr=8-11", "https://www.amazon.com/SHIMANO-PD-M9120-Pedal-Cleat-Included/dp/B07HF4Z2N2/ref=sr_1_11?keywords=Shimano+TR+PD-M9100+Pedal&amp;qid=1695124455&amp;sr=8-11")</f>
        <v/>
      </c>
      <c r="F30" t="inlineStr">
        <is>
          <t>B07HF4Z2N2</t>
        </is>
      </c>
      <c r="G30">
        <f>IMAGE("https://alssports.vtexassets.com/arquivos/ids/1120618-800-auto?v=637969747990030000&amp;width=800&amp;height=auto&amp;aspect=true")</f>
        <v/>
      </c>
      <c r="H30">
        <f>IMAGE("https://m.media-amazon.com/images/I/61RnlkVZK+L._AC_UL320_.jpg")</f>
        <v/>
      </c>
      <c r="I30" t="inlineStr">
        <is>
          <t>179.99</t>
        </is>
      </c>
      <c r="J30" t="n">
        <v>173.95</v>
      </c>
      <c r="K30" s="3" t="inlineStr">
        <is>
          <t>-3.36%</t>
        </is>
      </c>
      <c r="L30" t="n">
        <v>4.8</v>
      </c>
      <c r="M30" t="n">
        <v>242</v>
      </c>
      <c r="O30" t="inlineStr">
        <is>
          <t>InStock</t>
        </is>
      </c>
      <c r="P30" t="inlineStr">
        <is>
          <t>undefined</t>
        </is>
      </c>
      <c r="Q30" t="inlineStr">
        <is>
          <t>500218</t>
        </is>
      </c>
    </row>
    <row r="31">
      <c r="A31" s="2">
        <f>HYPERLINK("https://www.als.com/sal-sh-m-shoe-speedcross-6/p?skuId=1067283", "https://www.als.com/sal-sh-m-shoe-speedcross-6/p?skuId=1067283")</f>
        <v/>
      </c>
      <c r="B31" s="2">
        <f>HYPERLINK("https://www.als.com/sal-sh-m-shoe-speedcross-6/p", "https://www.als.com/sal-sh-m-shoe-speedcross-6/p")</f>
        <v/>
      </c>
      <c r="C31" t="inlineStr">
        <is>
          <t>Salomon Speedcross 6 Trail Running Shoe - Men's</t>
        </is>
      </c>
      <c r="D31" t="inlineStr">
        <is>
          <t>Salomon Men's Speedcross 5 Trail Running Shoes</t>
        </is>
      </c>
      <c r="E31" s="2">
        <f>HYPERLINK("https://www.amazon.com/Salomon-Speedcross-Trail-Running-Phantom/dp/B07CYXWTFV/ref=sr_1_9?keywords=Salomon+Speedcross+6+Trail+Running+Shoe+-+Men%27s&amp;qid=1695124304&amp;sr=8-9", "https://www.amazon.com/Salomon-Speedcross-Trail-Running-Phantom/dp/B07CYXWTFV/ref=sr_1_9?keywords=Salomon+Speedcross+6+Trail+Running+Shoe+-+Men%27s&amp;qid=1695124304&amp;sr=8-9")</f>
        <v/>
      </c>
      <c r="F31" t="inlineStr">
        <is>
          <t>B07CYXWTFV</t>
        </is>
      </c>
      <c r="G31">
        <f>IMAGE("https://alssports.vtexassets.com/arquivos/ids/1132465-800-auto?v=637986345574970000&amp;width=800&amp;height=auto&amp;aspect=true")</f>
        <v/>
      </c>
      <c r="H31">
        <f>IMAGE("https://m.media-amazon.com/images/I/71nJ48O6aFL._AC_UL320_.jpg")</f>
        <v/>
      </c>
      <c r="I31" t="inlineStr">
        <is>
          <t>144.95</t>
        </is>
      </c>
      <c r="J31" t="n">
        <v>139.95</v>
      </c>
      <c r="K31" s="3" t="inlineStr">
        <is>
          <t>-3.45%</t>
        </is>
      </c>
      <c r="L31" t="n">
        <v>4.7</v>
      </c>
      <c r="M31" t="n">
        <v>11485</v>
      </c>
      <c r="O31" t="inlineStr">
        <is>
          <t>InStock</t>
        </is>
      </c>
      <c r="P31" t="inlineStr">
        <is>
          <t>145.0</t>
        </is>
      </c>
      <c r="Q31" t="inlineStr">
        <is>
          <t>1067283</t>
        </is>
      </c>
    </row>
    <row r="32">
      <c r="A32" s="2">
        <f>HYPERLINK("https://www.als.com/merrel-ms-shoe-moab-speed-mid-gtx/p?skuId=1206412", "https://www.als.com/merrel-ms-shoe-moab-speed-mid-gtx/p?skuId=1206412")</f>
        <v/>
      </c>
      <c r="B32" s="2">
        <f>HYPERLINK("https://www.als.com/merrel-ms-shoe-moab-speed-mid-gtx/p", "https://www.als.com/merrel-ms-shoe-moab-speed-mid-gtx/p")</f>
        <v/>
      </c>
      <c r="C32" t="inlineStr">
        <is>
          <t>Merrell Moab Speed Mid GTX Shoe - Men's</t>
        </is>
      </c>
      <c r="D32" t="inlineStr">
        <is>
          <t>Merrell Men's Moab 2 GTX Hiking Shoe</t>
        </is>
      </c>
      <c r="E32" s="2">
        <f>HYPERLINK("https://www.amazon.com/Merrell-Mens-Moab-Hiking-Beluga/dp/B01HFAD216/ref=sr_1_2?keywords=Merrell+Moab+Speed+Mid+GTX+Shoe+-+Men%27s&amp;qid=1695124445&amp;sr=8-2", "https://www.amazon.com/Merrell-Mens-Moab-Hiking-Beluga/dp/B01HFAD216/ref=sr_1_2?keywords=Merrell+Moab+Speed+Mid+GTX+Shoe+-+Men%27s&amp;qid=1695124445&amp;sr=8-2")</f>
        <v/>
      </c>
      <c r="F32" t="inlineStr">
        <is>
          <t>B01HFAD216</t>
        </is>
      </c>
      <c r="G32">
        <f>IMAGE("https://alssports.vtexassets.com/arquivos/ids/1363214-800-auto?v=638236487384000000&amp;width=800&amp;height=auto&amp;aspect=true")</f>
        <v/>
      </c>
      <c r="H32">
        <f>IMAGE("https://m.media-amazon.com/images/I/71oZHSAf85L._AC_UL320_.jpg")</f>
        <v/>
      </c>
      <c r="I32" t="inlineStr">
        <is>
          <t>84.98</t>
        </is>
      </c>
      <c r="J32" t="n">
        <v>82.01000000000001</v>
      </c>
      <c r="K32" s="3" t="inlineStr">
        <is>
          <t>-3.49%</t>
        </is>
      </c>
      <c r="L32" t="n">
        <v>4.5</v>
      </c>
      <c r="M32" t="n">
        <v>8034</v>
      </c>
      <c r="O32" t="inlineStr">
        <is>
          <t>InStock</t>
        </is>
      </c>
      <c r="P32" t="inlineStr">
        <is>
          <t>169.95</t>
        </is>
      </c>
      <c r="Q32" t="inlineStr">
        <is>
          <t>1206412</t>
        </is>
      </c>
    </row>
    <row r="33">
      <c r="A33" s="2">
        <f>HYPERLINK("https://www.als.com/brooks-m-shoe-hyperion/p?skuId=1327074", "https://www.als.com/brooks-m-shoe-hyperion/p?skuId=1327074")</f>
        <v/>
      </c>
      <c r="B33" s="2">
        <f>HYPERLINK("https://www.als.com/brooks-m-shoe-hyperion/p", "https://www.als.com/brooks-m-shoe-hyperion/p")</f>
        <v/>
      </c>
      <c r="C33" t="inlineStr">
        <is>
          <t>Brooks Hyperion Running Shoe - Men's</t>
        </is>
      </c>
      <c r="D33" t="inlineStr">
        <is>
          <t>Brooks Men's Levitate GTS 5 Supportive Running Shoe</t>
        </is>
      </c>
      <c r="E33" s="2">
        <f>HYPERLINK("https://www.amazon.com/Brooks-Levitate-Mens-Supportive-Running/dp/B08LQXJV99/ref=sr_1_33?keywords=Brooks+Hyperion+Running+Shoe+-+Men%27s&amp;qid=1695124104&amp;sr=8-33", "https://www.amazon.com/Brooks-Levitate-Mens-Supportive-Running/dp/B08LQXJV99/ref=sr_1_33?keywords=Brooks+Hyperion+Running+Shoe+-+Men%27s&amp;qid=1695124104&amp;sr=8-33")</f>
        <v/>
      </c>
      <c r="F33" t="inlineStr">
        <is>
          <t>B08LQXJV99</t>
        </is>
      </c>
      <c r="G33">
        <f>IMAGE("https://alssports.vtexassets.com/arquivos/ids/1377944-800-auto?v=638248725248900000&amp;width=800&amp;height=auto&amp;aspect=true")</f>
        <v/>
      </c>
      <c r="H33">
        <f>IMAGE("https://m.media-amazon.com/images/I/81MJU+-9m6L._AC_UL320_.jpg")</f>
        <v/>
      </c>
      <c r="I33" t="inlineStr">
        <is>
          <t>139.95</t>
        </is>
      </c>
      <c r="J33" t="n">
        <v>134.99</v>
      </c>
      <c r="K33" s="3" t="inlineStr">
        <is>
          <t>-3.54%</t>
        </is>
      </c>
      <c r="L33" t="n">
        <v>4.6</v>
      </c>
      <c r="M33" t="n">
        <v>403</v>
      </c>
      <c r="O33" t="inlineStr">
        <is>
          <t>InStock</t>
        </is>
      </c>
      <c r="P33" t="inlineStr">
        <is>
          <t>undefined</t>
        </is>
      </c>
      <c r="Q33" t="inlineStr">
        <is>
          <t>1327074</t>
        </is>
      </c>
    </row>
    <row r="34">
      <c r="A34" s="2">
        <f>HYPERLINK("https://www.als.com/under-m-cleat-harper-7-low-st/p?skuId=1310807", "https://www.als.com/under-m-cleat-harper-7-low-st/p?skuId=1310807")</f>
        <v/>
      </c>
      <c r="B34" s="2">
        <f>HYPERLINK("https://www.als.com/under-m-cleat-harper-7-low-st/p", "https://www.als.com/under-m-cleat-harper-7-low-st/p")</f>
        <v/>
      </c>
      <c r="C34" t="inlineStr">
        <is>
          <t>Under Armour Harper 7 Low St Baseball Cleat - Men's</t>
        </is>
      </c>
      <c r="D34" t="inlineStr">
        <is>
          <t>Under Armour Men's Harper 7 Mid Rubber Molded Baseball Cleat Shoe</t>
        </is>
      </c>
      <c r="E34" s="2">
        <f>HYPERLINK("https://www.amazon.com/Under-Armour-Harper-Rubber-Baseball/dp/B09LSC9251/ref=sr_1_2?keywords=Under+Armour+Harper+7+Low+St+Baseball+Cleat+-+Mens&amp;qid=1695124327&amp;sr=8-2", "https://www.amazon.com/Under-Armour-Harper-Rubber-Baseball/dp/B09LSC9251/ref=sr_1_2?keywords=Under+Armour+Harper+7+Low+St+Baseball+Cleat+-+Mens&amp;qid=1695124327&amp;sr=8-2")</f>
        <v/>
      </c>
      <c r="F34" t="inlineStr">
        <is>
          <t>B09LSC9251</t>
        </is>
      </c>
      <c r="G34">
        <f>IMAGE("https://alssports.vtexassets.com/arquivos/ids/1282050-800-auto?v=638157909890300000&amp;width=800&amp;height=auto&amp;aspect=true")</f>
        <v/>
      </c>
      <c r="H34">
        <f>IMAGE("https://m.media-amazon.com/images/I/71gzdpPYdoL._AC_UL320_.jpg")</f>
        <v/>
      </c>
      <c r="I34" t="inlineStr">
        <is>
          <t>52.0</t>
        </is>
      </c>
      <c r="J34" t="n">
        <v>49.98</v>
      </c>
      <c r="K34" s="3" t="inlineStr">
        <is>
          <t>-3.88%</t>
        </is>
      </c>
      <c r="L34" t="n">
        <v>4.6</v>
      </c>
      <c r="M34" t="n">
        <v>782</v>
      </c>
      <c r="O34" t="inlineStr">
        <is>
          <t>InStock</t>
        </is>
      </c>
      <c r="P34" t="inlineStr">
        <is>
          <t>130.0</t>
        </is>
      </c>
      <c r="Q34" t="inlineStr">
        <is>
          <t>1310807</t>
        </is>
      </c>
    </row>
    <row r="35">
      <c r="A35" s="2">
        <f>HYPERLINK("https://www.als.com/petzl-belay-grigri-assisted-braking/p?skuId=572368", "https://www.als.com/petzl-belay-grigri-assisted-braking/p?skuId=572368")</f>
        <v/>
      </c>
      <c r="B35" s="2">
        <f>HYPERLINK("https://www.als.com/petzl-belay-grigri-assisted-braking/p", "https://www.als.com/petzl-belay-grigri-assisted-braking/p")</f>
        <v/>
      </c>
      <c r="C35" t="inlineStr">
        <is>
          <t>Petzl GriGri Belay Device</t>
        </is>
      </c>
      <c r="D35" t="inlineStr">
        <is>
          <t>Petzl Gray GRIGRI 3 Climbing Belay Device</t>
        </is>
      </c>
      <c r="E35" s="2">
        <f>HYPERLINK("https://www.amazon.com/Petzl-GRIGRI-Climbing-Belay-Device/dp/B07MHM92WJ/ref=sr_1_3?keywords=Petzl+GriGri+Belay+Device&amp;qid=1695124323&amp;sr=8-3", "https://www.amazon.com/Petzl-GRIGRI-Climbing-Belay-Device/dp/B07MHM92WJ/ref=sr_1_3?keywords=Petzl+GriGri+Belay+Device&amp;qid=1695124323&amp;sr=8-3")</f>
        <v/>
      </c>
      <c r="F35" t="inlineStr">
        <is>
          <t>B07MHM92WJ</t>
        </is>
      </c>
      <c r="G35">
        <f>IMAGE("https://alssports.vtexassets.com/arquivos/ids/1023632-800-auto?v=637823067748170000&amp;width=800&amp;height=auto&amp;aspect=true")</f>
        <v/>
      </c>
      <c r="H35">
        <f>IMAGE("https://m.media-amazon.com/images/I/71oSt343e6L._AC_UY218_.jpg")</f>
        <v/>
      </c>
      <c r="I35" t="inlineStr">
        <is>
          <t>109.95</t>
        </is>
      </c>
      <c r="J35" t="n">
        <v>105.45</v>
      </c>
      <c r="K35" s="3" t="inlineStr">
        <is>
          <t>-4.09%</t>
        </is>
      </c>
      <c r="L35" t="n">
        <v>4.9</v>
      </c>
      <c r="M35" t="n">
        <v>93</v>
      </c>
      <c r="O35" t="inlineStr">
        <is>
          <t>InStock</t>
        </is>
      </c>
      <c r="P35" t="inlineStr">
        <is>
          <t>undefined</t>
        </is>
      </c>
      <c r="Q35" t="inlineStr">
        <is>
          <t>572368</t>
        </is>
      </c>
    </row>
    <row r="36">
      <c r="A36" s="2">
        <f>HYPERLINK("https://www.als.com/reding-reel-run/p?skuId=668675", "https://www.als.com/reding-reel-run/p?skuId=668675")</f>
        <v/>
      </c>
      <c r="B36" s="2">
        <f>HYPERLINK("https://www.als.com/reding-reel-run/p", "https://www.als.com/reding-reel-run/p")</f>
        <v/>
      </c>
      <c r="C36" t="inlineStr">
        <is>
          <t>Redington Run Fishing Reel</t>
        </is>
      </c>
      <c r="D36" t="inlineStr">
        <is>
          <t>Redington Run Fly Reel, Lightweight Design for Trout, Freshwater Fishing, Carbon Fiber Drag System</t>
        </is>
      </c>
      <c r="E36" s="2">
        <f>HYPERLINK("https://www.amazon.com/Redington-Run-Fly-Reel-Black/dp/B08B54RSJ7/ref=sr_1_1?keywords=Redington+Run+Fishing+Reel&amp;qid=1695124368&amp;sr=8-1", "https://www.amazon.com/Redington-Run-Fly-Reel-Black/dp/B08B54RSJ7/ref=sr_1_1?keywords=Redington+Run+Fishing+Reel&amp;qid=1695124368&amp;sr=8-1")</f>
        <v/>
      </c>
      <c r="F36" t="inlineStr">
        <is>
          <t>B08B54RSJ7</t>
        </is>
      </c>
      <c r="G36">
        <f>IMAGE("https://alssports.vtexassets.com/arquivos/ids/965822-800-auto?v=637738270480870000&amp;width=800&amp;height=auto&amp;aspect=true")</f>
        <v/>
      </c>
      <c r="H36">
        <f>IMAGE("https://m.media-amazon.com/images/I/616kPmuvhiL._AC_UY218_.jpg")</f>
        <v/>
      </c>
      <c r="I36" t="inlineStr">
        <is>
          <t>119.99</t>
        </is>
      </c>
      <c r="J36" t="n">
        <v>115</v>
      </c>
      <c r="K36" s="3" t="inlineStr">
        <is>
          <t>-4.16%</t>
        </is>
      </c>
      <c r="L36" t="n">
        <v>4.6</v>
      </c>
      <c r="M36" t="n">
        <v>60</v>
      </c>
      <c r="O36" t="inlineStr">
        <is>
          <t>InStock</t>
        </is>
      </c>
      <c r="P36" t="inlineStr">
        <is>
          <t>undefined</t>
        </is>
      </c>
      <c r="Q36" t="inlineStr">
        <is>
          <t>668675</t>
        </is>
      </c>
    </row>
    <row r="37">
      <c r="A37" s="2">
        <f>HYPERLINK("https://www.als.com/vans-shoe-old-skool-classic/p?skuId=486101", "https://www.als.com/vans-shoe-old-skool-classic/p?skuId=486101")</f>
        <v/>
      </c>
      <c r="B37" s="2">
        <f>HYPERLINK("https://www.als.com/vans-shoe-old-skool-classic/p", "https://www.als.com/vans-shoe-old-skool-classic/p")</f>
        <v/>
      </c>
      <c r="C37" t="inlineStr">
        <is>
          <t>Vans Old Skool Skate Shoe</t>
        </is>
      </c>
      <c r="D37" t="inlineStr">
        <is>
          <t>Vans Unisex Old Skool Black/True White Skate Shoe 8 Men US / 9.5 Women US</t>
        </is>
      </c>
      <c r="E37" s="2">
        <f>HYPERLINK("https://www.amazon.com/Vans-Unisex-Skool-Black-White/dp/B005B06TVS/ref=sr_1_48?keywords=Vans+Old+Skool+Skate+Shoe&amp;qid=1695124126&amp;sr=8-48", "https://www.amazon.com/Vans-Unisex-Skool-Black-White/dp/B005B06TVS/ref=sr_1_48?keywords=Vans+Old+Skool+Skate+Shoe&amp;qid=1695124126&amp;sr=8-48")</f>
        <v/>
      </c>
      <c r="F37" t="inlineStr">
        <is>
          <t>B005B06TVS</t>
        </is>
      </c>
      <c r="G37">
        <f>IMAGE("https://alssports.vtexassets.com/arquivos/ids/1076563-800-auto?v=637904803557770000&amp;width=800&amp;height=auto&amp;aspect=true")</f>
        <v/>
      </c>
      <c r="H37">
        <f>IMAGE("https://m.media-amazon.com/images/I/71WSLlYWnEL._AC_UL320_.jpg")</f>
        <v/>
      </c>
      <c r="I37" t="inlineStr">
        <is>
          <t>69.95</t>
        </is>
      </c>
      <c r="J37" t="n">
        <v>66.8</v>
      </c>
      <c r="K37" s="3" t="inlineStr">
        <is>
          <t>-4.50%</t>
        </is>
      </c>
      <c r="L37" t="n">
        <v>4.5</v>
      </c>
      <c r="M37" t="n">
        <v>103</v>
      </c>
      <c r="O37" t="inlineStr">
        <is>
          <t>InStock</t>
        </is>
      </c>
      <c r="P37" t="inlineStr">
        <is>
          <t>99.95</t>
        </is>
      </c>
      <c r="Q37" t="inlineStr">
        <is>
          <t>486101</t>
        </is>
      </c>
    </row>
    <row r="38">
      <c r="A38" s="2">
        <f>HYPERLINK("https://www.als.com/saucon-m-triumph-19/p?skuId=1203462", "https://www.als.com/saucon-m-triumph-19/p?skuId=1203462")</f>
        <v/>
      </c>
      <c r="B38" s="2">
        <f>HYPERLINK("https://www.als.com/saucon-m-triumph-19/p", "https://www.als.com/saucon-m-triumph-19/p")</f>
        <v/>
      </c>
      <c r="C38" t="inlineStr">
        <is>
          <t>Saucony Triumph 19 Shoe - Men's</t>
        </is>
      </c>
      <c r="D38" t="inlineStr">
        <is>
          <t>Saucony Men’s Triumph 19 Running Shoe</t>
        </is>
      </c>
      <c r="E38" s="2">
        <f>HYPERLINK("https://www.amazon.com/Saucony-Triumph-Running-Black-White/dp/B096FFGGGG/ref=sr_1_1?keywords=Saucony+Triumph+19+Shoe+-+Men%27s&amp;qid=1695124399&amp;sr=8-1", "https://www.amazon.com/Saucony-Triumph-Running-Black-White/dp/B096FFGGGG/ref=sr_1_1?keywords=Saucony+Triumph+19+Shoe+-+Men%27s&amp;qid=1695124399&amp;sr=8-1")</f>
        <v/>
      </c>
      <c r="F38" t="inlineStr">
        <is>
          <t>B096FFGGGG</t>
        </is>
      </c>
      <c r="G38">
        <f>IMAGE("https://alssports.vtexassets.com/arquivos/ids/1356884-800-auto?v=638230711236400000&amp;width=800&amp;height=auto&amp;aspect=true")</f>
        <v/>
      </c>
      <c r="H38">
        <f>IMAGE("https://m.media-amazon.com/images/I/81jp369T66L._AC_UL320_.jpg")</f>
        <v/>
      </c>
      <c r="I38" t="inlineStr">
        <is>
          <t>63.98</t>
        </is>
      </c>
      <c r="J38" t="n">
        <v>61</v>
      </c>
      <c r="K38" s="3" t="inlineStr">
        <is>
          <t>-4.66%</t>
        </is>
      </c>
      <c r="L38" t="n">
        <v>4.6</v>
      </c>
      <c r="M38" t="n">
        <v>1757</v>
      </c>
      <c r="O38" t="inlineStr">
        <is>
          <t>InStock</t>
        </is>
      </c>
      <c r="P38" t="inlineStr">
        <is>
          <t>159.95</t>
        </is>
      </c>
      <c r="Q38" t="inlineStr">
        <is>
          <t>1203462</t>
        </is>
      </c>
    </row>
    <row r="39">
      <c r="A39" s="2">
        <f>HYPERLINK("https://www.als.com/chaco-m-sandal-zcloud/p?skuId=932120", "https://www.als.com/chaco-m-sandal-zcloud/p?skuId=932120")</f>
        <v/>
      </c>
      <c r="B39" s="2">
        <f>HYPERLINK("https://www.als.com/chaco-m-sandal-zcloud/p", "https://www.als.com/chaco-m-sandal-zcloud/p")</f>
        <v/>
      </c>
      <c r="C39" t="inlineStr">
        <is>
          <t>Chaco Z/Cloud Sandal - Men's</t>
        </is>
      </c>
      <c r="D39" t="inlineStr">
        <is>
          <t>Chaco Men's Zcloud Sandal</t>
        </is>
      </c>
      <c r="E39" s="2">
        <f>HYPERLINK("https://www.amazon.com/Chaco-Zcloud-Sport-Sandal-Black/dp/B011AX0M5S/ref=sr_1_25?keywords=Chaco+Z%2FCloud+Sandal+-+Mens&amp;qid=1695124430&amp;sr=8-25", "https://www.amazon.com/Chaco-Zcloud-Sport-Sandal-Black/dp/B011AX0M5S/ref=sr_1_25?keywords=Chaco+Z%2FCloud+Sandal+-+Mens&amp;qid=1695124430&amp;sr=8-25")</f>
        <v/>
      </c>
      <c r="F39" t="inlineStr">
        <is>
          <t>B011AX0M5S</t>
        </is>
      </c>
      <c r="G39">
        <f>IMAGE("https://alssports.vtexassets.com/arquivos/ids/1082383-800-auto?v=637913737461500000&amp;width=800&amp;height=auto&amp;aspect=true")</f>
        <v/>
      </c>
      <c r="H39">
        <f>IMAGE("https://m.media-amazon.com/images/I/51l2U-SYzxL._AC_UL320_.jpg")</f>
        <v/>
      </c>
      <c r="I39" t="inlineStr">
        <is>
          <t>104.95</t>
        </is>
      </c>
      <c r="J39" t="n">
        <v>99.95</v>
      </c>
      <c r="K39" s="3" t="inlineStr">
        <is>
          <t>-4.76%</t>
        </is>
      </c>
      <c r="L39" t="n">
        <v>4.6</v>
      </c>
      <c r="M39" t="n">
        <v>211</v>
      </c>
      <c r="O39" t="inlineStr">
        <is>
          <t>InStock</t>
        </is>
      </c>
      <c r="P39" t="inlineStr">
        <is>
          <t>undefined</t>
        </is>
      </c>
      <c r="Q39" t="inlineStr">
        <is>
          <t>932120</t>
        </is>
      </c>
    </row>
    <row r="40">
      <c r="A40" s="2">
        <f>HYPERLINK("https://www.als.com/sitka-m-pant-mountain-optifade/p?skuId=90738", "https://www.als.com/sitka-m-pant-mountain-optifade/p?skuId=90738")</f>
        <v/>
      </c>
      <c r="B40" s="2">
        <f>HYPERLINK("https://www.als.com/sitka-m-pant-mountain-optifade/p", "https://www.als.com/sitka-m-pant-mountain-optifade/p")</f>
        <v/>
      </c>
      <c r="C40" t="inlineStr">
        <is>
          <t>Sitka Mountain Pant - Men's</t>
        </is>
      </c>
      <c r="D40" t="inlineStr">
        <is>
          <t>SITKA Gear Men's New 2021 Equinox Pant</t>
        </is>
      </c>
      <c r="E40" s="2">
        <f>HYPERLINK("https://www.amazon.com/SITKA-Gear-Equinox-Optifade-Elevated/dp/B098QQMQNV/ref=sr_1_10?keywords=Sitka+Mountain+Pant+-+Mens&amp;qid=1695124392&amp;sr=8-10", "https://www.amazon.com/SITKA-Gear-Equinox-Optifade-Elevated/dp/B098QQMQNV/ref=sr_1_10?keywords=Sitka+Mountain+Pant+-+Mens&amp;qid=1695124392&amp;sr=8-10")</f>
        <v/>
      </c>
      <c r="F40" t="inlineStr">
        <is>
          <t>B098QQMQNV</t>
        </is>
      </c>
      <c r="G40">
        <f>IMAGE("https://alssports.vtexassets.com/arquivos/ids/1369099-800-auto?v=638242004529500000&amp;width=800&amp;height=auto&amp;aspect=true")</f>
        <v/>
      </c>
      <c r="H40">
        <f>IMAGE("https://m.media-amazon.com/images/I/51CPQtrW9gS._AC_UL320_.jpg")</f>
        <v/>
      </c>
      <c r="I40" t="inlineStr">
        <is>
          <t>209.0</t>
        </is>
      </c>
      <c r="J40" t="n">
        <v>199</v>
      </c>
      <c r="K40" s="3" t="inlineStr">
        <is>
          <t>-4.78%</t>
        </is>
      </c>
      <c r="L40" t="n">
        <v>4.6</v>
      </c>
      <c r="M40" t="n">
        <v>73</v>
      </c>
      <c r="O40" t="inlineStr">
        <is>
          <t>InStock</t>
        </is>
      </c>
      <c r="P40" t="inlineStr">
        <is>
          <t>undefined</t>
        </is>
      </c>
      <c r="Q40" t="inlineStr">
        <is>
          <t>90738</t>
        </is>
      </c>
    </row>
    <row r="41">
      <c r="A41" s="2">
        <f>HYPERLINK("https://www.als.com/sitka-m-pant-mountain-optifade/p?skuId=90738", "https://www.als.com/sitka-m-pant-mountain-optifade/p?skuId=90738")</f>
        <v/>
      </c>
      <c r="B41" s="2">
        <f>HYPERLINK("https://www.als.com/sitka-m-pant-mountain-optifade/p", "https://www.als.com/sitka-m-pant-mountain-optifade/p")</f>
        <v/>
      </c>
      <c r="C41" t="inlineStr">
        <is>
          <t>Sitka Mountain Pant - Men's</t>
        </is>
      </c>
      <c r="D41" t="inlineStr">
        <is>
          <t>SITKA Gear Sitka Men's Grinder Waterfowl Concealing Hunting Pants</t>
        </is>
      </c>
      <c r="E41" s="2">
        <f>HYPERLINK("https://www.amazon.com/SITKA-Gear-Grinder-Pant-Mud/dp/B07C58DHNV/ref=sr_1_13?keywords=Sitka+Mountain+Pant+-+Mens&amp;qid=1695124392&amp;sr=8-13", "https://www.amazon.com/SITKA-Gear-Grinder-Pant-Mud/dp/B07C58DHNV/ref=sr_1_13?keywords=Sitka+Mountain+Pant+-+Mens&amp;qid=1695124392&amp;sr=8-13")</f>
        <v/>
      </c>
      <c r="F41" t="inlineStr">
        <is>
          <t>B07C58DHNV</t>
        </is>
      </c>
      <c r="G41">
        <f>IMAGE("https://alssports.vtexassets.com/arquivos/ids/1369099-800-auto?v=638242004529500000&amp;width=800&amp;height=auto&amp;aspect=true")</f>
        <v/>
      </c>
      <c r="H41">
        <f>IMAGE("https://m.media-amazon.com/images/I/71j4C1rNA6L._AC_UL320_.jpg")</f>
        <v/>
      </c>
      <c r="I41" t="inlineStr">
        <is>
          <t>209.0</t>
        </is>
      </c>
      <c r="J41" t="n">
        <v>199</v>
      </c>
      <c r="K41" s="3" t="inlineStr">
        <is>
          <t>-4.78%</t>
        </is>
      </c>
      <c r="L41" t="n">
        <v>4.7</v>
      </c>
      <c r="M41" t="n">
        <v>305</v>
      </c>
      <c r="O41" t="inlineStr">
        <is>
          <t>InStock</t>
        </is>
      </c>
      <c r="P41" t="inlineStr">
        <is>
          <t>undefined</t>
        </is>
      </c>
      <c r="Q41" t="inlineStr">
        <is>
          <t>90738</t>
        </is>
      </c>
    </row>
    <row r="42">
      <c r="A42" s="2">
        <f>HYPERLINK("https://www.als.com/vans-shoe-classic-slip-on/p?skuId=226085", "https://www.als.com/vans-shoe-classic-slip-on/p?skuId=226085")</f>
        <v/>
      </c>
      <c r="B42" s="2">
        <f>HYPERLINK("https://www.als.com/vans-shoe-classic-slip-on/p", "https://www.als.com/vans-shoe-classic-slip-on/p")</f>
        <v/>
      </c>
      <c r="C42" t="inlineStr">
        <is>
          <t>Vans Classic Slip-On Shoe</t>
        </is>
      </c>
      <c r="D42" t="inlineStr">
        <is>
          <t>Vans Unisex Classic Slip-On True White 8.5 B(M) US Women / 7 D(M) US Men</t>
        </is>
      </c>
      <c r="E42" s="2">
        <f>HYPERLINK("https://www.amazon.com/Vans-Unisex-Classic-Slip-White/dp/B01N8ORXDP/ref=sr_1_19?keywords=Vans+Classic+Slip-On+Shoe&amp;qid=1695124089&amp;sr=8-19", "https://www.amazon.com/Vans-Unisex-Classic-Slip-White/dp/B01N8ORXDP/ref=sr_1_19?keywords=Vans+Classic+Slip-On+Shoe&amp;qid=1695124089&amp;sr=8-19")</f>
        <v/>
      </c>
      <c r="F42" t="inlineStr">
        <is>
          <t>B01N8ORXDP</t>
        </is>
      </c>
      <c r="G42">
        <f>IMAGE("https://alssports.vtexassets.com/arquivos/ids/1443076-800-auto?v=638292000890400000&amp;width=800&amp;height=auto&amp;aspect=true")</f>
        <v/>
      </c>
      <c r="H42">
        <f>IMAGE("https://m.media-amazon.com/images/I/71rEF0o79pL._AC_UL320_.jpg")</f>
        <v/>
      </c>
      <c r="I42" t="inlineStr">
        <is>
          <t>59.95</t>
        </is>
      </c>
      <c r="J42" t="n">
        <v>57.02</v>
      </c>
      <c r="K42" s="3" t="inlineStr">
        <is>
          <t>-4.89%</t>
        </is>
      </c>
      <c r="L42" t="n">
        <v>4.9</v>
      </c>
      <c r="M42" t="n">
        <v>28</v>
      </c>
      <c r="O42" t="inlineStr">
        <is>
          <t>InStock</t>
        </is>
      </c>
      <c r="P42" t="inlineStr">
        <is>
          <t>undefined</t>
        </is>
      </c>
      <c r="Q42" t="inlineStr">
        <is>
          <t>226085</t>
        </is>
      </c>
    </row>
    <row r="43">
      <c r="A43" s="2">
        <f>HYPERLINK("https://www.als.com/heydud-m-shoe-wally-washed-canvas/p?skuId=1317816", "https://www.als.com/heydud-m-shoe-wally-washed-canvas/p?skuId=1317816")</f>
        <v/>
      </c>
      <c r="B43" s="2">
        <f>HYPERLINK("https://www.als.com/heydud-m-shoe-wally-washed-canvas/p", "https://www.als.com/heydud-m-shoe-wally-washed-canvas/p")</f>
        <v/>
      </c>
      <c r="C43" t="inlineStr">
        <is>
          <t>Hey Dude Wally Washed Canvas Shoe - Men's</t>
        </is>
      </c>
      <c r="D43" t="inlineStr">
        <is>
          <t>Hey Dude Men's Wally Tri | Men's Loafers | Men's Slip On Shoes | Comfortable &amp; Light-Weight</t>
        </is>
      </c>
      <c r="E43" s="2">
        <f>HYPERLINK("https://www.amazon.com/Hey-Dude-Loafers-Comfortable-Light-Weight/dp/B0B9T6DBZN/ref=sr_1_35?keywords=Hey+Dude+Wally+Washed+Canvas+Shoe+-+Mens&amp;qid=1695124460&amp;sr=8-35", "https://www.amazon.com/Hey-Dude-Loafers-Comfortable-Light-Weight/dp/B0B9T6DBZN/ref=sr_1_35?keywords=Hey+Dude+Wally+Washed+Canvas+Shoe+-+Mens&amp;qid=1695124460&amp;sr=8-35")</f>
        <v/>
      </c>
      <c r="F43" t="inlineStr">
        <is>
          <t>B0B9T6DBZN</t>
        </is>
      </c>
      <c r="G43">
        <f>IMAGE("https://alssports.vtexassets.com/arquivos/ids/1388214-800-auto?v=638255521966130000&amp;width=800&amp;height=auto&amp;aspect=true")</f>
        <v/>
      </c>
      <c r="H43">
        <f>IMAGE("https://m.media-amazon.com/images/I/6146EGzPR7L._AC_UL320_.jpg")</f>
        <v/>
      </c>
      <c r="I43" t="inlineStr">
        <is>
          <t>64.95</t>
        </is>
      </c>
      <c r="J43" t="n">
        <v>61.75</v>
      </c>
      <c r="K43" s="3" t="inlineStr">
        <is>
          <t>-4.93%</t>
        </is>
      </c>
      <c r="L43" t="n">
        <v>4.7</v>
      </c>
      <c r="M43" t="n">
        <v>526</v>
      </c>
      <c r="O43" t="inlineStr">
        <is>
          <t>InStock</t>
        </is>
      </c>
      <c r="P43" t="inlineStr">
        <is>
          <t>undefined</t>
        </is>
      </c>
      <c r="Q43" t="inlineStr">
        <is>
          <t>1317816</t>
        </is>
      </c>
    </row>
    <row r="44">
      <c r="A44" s="2">
        <f>HYPERLINK("https://www.als.com/heydud-m-shoe-wally-braided/p?skuId=599445", "https://www.als.com/heydud-m-shoe-wally-braided/p?skuId=599445")</f>
        <v/>
      </c>
      <c r="B44" s="2">
        <f>HYPERLINK("https://www.als.com/heydud-m-shoe-wally-braided/p", "https://www.als.com/heydud-m-shoe-wally-braided/p")</f>
        <v/>
      </c>
      <c r="C44" t="inlineStr">
        <is>
          <t>Hey Dude Wally Braided Shoe - Men's</t>
        </is>
      </c>
      <c r="D44" t="inlineStr">
        <is>
          <t>Hey Dude Men's Wally Tri | Men's Loafers | Men's Slip On Shoes | Comfortable &amp; Light-Weight</t>
        </is>
      </c>
      <c r="E44" s="2">
        <f>HYPERLINK("https://www.amazon.com/Hey-Dude-Loafers-Comfortable-Light-Weight/dp/B0B9T6DBZN/ref=sr_1_17?keywords=Hey+Dude+Wally+Braided+Shoe+-+Mens&amp;qid=1695124451&amp;sr=8-17", "https://www.amazon.com/Hey-Dude-Loafers-Comfortable-Light-Weight/dp/B0B9T6DBZN/ref=sr_1_17?keywords=Hey+Dude+Wally+Braided+Shoe+-+Mens&amp;qid=1695124451&amp;sr=8-17")</f>
        <v/>
      </c>
      <c r="F44" t="inlineStr">
        <is>
          <t>B0B9T6DBZN</t>
        </is>
      </c>
      <c r="G44">
        <f>IMAGE("https://alssports.vtexassets.com/arquivos/ids/1386107-800-auto?v=638254870959300000&amp;width=800&amp;height=auto&amp;aspect=true")</f>
        <v/>
      </c>
      <c r="H44">
        <f>IMAGE("https://m.media-amazon.com/images/I/6146EGzPR7L._AC_UL320_.jpg")</f>
        <v/>
      </c>
      <c r="I44" t="inlineStr">
        <is>
          <t>64.95</t>
        </is>
      </c>
      <c r="J44" t="n">
        <v>61.75</v>
      </c>
      <c r="K44" s="3" t="inlineStr">
        <is>
          <t>-4.93%</t>
        </is>
      </c>
      <c r="L44" t="n">
        <v>4.7</v>
      </c>
      <c r="M44" t="n">
        <v>526</v>
      </c>
      <c r="O44" t="inlineStr">
        <is>
          <t>InStock</t>
        </is>
      </c>
      <c r="P44" t="inlineStr">
        <is>
          <t>undefined</t>
        </is>
      </c>
      <c r="Q44" t="inlineStr">
        <is>
          <t>599445</t>
        </is>
      </c>
    </row>
    <row r="45">
      <c r="A45" s="2">
        <f>HYPERLINK("https://www.als.com/heydud-w-shoe-wendy-rise-woven/p?skuId=1317686", "https://www.als.com/heydud-w-shoe-wendy-rise-woven/p?skuId=1317686")</f>
        <v/>
      </c>
      <c r="B45" s="2">
        <f>HYPERLINK("https://www.als.com/heydud-w-shoe-wendy-rise-woven/p", "https://www.als.com/heydud-w-shoe-wendy-rise-woven/p")</f>
        <v/>
      </c>
      <c r="C45" t="inlineStr">
        <is>
          <t>Hey Dude Wendy Rise Woven Shoe - Women's</t>
        </is>
      </c>
      <c r="D45" t="inlineStr">
        <is>
          <t>Hey Dude Women's Misty Rise | Women's Shoes | Women's Slip On Shoes | Comfortable &amp; Light-Weight Multi Colors and Sizes</t>
        </is>
      </c>
      <c r="E45" s="2">
        <f>HYPERLINK("https://www.amazon.com/Hey-Dude-Womens-Comfortable-Light-Weight/dp/B0B9VS8YGF/ref=sr_1_24?keywords=Hey+Dude+Wendy+Rise+Woven+Shoe+-+Womens&amp;qid=1695124483&amp;sr=8-24", "https://www.amazon.com/Hey-Dude-Womens-Comfortable-Light-Weight/dp/B0B9VS8YGF/ref=sr_1_24?keywords=Hey+Dude+Wendy+Rise+Woven+Shoe+-+Womens&amp;qid=1695124483&amp;sr=8-24")</f>
        <v/>
      </c>
      <c r="F45" t="inlineStr">
        <is>
          <t>B0B9VS8YGF</t>
        </is>
      </c>
      <c r="G45">
        <f>IMAGE("https://alssports.vtexassets.com/arquivos/ids/1387367-800-auto?v=638255482261930000&amp;width=800&amp;height=auto&amp;aspect=true")</f>
        <v/>
      </c>
      <c r="H45">
        <f>IMAGE("https://m.media-amazon.com/images/I/61KTK-ETA7L._AC_UL320_.jpg")</f>
        <v/>
      </c>
      <c r="I45" t="inlineStr">
        <is>
          <t>64.95</t>
        </is>
      </c>
      <c r="J45" t="n">
        <v>61.74</v>
      </c>
      <c r="K45" s="3" t="inlineStr">
        <is>
          <t>-4.94%</t>
        </is>
      </c>
      <c r="L45" t="n">
        <v>4.5</v>
      </c>
      <c r="M45" t="n">
        <v>47</v>
      </c>
      <c r="O45" t="inlineStr">
        <is>
          <t>InStock</t>
        </is>
      </c>
      <c r="P45" t="inlineStr">
        <is>
          <t>undefined</t>
        </is>
      </c>
      <c r="Q45" t="inlineStr">
        <is>
          <t>1317686</t>
        </is>
      </c>
    </row>
    <row r="46">
      <c r="A46" s="2">
        <f>HYPERLINK("https://www.als.com/conti-tire-grand-prix-5000-s-tr/p?skuId=971397", "https://www.als.com/conti-tire-grand-prix-5000-s-tr/p?skuId=971397")</f>
        <v/>
      </c>
      <c r="B46" s="2">
        <f>HYPERLINK("https://www.als.com/conti-tire-grand-prix-5000-s-tr/p", "https://www.als.com/conti-tire-grand-prix-5000-s-tr/p")</f>
        <v/>
      </c>
      <c r="C46" t="inlineStr">
        <is>
          <t>Continental Tires Continental Grand Prix 5000 S TR Tire</t>
        </is>
      </c>
      <c r="D46" t="inlineStr">
        <is>
          <t>Continental Pair Grand Prix 5000 Folding Tires 700x25c Black Cream Road Race</t>
        </is>
      </c>
      <c r="E46" s="2">
        <f>HYPERLINK("https://www.amazon.com/Continental-Grand-Folding-Tires-700x25c/dp/B09ZKR3FS5/ref=sr_1_9?keywords=Continental+Tires+Continental+Grand+Prix+5000+S+TR+Tire&amp;qid=1695124461&amp;sr=8-9", "https://www.amazon.com/Continental-Grand-Folding-Tires-700x25c/dp/B09ZKR3FS5/ref=sr_1_9?keywords=Continental+Tires+Continental+Grand+Prix+5000+S+TR+Tire&amp;qid=1695124461&amp;sr=8-9")</f>
        <v/>
      </c>
      <c r="F46" t="inlineStr">
        <is>
          <t>B09ZKR3FS5</t>
        </is>
      </c>
      <c r="G46">
        <f>IMAGE("https://alssports.vtexassets.com/arquivos/ids/1235281-800-auto?v=638114086611970000&amp;width=800&amp;height=auto&amp;aspect=true")</f>
        <v/>
      </c>
      <c r="H46">
        <f>IMAGE("https://m.media-amazon.com/images/I/611y90TD4+L._AC_UL320_.jpg")</f>
        <v/>
      </c>
      <c r="I46" t="inlineStr">
        <is>
          <t>99.95</t>
        </is>
      </c>
      <c r="J46" t="n">
        <v>95</v>
      </c>
      <c r="K46" s="3" t="inlineStr">
        <is>
          <t>-4.95%</t>
        </is>
      </c>
      <c r="L46" t="n">
        <v>4.7</v>
      </c>
      <c r="M46" t="n">
        <v>60</v>
      </c>
      <c r="O46" t="inlineStr">
        <is>
          <t>InStock</t>
        </is>
      </c>
      <c r="P46" t="inlineStr">
        <is>
          <t>undefined</t>
        </is>
      </c>
      <c r="Q46" t="inlineStr">
        <is>
          <t>971397</t>
        </is>
      </c>
    </row>
    <row r="47">
      <c r="A47" s="2">
        <f>HYPERLINK("https://www.als.com/under-ua-drive-pant/p?skuId=997492", "https://www.als.com/under-ua-drive-pant/p?skuId=997492")</f>
        <v/>
      </c>
      <c r="B47" s="2">
        <f>HYPERLINK("https://www.als.com/under-ua-drive-pant/p", "https://www.als.com/under-ua-drive-pant/p")</f>
        <v/>
      </c>
      <c r="C47" t="inlineStr">
        <is>
          <t>Under Armour Drive Pant - Men's</t>
        </is>
      </c>
      <c r="D47" t="inlineStr">
        <is>
          <t>Under Armour Men's Showdown Tapered Golf Pants</t>
        </is>
      </c>
      <c r="E47" s="2">
        <f>HYPERLINK("https://www.amazon.com/Under-Armour-Showdown-Tapered-Pants/dp/B072J4DXG4/ref=sr_1_7?keywords=Under+Armour+Drive+Pant+-+Men%27s&amp;qid=1695124299&amp;sr=8-7", "https://www.amazon.com/Under-Armour-Showdown-Tapered-Pants/dp/B072J4DXG4/ref=sr_1_7?keywords=Under+Armour+Drive+Pant+-+Men%27s&amp;qid=1695124299&amp;sr=8-7")</f>
        <v/>
      </c>
      <c r="F47" t="inlineStr">
        <is>
          <t>B072J4DXG4</t>
        </is>
      </c>
      <c r="G47">
        <f>IMAGE("https://alssports.vtexassets.com/arquivos/ids/1442508-800-auto?v=638291812057330000&amp;width=800&amp;height=auto&amp;aspect=true")</f>
        <v/>
      </c>
      <c r="H47">
        <f>IMAGE("https://m.media-amazon.com/images/I/41KuArQqj6L._AC_UL320_.jpg")</f>
        <v/>
      </c>
      <c r="I47" t="inlineStr">
        <is>
          <t>51.0</t>
        </is>
      </c>
      <c r="J47" t="n">
        <v>48.42</v>
      </c>
      <c r="K47" s="3" t="inlineStr">
        <is>
          <t>-5.06%</t>
        </is>
      </c>
      <c r="L47" t="n">
        <v>4.6</v>
      </c>
      <c r="M47" t="n">
        <v>2145</v>
      </c>
      <c r="O47" t="inlineStr">
        <is>
          <t>undefined</t>
        </is>
      </c>
      <c r="P47" t="inlineStr">
        <is>
          <t>85.0</t>
        </is>
      </c>
      <c r="Q47" t="inlineStr">
        <is>
          <t>997492</t>
        </is>
      </c>
    </row>
    <row r="48">
      <c r="A48" s="2">
        <f>HYPERLINK("https://www.als.com/birken-ws-sandal-arizona-soft-ftbed/p?skuId=254551", "https://www.als.com/birken-ws-sandal-arizona-soft-ftbed/p?skuId=254551")</f>
        <v/>
      </c>
      <c r="B48" s="2">
        <f>HYPERLINK("https://www.als.com/birken-ws-sandal-arizona-soft-ftbed/p", "https://www.als.com/birken-ws-sandal-arizona-soft-ftbed/p")</f>
        <v/>
      </c>
      <c r="C48" t="inlineStr">
        <is>
          <t>Birkenstock Arizona Soft Footbed Sandal</t>
        </is>
      </c>
      <c r="D48" t="inlineStr">
        <is>
          <t>Birkenstock Women's Arizona Soft Sandals</t>
        </is>
      </c>
      <c r="E48" s="2">
        <f>HYPERLINK("https://www.amazon.com/Birkenstock-Unisex-Arizona-Taupe-Sandals/dp/B000W0A05I/ref=sr_1_2?keywords=Birkenstock+Arizona+Soft+Footbed+Sandal&amp;qid=1695124328&amp;sr=8-2", "https://www.amazon.com/Birkenstock-Unisex-Arizona-Taupe-Sandals/dp/B000W0A05I/ref=sr_1_2?keywords=Birkenstock+Arizona+Soft+Footbed+Sandal&amp;qid=1695124328&amp;sr=8-2")</f>
        <v/>
      </c>
      <c r="F48" t="inlineStr">
        <is>
          <t>B000W0A05I</t>
        </is>
      </c>
      <c r="G48">
        <f>IMAGE("https://alssports.vtexassets.com/arquivos/ids/1316883-800-auto?v=638198562145970000&amp;width=800&amp;height=auto&amp;aspect=true")</f>
        <v/>
      </c>
      <c r="H48">
        <f>IMAGE("https://m.media-amazon.com/images/I/71OWZN27TAL._AC_UL320_.jpg")</f>
        <v/>
      </c>
      <c r="I48" t="inlineStr">
        <is>
          <t>135.0</t>
        </is>
      </c>
      <c r="J48" t="n">
        <v>127.95</v>
      </c>
      <c r="K48" s="3" t="inlineStr">
        <is>
          <t>-5.22%</t>
        </is>
      </c>
      <c r="L48" t="n">
        <v>4.5</v>
      </c>
      <c r="M48" t="n">
        <v>109</v>
      </c>
      <c r="O48" t="inlineStr">
        <is>
          <t>InStock</t>
        </is>
      </c>
      <c r="P48" t="inlineStr">
        <is>
          <t>undefined</t>
        </is>
      </c>
      <c r="Q48" t="inlineStr">
        <is>
          <t>254551</t>
        </is>
      </c>
    </row>
    <row r="49">
      <c r="A49" s="2">
        <f>HYPERLINK("https://www.als.com/adidas-m-shoe-don-issue-4/p?skuId=1287057", "https://www.als.com/adidas-m-shoe-don-issue-4/p?skuId=1287057")</f>
        <v/>
      </c>
      <c r="B49" s="2">
        <f>HYPERLINK("https://www.als.com/adidas-m-shoe-don-issue-4/p", "https://www.als.com/adidas-m-shoe-don-issue-4/p")</f>
        <v/>
      </c>
      <c r="C49" t="inlineStr">
        <is>
          <t>adidas D.O.N. Issue #4 Basketball Shoe - Men's</t>
        </is>
      </c>
      <c r="D49" t="inlineStr">
        <is>
          <t>adidas Unisex-Child D.o.n. Issue 2 Basketball Shoe</t>
        </is>
      </c>
      <c r="E49" s="2">
        <f>HYPERLINK("https://www.amazon.com/adidas-Issue-ShoesWhite-Black-Metallic3/dp/B083M7V7L1/ref=sr_1_5?keywords=adidas+D.O.N.+Issue&amp;qid=1695124396&amp;sr=8-5", "https://www.amazon.com/adidas-Issue-ShoesWhite-Black-Metallic3/dp/B083M7V7L1/ref=sr_1_5?keywords=adidas+D.O.N.+Issue&amp;qid=1695124396&amp;sr=8-5")</f>
        <v/>
      </c>
      <c r="F49" t="inlineStr">
        <is>
          <t>B083M7V7L1</t>
        </is>
      </c>
      <c r="G49">
        <f>IMAGE("https://alssports.vtexassets.com/arquivos/ids/1250954-800-auto?v=638128879881500000&amp;width=800&amp;height=auto&amp;aspect=true")</f>
        <v/>
      </c>
      <c r="H49">
        <f>IMAGE("https://m.media-amazon.com/images/I/71JjilPSSOS._AC_UL320_.jpg")</f>
        <v/>
      </c>
      <c r="I49" t="inlineStr">
        <is>
          <t>47.98</t>
        </is>
      </c>
      <c r="J49" t="n">
        <v>45.45</v>
      </c>
      <c r="K49" s="3" t="inlineStr">
        <is>
          <t>-5.27%</t>
        </is>
      </c>
      <c r="L49" t="n">
        <v>4.5</v>
      </c>
      <c r="M49" t="n">
        <v>657</v>
      </c>
      <c r="O49" t="inlineStr">
        <is>
          <t>InStock</t>
        </is>
      </c>
      <c r="P49" t="inlineStr">
        <is>
          <t>119.95</t>
        </is>
      </c>
      <c r="Q49" t="inlineStr">
        <is>
          <t>1287057</t>
        </is>
      </c>
    </row>
    <row r="50">
      <c r="A50" s="2">
        <f>HYPERLINK("https://www.als.com/under-ua-drive-pant/p?skuId=997492", "https://www.als.com/under-ua-drive-pant/p?skuId=997492")</f>
        <v/>
      </c>
      <c r="B50" s="2">
        <f>HYPERLINK("https://www.als.com/under-ua-drive-pant/p", "https://www.als.com/under-ua-drive-pant/p")</f>
        <v/>
      </c>
      <c r="C50" t="inlineStr">
        <is>
          <t>Under Armour Drive Pant - Men's</t>
        </is>
      </c>
      <c r="D50" t="inlineStr">
        <is>
          <t>Under Armour Men's ColdGear Infrared Showdown Golf Pants</t>
        </is>
      </c>
      <c r="E50" s="2">
        <f>HYPERLINK("https://www.amazon.com/Under-Armour-Coldgear-Infrared-Showdown/dp/B077XNJV7V/ref=sr_1_18?keywords=Under+Armour+Drive+Pant+-+Men%27s&amp;qid=1695124299&amp;sr=8-18", "https://www.amazon.com/Under-Armour-Coldgear-Infrared-Showdown/dp/B077XNJV7V/ref=sr_1_18?keywords=Under+Armour+Drive+Pant+-+Men%27s&amp;qid=1695124299&amp;sr=8-18")</f>
        <v/>
      </c>
      <c r="F50" t="inlineStr">
        <is>
          <t>B077XNJV7V</t>
        </is>
      </c>
      <c r="G50">
        <f>IMAGE("https://alssports.vtexassets.com/arquivos/ids/1442508-800-auto?v=638291812057330000&amp;width=800&amp;height=auto&amp;aspect=true")</f>
        <v/>
      </c>
      <c r="H50">
        <f>IMAGE("https://m.media-amazon.com/images/I/51VkLYTLatL._AC_UL320_.jpg")</f>
        <v/>
      </c>
      <c r="I50" t="inlineStr">
        <is>
          <t>51.0</t>
        </is>
      </c>
      <c r="J50" t="n">
        <v>48.06</v>
      </c>
      <c r="K50" s="3" t="inlineStr">
        <is>
          <t>-5.76%</t>
        </is>
      </c>
      <c r="L50" t="n">
        <v>4.8</v>
      </c>
      <c r="M50" t="n">
        <v>261</v>
      </c>
      <c r="O50" t="inlineStr">
        <is>
          <t>undefined</t>
        </is>
      </c>
      <c r="P50" t="inlineStr">
        <is>
          <t>85.0</t>
        </is>
      </c>
      <c r="Q50" t="inlineStr">
        <is>
          <t>997492</t>
        </is>
      </c>
    </row>
    <row r="51">
      <c r="A51" s="2">
        <f>HYPERLINK("https://www.als.com/adidas-w-shoe-4dfwd-2/p?skuId=1285989", "https://www.als.com/adidas-w-shoe-4dfwd-2/p?skuId=1285989")</f>
        <v/>
      </c>
      <c r="B51" s="2">
        <f>HYPERLINK("https://www.als.com/adidas-w-shoe-4dfwd-2/p", "https://www.als.com/adidas-w-shoe-4dfwd-2/p")</f>
        <v/>
      </c>
      <c r="C51" t="inlineStr">
        <is>
          <t>adidas 4DFWD 2 Shoe - Women's</t>
        </is>
      </c>
      <c r="D51" t="inlineStr">
        <is>
          <t>adidas Women's Cloudfoam Pure 2.0 Running Shoe</t>
        </is>
      </c>
      <c r="E51" s="2">
        <f>HYPERLINK("https://www.amazon.com/adidas-Womens-Vario-Black-Carbon/dp/B08CZ14WBH/ref=sr_1_9?keywords=adidas+4DFWD+2+Shoe+-+Women%27s&amp;qid=1695124326&amp;sr=8-9", "https://www.amazon.com/adidas-Womens-Vario-Black-Carbon/dp/B08CZ14WBH/ref=sr_1_9?keywords=adidas+4DFWD+2+Shoe+-+Women%27s&amp;qid=1695124326&amp;sr=8-9")</f>
        <v/>
      </c>
      <c r="F51" t="inlineStr">
        <is>
          <t>B08CZ14WBH</t>
        </is>
      </c>
      <c r="G51">
        <f>IMAGE("https://alssports.vtexassets.com/arquivos/ids/1396854-800-auto?v=638260048905170000&amp;width=800&amp;height=auto&amp;aspect=true")</f>
        <v/>
      </c>
      <c r="H51">
        <f>IMAGE("https://m.media-amazon.com/images/I/71a6jbtqMwL._AC_UL320_.jpg")</f>
        <v/>
      </c>
      <c r="I51" t="inlineStr">
        <is>
          <t>79.98</t>
        </is>
      </c>
      <c r="J51" t="n">
        <v>74.98999999999999</v>
      </c>
      <c r="K51" s="3" t="inlineStr">
        <is>
          <t>-6.24%</t>
        </is>
      </c>
      <c r="L51" t="n">
        <v>4.5</v>
      </c>
      <c r="M51" t="n">
        <v>81666</v>
      </c>
      <c r="O51" t="inlineStr">
        <is>
          <t>InStock</t>
        </is>
      </c>
      <c r="P51" t="inlineStr">
        <is>
          <t>199.95</t>
        </is>
      </c>
      <c r="Q51" t="inlineStr">
        <is>
          <t>1285989</t>
        </is>
      </c>
    </row>
    <row r="52">
      <c r="A52" s="2">
        <f>HYPERLINK("https://www.als.com/columbia-double-trouble-reversible-jacket-toddler-124814/p?skuId=1245039", "https://www.als.com/columbia-double-trouble-reversible-jacket-toddler-124814/p?skuId=1245039")</f>
        <v/>
      </c>
      <c r="B52" s="2">
        <f>HYPERLINK("https://www.als.com/columbia-double-trouble-reversible-jacket-toddler-124814/p", "https://www.als.com/columbia-double-trouble-reversible-jacket-toddler-124814/p")</f>
        <v/>
      </c>
      <c r="C52" t="inlineStr">
        <is>
          <t>Columbia Double Trouble Reversible Jacket - Toddler</t>
        </is>
      </c>
      <c r="D52" t="inlineStr">
        <is>
          <t>Columbia Girls' Double Trouble Jacket</t>
        </is>
      </c>
      <c r="E52" s="2">
        <f>HYPERLINK("https://www.amazon.com/Columbia-Double-Trouble-Jacket-Critter/dp/B07K6LVDW2/ref=sr_1_5?keywords=Columbia+Double+Trouble+Reversible+Jacket+-+Toddler&amp;qid=1695124350&amp;sr=8-5", "https://www.amazon.com/Columbia-Double-Trouble-Jacket-Critter/dp/B07K6LVDW2/ref=sr_1_5?keywords=Columbia+Double+Trouble+Reversible+Jacket+-+Toddler&amp;qid=1695124350&amp;sr=8-5")</f>
        <v/>
      </c>
      <c r="F52" t="inlineStr">
        <is>
          <t>B07K6LVDW2</t>
        </is>
      </c>
      <c r="G52">
        <f>IMAGE("https://alssports.vtexassets.com/arquivos/ids/1182239-800-auto?v=638052779051930000&amp;width=800&amp;height=auto&amp;aspect=true")</f>
        <v/>
      </c>
      <c r="H52">
        <f>IMAGE("https://m.media-amazon.com/images/I/718g74CkZ0L._AC_UL320_.jpg")</f>
        <v/>
      </c>
      <c r="I52" t="inlineStr">
        <is>
          <t>56.0</t>
        </is>
      </c>
      <c r="J52" t="n">
        <v>52.5</v>
      </c>
      <c r="K52" s="3" t="inlineStr">
        <is>
          <t>-6.25%</t>
        </is>
      </c>
      <c r="L52" t="n">
        <v>4.8</v>
      </c>
      <c r="M52" t="n">
        <v>379</v>
      </c>
      <c r="O52" t="inlineStr">
        <is>
          <t>InStock</t>
        </is>
      </c>
      <c r="P52" t="inlineStr">
        <is>
          <t>80.0</t>
        </is>
      </c>
      <c r="Q52" t="inlineStr">
        <is>
          <t>1245039</t>
        </is>
      </c>
    </row>
    <row r="53">
      <c r="A53" s="2">
        <f>HYPERLINK("https://www.als.com/asics-m-shoe-gel-kayano-29/p?skuId=1037701", "https://www.als.com/asics-m-shoe-gel-kayano-29/p?skuId=1037701")</f>
        <v/>
      </c>
      <c r="B53" s="2">
        <f>HYPERLINK("https://www.als.com/asics-m-shoe-gel-kayano-29/p", "https://www.als.com/asics-m-shoe-gel-kayano-29/p")</f>
        <v/>
      </c>
      <c r="C53" t="inlineStr">
        <is>
          <t>Asics Gel-Kayano 29 Running Shoe - Men's</t>
        </is>
      </c>
      <c r="D53" t="inlineStr">
        <is>
          <t>ASICS Men's Gel-Venture 8 Running Shoes</t>
        </is>
      </c>
      <c r="E53" s="2">
        <f>HYPERLINK("https://www.amazon.com/ASICS-Gel-Venture-Sheet-Rock-Habanero/dp/B091KFWD5S/ref=sr_1_21?keywords=Asics+Gel-Kayano+29+Running+Shoe+-+Men%27s&amp;qid=1695124323&amp;sr=8-21", "https://www.amazon.com/ASICS-Gel-Venture-Sheet-Rock-Habanero/dp/B091KFWD5S/ref=sr_1_21?keywords=Asics+Gel-Kayano+29+Running+Shoe+-+Men%27s&amp;qid=1695124323&amp;sr=8-21")</f>
        <v/>
      </c>
      <c r="F53" t="inlineStr">
        <is>
          <t>B091KFWD5S</t>
        </is>
      </c>
      <c r="G53">
        <f>IMAGE("https://alssports.vtexassets.com/arquivos/ids/1127287-800-auto?v=637980196704630000&amp;width=800&amp;height=auto&amp;aspect=true")</f>
        <v/>
      </c>
      <c r="H53">
        <f>IMAGE("https://m.media-amazon.com/images/I/610-4jTqVvL._AC_UL320_.jpg")</f>
        <v/>
      </c>
      <c r="I53" t="inlineStr">
        <is>
          <t>63.98</t>
        </is>
      </c>
      <c r="J53" t="n">
        <v>59.95</v>
      </c>
      <c r="K53" s="3" t="inlineStr">
        <is>
          <t>-6.30%</t>
        </is>
      </c>
      <c r="L53" t="n">
        <v>4.5</v>
      </c>
      <c r="M53" t="n">
        <v>20995</v>
      </c>
      <c r="O53" t="inlineStr">
        <is>
          <t>InStock</t>
        </is>
      </c>
      <c r="P53" t="inlineStr">
        <is>
          <t>159.95</t>
        </is>
      </c>
      <c r="Q53" t="inlineStr">
        <is>
          <t>1037701</t>
        </is>
      </c>
    </row>
    <row r="54">
      <c r="A54" s="2">
        <f>HYPERLINK("https://www.als.com/asics-w-shoe-gel-kayano-29/p?skuId=1037742", "https://www.als.com/asics-w-shoe-gel-kayano-29/p?skuId=1037742")</f>
        <v/>
      </c>
      <c r="B54" s="2">
        <f>HYPERLINK("https://www.als.com/asics-w-shoe-gel-kayano-29/p", "https://www.als.com/asics-w-shoe-gel-kayano-29/p")</f>
        <v/>
      </c>
      <c r="C54" t="inlineStr">
        <is>
          <t>Asics Gel-Kayano 29 Running Shoe - Women's</t>
        </is>
      </c>
      <c r="D54" t="inlineStr">
        <is>
          <t>ASICS Women's Gel-Kayano 25 Running Shoe</t>
        </is>
      </c>
      <c r="E54" s="2">
        <f>HYPERLINK("https://www.amazon.com/ASICS-Womens-Gel-Kayano-Running-Carbon/dp/B077MKS7CV/ref=sr_1_9?keywords=Asics+Gel-Kayano+29+Running+Shoe+-+Women%27s&amp;qid=1695124114&amp;sr=8-9", "https://www.amazon.com/ASICS-Womens-Gel-Kayano-Running-Carbon/dp/B077MKS7CV/ref=sr_1_9?keywords=Asics+Gel-Kayano+29+Running+Shoe+-+Women%27s&amp;qid=1695124114&amp;sr=8-9")</f>
        <v/>
      </c>
      <c r="F54" t="inlineStr">
        <is>
          <t>B077MKS7CV</t>
        </is>
      </c>
      <c r="G54">
        <f>IMAGE("https://alssports.vtexassets.com/arquivos/ids/1127320-800-auto?v=637980202666000000&amp;width=800&amp;height=auto&amp;aspect=true")</f>
        <v/>
      </c>
      <c r="H54">
        <f>IMAGE("https://m.media-amazon.com/images/I/81Rzd5OQapL._AC_UL320_.jpg")</f>
        <v/>
      </c>
      <c r="I54" t="inlineStr">
        <is>
          <t>63.98</t>
        </is>
      </c>
      <c r="J54" t="n">
        <v>59.95</v>
      </c>
      <c r="K54" s="3" t="inlineStr">
        <is>
          <t>-6.30%</t>
        </is>
      </c>
      <c r="L54" t="n">
        <v>4.6</v>
      </c>
      <c r="M54" t="n">
        <v>4742</v>
      </c>
      <c r="O54" t="inlineStr">
        <is>
          <t>InStock</t>
        </is>
      </c>
      <c r="P54" t="inlineStr">
        <is>
          <t>159.95</t>
        </is>
      </c>
      <c r="Q54" t="inlineStr">
        <is>
          <t>1037742</t>
        </is>
      </c>
    </row>
    <row r="55">
      <c r="A55" s="2">
        <f>HYPERLINK("https://www.als.com/merrel-w-siren-sport-3/p?skuId=1229154", "https://www.als.com/merrel-w-siren-sport-3/p?skuId=1229154")</f>
        <v/>
      </c>
      <c r="B55" s="2">
        <f>HYPERLINK("https://www.als.com/merrel-w-siren-sport-3/p", "https://www.als.com/merrel-w-siren-sport-3/p")</f>
        <v/>
      </c>
      <c r="C55" t="inlineStr">
        <is>
          <t>Merrell Siren Sport 3 Shoe - Women's</t>
        </is>
      </c>
      <c r="D55" t="inlineStr">
        <is>
          <t>Merrell Women's Moab 3 Hiking Shoe</t>
        </is>
      </c>
      <c r="E55" s="2">
        <f>HYPERLINK("https://www.amazon.com/Merrell-Womens-Moab-Hiking-Falcon/dp/B098KJNKBS/ref=sr_1_15?keywords=Merrell+Siren+Sport+3+Shoe+-+Women%27s&amp;qid=1695124310&amp;sr=8-15", "https://www.amazon.com/Merrell-Womens-Moab-Hiking-Falcon/dp/B098KJNKBS/ref=sr_1_15?keywords=Merrell+Siren+Sport+3+Shoe+-+Women%27s&amp;qid=1695124310&amp;sr=8-15")</f>
        <v/>
      </c>
      <c r="F55" t="inlineStr">
        <is>
          <t>B098KJNKBS</t>
        </is>
      </c>
      <c r="G55">
        <f>IMAGE("https://alssports.vtexassets.com/arquivos/ids/1363337-800-auto?v=638236500861470000&amp;width=800&amp;height=auto&amp;aspect=true")</f>
        <v/>
      </c>
      <c r="H55">
        <f>IMAGE("https://m.media-amazon.com/images/I/81IgGrGzfPL._AC_UL320_.jpg")</f>
        <v/>
      </c>
      <c r="I55" t="inlineStr">
        <is>
          <t>54.98</t>
        </is>
      </c>
      <c r="J55" t="n">
        <v>51.11</v>
      </c>
      <c r="K55" s="3" t="inlineStr">
        <is>
          <t>-7.04%</t>
        </is>
      </c>
      <c r="L55" t="n">
        <v>4.5</v>
      </c>
      <c r="M55" t="n">
        <v>248</v>
      </c>
      <c r="O55" t="inlineStr">
        <is>
          <t>InStock</t>
        </is>
      </c>
      <c r="P55" t="inlineStr">
        <is>
          <t>109.95</t>
        </is>
      </c>
      <c r="Q55" t="inlineStr">
        <is>
          <t>1229154</t>
        </is>
      </c>
    </row>
    <row r="56">
      <c r="A56" s="2">
        <f>HYPERLINK("https://www.als.com/brooks-m-shoe-hyperion/p?skuId=1327074", "https://www.als.com/brooks-m-shoe-hyperion/p?skuId=1327074")</f>
        <v/>
      </c>
      <c r="B56" s="2">
        <f>HYPERLINK("https://www.als.com/brooks-m-shoe-hyperion/p", "https://www.als.com/brooks-m-shoe-hyperion/p")</f>
        <v/>
      </c>
      <c r="C56" t="inlineStr">
        <is>
          <t>Brooks Hyperion Running Shoe - Men's</t>
        </is>
      </c>
      <c r="D56" t="inlineStr">
        <is>
          <t>Brooks Men's Beast '20 Supportive Running Shoe</t>
        </is>
      </c>
      <c r="E56" s="2">
        <f>HYPERLINK("https://www.amazon.com/Brooks-Mens-Beast-Running-Shoe/dp/B07VFXCNPK/ref=sr_1_22?keywords=Brooks+Hyperion+Running+Shoe+-+Men%27s&amp;qid=1695124104&amp;sr=8-22", "https://www.amazon.com/Brooks-Mens-Beast-Running-Shoe/dp/B07VFXCNPK/ref=sr_1_22?keywords=Brooks+Hyperion+Running+Shoe+-+Men%27s&amp;qid=1695124104&amp;sr=8-22")</f>
        <v/>
      </c>
      <c r="F56" t="inlineStr">
        <is>
          <t>B07VFXCNPK</t>
        </is>
      </c>
      <c r="G56">
        <f>IMAGE("https://alssports.vtexassets.com/arquivos/ids/1377944-800-auto?v=638248725248900000&amp;width=800&amp;height=auto&amp;aspect=true")</f>
        <v/>
      </c>
      <c r="H56">
        <f>IMAGE("https://m.media-amazon.com/images/I/81Zebf8WxFL._AC_UL320_.jpg")</f>
        <v/>
      </c>
      <c r="I56" t="inlineStr">
        <is>
          <t>139.95</t>
        </is>
      </c>
      <c r="J56" t="n">
        <v>129.95</v>
      </c>
      <c r="K56" s="3" t="inlineStr">
        <is>
          <t>-7.15%</t>
        </is>
      </c>
      <c r="L56" t="n">
        <v>4.6</v>
      </c>
      <c r="M56" t="n">
        <v>4356</v>
      </c>
      <c r="O56" t="inlineStr">
        <is>
          <t>InStock</t>
        </is>
      </c>
      <c r="P56" t="inlineStr">
        <is>
          <t>undefined</t>
        </is>
      </c>
      <c r="Q56" t="inlineStr">
        <is>
          <t>1327074</t>
        </is>
      </c>
    </row>
    <row r="57">
      <c r="A57" s="2">
        <f>HYPERLINK("https://www.als.com/bogs-y--g-n-clssc-mshrms-bt/p?skuId=1239352", "https://www.als.com/bogs-y--g-n-clssc-mshrms-bt/p?skuId=1239352")</f>
        <v/>
      </c>
      <c r="B57" s="2">
        <f>HYPERLINK("https://www.als.com/bogs-y--g-n-clssc-mshrms-bt/p", "https://www.als.com/bogs-y--g-n-clssc-mshrms-bt/p")</f>
        <v/>
      </c>
      <c r="C57" t="inlineStr">
        <is>
          <t>Bogs Neo Classic Mushrooms Boot - Youth</t>
        </is>
      </c>
      <c r="D57" t="inlineStr">
        <is>
          <t>BOGS Unisex-Child Neo Classic Rain Boot</t>
        </is>
      </c>
      <c r="E57" s="2">
        <f>HYPERLINK("https://www.amazon.com/Bogs-Classic-Mushrooms-Print-Teal-Unisex/dp/B08R5VKTL3/ref=sr_1_1?keywords=Bogs+Neo+Classic+Mushrooms+Boot+-+Youth&amp;qid=1695124392&amp;sr=8-1", "https://www.amazon.com/Bogs-Classic-Mushrooms-Print-Teal-Unisex/dp/B08R5VKTL3/ref=sr_1_1?keywords=Bogs+Neo+Classic+Mushrooms+Boot+-+Youth&amp;qid=1695124392&amp;sr=8-1")</f>
        <v/>
      </c>
      <c r="F57" t="inlineStr">
        <is>
          <t>B08R5VKTL3</t>
        </is>
      </c>
      <c r="G57">
        <f>IMAGE("https://alssports.vtexassets.com/arquivos/ids/1202231-800-auto?v=638079510736030000&amp;width=800&amp;height=auto&amp;aspect=true")</f>
        <v/>
      </c>
      <c r="H57">
        <f>IMAGE("https://m.media-amazon.com/images/I/71d8XOu5pES._AC_UL320_.jpg")</f>
        <v/>
      </c>
      <c r="I57" t="inlineStr">
        <is>
          <t>62.97</t>
        </is>
      </c>
      <c r="J57" t="n">
        <v>58.47</v>
      </c>
      <c r="K57" s="3" t="inlineStr">
        <is>
          <t>-7.15%</t>
        </is>
      </c>
      <c r="L57" t="n">
        <v>4.6</v>
      </c>
      <c r="M57" t="n">
        <v>64</v>
      </c>
      <c r="O57" t="inlineStr">
        <is>
          <t>InStock</t>
        </is>
      </c>
      <c r="P57" t="inlineStr">
        <is>
          <t>89.95</t>
        </is>
      </c>
      <c r="Q57" t="inlineStr">
        <is>
          <t>1239352</t>
        </is>
      </c>
    </row>
    <row r="58">
      <c r="A58" s="2">
        <f>HYPERLINK("https://www.als.com/shimab-pedal-pd-/p?skuId=594007", "https://www.als.com/shimab-pedal-pd-/p?skuId=594007")</f>
        <v/>
      </c>
      <c r="B58" s="2">
        <f>HYPERLINK("https://www.als.com/shimab-pedal-pd-/p", "https://www.als.com/shimab-pedal-pd-/p")</f>
        <v/>
      </c>
      <c r="C58" t="inlineStr">
        <is>
          <t>Shimano Deore XT SPD Pedal</t>
        </is>
      </c>
      <c r="D58" t="inlineStr">
        <is>
          <t>SPD MTB Pedal Shimano XT PD-M8120 Double-Sided Black</t>
        </is>
      </c>
      <c r="E58" s="2">
        <f>HYPERLINK("https://www.amazon.com/Shimano-Pedals-PD-M8120-Deore-Trail/dp/B07SRGC4ZW/ref=sr_1_3?keywords=Shimano+Deore+XT+SPD+Pedal&amp;qid=1695124486&amp;sr=8-3", "https://www.amazon.com/Shimano-Pedals-PD-M8120-Deore-Trail/dp/B07SRGC4ZW/ref=sr_1_3?keywords=Shimano+Deore+XT+SPD+Pedal&amp;qid=1695124486&amp;sr=8-3")</f>
        <v/>
      </c>
      <c r="F58" t="inlineStr">
        <is>
          <t>B07SRGC4ZW</t>
        </is>
      </c>
      <c r="G58">
        <f>IMAGE("https://alssports.vtexassets.com/arquivos/ids/400958-800-auto?v=637243831912700000&amp;width=800&amp;height=auto&amp;aspect=true")</f>
        <v/>
      </c>
      <c r="H58">
        <f>IMAGE("https://m.media-amazon.com/images/I/5140qDq1ajL._AC_UL320_.jpg")</f>
        <v/>
      </c>
      <c r="I58" t="inlineStr">
        <is>
          <t>125.0</t>
        </is>
      </c>
      <c r="J58" t="n">
        <v>115.47</v>
      </c>
      <c r="K58" s="3" t="inlineStr">
        <is>
          <t>-7.62%</t>
        </is>
      </c>
      <c r="L58" t="n">
        <v>4.7</v>
      </c>
      <c r="M58" t="n">
        <v>190</v>
      </c>
      <c r="O58" t="inlineStr">
        <is>
          <t>InStock</t>
        </is>
      </c>
      <c r="P58" t="inlineStr">
        <is>
          <t>undefined</t>
        </is>
      </c>
      <c r="Q58" t="inlineStr">
        <is>
          <t>594007</t>
        </is>
      </c>
    </row>
    <row r="59">
      <c r="A59" s="2">
        <f>HYPERLINK("https://www.als.com/heydud-m-shoe-wally-washed-canvas/p?skuId=1317816", "https://www.als.com/heydud-m-shoe-wally-washed-canvas/p?skuId=1317816")</f>
        <v/>
      </c>
      <c r="B59" s="2">
        <f>HYPERLINK("https://www.als.com/heydud-m-shoe-wally-washed-canvas/p", "https://www.als.com/heydud-m-shoe-wally-washed-canvas/p")</f>
        <v/>
      </c>
      <c r="C59" t="inlineStr">
        <is>
          <t>Hey Dude Wally Washed Canvas Shoe - Men's</t>
        </is>
      </c>
      <c r="D59" t="inlineStr">
        <is>
          <t>Hey Dude Men's Wally Patriotic | Men's Loafers | Men's Slip On Shoes | Comfortable &amp; Light-Weight</t>
        </is>
      </c>
      <c r="E59" s="2">
        <f>HYPERLINK("https://www.amazon.com/Hey-Dude-Patriotic-Casual-Off-White/dp/B0BV2YW598/ref=sr_1_36?keywords=Hey+Dude+Wally+Washed+Canvas+Shoe+-+Mens&amp;qid=1695124460&amp;sr=8-36", "https://www.amazon.com/Hey-Dude-Patriotic-Casual-Off-White/dp/B0BV2YW598/ref=sr_1_36?keywords=Hey+Dude+Wally+Washed+Canvas+Shoe+-+Mens&amp;qid=1695124460&amp;sr=8-36")</f>
        <v/>
      </c>
      <c r="F59" t="inlineStr">
        <is>
          <t>B0BV2YW598</t>
        </is>
      </c>
      <c r="G59">
        <f>IMAGE("https://alssports.vtexassets.com/arquivos/ids/1388214-800-auto?v=638255521966130000&amp;width=800&amp;height=auto&amp;aspect=true")</f>
        <v/>
      </c>
      <c r="H59">
        <f>IMAGE("https://m.media-amazon.com/images/I/71NrewXqx1L._AC_UL320_.jpg")</f>
        <v/>
      </c>
      <c r="I59" t="inlineStr">
        <is>
          <t>64.95</t>
        </is>
      </c>
      <c r="J59" t="n">
        <v>59.99</v>
      </c>
      <c r="K59" s="3" t="inlineStr">
        <is>
          <t>-7.64%</t>
        </is>
      </c>
      <c r="L59" t="n">
        <v>4.8</v>
      </c>
      <c r="M59" t="n">
        <v>2182</v>
      </c>
      <c r="O59" t="inlineStr">
        <is>
          <t>InStock</t>
        </is>
      </c>
      <c r="P59" t="inlineStr">
        <is>
          <t>undefined</t>
        </is>
      </c>
      <c r="Q59" t="inlineStr">
        <is>
          <t>1317816</t>
        </is>
      </c>
    </row>
    <row r="60">
      <c r="A60" s="2">
        <f>HYPERLINK("https://www.als.com/columbia-powder-lite-novelty-hooded-jacket-girls-125482/p?skuId=1139868", "https://www.als.com/columbia-powder-lite-novelty-hooded-jacket-girls-125482/p?skuId=1139868")</f>
        <v/>
      </c>
      <c r="B60" s="2">
        <f>HYPERLINK("https://www.als.com/columbia-powder-lite-novelty-hooded-jacket-girls-125482/p", "https://www.als.com/columbia-powder-lite-novelty-hooded-jacket-girls-125482/p")</f>
        <v/>
      </c>
      <c r="C60" t="inlineStr">
        <is>
          <t>Columbia Powder Lite Novelty Hooded Jacket - Girls'</t>
        </is>
      </c>
      <c r="D60" t="inlineStr">
        <is>
          <t>Columbia Girls' Powder Lite Hooded Jacket</t>
        </is>
      </c>
      <c r="E60" s="2">
        <f>HYPERLINK("https://www.amazon.com/Columbia-Powder-Hooded-Jacket-Medium/dp/B09KMFWS1C/ref=sr_1_6?keywords=Columbia+Powder+Lite+Novelty+Hooded+Jacket+-+Girls&amp;qid=1695124483&amp;sr=8-6", "https://www.amazon.com/Columbia-Powder-Hooded-Jacket-Medium/dp/B09KMFWS1C/ref=sr_1_6?keywords=Columbia+Powder+Lite+Novelty+Hooded+Jacket+-+Girls&amp;qid=1695124483&amp;sr=8-6")</f>
        <v/>
      </c>
      <c r="F60" t="inlineStr">
        <is>
          <t>B09KMFWS1C</t>
        </is>
      </c>
      <c r="G60">
        <f>IMAGE("https://alssports.vtexassets.com/arquivos/ids/1180419-800-auto?v=638050834194370000&amp;width=800&amp;height=auto&amp;aspect=true")</f>
        <v/>
      </c>
      <c r="H60">
        <f>IMAGE("https://m.media-amazon.com/images/I/611Y7JoRROL._AC_UL320_.jpg")</f>
        <v/>
      </c>
      <c r="I60" t="inlineStr">
        <is>
          <t>84.0</t>
        </is>
      </c>
      <c r="J60" t="n">
        <v>77.58</v>
      </c>
      <c r="K60" s="3" t="inlineStr">
        <is>
          <t>-7.64%</t>
        </is>
      </c>
      <c r="L60" t="n">
        <v>4.9</v>
      </c>
      <c r="M60" t="n">
        <v>10</v>
      </c>
      <c r="O60" t="inlineStr">
        <is>
          <t>InStock</t>
        </is>
      </c>
      <c r="P60" t="inlineStr">
        <is>
          <t>120.0</t>
        </is>
      </c>
      <c r="Q60" t="inlineStr">
        <is>
          <t>1139868</t>
        </is>
      </c>
    </row>
    <row r="61">
      <c r="A61" s="2">
        <f>HYPERLINK("https://www.als.com/heydud-m-shoe-wally-braided/p?skuId=599445", "https://www.als.com/heydud-m-shoe-wally-braided/p?skuId=599445")</f>
        <v/>
      </c>
      <c r="B61" s="2">
        <f>HYPERLINK("https://www.als.com/heydud-m-shoe-wally-braided/p", "https://www.als.com/heydud-m-shoe-wally-braided/p")</f>
        <v/>
      </c>
      <c r="C61" t="inlineStr">
        <is>
          <t>Hey Dude Wally Braided Shoe - Men's</t>
        </is>
      </c>
      <c r="D61" t="inlineStr">
        <is>
          <t>Hey Dude Mens Wally Baja Beachcomber Shoes</t>
        </is>
      </c>
      <c r="E61" s="2">
        <f>HYPERLINK("https://www.amazon.com/Hey-Dude-Beachcomber-Comfortable-Light-Weight/dp/B09MJRHCCQ/ref=sr_1_28?keywords=Hey+Dude+Wally+Braided+Shoe+-+Mens&amp;qid=1695124451&amp;sr=8-28", "https://www.amazon.com/Hey-Dude-Beachcomber-Comfortable-Light-Weight/dp/B09MJRHCCQ/ref=sr_1_28?keywords=Hey+Dude+Wally+Braided+Shoe+-+Mens&amp;qid=1695124451&amp;sr=8-28")</f>
        <v/>
      </c>
      <c r="F61" t="inlineStr">
        <is>
          <t>B09MJRHCCQ</t>
        </is>
      </c>
      <c r="G61">
        <f>IMAGE("https://alssports.vtexassets.com/arquivos/ids/1386107-800-auto?v=638254870959300000&amp;width=800&amp;height=auto&amp;aspect=true")</f>
        <v/>
      </c>
      <c r="H61">
        <f>IMAGE("https://m.media-amazon.com/images/I/71I6DEuAEIL._AC_UL320_.jpg")</f>
        <v/>
      </c>
      <c r="I61" t="inlineStr">
        <is>
          <t>64.95</t>
        </is>
      </c>
      <c r="J61" t="n">
        <v>59.95</v>
      </c>
      <c r="K61" s="3" t="inlineStr">
        <is>
          <t>-7.70%</t>
        </is>
      </c>
      <c r="L61" t="n">
        <v>4.7</v>
      </c>
      <c r="M61" t="n">
        <v>209</v>
      </c>
      <c r="O61" t="inlineStr">
        <is>
          <t>InStock</t>
        </is>
      </c>
      <c r="P61" t="inlineStr">
        <is>
          <t>undefined</t>
        </is>
      </c>
      <c r="Q61" t="inlineStr">
        <is>
          <t>599445</t>
        </is>
      </c>
    </row>
    <row r="62">
      <c r="A62" s="2">
        <f>HYPERLINK("https://www.als.com/heydud-m-shoe-wally-braided/p?skuId=599445", "https://www.als.com/heydud-m-shoe-wally-braided/p?skuId=599445")</f>
        <v/>
      </c>
      <c r="B62" s="2">
        <f>HYPERLINK("https://www.als.com/heydud-m-shoe-wally-braided/p", "https://www.als.com/heydud-m-shoe-wally-braided/p")</f>
        <v/>
      </c>
      <c r="C62" t="inlineStr">
        <is>
          <t>Hey Dude Wally Braided Shoe - Men's</t>
        </is>
      </c>
      <c r="D62" t="inlineStr">
        <is>
          <t>Hey Dude Men's Wally Stitch | Men's Loafers | Men's Slip On Shoes | Comfortable &amp; Light-Weight</t>
        </is>
      </c>
      <c r="E62" s="2">
        <f>HYPERLINK("https://www.amazon.com/Hey-Dude-Wally-Braided-Loafers-Sage-11/dp/B0793THG7Q/ref=sr_1_1?keywords=Hey+Dude+Wally+Braided+Shoe+-+Mens&amp;qid=1695124451&amp;sr=8-1", "https://www.amazon.com/Hey-Dude-Wally-Braided-Loafers-Sage-11/dp/B0793THG7Q/ref=sr_1_1?keywords=Hey+Dude+Wally+Braided+Shoe+-+Mens&amp;qid=1695124451&amp;sr=8-1")</f>
        <v/>
      </c>
      <c r="F62" t="inlineStr">
        <is>
          <t>B0793THG7Q</t>
        </is>
      </c>
      <c r="G62">
        <f>IMAGE("https://alssports.vtexassets.com/arquivos/ids/1386107-800-auto?v=638254870959300000&amp;width=800&amp;height=auto&amp;aspect=true")</f>
        <v/>
      </c>
      <c r="H62">
        <f>IMAGE("https://m.media-amazon.com/images/I/61CHsBa6K9S._AC_UL320_.jpg")</f>
        <v/>
      </c>
      <c r="I62" t="inlineStr">
        <is>
          <t>64.95</t>
        </is>
      </c>
      <c r="J62" t="n">
        <v>59.95</v>
      </c>
      <c r="K62" s="3" t="inlineStr">
        <is>
          <t>-7.70%</t>
        </is>
      </c>
      <c r="L62" t="n">
        <v>4.7</v>
      </c>
      <c r="M62" t="n">
        <v>3580</v>
      </c>
      <c r="O62" t="inlineStr">
        <is>
          <t>InStock</t>
        </is>
      </c>
      <c r="P62" t="inlineStr">
        <is>
          <t>undefined</t>
        </is>
      </c>
      <c r="Q62" t="inlineStr">
        <is>
          <t>599445</t>
        </is>
      </c>
    </row>
    <row r="63">
      <c r="A63" s="2">
        <f>HYPERLINK("https://www.als.com/heydud-w-shoe-wendy-rise-woven/p?skuId=1317686", "https://www.als.com/heydud-w-shoe-wendy-rise-woven/p?skuId=1317686")</f>
        <v/>
      </c>
      <c r="B63" s="2">
        <f>HYPERLINK("https://www.als.com/heydud-w-shoe-wendy-rise-woven/p", "https://www.als.com/heydud-w-shoe-wendy-rise-woven/p")</f>
        <v/>
      </c>
      <c r="C63" t="inlineStr">
        <is>
          <t>Hey Dude Wendy Rise Woven Shoe - Women's</t>
        </is>
      </c>
      <c r="D63" t="inlineStr">
        <is>
          <t>Hey Dude Women's Wendy Sox Micro Total Black Size 8 | Women’s Shoes | Women’s Lace Up Loafers | Comfortable &amp; Light-Weight</t>
        </is>
      </c>
      <c r="E63" s="2">
        <f>HYPERLINK("https://www.amazon.com/Hey-Dude-Wendy-Sox-Black/dp/B09HVFL6TC/ref=sr_1_46?keywords=Hey+Dude+Wendy+Rise+Woven+Shoe+-+Womens&amp;qid=1695124483&amp;sr=8-46", "https://www.amazon.com/Hey-Dude-Wendy-Sox-Black/dp/B09HVFL6TC/ref=sr_1_46?keywords=Hey+Dude+Wendy+Rise+Woven+Shoe+-+Womens&amp;qid=1695124483&amp;sr=8-46")</f>
        <v/>
      </c>
      <c r="F63" t="inlineStr">
        <is>
          <t>B09HVFL6TC</t>
        </is>
      </c>
      <c r="G63">
        <f>IMAGE("https://alssports.vtexassets.com/arquivos/ids/1387367-800-auto?v=638255482261930000&amp;width=800&amp;height=auto&amp;aspect=true")</f>
        <v/>
      </c>
      <c r="H63">
        <f>IMAGE("https://m.media-amazon.com/images/I/7155pBDv-RL._AC_UL320_.jpg")</f>
        <v/>
      </c>
      <c r="I63" t="inlineStr">
        <is>
          <t>64.95</t>
        </is>
      </c>
      <c r="J63" t="n">
        <v>59.95</v>
      </c>
      <c r="K63" s="3" t="inlineStr">
        <is>
          <t>-7.70%</t>
        </is>
      </c>
      <c r="L63" t="n">
        <v>4.8</v>
      </c>
      <c r="M63" t="n">
        <v>348</v>
      </c>
      <c r="O63" t="inlineStr">
        <is>
          <t>InStock</t>
        </is>
      </c>
      <c r="P63" t="inlineStr">
        <is>
          <t>undefined</t>
        </is>
      </c>
      <c r="Q63" t="inlineStr">
        <is>
          <t>1317686</t>
        </is>
      </c>
    </row>
    <row r="64">
      <c r="A64" s="2">
        <f>HYPERLINK("https://www.als.com/petzl-belay-grigri-assisted-braking/p?skuId=572368", "https://www.als.com/petzl-belay-grigri-assisted-braking/p?skuId=572368")</f>
        <v/>
      </c>
      <c r="B64" s="2">
        <f>HYPERLINK("https://www.als.com/petzl-belay-grigri-assisted-braking/p", "https://www.als.com/petzl-belay-grigri-assisted-braking/p")</f>
        <v/>
      </c>
      <c r="C64" t="inlineStr">
        <is>
          <t>Petzl GriGri Belay Device</t>
        </is>
      </c>
      <c r="D64" t="inlineStr">
        <is>
          <t>Petzl - GRIGRI + - Belay Device with cam-Assisted Blocking</t>
        </is>
      </c>
      <c r="E64" s="2">
        <f>HYPERLINK("https://www.amazon.com/Petzl-Orange-GRIGRI-Climbing-Device/dp/B01MXORFUD/ref=sr_1_2?keywords=Petzl+GriGri+Belay+Device&amp;qid=1695124323&amp;sr=8-2", "https://www.amazon.com/Petzl-Orange-GRIGRI-Climbing-Device/dp/B01MXORFUD/ref=sr_1_2?keywords=Petzl+GriGri+Belay+Device&amp;qid=1695124323&amp;sr=8-2")</f>
        <v/>
      </c>
      <c r="F64" t="inlineStr">
        <is>
          <t>B01MXORFUD</t>
        </is>
      </c>
      <c r="G64">
        <f>IMAGE("https://alssports.vtexassets.com/arquivos/ids/1023632-800-auto?v=637823067748170000&amp;width=800&amp;height=auto&amp;aspect=true")</f>
        <v/>
      </c>
      <c r="H64">
        <f>IMAGE("https://m.media-amazon.com/images/I/616fVEdPUQL._AC_UY218_.jpg")</f>
        <v/>
      </c>
      <c r="I64" t="inlineStr">
        <is>
          <t>109.95</t>
        </is>
      </c>
      <c r="J64" t="n">
        <v>101.45</v>
      </c>
      <c r="K64" s="3" t="inlineStr">
        <is>
          <t>-7.73%</t>
        </is>
      </c>
      <c r="L64" t="n">
        <v>4.8</v>
      </c>
      <c r="M64" t="n">
        <v>336</v>
      </c>
      <c r="O64" t="inlineStr">
        <is>
          <t>InStock</t>
        </is>
      </c>
      <c r="P64" t="inlineStr">
        <is>
          <t>undefined</t>
        </is>
      </c>
      <c r="Q64" t="inlineStr">
        <is>
          <t>572368</t>
        </is>
      </c>
    </row>
    <row r="65">
      <c r="A65" s="2">
        <f>HYPERLINK("https://www.als.com/black-diamond-momentum-harness-mens-30998/p?skuId=565613", "https://www.als.com/black-diamond-momentum-harness-mens-30998/p?skuId=565613")</f>
        <v/>
      </c>
      <c r="B65" s="2">
        <f>HYPERLINK("https://www.als.com/black-diamond-momentum-harness-mens-30998/p", "https://www.als.com/black-diamond-momentum-harness-mens-30998/p")</f>
        <v/>
      </c>
      <c r="C65" t="inlineStr">
        <is>
          <t>Black Diamond Momentum Harness - Men's</t>
        </is>
      </c>
      <c r="D65" t="inlineStr">
        <is>
          <t>Black Diamond Equipment Momentum 3S Harness - Men's - Midnight - Large</t>
        </is>
      </c>
      <c r="E65" s="2">
        <f>HYPERLINK("https://www.amazon.com/Black-Diamond-Momentum-Climbing-Harness/dp/B081BBBCDM/ref=sr_1_3?keywords=Black+Diamond+Momentum+Harness+-+Men%27s&amp;qid=1695124426&amp;sr=8-3", "https://www.amazon.com/Black-Diamond-Momentum-Climbing-Harness/dp/B081BBBCDM/ref=sr_1_3?keywords=Black+Diamond+Momentum+Harness+-+Men%27s&amp;qid=1695124426&amp;sr=8-3")</f>
        <v/>
      </c>
      <c r="F65" t="inlineStr">
        <is>
          <t>B081BBBCDM</t>
        </is>
      </c>
      <c r="G65">
        <f>IMAGE("https://alssports.vtexassets.com/arquivos/ids/1308135-800-auto?v=638189190355030000&amp;width=800&amp;height=auto&amp;aspect=true")</f>
        <v/>
      </c>
      <c r="H65">
        <f>IMAGE("https://m.media-amazon.com/images/I/81jfNSI8MvS._AC_UL320_.jpg")</f>
        <v/>
      </c>
      <c r="I65" t="inlineStr">
        <is>
          <t>64.95</t>
        </is>
      </c>
      <c r="J65" t="n">
        <v>59.88</v>
      </c>
      <c r="K65" s="3" t="inlineStr">
        <is>
          <t>-7.81%</t>
        </is>
      </c>
      <c r="L65" t="n">
        <v>4.6</v>
      </c>
      <c r="M65" t="n">
        <v>11</v>
      </c>
      <c r="O65" t="inlineStr">
        <is>
          <t>InStock</t>
        </is>
      </c>
      <c r="P65" t="inlineStr">
        <is>
          <t>undefined</t>
        </is>
      </c>
      <c r="Q65" t="inlineStr">
        <is>
          <t>565613</t>
        </is>
      </c>
    </row>
    <row r="66">
      <c r="A66" s="2">
        <f>HYPERLINK("https://www.als.com/black-diamond-momentum-harness-mens-30998/p?skuId=565613", "https://www.als.com/black-diamond-momentum-harness-mens-30998/p?skuId=565613")</f>
        <v/>
      </c>
      <c r="B66" s="2">
        <f>HYPERLINK("https://www.als.com/black-diamond-momentum-harness-mens-30998/p", "https://www.als.com/black-diamond-momentum-harness-mens-30998/p")</f>
        <v/>
      </c>
      <c r="C66" t="inlineStr">
        <is>
          <t>Black Diamond Momentum Harness - Men's</t>
        </is>
      </c>
      <c r="D66" t="inlineStr">
        <is>
          <t>Black Diamond Equipment Momentum 3S Harness - Men's - Midnight - Medium</t>
        </is>
      </c>
      <c r="E66" s="2">
        <f>HYPERLINK("https://www.amazon.com/Black-Diamond-Momentum-Climbing-Harness/dp/B081B9LFYS/ref=sr_1_4?keywords=Black+Diamond+Momentum+Harness+-+Men%27s&amp;qid=1695124426&amp;sr=8-4", "https://www.amazon.com/Black-Diamond-Momentum-Climbing-Harness/dp/B081B9LFYS/ref=sr_1_4?keywords=Black+Diamond+Momentum+Harness+-+Men%27s&amp;qid=1695124426&amp;sr=8-4")</f>
        <v/>
      </c>
      <c r="F66" t="inlineStr">
        <is>
          <t>B081B9LFYS</t>
        </is>
      </c>
      <c r="G66">
        <f>IMAGE("https://alssports.vtexassets.com/arquivos/ids/1308135-800-auto?v=638189190355030000&amp;width=800&amp;height=auto&amp;aspect=true")</f>
        <v/>
      </c>
      <c r="H66">
        <f>IMAGE("https://m.media-amazon.com/images/I/81jfNSI8MvS._AC_UL320_.jpg")</f>
        <v/>
      </c>
      <c r="I66" t="inlineStr">
        <is>
          <t>64.95</t>
        </is>
      </c>
      <c r="J66" t="n">
        <v>59.88</v>
      </c>
      <c r="K66" s="3" t="inlineStr">
        <is>
          <t>-7.81%</t>
        </is>
      </c>
      <c r="L66" t="n">
        <v>4.5</v>
      </c>
      <c r="M66" t="n">
        <v>22</v>
      </c>
      <c r="O66" t="inlineStr">
        <is>
          <t>InStock</t>
        </is>
      </c>
      <c r="P66" t="inlineStr">
        <is>
          <t>undefined</t>
        </is>
      </c>
      <c r="Q66" t="inlineStr">
        <is>
          <t>565613</t>
        </is>
      </c>
    </row>
    <row r="67">
      <c r="A67" s="2">
        <f>HYPERLINK("https://www.als.com/altra-w-shoe-timp-4/p?skuId=929220", "https://www.als.com/altra-w-shoe-timp-4/p?skuId=929220")</f>
        <v/>
      </c>
      <c r="B67" s="2">
        <f>HYPERLINK("https://www.als.com/altra-w-shoe-timp-4/p", "https://www.als.com/altra-w-shoe-timp-4/p")</f>
        <v/>
      </c>
      <c r="C67" t="inlineStr">
        <is>
          <t>Altra Timp 4 Running Shoe - Women's</t>
        </is>
      </c>
      <c r="D67" t="inlineStr">
        <is>
          <t>ALTRA Women's TIMP 2 Trail Running Shoe</t>
        </is>
      </c>
      <c r="E67" s="2">
        <f>HYPERLINK("https://www.amazon.com/ALTRA-Womens-AL0A4QTP-Trail-Running/dp/B07TP9SJBG/ref=sr_1_20?keywords=Altra+Timp+4+Running+Shoe+-+Womens&amp;qid=1695124369&amp;sr=8-20", "https://www.amazon.com/ALTRA-Womens-AL0A4QTP-Trail-Running/dp/B07TP9SJBG/ref=sr_1_20?keywords=Altra+Timp+4+Running+Shoe+-+Womens&amp;qid=1695124369&amp;sr=8-20")</f>
        <v/>
      </c>
      <c r="F67" t="inlineStr">
        <is>
          <t>B07TP9SJBG</t>
        </is>
      </c>
      <c r="G67">
        <f>IMAGE("https://alssports.vtexassets.com/arquivos/ids/1112796-800-auto?v=637957454637830000&amp;width=800&amp;height=auto&amp;aspect=true")</f>
        <v/>
      </c>
      <c r="H67">
        <f>IMAGE("https://m.media-amazon.com/images/I/71sZ7Ta557L._AC_UL320_.jpg")</f>
        <v/>
      </c>
      <c r="I67" t="inlineStr">
        <is>
          <t>159.95</t>
        </is>
      </c>
      <c r="J67" t="n">
        <v>147</v>
      </c>
      <c r="K67" s="3" t="inlineStr">
        <is>
          <t>-8.10%</t>
        </is>
      </c>
      <c r="L67" t="n">
        <v>4.5</v>
      </c>
      <c r="M67" t="n">
        <v>1207</v>
      </c>
      <c r="O67" t="inlineStr">
        <is>
          <t>InStock</t>
        </is>
      </c>
      <c r="P67" t="inlineStr">
        <is>
          <t>129.95</t>
        </is>
      </c>
      <c r="Q67" t="inlineStr">
        <is>
          <t>929220</t>
        </is>
      </c>
    </row>
    <row r="68">
      <c r="A68" s="2">
        <f>HYPERLINK("https://www.als.com/under-ua-drive-pant/p?skuId=997492", "https://www.als.com/under-ua-drive-pant/p?skuId=997492")</f>
        <v/>
      </c>
      <c r="B68" s="2">
        <f>HYPERLINK("https://www.als.com/under-ua-drive-pant/p", "https://www.als.com/under-ua-drive-pant/p")</f>
        <v/>
      </c>
      <c r="C68" t="inlineStr">
        <is>
          <t>Under Armour Drive Pant - Men's</t>
        </is>
      </c>
      <c r="D68" t="inlineStr">
        <is>
          <t>Under Armour Men's Showdown Chino Golf Pants</t>
        </is>
      </c>
      <c r="E68" s="2">
        <f>HYPERLINK("https://www.amazon.com/Under-Armour-Showdown-Chino-Pants/dp/B077XLVGC9/ref=sr_1_19?keywords=Under+Armour+Drive+Pant+-+Men%27s&amp;qid=1695124299&amp;sr=8-19", "https://www.amazon.com/Under-Armour-Showdown-Chino-Pants/dp/B077XLVGC9/ref=sr_1_19?keywords=Under+Armour+Drive+Pant+-+Men%27s&amp;qid=1695124299&amp;sr=8-19")</f>
        <v/>
      </c>
      <c r="F68" t="inlineStr">
        <is>
          <t>B077XLVGC9</t>
        </is>
      </c>
      <c r="G68">
        <f>IMAGE("https://alssports.vtexassets.com/arquivos/ids/1442508-800-auto?v=638291812057330000&amp;width=800&amp;height=auto&amp;aspect=true")</f>
        <v/>
      </c>
      <c r="H68">
        <f>IMAGE("https://m.media-amazon.com/images/I/51Ee10KN1BL._AC_UL320_.jpg")</f>
        <v/>
      </c>
      <c r="I68" t="inlineStr">
        <is>
          <t>51.0</t>
        </is>
      </c>
      <c r="J68" t="n">
        <v>46.85</v>
      </c>
      <c r="K68" s="3" t="inlineStr">
        <is>
          <t>-8.14%</t>
        </is>
      </c>
      <c r="L68" t="n">
        <v>4.5</v>
      </c>
      <c r="M68" t="n">
        <v>198</v>
      </c>
      <c r="O68" t="inlineStr">
        <is>
          <t>undefined</t>
        </is>
      </c>
      <c r="P68" t="inlineStr">
        <is>
          <t>85.0</t>
        </is>
      </c>
      <c r="Q68" t="inlineStr">
        <is>
          <t>997492</t>
        </is>
      </c>
    </row>
    <row r="69">
      <c r="A69" s="2">
        <f>HYPERLINK("https://www.als.com/vans-shoe-classic-slip-on/p?skuId=226085", "https://www.als.com/vans-shoe-classic-slip-on/p?skuId=226085")</f>
        <v/>
      </c>
      <c r="B69" s="2">
        <f>HYPERLINK("https://www.als.com/vans-shoe-classic-slip-on/p", "https://www.als.com/vans-shoe-classic-slip-on/p")</f>
        <v/>
      </c>
      <c r="C69" t="inlineStr">
        <is>
          <t>Vans Classic Slip-On Shoe</t>
        </is>
      </c>
      <c r="D69" t="inlineStr">
        <is>
          <t>Vans Unisex Classic Slip-On Shoes</t>
        </is>
      </c>
      <c r="E69" s="2">
        <f>HYPERLINK("https://www.amazon.com/Vans-Adult-Classic-Slip-Classics/dp/B000K7CADS/ref=sr_1_4?keywords=Vans+Classic+Slip-On+Shoe&amp;qid=1695124089&amp;sr=8-4", "https://www.amazon.com/Vans-Adult-Classic-Slip-Classics/dp/B000K7CADS/ref=sr_1_4?keywords=Vans+Classic+Slip-On+Shoe&amp;qid=1695124089&amp;sr=8-4")</f>
        <v/>
      </c>
      <c r="F69" t="inlineStr">
        <is>
          <t>B000K7CADS</t>
        </is>
      </c>
      <c r="G69">
        <f>IMAGE("https://alssports.vtexassets.com/arquivos/ids/1443076-800-auto?v=638292000890400000&amp;width=800&amp;height=auto&amp;aspect=true")</f>
        <v/>
      </c>
      <c r="H69">
        <f>IMAGE("https://m.media-amazon.com/images/I/71gpFHJlnoL._AC_UL320_.jpg")</f>
        <v/>
      </c>
      <c r="I69" t="inlineStr">
        <is>
          <t>59.95</t>
        </is>
      </c>
      <c r="J69" t="n">
        <v>55.03</v>
      </c>
      <c r="K69" s="3" t="inlineStr">
        <is>
          <t>-8.21%</t>
        </is>
      </c>
      <c r="L69" t="n">
        <v>4.6</v>
      </c>
      <c r="M69" t="n">
        <v>7512</v>
      </c>
      <c r="O69" t="inlineStr">
        <is>
          <t>InStock</t>
        </is>
      </c>
      <c r="P69" t="inlineStr">
        <is>
          <t>undefined</t>
        </is>
      </c>
      <c r="Q69" t="inlineStr">
        <is>
          <t>226085</t>
        </is>
      </c>
    </row>
    <row r="70">
      <c r="A70" s="2">
        <f>HYPERLINK("https://www.als.com/vans-shoe-classic-slip-on/p?skuId=226085", "https://www.als.com/vans-shoe-classic-slip-on/p?skuId=226085")</f>
        <v/>
      </c>
      <c r="B70" s="2">
        <f>HYPERLINK("https://www.als.com/vans-shoe-classic-slip-on/p", "https://www.als.com/vans-shoe-classic-slip-on/p")</f>
        <v/>
      </c>
      <c r="C70" t="inlineStr">
        <is>
          <t>Vans Classic Slip-On Shoe</t>
        </is>
      </c>
      <c r="D70" t="inlineStr">
        <is>
          <t>Vans Classic Slip On O Fashion Shoes Unisex</t>
        </is>
      </c>
      <c r="E70" s="2">
        <f>HYPERLINK("https://www.amazon.com/Vans-Unisex-Adults-Classic-Black/dp/B000T0NJF4/ref=sr_1_24?keywords=Vans+Classic+Slip-On+Shoe&amp;qid=1695124089&amp;sr=8-24", "https://www.amazon.com/Vans-Unisex-Adults-Classic-Black/dp/B000T0NJF4/ref=sr_1_24?keywords=Vans+Classic+Slip-On+Shoe&amp;qid=1695124089&amp;sr=8-24")</f>
        <v/>
      </c>
      <c r="F70" t="inlineStr">
        <is>
          <t>B000T0NJF4</t>
        </is>
      </c>
      <c r="G70">
        <f>IMAGE("https://alssports.vtexassets.com/arquivos/ids/1443076-800-auto?v=638292000890400000&amp;width=800&amp;height=auto&amp;aspect=true")</f>
        <v/>
      </c>
      <c r="H70">
        <f>IMAGE("https://m.media-amazon.com/images/I/81G1OfSPfVL._AC_UL320_.jpg")</f>
        <v/>
      </c>
      <c r="I70" t="inlineStr">
        <is>
          <t>59.95</t>
        </is>
      </c>
      <c r="J70" t="n">
        <v>55</v>
      </c>
      <c r="K70" s="3" t="inlineStr">
        <is>
          <t>-8.26%</t>
        </is>
      </c>
      <c r="L70" t="n">
        <v>4.6</v>
      </c>
      <c r="M70" t="n">
        <v>212</v>
      </c>
      <c r="O70" t="inlineStr">
        <is>
          <t>InStock</t>
        </is>
      </c>
      <c r="P70" t="inlineStr">
        <is>
          <t>undefined</t>
        </is>
      </c>
      <c r="Q70" t="inlineStr">
        <is>
          <t>226085</t>
        </is>
      </c>
    </row>
    <row r="71">
      <c r="A71" s="2">
        <f>HYPERLINK("https://www.als.com/teva-m-sandal-hurricane-xlt2/p?skuId=398840", "https://www.als.com/teva-m-sandal-hurricane-xlt2/p?skuId=398840")</f>
        <v/>
      </c>
      <c r="B71" s="2">
        <f>HYPERLINK("https://www.als.com/teva-m-sandal-hurricane-xlt2/p", "https://www.als.com/teva-m-sandal-hurricane-xlt2/p")</f>
        <v/>
      </c>
      <c r="C71" t="inlineStr">
        <is>
          <t>Teva Hurricane XLT2 Sandal - Men's</t>
        </is>
      </c>
      <c r="D71" t="inlineStr">
        <is>
          <t>Teva Men's Hurricane Xlt2 Sandals with EVA Foam Midsole and Rugged Durabrasion Rubber Outsole</t>
        </is>
      </c>
      <c r="E71" s="2">
        <f>HYPERLINK("https://www.amazon.com/Teva-Hurricane-Sport-Sandal-Black/dp/B0721B9ZBW/ref=sr_1_1?keywords=Teva+Hurricane+XLT2+Sandal+-+Men%27s&amp;qid=1695124141&amp;sr=8-1", "https://www.amazon.com/Teva-Hurricane-Sport-Sandal-Black/dp/B0721B9ZBW/ref=sr_1_1?keywords=Teva+Hurricane+XLT2+Sandal+-+Men%27s&amp;qid=1695124141&amp;sr=8-1")</f>
        <v/>
      </c>
      <c r="F71" t="inlineStr">
        <is>
          <t>B0721B9ZBW</t>
        </is>
      </c>
      <c r="G71">
        <f>IMAGE("https://alssports.vtexassets.com/arquivos/ids/1220918-800-auto?v=638102154417000000&amp;width=800&amp;height=auto&amp;aspect=true")</f>
        <v/>
      </c>
      <c r="H71">
        <f>IMAGE("https://m.media-amazon.com/images/I/716xg1dvMEL._AC_UL320_.jpg")</f>
        <v/>
      </c>
      <c r="I71" t="inlineStr">
        <is>
          <t>74.95</t>
        </is>
      </c>
      <c r="J71" t="n">
        <v>68.53</v>
      </c>
      <c r="K71" s="3" t="inlineStr">
        <is>
          <t>-8.57%</t>
        </is>
      </c>
      <c r="L71" t="n">
        <v>4.6</v>
      </c>
      <c r="M71" t="n">
        <v>9269</v>
      </c>
      <c r="O71" t="inlineStr">
        <is>
          <t>InStock</t>
        </is>
      </c>
      <c r="P71" t="inlineStr">
        <is>
          <t>undefined</t>
        </is>
      </c>
      <c r="Q71" t="inlineStr">
        <is>
          <t>398840</t>
        </is>
      </c>
    </row>
    <row r="72">
      <c r="A72" s="2">
        <f>HYPERLINK("https://www.als.com/sitka-m-pant-mountain-optifade/p?skuId=90738", "https://www.als.com/sitka-m-pant-mountain-optifade/p?skuId=90738")</f>
        <v/>
      </c>
      <c r="B72" s="2">
        <f>HYPERLINK("https://www.als.com/sitka-m-pant-mountain-optifade/p", "https://www.als.com/sitka-m-pant-mountain-optifade/p")</f>
        <v/>
      </c>
      <c r="C72" t="inlineStr">
        <is>
          <t>Sitka Mountain Pant - Men's</t>
        </is>
      </c>
      <c r="D72" t="inlineStr">
        <is>
          <t>SITKA Gear Sitka Men's Hunting Water-Repellent Camo Dakota Mud Pants</t>
        </is>
      </c>
      <c r="E72" s="2">
        <f>HYPERLINK("https://www.amazon.com/SITKA-Gear-Dakota-Optifade-Timber/dp/B01MG3OMJA/ref=sr_1_8?keywords=Sitka+Mountain+Pant+-+Mens&amp;qid=1695124392&amp;sr=8-8", "https://www.amazon.com/SITKA-Gear-Dakota-Optifade-Timber/dp/B01MG3OMJA/ref=sr_1_8?keywords=Sitka+Mountain+Pant+-+Mens&amp;qid=1695124392&amp;sr=8-8")</f>
        <v/>
      </c>
      <c r="F72" t="inlineStr">
        <is>
          <t>B01MG3OMJA</t>
        </is>
      </c>
      <c r="G72">
        <f>IMAGE("https://alssports.vtexassets.com/arquivos/ids/1369099-800-auto?v=638242004529500000&amp;width=800&amp;height=auto&amp;aspect=true")</f>
        <v/>
      </c>
      <c r="H72">
        <f>IMAGE("https://m.media-amazon.com/images/I/61Vpd0hVZ5L._AC_UL320_.jpg")</f>
        <v/>
      </c>
      <c r="I72" t="inlineStr">
        <is>
          <t>209.0</t>
        </is>
      </c>
      <c r="J72" t="n">
        <v>190.83</v>
      </c>
      <c r="K72" s="3" t="inlineStr">
        <is>
          <t>-8.69%</t>
        </is>
      </c>
      <c r="L72" t="n">
        <v>4.8</v>
      </c>
      <c r="M72" t="n">
        <v>295</v>
      </c>
      <c r="O72" t="inlineStr">
        <is>
          <t>InStock</t>
        </is>
      </c>
      <c r="P72" t="inlineStr">
        <is>
          <t>undefined</t>
        </is>
      </c>
      <c r="Q72" t="inlineStr">
        <is>
          <t>90738</t>
        </is>
      </c>
    </row>
    <row r="73">
      <c r="A73" s="2">
        <f>HYPERLINK("https://www.als.com/petzl-belay-grigri-assisted-braking/p?skuId=572368", "https://www.als.com/petzl-belay-grigri-assisted-braking/p?skuId=572368")</f>
        <v/>
      </c>
      <c r="B73" s="2">
        <f>HYPERLINK("https://www.als.com/petzl-belay-grigri-assisted-braking/p", "https://www.als.com/petzl-belay-grigri-assisted-braking/p")</f>
        <v/>
      </c>
      <c r="C73" t="inlineStr">
        <is>
          <t>Petzl GriGri Belay Device</t>
        </is>
      </c>
      <c r="D73" t="inlineStr">
        <is>
          <t>PETZL Grigri 2 Belay Device (2015)</t>
        </is>
      </c>
      <c r="E73" s="2">
        <f>HYPERLINK("https://www.amazon.com/Petzl-GRIGRI-belay-device-Gray/dp/B00RNJKJPW/ref=sr_1_6?keywords=Petzl+GriGri+Belay+Device&amp;qid=1695124323&amp;sr=8-6", "https://www.amazon.com/Petzl-GRIGRI-belay-device-Gray/dp/B00RNJKJPW/ref=sr_1_6?keywords=Petzl+GriGri+Belay+Device&amp;qid=1695124323&amp;sr=8-6")</f>
        <v/>
      </c>
      <c r="F73" t="inlineStr">
        <is>
          <t>B00RNJKJPW</t>
        </is>
      </c>
      <c r="G73">
        <f>IMAGE("https://alssports.vtexassets.com/arquivos/ids/1023632-800-auto?v=637823067748170000&amp;width=800&amp;height=auto&amp;aspect=true")</f>
        <v/>
      </c>
      <c r="H73">
        <f>IMAGE("https://m.media-amazon.com/images/I/61PBJuRZZFL._AC_UY218_.jpg")</f>
        <v/>
      </c>
      <c r="I73" t="inlineStr">
        <is>
          <t>109.95</t>
        </is>
      </c>
      <c r="J73" t="n">
        <v>99.95</v>
      </c>
      <c r="K73" s="3" t="inlineStr">
        <is>
          <t>-9.10%</t>
        </is>
      </c>
      <c r="L73" t="n">
        <v>4.8</v>
      </c>
      <c r="M73" t="n">
        <v>394</v>
      </c>
      <c r="O73" t="inlineStr">
        <is>
          <t>InStock</t>
        </is>
      </c>
      <c r="P73" t="inlineStr">
        <is>
          <t>undefined</t>
        </is>
      </c>
      <c r="Q73" t="inlineStr">
        <is>
          <t>572368</t>
        </is>
      </c>
    </row>
    <row r="74">
      <c r="A74" s="2">
        <f>HYPERLINK("https://www.als.com/sorel-m-explorer-boot/p?skuId=1237286", "https://www.als.com/sorel-m-explorer-boot/p?skuId=1237286")</f>
        <v/>
      </c>
      <c r="B74" s="2">
        <f>HYPERLINK("https://www.als.com/sorel-m-explorer-boot/p", "https://www.als.com/sorel-m-explorer-boot/p")</f>
        <v/>
      </c>
      <c r="C74" t="inlineStr">
        <is>
          <t>Sorel Explorer Boot - Men's</t>
        </is>
      </c>
      <c r="D74" t="inlineStr">
        <is>
          <t>Sorel Men's Winter Boots</t>
        </is>
      </c>
      <c r="E74" s="2">
        <f>HYPERLINK("https://www.amazon.com/Sorel-Mens-Explorer-Mission-Waterproof/dp/B0B6JRPHQ2/ref=sr_1_3?keywords=Sorel+Explorer+Boot+-+Mens&amp;qid=1695124329&amp;sr=8-3", "https://www.amazon.com/Sorel-Mens-Explorer-Mission-Waterproof/dp/B0B6JRPHQ2/ref=sr_1_3?keywords=Sorel+Explorer+Boot+-+Mens&amp;qid=1695124329&amp;sr=8-3")</f>
        <v/>
      </c>
      <c r="F74" t="inlineStr">
        <is>
          <t>B0B6JRPHQ2</t>
        </is>
      </c>
      <c r="G74">
        <f>IMAGE("https://alssports.vtexassets.com/arquivos/ids/1316684-800-auto?v=638198518766100000&amp;width=800&amp;height=auto&amp;aspect=true")</f>
        <v/>
      </c>
      <c r="H74">
        <f>IMAGE("https://m.media-amazon.com/images/I/71fkHnzmGXL._AC_UL320_.jpg")</f>
        <v/>
      </c>
      <c r="I74" t="inlineStr">
        <is>
          <t>90.97</t>
        </is>
      </c>
      <c r="J74" t="n">
        <v>82.45</v>
      </c>
      <c r="K74" s="3" t="inlineStr">
        <is>
          <t>-9.37%</t>
        </is>
      </c>
      <c r="L74" t="n">
        <v>4.7</v>
      </c>
      <c r="M74" t="n">
        <v>16</v>
      </c>
      <c r="O74" t="inlineStr">
        <is>
          <t>InStock</t>
        </is>
      </c>
      <c r="P74" t="inlineStr">
        <is>
          <t>129.95</t>
        </is>
      </c>
      <c r="Q74" t="inlineStr">
        <is>
          <t>1237286</t>
        </is>
      </c>
    </row>
    <row r="75">
      <c r="A75" s="2">
        <f>HYPERLINK("https://www.als.com/crocs-classic-clog/p?skuId=1196935", "https://www.als.com/crocs-classic-clog/p?skuId=1196935")</f>
        <v/>
      </c>
      <c r="B75" s="2">
        <f>HYPERLINK("https://www.als.com/crocs-classic-clog/p", "https://www.als.com/crocs-classic-clog/p")</f>
        <v/>
      </c>
      <c r="C75" t="inlineStr">
        <is>
          <t>Crocs Classic Clog</t>
        </is>
      </c>
      <c r="D75" t="inlineStr">
        <is>
          <t>Crocs womens Classic Platform Glitter Clog</t>
        </is>
      </c>
      <c r="F75" t="inlineStr">
        <is>
          <t>B09NMD8619</t>
        </is>
      </c>
      <c r="G75">
        <f>IMAGE("https://alssports.vtexassets.com/arquivos/ids/1222253-800-auto?v=638102875835800000&amp;width=800&amp;height=auto&amp;aspect=true")</f>
        <v/>
      </c>
      <c r="H75">
        <f>IMAGE("https://m.media-amazon.com/images/I/91JArK963mL._AC_UL320_.jpg")</f>
        <v/>
      </c>
      <c r="I75" t="inlineStr">
        <is>
          <t>49.95</t>
        </is>
      </c>
      <c r="J75" t="n">
        <v>45.27</v>
      </c>
      <c r="K75" s="3" t="inlineStr">
        <is>
          <t>-9.37%</t>
        </is>
      </c>
      <c r="L75" t="n">
        <v>4.6</v>
      </c>
      <c r="M75" t="n">
        <v>1617</v>
      </c>
      <c r="O75" t="inlineStr">
        <is>
          <t>InStock</t>
        </is>
      </c>
      <c r="P75" t="inlineStr">
        <is>
          <t>undefined</t>
        </is>
      </c>
      <c r="Q75" t="inlineStr">
        <is>
          <t>1196935</t>
        </is>
      </c>
    </row>
    <row r="76">
      <c r="A76" s="2">
        <f>HYPERLINK("https://www.als.com/sram-chain-pc-x01-eagle/p?skuId=536002", "https://www.als.com/sram-chain-pc-x01-eagle/p?skuId=536002")</f>
        <v/>
      </c>
      <c r="B76" s="2">
        <f>HYPERLINK("https://www.als.com/sram-chain-pc-x01-eagle/p", "https://www.als.com/sram-chain-pc-x01-eagle/p")</f>
        <v/>
      </c>
      <c r="C76" t="inlineStr">
        <is>
          <t>SRAM X01 Eagle 12-Speed Chain</t>
        </is>
      </c>
      <c r="D76" t="inlineStr">
        <is>
          <t>SRAM X01 Eagle Chain - 12-Speed, 126 Links, Silver</t>
        </is>
      </c>
      <c r="E76" s="2">
        <f>HYPERLINK("https://www.amazon.com/SRAM-Chain-Pcx01-Eagle-126Li/dp/B01DUSCZ6A/ref=sr_1_1?keywords=SRAM+X01+Eagle+12-Speed+Chain&amp;qid=1695124143&amp;sr=8-1", "https://www.amazon.com/SRAM-Chain-Pcx01-Eagle-126Li/dp/B01DUSCZ6A/ref=sr_1_1?keywords=SRAM+X01+Eagle+12-Speed+Chain&amp;qid=1695124143&amp;sr=8-1")</f>
        <v/>
      </c>
      <c r="F76" t="inlineStr">
        <is>
          <t>B01DUSCZ6A</t>
        </is>
      </c>
      <c r="G76">
        <f>IMAGE("https://alssports.vtexassets.com/arquivos/ids/1117391-800-auto?v=637964367650530000&amp;width=800&amp;height=auto&amp;aspect=true")</f>
        <v/>
      </c>
      <c r="H76">
        <f>IMAGE("https://m.media-amazon.com/images/I/310iVzILWJL._AC_UL320_.jpg")</f>
        <v/>
      </c>
      <c r="I76" t="inlineStr">
        <is>
          <t>64.0</t>
        </is>
      </c>
      <c r="J76" t="n">
        <v>57.98</v>
      </c>
      <c r="K76" s="3" t="inlineStr">
        <is>
          <t>-9.41%</t>
        </is>
      </c>
      <c r="L76" t="n">
        <v>4.6</v>
      </c>
      <c r="M76" t="n">
        <v>472</v>
      </c>
      <c r="O76" t="inlineStr">
        <is>
          <t>InStock</t>
        </is>
      </c>
      <c r="P76" t="inlineStr">
        <is>
          <t>undefined</t>
        </is>
      </c>
      <c r="Q76" t="inlineStr">
        <is>
          <t>536002</t>
        </is>
      </c>
    </row>
    <row r="77">
      <c r="A77" s="2">
        <f>HYPERLINK("https://www.als.com/adidas-m-shoe-lite-racer-adapt-50/p?skuId=1338101", "https://www.als.com/adidas-m-shoe-lite-racer-adapt-50/p?skuId=1338101")</f>
        <v/>
      </c>
      <c r="B77" s="2">
        <f>HYPERLINK("https://www.als.com/adidas-m-shoe-lite-racer-adapt-50/p", "https://www.als.com/adidas-m-shoe-lite-racer-adapt-50/p")</f>
        <v/>
      </c>
      <c r="C77" t="inlineStr">
        <is>
          <t>adidas Lite Racer Adapt 5.0 Shoe - Men's</t>
        </is>
      </c>
      <c r="D77" t="inlineStr">
        <is>
          <t>adidas Men's Lite Racer CLN Running Shoe</t>
        </is>
      </c>
      <c r="E77" s="2">
        <f>HYPERLINK("https://www.amazon.com/adidas-Racer-Running-White-Numeric_8/dp/B084RTCD8L/ref=sr_1_8?keywords=adidas+Lite+Racer+Adapt+5.0+Shoe+-+Mens&amp;qid=1695124407&amp;sr=8-8", "https://www.amazon.com/adidas-Racer-Running-White-Numeric_8/dp/B084RTCD8L/ref=sr_1_8?keywords=adidas+Lite+Racer+Adapt+5.0+Shoe+-+Mens&amp;qid=1695124407&amp;sr=8-8")</f>
        <v/>
      </c>
      <c r="F77" t="inlineStr">
        <is>
          <t>B084RTCD8L</t>
        </is>
      </c>
      <c r="G77">
        <f>IMAGE("https://alssports.vtexassets.com/arquivos/ids/1378546-800-auto?v=638248784142700000&amp;width=800&amp;height=auto&amp;aspect=true")</f>
        <v/>
      </c>
      <c r="H77">
        <f>IMAGE("https://m.media-amazon.com/images/I/81fmXs0iufL._AC_UL320_.jpg")</f>
        <v/>
      </c>
      <c r="I77" t="inlineStr">
        <is>
          <t>69.95</t>
        </is>
      </c>
      <c r="J77" t="n">
        <v>63.33</v>
      </c>
      <c r="K77" s="3" t="inlineStr">
        <is>
          <t>-9.46%</t>
        </is>
      </c>
      <c r="L77" t="n">
        <v>4.6</v>
      </c>
      <c r="M77" t="n">
        <v>1777</v>
      </c>
      <c r="O77" t="inlineStr">
        <is>
          <t>InStock</t>
        </is>
      </c>
      <c r="P77" t="inlineStr">
        <is>
          <t>undefined</t>
        </is>
      </c>
      <c r="Q77" t="inlineStr">
        <is>
          <t>1338101</t>
        </is>
      </c>
    </row>
    <row r="78">
      <c r="A78" s="2">
        <f>HYPERLINK("https://www.als.com/crocs-classic-clog/p?skuId=1196935", "https://www.als.com/crocs-classic-clog/p?skuId=1196935")</f>
        <v/>
      </c>
      <c r="B78" s="2">
        <f>HYPERLINK("https://www.als.com/crocs-classic-clog/p", "https://www.als.com/crocs-classic-clog/p")</f>
        <v/>
      </c>
      <c r="C78" t="inlineStr">
        <is>
          <t>Crocs Classic Clog</t>
        </is>
      </c>
      <c r="D78" t="inlineStr">
        <is>
          <t>Crocs Unisex-Child Classic Glitter Clog (Little Big Kid)</t>
        </is>
      </c>
      <c r="E78" s="2">
        <f>HYPERLINK("https://www.amazon.com/Crocs-Unisex-Adult-Classic-Sparkly-Metallic/dp/B0BSGBRR9W/ref=sr_1_35?keywords=Crocs+Classic+Clog&amp;qid=1695124151&amp;sr=8-35", "https://www.amazon.com/Crocs-Unisex-Adult-Classic-Sparkly-Metallic/dp/B0BSGBRR9W/ref=sr_1_35?keywords=Crocs+Classic+Clog&amp;qid=1695124151&amp;sr=8-35")</f>
        <v/>
      </c>
      <c r="F78" t="inlineStr">
        <is>
          <t>B0BSGBRR9W</t>
        </is>
      </c>
      <c r="G78">
        <f>IMAGE("https://alssports.vtexassets.com/arquivos/ids/1222253-800-auto?v=638102875835800000&amp;width=800&amp;height=auto&amp;aspect=true")</f>
        <v/>
      </c>
      <c r="H78">
        <f>IMAGE("https://m.media-amazon.com/images/I/81Z5pcpE2bL._AC_UL320_.jpg")</f>
        <v/>
      </c>
      <c r="I78" t="inlineStr">
        <is>
          <t>49.95</t>
        </is>
      </c>
      <c r="J78" t="n">
        <v>45</v>
      </c>
      <c r="K78" s="3" t="inlineStr">
        <is>
          <t>-9.91%</t>
        </is>
      </c>
      <c r="L78" t="n">
        <v>4.8</v>
      </c>
      <c r="M78" t="n">
        <v>23118</v>
      </c>
      <c r="O78" t="inlineStr">
        <is>
          <t>InStock</t>
        </is>
      </c>
      <c r="P78" t="inlineStr">
        <is>
          <t>undefined</t>
        </is>
      </c>
      <c r="Q78" t="inlineStr">
        <is>
          <t>1196935</t>
        </is>
      </c>
    </row>
    <row r="79">
      <c r="A79" s="2">
        <f>HYPERLINK("https://www.als.com/crocs-classic-clog/p?skuId=1196935", "https://www.als.com/crocs-classic-clog/p?skuId=1196935")</f>
        <v/>
      </c>
      <c r="B79" s="2">
        <f>HYPERLINK("https://www.als.com/crocs-classic-clog/p", "https://www.als.com/crocs-classic-clog/p")</f>
        <v/>
      </c>
      <c r="C79" t="inlineStr">
        <is>
          <t>Crocs Classic Clog</t>
        </is>
      </c>
      <c r="D79" t="inlineStr">
        <is>
          <t>Crocs Unisex-Adult Classic Minecraft Clog</t>
        </is>
      </c>
      <c r="E79" s="2">
        <f>HYPERLINK("https://www.amazon.com/Crocs-Unisex-Classic-Minecraft-Clogs/dp/B0B9CBH2LG/ref=sr_1_46?keywords=Crocs+Classic+Clog&amp;qid=1695124151&amp;sr=8-46", "https://www.amazon.com/Crocs-Unisex-Classic-Minecraft-Clogs/dp/B0B9CBH2LG/ref=sr_1_46?keywords=Crocs+Classic+Clog&amp;qid=1695124151&amp;sr=8-46")</f>
        <v/>
      </c>
      <c r="F79" t="inlineStr">
        <is>
          <t>B0B9CBH2LG</t>
        </is>
      </c>
      <c r="G79">
        <f>IMAGE("https://alssports.vtexassets.com/arquivos/ids/1222253-800-auto?v=638102875835800000&amp;width=800&amp;height=auto&amp;aspect=true")</f>
        <v/>
      </c>
      <c r="H79">
        <f>IMAGE("https://m.media-amazon.com/images/I/81a-GNuHb+L._AC_UL320_.jpg")</f>
        <v/>
      </c>
      <c r="I79" t="inlineStr">
        <is>
          <t>49.95</t>
        </is>
      </c>
      <c r="J79" t="n">
        <v>44.99</v>
      </c>
      <c r="K79" s="3" t="inlineStr">
        <is>
          <t>-9.93%</t>
        </is>
      </c>
      <c r="L79" t="n">
        <v>4.8</v>
      </c>
      <c r="M79" t="n">
        <v>414</v>
      </c>
      <c r="O79" t="inlineStr">
        <is>
          <t>InStock</t>
        </is>
      </c>
      <c r="P79" t="inlineStr">
        <is>
          <t>undefined</t>
        </is>
      </c>
      <c r="Q79" t="inlineStr">
        <is>
          <t>1196935</t>
        </is>
      </c>
    </row>
    <row r="80">
      <c r="A80" s="2">
        <f>HYPERLINK("https://www.als.com/crocs-classic-clog/p?skuId=1196935", "https://www.als.com/crocs-classic-clog/p?skuId=1196935")</f>
        <v/>
      </c>
      <c r="B80" s="2">
        <f>HYPERLINK("https://www.als.com/crocs-classic-clog/p", "https://www.als.com/crocs-classic-clog/p")</f>
        <v/>
      </c>
      <c r="C80" t="inlineStr">
        <is>
          <t>Crocs Classic Clog</t>
        </is>
      </c>
      <c r="D80" t="inlineStr">
        <is>
          <t>Crocs Unisex-Adult Sonic The Hedgehog Classic Clog</t>
        </is>
      </c>
      <c r="E80" s="2">
        <f>HYPERLINK("https://www.amazon.com/Crocs-Unisex-Sonic-Hedgehog-Classic/dp/B0BTTZLCJM/ref=sr_1_40?keywords=Crocs+Classic+Clog&amp;qid=1695124151&amp;sr=8-40", "https://www.amazon.com/Crocs-Unisex-Sonic-Hedgehog-Classic/dp/B0BTTZLCJM/ref=sr_1_40?keywords=Crocs+Classic+Clog&amp;qid=1695124151&amp;sr=8-40")</f>
        <v/>
      </c>
      <c r="F80" t="inlineStr">
        <is>
          <t>B0BTTZLCJM</t>
        </is>
      </c>
      <c r="G80">
        <f>IMAGE("https://alssports.vtexassets.com/arquivos/ids/1222253-800-auto?v=638102875835800000&amp;width=800&amp;height=auto&amp;aspect=true")</f>
        <v/>
      </c>
      <c r="H80">
        <f>IMAGE("https://m.media-amazon.com/images/I/81jrt0SPyNL._AC_UL320_.jpg")</f>
        <v/>
      </c>
      <c r="I80" t="inlineStr">
        <is>
          <t>49.95</t>
        </is>
      </c>
      <c r="J80" t="n">
        <v>44.99</v>
      </c>
      <c r="K80" s="3" t="inlineStr">
        <is>
          <t>-9.93%</t>
        </is>
      </c>
      <c r="L80" t="n">
        <v>4.8</v>
      </c>
      <c r="M80" t="n">
        <v>167</v>
      </c>
      <c r="O80" t="inlineStr">
        <is>
          <t>InStock</t>
        </is>
      </c>
      <c r="P80" t="inlineStr">
        <is>
          <t>undefined</t>
        </is>
      </c>
      <c r="Q80" t="inlineStr">
        <is>
          <t>1196935</t>
        </is>
      </c>
    </row>
    <row r="81">
      <c r="A81" s="2">
        <f>HYPERLINK("https://www.als.com/conti-tire-grand-prix-5000-s-tr/p?skuId=971397", "https://www.als.com/conti-tire-grand-prix-5000-s-tr/p?skuId=971397")</f>
        <v/>
      </c>
      <c r="B81" s="2">
        <f>HYPERLINK("https://www.als.com/conti-tire-grand-prix-5000-s-tr/p", "https://www.als.com/conti-tire-grand-prix-5000-s-tr/p")</f>
        <v/>
      </c>
      <c r="C81" t="inlineStr">
        <is>
          <t>Continental Tires Continental Grand Prix 5000 S TR Tire</t>
        </is>
      </c>
      <c r="D81" t="inlineStr">
        <is>
          <t>Continental Pair Grand Prix 5000 Folding Tires 700x25c Black Transparent 700c, 700x25</t>
        </is>
      </c>
      <c r="E81" s="2">
        <f>HYPERLINK("https://www.amazon.com/Continental-Folding-700x25c-Transparent-700x25/dp/B09S8VDK9K/ref=sr_1_10?keywords=Continental+Tires+Continental+Grand+Prix+5000+S+TR+Tire&amp;qid=1695124461&amp;sr=8-10", "https://www.amazon.com/Continental-Folding-700x25c-Transparent-700x25/dp/B09S8VDK9K/ref=sr_1_10?keywords=Continental+Tires+Continental+Grand+Prix+5000+S+TR+Tire&amp;qid=1695124461&amp;sr=8-10")</f>
        <v/>
      </c>
      <c r="F81" t="inlineStr">
        <is>
          <t>B09S8VDK9K</t>
        </is>
      </c>
      <c r="G81">
        <f>IMAGE("https://alssports.vtexassets.com/arquivos/ids/1235281-800-auto?v=638114086611970000&amp;width=800&amp;height=auto&amp;aspect=true")</f>
        <v/>
      </c>
      <c r="H81">
        <f>IMAGE("https://m.media-amazon.com/images/I/51yMrpyUO8L._AC_UL320_.jpg")</f>
        <v/>
      </c>
      <c r="I81" t="inlineStr">
        <is>
          <t>99.95</t>
        </is>
      </c>
      <c r="J81" t="n">
        <v>90</v>
      </c>
      <c r="K81" s="3" t="inlineStr">
        <is>
          <t>-9.95%</t>
        </is>
      </c>
      <c r="L81" t="n">
        <v>4.6</v>
      </c>
      <c r="M81" t="n">
        <v>47</v>
      </c>
      <c r="O81" t="inlineStr">
        <is>
          <t>InStock</t>
        </is>
      </c>
      <c r="P81" t="inlineStr">
        <is>
          <t>undefined</t>
        </is>
      </c>
      <c r="Q81" t="inlineStr">
        <is>
          <t>971397</t>
        </is>
      </c>
    </row>
    <row r="82">
      <c r="A82" s="2">
        <f>HYPERLINK("https://www.als.com/seasum-pillow-aeros-premium/p?skuId=550081", "https://www.als.com/seasum-pillow-aeros-premium/p?skuId=550081")</f>
        <v/>
      </c>
      <c r="B82" s="2">
        <f>HYPERLINK("https://www.als.com/seasum-pillow-aeros-premium/p", "https://www.als.com/seasum-pillow-aeros-premium/p")</f>
        <v/>
      </c>
      <c r="C82" t="inlineStr">
        <is>
          <t>Sea to Summit Aeros Premium Pillow</t>
        </is>
      </c>
      <c r="D82" t="inlineStr">
        <is>
          <t>Sea to Summit Aeros Premium Traveller Inflatable Neck Pillow, Navy Blue</t>
        </is>
      </c>
      <c r="E82" s="2">
        <f>HYPERLINK("https://www.amazon.com/Sea-Summit-Traveler-Pillow-Premium/dp/B003Z22QNY/ref=sr_1_3?keywords=Sea+to+Summit+Aeros+Premium+Pillow&amp;qid=1695124491&amp;sr=8-3", "https://www.amazon.com/Sea-Summit-Traveler-Pillow-Premium/dp/B003Z22QNY/ref=sr_1_3?keywords=Sea+to+Summit+Aeros+Premium+Pillow&amp;qid=1695124491&amp;sr=8-3")</f>
        <v/>
      </c>
      <c r="F82" t="inlineStr">
        <is>
          <t>B003Z22QNY</t>
        </is>
      </c>
      <c r="G82">
        <f>IMAGE("https://alssports.vtexassets.com/arquivos/ids/609076-800-auto?v=637541323696830000&amp;width=800&amp;height=auto&amp;aspect=true")</f>
        <v/>
      </c>
      <c r="H82">
        <f>IMAGE("https://m.media-amazon.com/images/I/710h0-gOpIL._AC_UL320_.jpg")</f>
        <v/>
      </c>
      <c r="I82" t="inlineStr">
        <is>
          <t>49.95</t>
        </is>
      </c>
      <c r="J82" t="n">
        <v>44.95</v>
      </c>
      <c r="K82" s="3" t="inlineStr">
        <is>
          <t>-10.01%</t>
        </is>
      </c>
      <c r="L82" t="n">
        <v>4.6</v>
      </c>
      <c r="M82" t="n">
        <v>137</v>
      </c>
      <c r="O82" t="inlineStr">
        <is>
          <t>undefined</t>
        </is>
      </c>
      <c r="P82" t="inlineStr">
        <is>
          <t>undefined</t>
        </is>
      </c>
      <c r="Q82" t="inlineStr">
        <is>
          <t>550081</t>
        </is>
      </c>
    </row>
    <row r="83">
      <c r="A83" s="2">
        <f>HYPERLINK("https://www.als.com/seasum-pillow-aeros-premium/p?skuId=550081", "https://www.als.com/seasum-pillow-aeros-premium/p?skuId=550081")</f>
        <v/>
      </c>
      <c r="B83" s="2">
        <f>HYPERLINK("https://www.als.com/seasum-pillow-aeros-premium/p", "https://www.als.com/seasum-pillow-aeros-premium/p")</f>
        <v/>
      </c>
      <c r="C83" t="inlineStr">
        <is>
          <t>Sea to Summit Aeros Premium Pillow</t>
        </is>
      </c>
      <c r="D83" t="inlineStr">
        <is>
          <t>Sea to Summit Aeros Ultralight Inflatable Camping and Travel Pillow, Regular (14.2 x 10.2), Aqua</t>
        </is>
      </c>
      <c r="E83" s="2">
        <f>HYPERLINK("https://www.amazon.com/Sea-Summit-Ultralight-Pillow-Regular/dp/B07NH74D9M/ref=sr_1_2?keywords=Sea+to+Summit+Aeros+Premium+Pillow&amp;qid=1695124491&amp;sr=8-2", "https://www.amazon.com/Sea-Summit-Ultralight-Pillow-Regular/dp/B07NH74D9M/ref=sr_1_2?keywords=Sea+to+Summit+Aeros+Premium+Pillow&amp;qid=1695124491&amp;sr=8-2")</f>
        <v/>
      </c>
      <c r="F83" t="inlineStr">
        <is>
          <t>B07NH74D9M</t>
        </is>
      </c>
      <c r="G83">
        <f>IMAGE("https://alssports.vtexassets.com/arquivos/ids/609076-800-auto?v=637541323696830000&amp;width=800&amp;height=auto&amp;aspect=true")</f>
        <v/>
      </c>
      <c r="H83">
        <f>IMAGE("https://m.media-amazon.com/images/I/71zuNnlEddL._AC_UL320_.jpg")</f>
        <v/>
      </c>
      <c r="I83" t="inlineStr">
        <is>
          <t>49.95</t>
        </is>
      </c>
      <c r="J83" t="n">
        <v>44.95</v>
      </c>
      <c r="K83" s="3" t="inlineStr">
        <is>
          <t>-10.01%</t>
        </is>
      </c>
      <c r="L83" t="n">
        <v>4.6</v>
      </c>
      <c r="M83" t="n">
        <v>900</v>
      </c>
      <c r="O83" t="inlineStr">
        <is>
          <t>undefined</t>
        </is>
      </c>
      <c r="P83" t="inlineStr">
        <is>
          <t>undefined</t>
        </is>
      </c>
      <c r="Q83" t="inlineStr">
        <is>
          <t>550081</t>
        </is>
      </c>
    </row>
    <row r="84">
      <c r="A84" s="2">
        <f>HYPERLINK("https://www.als.com/vans-shoe-sk8-hi-mte-2/p?skuId=1116049", "https://www.als.com/vans-shoe-sk8-hi-mte-2/p?skuId=1116049")</f>
        <v/>
      </c>
      <c r="B84" s="2">
        <f>HYPERLINK("https://www.als.com/vans-shoe-sk8-hi-mte-2/p", "https://www.als.com/vans-shoe-sk8-hi-mte-2/p")</f>
        <v/>
      </c>
      <c r="C84" t="inlineStr">
        <is>
          <t>Vans Sk8-Hi MTE-2 Shoe</t>
        </is>
      </c>
      <c r="D84" t="inlineStr">
        <is>
          <t>Vans Mens Sk8-Hi MTE 2.0 Dx Skateboarding Shoes</t>
        </is>
      </c>
      <c r="E84" s="2">
        <f>HYPERLINK("https://www.amazon.com/Vans-Sk8-Hi-Skateboarding-Green-Root-Numeric_9/dp/B07NGJ43XM/ref=sr_1_11?keywords=Vans+Sk8-Hi+MTE-2+Shoe&amp;qid=1695124405&amp;sr=8-11", "https://www.amazon.com/Vans-Sk8-Hi-Skateboarding-Green-Root-Numeric_9/dp/B07NGJ43XM/ref=sr_1_11?keywords=Vans+Sk8-Hi+MTE-2+Shoe&amp;qid=1695124405&amp;sr=8-11")</f>
        <v/>
      </c>
      <c r="F84" t="inlineStr">
        <is>
          <t>B07NGJ43XM</t>
        </is>
      </c>
      <c r="G84">
        <f>IMAGE("https://alssports.vtexassets.com/arquivos/ids/1312527-800-auto?v=638193489147030000&amp;width=800&amp;height=auto&amp;aspect=true")</f>
        <v/>
      </c>
      <c r="H84">
        <f>IMAGE("https://m.media-amazon.com/images/I/41rLm4oHH0L._AC_UL320_.jpg")</f>
        <v/>
      </c>
      <c r="I84" t="inlineStr">
        <is>
          <t>149.95</t>
        </is>
      </c>
      <c r="J84" t="n">
        <v>134.66</v>
      </c>
      <c r="K84" s="3" t="inlineStr">
        <is>
          <t>-10.20%</t>
        </is>
      </c>
      <c r="L84" t="n">
        <v>4.6</v>
      </c>
      <c r="M84" t="n">
        <v>115</v>
      </c>
      <c r="O84" t="inlineStr">
        <is>
          <t>InStock</t>
        </is>
      </c>
      <c r="P84" t="inlineStr">
        <is>
          <t>undefined</t>
        </is>
      </c>
      <c r="Q84" t="inlineStr">
        <is>
          <t>1116049</t>
        </is>
      </c>
    </row>
    <row r="85">
      <c r="A85" s="2">
        <f>HYPERLINK("https://www.als.com/newbal-m-shoe-574v3/p?skuId=1094176", "https://www.als.com/newbal-m-shoe-574v3/p?skuId=1094176")</f>
        <v/>
      </c>
      <c r="B85" s="2">
        <f>HYPERLINK("https://www.als.com/newbal-m-shoe-574v3/p", "https://www.als.com/newbal-m-shoe-574v3/p")</f>
        <v/>
      </c>
      <c r="C85" t="inlineStr">
        <is>
          <t>New Balance 574 Core Shoe - Men's</t>
        </is>
      </c>
      <c r="D85" t="inlineStr">
        <is>
          <t>New Balance Men's 574 V2 Core Sneaker</t>
        </is>
      </c>
      <c r="E85" s="2">
        <f>HYPERLINK("https://www.amazon.com/New-Balance-Iconic-Sneaker-Classic/dp/B07RL16S28/ref=sr_1_3?keywords=New+Balance+574+Core+Shoe+-+Men%27s&amp;qid=1695124351&amp;sr=8-3", "https://www.amazon.com/New-Balance-Iconic-Sneaker-Classic/dp/B07RL16S28/ref=sr_1_3?keywords=New+Balance+574+Core+Shoe+-+Men%27s&amp;qid=1695124351&amp;sr=8-3")</f>
        <v/>
      </c>
      <c r="F85" t="inlineStr">
        <is>
          <t>B07RL16S28</t>
        </is>
      </c>
      <c r="G85">
        <f>IMAGE("https://alssports.vtexassets.com/arquivos/ids/1118685-800-auto?v=637967832331470000&amp;width=800&amp;height=auto&amp;aspect=true")</f>
        <v/>
      </c>
      <c r="H85">
        <f>IMAGE("https://m.media-amazon.com/images/I/71ThZqdk-7L._AC_UL320_.jpg")</f>
        <v/>
      </c>
      <c r="I85" t="inlineStr">
        <is>
          <t>59.46</t>
        </is>
      </c>
      <c r="J85" t="n">
        <v>53.35</v>
      </c>
      <c r="K85" s="3" t="inlineStr">
        <is>
          <t>-10.28%</t>
        </is>
      </c>
      <c r="L85" t="n">
        <v>4.7</v>
      </c>
      <c r="M85" t="n">
        <v>1134</v>
      </c>
      <c r="O85" t="inlineStr">
        <is>
          <t>InStock</t>
        </is>
      </c>
      <c r="P85" t="inlineStr">
        <is>
          <t>84.95</t>
        </is>
      </c>
      <c r="Q85" t="inlineStr">
        <is>
          <t>1094176</t>
        </is>
      </c>
    </row>
    <row r="86">
      <c r="A86" s="2">
        <f>HYPERLINK("https://www.als.com/sal-sh-m-shoe-speedcross-6/p?skuId=1067283", "https://www.als.com/sal-sh-m-shoe-speedcross-6/p?skuId=1067283")</f>
        <v/>
      </c>
      <c r="B86" s="2">
        <f>HYPERLINK("https://www.als.com/sal-sh-m-shoe-speedcross-6/p", "https://www.als.com/sal-sh-m-shoe-speedcross-6/p")</f>
        <v/>
      </c>
      <c r="C86" t="inlineStr">
        <is>
          <t>Salomon Speedcross 6 Trail Running Shoe - Men's</t>
        </is>
      </c>
      <c r="D86" t="inlineStr">
        <is>
          <t>Salomon Men's Xa Pro 3D V8 Trail Running Shoes</t>
        </is>
      </c>
      <c r="E86" s="2">
        <f>HYPERLINK("https://www.amazon.com/Salomon-Athletic-Water-Shoes-Hiking-grape-shadow/dp/B07WHDC3M5/ref=sr_1_12?keywords=Salomon+Speedcross+6+Trail+Running+Shoe+-+Men%27s&amp;qid=1695124304&amp;sr=8-12", "https://www.amazon.com/Salomon-Athletic-Water-Shoes-Hiking-grape-shadow/dp/B07WHDC3M5/ref=sr_1_12?keywords=Salomon+Speedcross+6+Trail+Running+Shoe+-+Men%27s&amp;qid=1695124304&amp;sr=8-12")</f>
        <v/>
      </c>
      <c r="F86" t="inlineStr">
        <is>
          <t>B07WHDC3M5</t>
        </is>
      </c>
      <c r="G86">
        <f>IMAGE("https://alssports.vtexassets.com/arquivos/ids/1132465-800-auto?v=637986345574970000&amp;width=800&amp;height=auto&amp;aspect=true")</f>
        <v/>
      </c>
      <c r="H86">
        <f>IMAGE("https://m.media-amazon.com/images/I/61QZw7lQpcL._AC_UL320_.jpg")</f>
        <v/>
      </c>
      <c r="I86" t="inlineStr">
        <is>
          <t>144.95</t>
        </is>
      </c>
      <c r="J86" t="n">
        <v>129.95</v>
      </c>
      <c r="K86" s="3" t="inlineStr">
        <is>
          <t>-10.35%</t>
        </is>
      </c>
      <c r="L86" t="n">
        <v>4.5</v>
      </c>
      <c r="M86" t="n">
        <v>2852</v>
      </c>
      <c r="O86" t="inlineStr">
        <is>
          <t>InStock</t>
        </is>
      </c>
      <c r="P86" t="inlineStr">
        <is>
          <t>145.0</t>
        </is>
      </c>
      <c r="Q86" t="inlineStr">
        <is>
          <t>1067283</t>
        </is>
      </c>
    </row>
    <row r="87">
      <c r="A87" s="2">
        <f>HYPERLINK("https://www.als.com/asics-ws-shoe-gel-nimbus-24/p?skuId=1037727", "https://www.als.com/asics-ws-shoe-gel-nimbus-24/p?skuId=1037727")</f>
        <v/>
      </c>
      <c r="B87" s="2">
        <f>HYPERLINK("https://www.als.com/asics-ws-shoe-gel-nimbus-24/p", "https://www.als.com/asics-ws-shoe-gel-nimbus-24/p")</f>
        <v/>
      </c>
      <c r="C87" t="inlineStr">
        <is>
          <t>Asics GEL-NIMBUS 24 Running Shoe - Women's</t>
        </is>
      </c>
      <c r="D87" t="inlineStr">
        <is>
          <t>ASICS Women's Gel-Nimbus 24 LITE-Show Running Shoes</t>
        </is>
      </c>
      <c r="E87" s="2">
        <f>HYPERLINK("https://www.amazon.com/ASICS-Womens-Gel-Nimbus-LITE-Show-Running/dp/B09CLLNRCZ/ref=sr_1_4?keywords=Asics+GEL-NIMBUS+24+Running+Shoe+-+Womens&amp;qid=1695124093&amp;sr=8-4", "https://www.amazon.com/ASICS-Womens-Gel-Nimbus-LITE-Show-Running/dp/B09CLLNRCZ/ref=sr_1_4?keywords=Asics+GEL-NIMBUS+24+Running+Shoe+-+Womens&amp;qid=1695124093&amp;sr=8-4")</f>
        <v/>
      </c>
      <c r="F87" t="inlineStr">
        <is>
          <t>B09CLLNRCZ</t>
        </is>
      </c>
      <c r="G87">
        <f>IMAGE("https://alssports.vtexassets.com/arquivos/ids/1109551-800-auto?v=637950821539330000&amp;width=800&amp;height=auto&amp;aspect=true")</f>
        <v/>
      </c>
      <c r="H87">
        <f>IMAGE("https://m.media-amazon.com/images/I/61N+jXUbAAL._AC_UL320_.jpg")</f>
        <v/>
      </c>
      <c r="I87" t="inlineStr">
        <is>
          <t>111.96</t>
        </is>
      </c>
      <c r="J87" t="n">
        <v>99.95</v>
      </c>
      <c r="K87" s="3" t="inlineStr">
        <is>
          <t>-10.73%</t>
        </is>
      </c>
      <c r="L87" t="n">
        <v>4.6</v>
      </c>
      <c r="M87" t="n">
        <v>133</v>
      </c>
      <c r="O87" t="inlineStr">
        <is>
          <t>InStock</t>
        </is>
      </c>
      <c r="P87" t="inlineStr">
        <is>
          <t>159.95</t>
        </is>
      </c>
      <c r="Q87" t="inlineStr">
        <is>
          <t>1037727</t>
        </is>
      </c>
    </row>
    <row r="88">
      <c r="A88" s="2">
        <f>HYPERLINK("https://www.als.com/asics-ws-shoe-gel-nimbus-24/p?skuId=1037727", "https://www.als.com/asics-ws-shoe-gel-nimbus-24/p?skuId=1037727")</f>
        <v/>
      </c>
      <c r="B88" s="2">
        <f>HYPERLINK("https://www.als.com/asics-ws-shoe-gel-nimbus-24/p", "https://www.als.com/asics-ws-shoe-gel-nimbus-24/p")</f>
        <v/>
      </c>
      <c r="C88" t="inlineStr">
        <is>
          <t>Asics GEL-NIMBUS 24 Running Shoe - Women's</t>
        </is>
      </c>
      <c r="D88" t="inlineStr">
        <is>
          <t>ASICS Women's Gel-Nimbus 24 Platinum Running Shoes</t>
        </is>
      </c>
      <c r="E88" s="2">
        <f>HYPERLINK("https://www.amazon.com/ASICS-Womens-Gel-Nimbus-Platinum-Running/dp/B09WBQMGQX/ref=sr_1_3?keywords=Asics+GEL-NIMBUS+24+Running+Shoe+-+Womens&amp;qid=1695124093&amp;sr=8-3", "https://www.amazon.com/ASICS-Womens-Gel-Nimbus-Platinum-Running/dp/B09WBQMGQX/ref=sr_1_3?keywords=Asics+GEL-NIMBUS+24+Running+Shoe+-+Womens&amp;qid=1695124093&amp;sr=8-3")</f>
        <v/>
      </c>
      <c r="F88" t="inlineStr">
        <is>
          <t>B09WBQMGQX</t>
        </is>
      </c>
      <c r="G88">
        <f>IMAGE("https://alssports.vtexassets.com/arquivos/ids/1109551-800-auto?v=637950821539330000&amp;width=800&amp;height=auto&amp;aspect=true")</f>
        <v/>
      </c>
      <c r="H88">
        <f>IMAGE("https://m.media-amazon.com/images/I/61nqF74pQTL._AC_UL320_.jpg")</f>
        <v/>
      </c>
      <c r="I88" t="inlineStr">
        <is>
          <t>111.96</t>
        </is>
      </c>
      <c r="J88" t="n">
        <v>99.95</v>
      </c>
      <c r="K88" s="3" t="inlineStr">
        <is>
          <t>-10.73%</t>
        </is>
      </c>
      <c r="L88" t="n">
        <v>4.6</v>
      </c>
      <c r="M88" t="n">
        <v>47</v>
      </c>
      <c r="O88" t="inlineStr">
        <is>
          <t>InStock</t>
        </is>
      </c>
      <c r="P88" t="inlineStr">
        <is>
          <t>159.95</t>
        </is>
      </c>
      <c r="Q88" t="inlineStr">
        <is>
          <t>1037727</t>
        </is>
      </c>
    </row>
    <row r="89">
      <c r="A89" s="2">
        <f>HYPERLINK("https://www.als.com/laspor-shoe-approach-tx4-r/p?skuId=1282021", "https://www.als.com/laspor-shoe-approach-tx4-r/p?skuId=1282021")</f>
        <v/>
      </c>
      <c r="B89" s="2">
        <f>HYPERLINK("https://www.als.com/laspor-shoe-approach-tx4-r/p", "https://www.als.com/laspor-shoe-approach-tx4-r/p")</f>
        <v/>
      </c>
      <c r="C89" t="inlineStr">
        <is>
          <t>La Sportiva TX4 Shoe - Men's</t>
        </is>
      </c>
      <c r="D89" t="inlineStr">
        <is>
          <t>La Sportiva Mens TX4 Approach/Hiking Shoes</t>
        </is>
      </c>
      <c r="E89" s="2">
        <f>HYPERLINK("https://www.amazon.com/Sportiva-Approach-Hiking-Shoes-Carbon/dp/B07M9X6BPR/ref=sr_1_3?keywords=La+Sportiva+TX4+Shoe+-+Mens&amp;qid=1695124396&amp;sr=8-3", "https://www.amazon.com/Sportiva-Approach-Hiking-Shoes-Carbon/dp/B07M9X6BPR/ref=sr_1_3?keywords=La+Sportiva+TX4+Shoe+-+Mens&amp;qid=1695124396&amp;sr=8-3")</f>
        <v/>
      </c>
      <c r="F89" t="inlineStr">
        <is>
          <t>B07M9X6BPR</t>
        </is>
      </c>
      <c r="G89">
        <f>IMAGE("https://alssports.vtexassets.com/arquivos/ids/1257651-800-auto?v=638134817479900000&amp;width=800&amp;height=auto&amp;aspect=true")</f>
        <v/>
      </c>
      <c r="H89">
        <f>IMAGE("https://m.media-amazon.com/images/I/71ZWs9yMkuL._AC_UL320_.jpg")</f>
        <v/>
      </c>
      <c r="I89" t="inlineStr">
        <is>
          <t>179.0</t>
        </is>
      </c>
      <c r="J89" t="n">
        <v>158.95</v>
      </c>
      <c r="K89" s="3" t="inlineStr">
        <is>
          <t>-11.20%</t>
        </is>
      </c>
      <c r="L89" t="n">
        <v>4.5</v>
      </c>
      <c r="M89" t="n">
        <v>214</v>
      </c>
      <c r="O89" t="inlineStr">
        <is>
          <t>InStock</t>
        </is>
      </c>
      <c r="P89" t="inlineStr">
        <is>
          <t>undefined</t>
        </is>
      </c>
      <c r="Q89" t="inlineStr">
        <is>
          <t>1282021</t>
        </is>
      </c>
    </row>
    <row r="90">
      <c r="A90" s="2">
        <f>HYPERLINK("https://www.als.com/under-ua-drive-pant/p?skuId=997492", "https://www.als.com/under-ua-drive-pant/p?skuId=997492")</f>
        <v/>
      </c>
      <c r="B90" s="2">
        <f>HYPERLINK("https://www.als.com/under-ua-drive-pant/p", "https://www.als.com/under-ua-drive-pant/p")</f>
        <v/>
      </c>
      <c r="C90" t="inlineStr">
        <is>
          <t>Under Armour Drive Pant - Men's</t>
        </is>
      </c>
      <c r="D90" t="inlineStr">
        <is>
          <t>Under Armour Men's Brawler Pants</t>
        </is>
      </c>
      <c r="E90" s="2">
        <f>HYPERLINK("https://www.amazon.com/Under-Armour-Brawler-Pants-Medium/dp/B08LNMJKKT/ref=sr_1_26?keywords=Under+Armour+Drive+Pant+-+Men%27s&amp;qid=1695124299&amp;sr=8-26", "https://www.amazon.com/Under-Armour-Brawler-Pants-Medium/dp/B08LNMJKKT/ref=sr_1_26?keywords=Under+Armour+Drive+Pant+-+Men%27s&amp;qid=1695124299&amp;sr=8-26")</f>
        <v/>
      </c>
      <c r="F90" t="inlineStr">
        <is>
          <t>B08LNMJKKT</t>
        </is>
      </c>
      <c r="G90">
        <f>IMAGE("https://alssports.vtexassets.com/arquivos/ids/1442508-800-auto?v=638291812057330000&amp;width=800&amp;height=auto&amp;aspect=true")</f>
        <v/>
      </c>
      <c r="H90">
        <f>IMAGE("https://m.media-amazon.com/images/I/417sSTJxKGL._AC_UL320_.jpg")</f>
        <v/>
      </c>
      <c r="I90" t="inlineStr">
        <is>
          <t>51.0</t>
        </is>
      </c>
      <c r="J90" t="n">
        <v>45</v>
      </c>
      <c r="K90" s="3" t="inlineStr">
        <is>
          <t>-11.76%</t>
        </is>
      </c>
      <c r="L90" t="n">
        <v>4.6</v>
      </c>
      <c r="M90" t="n">
        <v>1516</v>
      </c>
      <c r="O90" t="inlineStr">
        <is>
          <t>undefined</t>
        </is>
      </c>
      <c r="P90" t="inlineStr">
        <is>
          <t>85.0</t>
        </is>
      </c>
      <c r="Q90" t="inlineStr">
        <is>
          <t>997492</t>
        </is>
      </c>
    </row>
    <row r="91">
      <c r="A91" s="2">
        <f>HYPERLINK("https://www.als.com/crocs-classic-clog/p?skuId=1196935", "https://www.als.com/crocs-classic-clog/p?skuId=1196935")</f>
        <v/>
      </c>
      <c r="B91" s="2">
        <f>HYPERLINK("https://www.als.com/crocs-classic-clog/p", "https://www.als.com/crocs-classic-clog/p")</f>
        <v/>
      </c>
      <c r="C91" t="inlineStr">
        <is>
          <t>Crocs Classic Clog</t>
        </is>
      </c>
      <c r="D91" t="inlineStr">
        <is>
          <t>Crocs Unisex-Adult Classic Clogs</t>
        </is>
      </c>
      <c r="F91" t="inlineStr">
        <is>
          <t>B071HXB8HG</t>
        </is>
      </c>
      <c r="G91">
        <f>IMAGE("https://alssports.vtexassets.com/arquivos/ids/1222253-800-auto?v=638102875835800000&amp;width=800&amp;height=auto&amp;aspect=true")</f>
        <v/>
      </c>
      <c r="H91">
        <f>IMAGE("https://m.media-amazon.com/images/I/61FbH1XO6-L._AC_UL320_.jpg")</f>
        <v/>
      </c>
      <c r="I91" t="inlineStr">
        <is>
          <t>49.95</t>
        </is>
      </c>
      <c r="J91" t="n">
        <v>44.03</v>
      </c>
      <c r="K91" s="3" t="inlineStr">
        <is>
          <t>-11.85%</t>
        </is>
      </c>
      <c r="L91" t="n">
        <v>4.8</v>
      </c>
      <c r="M91" t="n">
        <v>531405</v>
      </c>
      <c r="O91" t="inlineStr">
        <is>
          <t>InStock</t>
        </is>
      </c>
      <c r="P91" t="inlineStr">
        <is>
          <t>undefined</t>
        </is>
      </c>
      <c r="Q91" t="inlineStr">
        <is>
          <t>1196935</t>
        </is>
      </c>
    </row>
    <row r="92">
      <c r="A92" s="2">
        <f>HYPERLINK("https://www.als.com/black-diamond-spot-400-headlamp-101632/p?skuId=931481", "https://www.als.com/black-diamond-spot-400-headlamp-101632/p?skuId=931481")</f>
        <v/>
      </c>
      <c r="B92" s="2">
        <f>HYPERLINK("https://www.als.com/black-diamond-spot-400-headlamp-101632/p", "https://www.als.com/black-diamond-spot-400-headlamp-101632/p")</f>
        <v/>
      </c>
      <c r="C92" t="inlineStr">
        <is>
          <t>Black Diamond Spot 400 Headlamp</t>
        </is>
      </c>
      <c r="D92" t="inlineStr">
        <is>
          <t>Black Diamond Storm 400 HEADLAMP</t>
        </is>
      </c>
      <c r="E92" s="2">
        <f>HYPERLINK("https://www.amazon.com/Black-Diamond-Headlamp-Unisex-Lumens/dp/B084JCJXM2/ref=sr_1_4?keywords=Black+Diamond+Spot+400+Headlamp&amp;qid=1695124486&amp;sr=8-4", "https://www.amazon.com/Black-Diamond-Headlamp-Unisex-Lumens/dp/B084JCJXM2/ref=sr_1_4?keywords=Black+Diamond+Spot+400+Headlamp&amp;qid=1695124486&amp;sr=8-4")</f>
        <v/>
      </c>
      <c r="F92" t="inlineStr">
        <is>
          <t>B084JCJXM2</t>
        </is>
      </c>
      <c r="G92">
        <f>IMAGE("https://alssports.vtexassets.com/arquivos/ids/1053612-800-auto?v=637867784637730000&amp;width=800&amp;height=auto&amp;aspect=true")</f>
        <v/>
      </c>
      <c r="H92">
        <f>IMAGE("https://m.media-amazon.com/images/I/71ZOYpbIWYS._AC_UL320_.jpg")</f>
        <v/>
      </c>
      <c r="I92" t="inlineStr">
        <is>
          <t>49.95</t>
        </is>
      </c>
      <c r="J92" t="n">
        <v>43.88</v>
      </c>
      <c r="K92" s="3" t="inlineStr">
        <is>
          <t>-12.15%</t>
        </is>
      </c>
      <c r="L92" t="n">
        <v>4.5</v>
      </c>
      <c r="M92" t="n">
        <v>1208</v>
      </c>
      <c r="O92" t="inlineStr">
        <is>
          <t>InStock</t>
        </is>
      </c>
      <c r="P92" t="inlineStr">
        <is>
          <t>undefined</t>
        </is>
      </c>
      <c r="Q92" t="inlineStr">
        <is>
          <t>931481</t>
        </is>
      </c>
    </row>
    <row r="93">
      <c r="A93" s="2">
        <f>HYPERLINK("https://www.als.com/heydud-m-shoe-wally-braided/p?skuId=599445", "https://www.als.com/heydud-m-shoe-wally-braided/p?skuId=599445")</f>
        <v/>
      </c>
      <c r="B93" s="2">
        <f>HYPERLINK("https://www.als.com/heydud-m-shoe-wally-braided/p", "https://www.als.com/heydud-m-shoe-wally-braided/p")</f>
        <v/>
      </c>
      <c r="C93" t="inlineStr">
        <is>
          <t>Hey Dude Wally Braided Shoe - Men's</t>
        </is>
      </c>
      <c r="D93" t="inlineStr">
        <is>
          <t>Hey Dude Men's Wally Corduroy Multiple Colors &amp; Sizes | Men’s Shoes | Men's Lace Up Loafers | Comfortable &amp; Light-Weight</t>
        </is>
      </c>
      <c r="E93" s="2">
        <f>HYPERLINK("https://www.amazon.com/Hey-Dude-Mens-Wally-Corduroy/dp/B07RSZLVFD/ref=sr_1_29?keywords=Hey+Dude+Wally+Braided+Shoe+-+Mens&amp;qid=1695124451&amp;sr=8-29", "https://www.amazon.com/Hey-Dude-Mens-Wally-Corduroy/dp/B07RSZLVFD/ref=sr_1_29?keywords=Hey+Dude+Wally+Braided+Shoe+-+Mens&amp;qid=1695124451&amp;sr=8-29")</f>
        <v/>
      </c>
      <c r="F93" t="inlineStr">
        <is>
          <t>B07RSZLVFD</t>
        </is>
      </c>
      <c r="G93">
        <f>IMAGE("https://alssports.vtexassets.com/arquivos/ids/1386107-800-auto?v=638254870959300000&amp;width=800&amp;height=auto&amp;aspect=true")</f>
        <v/>
      </c>
      <c r="H93">
        <f>IMAGE("https://m.media-amazon.com/images/I/61yTb2VJlVL._AC_UL320_.jpg")</f>
        <v/>
      </c>
      <c r="I93" t="inlineStr">
        <is>
          <t>64.95</t>
        </is>
      </c>
      <c r="J93" t="n">
        <v>56.92</v>
      </c>
      <c r="K93" s="3" t="inlineStr">
        <is>
          <t>-12.36%</t>
        </is>
      </c>
      <c r="L93" t="n">
        <v>4.7</v>
      </c>
      <c r="M93" t="n">
        <v>1423</v>
      </c>
      <c r="O93" t="inlineStr">
        <is>
          <t>InStock</t>
        </is>
      </c>
      <c r="P93" t="inlineStr">
        <is>
          <t>undefined</t>
        </is>
      </c>
      <c r="Q93" t="inlineStr">
        <is>
          <t>599445</t>
        </is>
      </c>
    </row>
    <row r="94">
      <c r="A94" s="2">
        <f>HYPERLINK("https://www.als.com/columbia-snuggly-bunny-bunting-snowsuit-infant-125453/p?skuId=1400162", "https://www.als.com/columbia-snuggly-bunny-bunting-snowsuit-infant-125453/p?skuId=1400162")</f>
        <v/>
      </c>
      <c r="B94" s="2">
        <f>HYPERLINK("https://www.als.com/columbia-snuggly-bunny-bunting-snowsuit-infant-125453/p", "https://www.als.com/columbia-snuggly-bunny-bunting-snowsuit-infant-125453/p")</f>
        <v/>
      </c>
      <c r="C94" t="inlineStr">
        <is>
          <t>Columbia Snuggly Bunny Bunting - Infant</t>
        </is>
      </c>
      <c r="D94" t="inlineStr">
        <is>
          <t>Columbia Girls' Snuggly Bunny Bunting</t>
        </is>
      </c>
      <c r="E94" s="2">
        <f>HYPERLINK("https://www.amazon.com/Columbia-Snuggly-Bunny-Bunting-Black/dp/B09KMMQXDD/ref=sr_1_1?keywords=Columbia+Snuggly+Bunny+Bunting+-+Infant&amp;qid=1695124478&amp;sr=8-1", "https://www.amazon.com/Columbia-Snuggly-Bunny-Bunting-Black/dp/B09KMMQXDD/ref=sr_1_1?keywords=Columbia+Snuggly+Bunny+Bunting+-+Infant&amp;qid=1695124478&amp;sr=8-1")</f>
        <v/>
      </c>
      <c r="F94" t="inlineStr">
        <is>
          <t>B09KMMQXDD</t>
        </is>
      </c>
      <c r="G94">
        <f>IMAGE("https://alssports.vtexassets.com/arquivos/ids/1431685-800-auto?v=638285717173730000&amp;width=800&amp;height=auto&amp;aspect=true")</f>
        <v/>
      </c>
      <c r="H94">
        <f>IMAGE("https://m.media-amazon.com/images/I/61SiH9J2EWL._AC_UL320_.jpg")</f>
        <v/>
      </c>
      <c r="I94" t="inlineStr">
        <is>
          <t>79.99</t>
        </is>
      </c>
      <c r="J94" t="n">
        <v>69.98999999999999</v>
      </c>
      <c r="K94" s="3" t="inlineStr">
        <is>
          <t>-12.50%</t>
        </is>
      </c>
      <c r="L94" t="n">
        <v>4.7</v>
      </c>
      <c r="M94" t="n">
        <v>398</v>
      </c>
      <c r="O94" t="inlineStr">
        <is>
          <t>InStock</t>
        </is>
      </c>
      <c r="P94" t="inlineStr">
        <is>
          <t>110.0</t>
        </is>
      </c>
      <c r="Q94" t="inlineStr">
        <is>
          <t>1400162</t>
        </is>
      </c>
    </row>
    <row r="95">
      <c r="A95" s="2">
        <f>HYPERLINK("https://www.als.com/adidas-m-shoe-lite-racer-adapt-50/p?skuId=1338101", "https://www.als.com/adidas-m-shoe-lite-racer-adapt-50/p?skuId=1338101")</f>
        <v/>
      </c>
      <c r="B95" s="2">
        <f>HYPERLINK("https://www.als.com/adidas-m-shoe-lite-racer-adapt-50/p", "https://www.als.com/adidas-m-shoe-lite-racer-adapt-50/p")</f>
        <v/>
      </c>
      <c r="C95" t="inlineStr">
        <is>
          <t>adidas Lite Racer Adapt 5.0 Shoe - Men's</t>
        </is>
      </c>
      <c r="D95" t="inlineStr">
        <is>
          <t>adidas Men's Lite Racer Adapt 5.0 Running Shoe</t>
        </is>
      </c>
      <c r="E95" s="2">
        <f>HYPERLINK("https://www.amazon.com/adidas-Racer-Adapt-Running-Black/dp/B09DXTBWQQ/ref=sr_1_2?keywords=adidas+Lite+Racer+Adapt+5.0+Shoe+-+Mens&amp;qid=1695124407&amp;sr=8-2", "https://www.amazon.com/adidas-Racer-Adapt-Running-Black/dp/B09DXTBWQQ/ref=sr_1_2?keywords=adidas+Lite+Racer+Adapt+5.0+Shoe+-+Mens&amp;qid=1695124407&amp;sr=8-2")</f>
        <v/>
      </c>
      <c r="F95" t="inlineStr">
        <is>
          <t>B09DXTBWQQ</t>
        </is>
      </c>
      <c r="G95">
        <f>IMAGE("https://alssports.vtexassets.com/arquivos/ids/1378546-800-auto?v=638248784142700000&amp;width=800&amp;height=auto&amp;aspect=true")</f>
        <v/>
      </c>
      <c r="H95">
        <f>IMAGE("https://m.media-amazon.com/images/I/71EQ1QdcPFL._AC_UL320_.jpg")</f>
        <v/>
      </c>
      <c r="I95" t="inlineStr">
        <is>
          <t>69.95</t>
        </is>
      </c>
      <c r="J95" t="n">
        <v>60.89</v>
      </c>
      <c r="K95" s="3" t="inlineStr">
        <is>
          <t>-12.95%</t>
        </is>
      </c>
      <c r="L95" t="n">
        <v>4.5</v>
      </c>
      <c r="M95" t="n">
        <v>2182</v>
      </c>
      <c r="O95" t="inlineStr">
        <is>
          <t>InStock</t>
        </is>
      </c>
      <c r="P95" t="inlineStr">
        <is>
          <t>undefined</t>
        </is>
      </c>
      <c r="Q95" t="inlineStr">
        <is>
          <t>1338101</t>
        </is>
      </c>
    </row>
    <row r="96">
      <c r="A96" s="2">
        <f>HYPERLINK("https://www.als.com/under-m-charged-verssert-run-shoe/p?skuId=1204906", "https://www.als.com/under-m-charged-verssert-run-shoe/p?skuId=1204906")</f>
        <v/>
      </c>
      <c r="B96" s="2">
        <f>HYPERLINK("https://www.als.com/under-m-charged-verssert-run-shoe/p", "https://www.als.com/under-m-charged-verssert-run-shoe/p")</f>
        <v/>
      </c>
      <c r="C96" t="inlineStr">
        <is>
          <t>Under Armour Charged Verssert Running Shoe - Men's</t>
        </is>
      </c>
      <c r="D96" t="inlineStr">
        <is>
          <t>Under Armour Men's Charged Rogue 2.5 Running Shoe</t>
        </is>
      </c>
      <c r="E96" s="2">
        <f>HYPERLINK("https://www.amazon.com/Under-Armour-Charged-Rogue-Running/dp/B08MV9JYCY/ref=sr_1_26?keywords=Under+Armour+Charged+Verssert+Running+Shoe+-+Mens&amp;qid=1695124491&amp;sr=8-26", "https://www.amazon.com/Under-Armour-Charged-Rogue-Running/dp/B08MV9JYCY/ref=sr_1_26?keywords=Under+Armour+Charged+Verssert+Running+Shoe+-+Mens&amp;qid=1695124491&amp;sr=8-26")</f>
        <v/>
      </c>
      <c r="F96" t="inlineStr">
        <is>
          <t>B08MV9JYCY</t>
        </is>
      </c>
      <c r="G96">
        <f>IMAGE("https://alssports.vtexassets.com/arquivos/ids/1282426-800-auto?v=638158001411130000&amp;width=800&amp;height=auto&amp;aspect=true")</f>
        <v/>
      </c>
      <c r="H96">
        <f>IMAGE("https://m.media-amazon.com/images/I/81oRW-q8iFL._AC_UL320_.jpg")</f>
        <v/>
      </c>
      <c r="I96" t="inlineStr">
        <is>
          <t>75.0</t>
        </is>
      </c>
      <c r="J96" t="n">
        <v>64.98999999999999</v>
      </c>
      <c r="K96" s="3" t="inlineStr">
        <is>
          <t>-13.35%</t>
        </is>
      </c>
      <c r="L96" t="n">
        <v>4.6</v>
      </c>
      <c r="M96" t="n">
        <v>1224</v>
      </c>
      <c r="O96" t="inlineStr">
        <is>
          <t>InStock</t>
        </is>
      </c>
      <c r="P96" t="inlineStr">
        <is>
          <t>undefined</t>
        </is>
      </c>
      <c r="Q96" t="inlineStr">
        <is>
          <t>1204906</t>
        </is>
      </c>
    </row>
    <row r="97">
      <c r="A97" s="2">
        <f>HYPERLINK("https://www.als.com/crocs-classic-clog/p?skuId=1196935", "https://www.als.com/crocs-classic-clog/p?skuId=1196935")</f>
        <v/>
      </c>
      <c r="B97" s="2">
        <f>HYPERLINK("https://www.als.com/crocs-classic-clog/p", "https://www.als.com/crocs-classic-clog/p")</f>
        <v/>
      </c>
      <c r="C97" t="inlineStr">
        <is>
          <t>Crocs Classic Clog</t>
        </is>
      </c>
      <c r="D97" t="inlineStr">
        <is>
          <t>Crocs Unisex-Adult Classic All Terrain Clog</t>
        </is>
      </c>
      <c r="E97" s="2">
        <f>HYPERLINK("https://www.amazon.com/Crocs-Classic-Terrain-Graphic-Espresso/dp/B0BX4WGTBD/ref=sr_1_47?keywords=Crocs+Classic+Clog&amp;qid=1695124151&amp;sr=8-47", "https://www.amazon.com/Crocs-Classic-Terrain-Graphic-Espresso/dp/B0BX4WGTBD/ref=sr_1_47?keywords=Crocs+Classic+Clog&amp;qid=1695124151&amp;sr=8-47")</f>
        <v/>
      </c>
      <c r="F97" t="inlineStr">
        <is>
          <t>B0BX4WGTBD</t>
        </is>
      </c>
      <c r="G97">
        <f>IMAGE("https://alssports.vtexassets.com/arquivos/ids/1222253-800-auto?v=638102875835800000&amp;width=800&amp;height=auto&amp;aspect=true")</f>
        <v/>
      </c>
      <c r="H97">
        <f>IMAGE("https://m.media-amazon.com/images/I/81M41KE-h5L._AC_UL320_.jpg")</f>
        <v/>
      </c>
      <c r="I97" t="inlineStr">
        <is>
          <t>49.95</t>
        </is>
      </c>
      <c r="J97" t="n">
        <v>43.16</v>
      </c>
      <c r="K97" s="3" t="inlineStr">
        <is>
          <t>-13.59%</t>
        </is>
      </c>
      <c r="L97" t="n">
        <v>4.8</v>
      </c>
      <c r="M97" t="n">
        <v>6002</v>
      </c>
      <c r="O97" t="inlineStr">
        <is>
          <t>InStock</t>
        </is>
      </c>
      <c r="P97" t="inlineStr">
        <is>
          <t>undefined</t>
        </is>
      </c>
      <c r="Q97" t="inlineStr">
        <is>
          <t>1196935</t>
        </is>
      </c>
    </row>
    <row r="98">
      <c r="A98" s="2">
        <f>HYPERLINK("https://www.als.com/arcteryx-atom-lt-hoodie-mens-182542/p?skuId=1342921", "https://www.als.com/arcteryx-atom-lt-hoodie-mens-182542/p?skuId=1342921")</f>
        <v/>
      </c>
      <c r="B98" s="2">
        <f>HYPERLINK("https://www.als.com/arcteryx-atom-lt-hoodie-mens-182542/p", "https://www.als.com/arcteryx-atom-lt-hoodie-mens-182542/p")</f>
        <v/>
      </c>
      <c r="C98" t="inlineStr">
        <is>
          <t>Arc'teryx Atom LT Hoodie - Men's</t>
        </is>
      </c>
      <c r="D98" t="inlineStr">
        <is>
          <t>Arc'teryx Atom LT Hoody Men's | Lightweight Versatile Synthetically Insulated Hoody</t>
        </is>
      </c>
      <c r="E98" s="2">
        <f>HYPERLINK("https://www.amazon.com/Arcteryx-Lightweight-Versatile-Synthetically-Insulated/dp/B09NY5DNQZ/ref=sr_1_2?keywords=Arc%27teryx+Atom+LT+Hoodie+-+Men%27s&amp;qid=1695124123&amp;sr=8-2", "https://www.amazon.com/Arcteryx-Lightweight-Versatile-Synthetically-Insulated/dp/B09NY5DNQZ/ref=sr_1_2?keywords=Arc%27teryx+Atom+LT+Hoodie+-+Men%27s&amp;qid=1695124123&amp;sr=8-2")</f>
        <v/>
      </c>
      <c r="F98" t="inlineStr">
        <is>
          <t>B09NY5DNQZ</t>
        </is>
      </c>
      <c r="G98">
        <f>IMAGE("https://alssports.vtexassets.com/arquivos/ids/1366905-800-auto?v=638240757627370000&amp;width=800&amp;height=auto&amp;aspect=true")</f>
        <v/>
      </c>
      <c r="H98">
        <f>IMAGE("https://m.media-amazon.com/images/I/71Cwpa8kZ+L._AC_UL320_.jpg")</f>
        <v/>
      </c>
      <c r="I98" t="inlineStr">
        <is>
          <t>300.0</t>
        </is>
      </c>
      <c r="J98" t="n">
        <v>259</v>
      </c>
      <c r="K98" s="3" t="inlineStr">
        <is>
          <t>-13.67%</t>
        </is>
      </c>
      <c r="L98" t="n">
        <v>4.5</v>
      </c>
      <c r="M98" t="n">
        <v>51</v>
      </c>
      <c r="O98" t="inlineStr">
        <is>
          <t>InStock</t>
        </is>
      </c>
      <c r="P98" t="inlineStr">
        <is>
          <t>undefined</t>
        </is>
      </c>
      <c r="Q98" t="inlineStr">
        <is>
          <t>1342921</t>
        </is>
      </c>
    </row>
    <row r="99">
      <c r="A99" s="2">
        <f>HYPERLINK("https://www.als.com/black-diamond-spot-400-headlamp-101632/p?skuId=931481", "https://www.als.com/black-diamond-spot-400-headlamp-101632/p?skuId=931481")</f>
        <v/>
      </c>
      <c r="B99" s="2">
        <f>HYPERLINK("https://www.als.com/black-diamond-spot-400-headlamp-101632/p", "https://www.als.com/black-diamond-spot-400-headlamp-101632/p")</f>
        <v/>
      </c>
      <c r="C99" t="inlineStr">
        <is>
          <t>Black Diamond Spot 400 Headlamp</t>
        </is>
      </c>
      <c r="D99" t="inlineStr">
        <is>
          <t>Black Diamond Unisex's SPOT 350 HEADLAMP Outdoor Head Torch, Graphite, Uni</t>
        </is>
      </c>
      <c r="E99" s="2">
        <f>HYPERLINK("https://www.amazon.com/Black-Diamond-Spot-350-Headlamp/dp/B08BHWFNTJ/ref=sr_1_10?keywords=Black+Diamond+Spot+400+Headlamp&amp;qid=1695124486&amp;sr=8-10", "https://www.amazon.com/Black-Diamond-Spot-350-Headlamp/dp/B08BHWFNTJ/ref=sr_1_10?keywords=Black+Diamond+Spot+400+Headlamp&amp;qid=1695124486&amp;sr=8-10")</f>
        <v/>
      </c>
      <c r="F99" t="inlineStr">
        <is>
          <t>B08BHWFNTJ</t>
        </is>
      </c>
      <c r="G99">
        <f>IMAGE("https://alssports.vtexassets.com/arquivos/ids/1053612-800-auto?v=637867784637730000&amp;width=800&amp;height=auto&amp;aspect=true")</f>
        <v/>
      </c>
      <c r="H99">
        <f>IMAGE("https://m.media-amazon.com/images/I/71ODVXv3QfL._AC_UL320_.jpg")</f>
        <v/>
      </c>
      <c r="I99" t="inlineStr">
        <is>
          <t>49.95</t>
        </is>
      </c>
      <c r="J99" t="n">
        <v>42.95</v>
      </c>
      <c r="K99" s="3" t="inlineStr">
        <is>
          <t>-14.01%</t>
        </is>
      </c>
      <c r="L99" t="n">
        <v>4.7</v>
      </c>
      <c r="M99" t="n">
        <v>478</v>
      </c>
      <c r="O99" t="inlineStr">
        <is>
          <t>InStock</t>
        </is>
      </c>
      <c r="P99" t="inlineStr">
        <is>
          <t>undefined</t>
        </is>
      </c>
      <c r="Q99" t="inlineStr">
        <is>
          <t>931481</t>
        </is>
      </c>
    </row>
    <row r="100">
      <c r="A100" s="2">
        <f>HYPERLINK("https://www.als.com/black-diamond-spot-400-headlamp-101632/p?skuId=931481", "https://www.als.com/black-diamond-spot-400-headlamp-101632/p?skuId=931481")</f>
        <v/>
      </c>
      <c r="B100" s="2">
        <f>HYPERLINK("https://www.als.com/black-diamond-spot-400-headlamp-101632/p", "https://www.als.com/black-diamond-spot-400-headlamp-101632/p")</f>
        <v/>
      </c>
      <c r="C100" t="inlineStr">
        <is>
          <t>Black Diamond Spot 400 Headlamp</t>
        </is>
      </c>
      <c r="D100" t="inlineStr">
        <is>
          <t>Black Diamond Spot 350 Headlamp, Azul</t>
        </is>
      </c>
      <c r="E100" s="2">
        <f>HYPERLINK("https://www.amazon.com/Black-Diamond-Spot-350-Headlamp/dp/B08BHRBP3N/ref=sr_1_41?keywords=Black+Diamond+Spot+400+Headlamp&amp;qid=1695124486&amp;sr=8-41", "https://www.amazon.com/Black-Diamond-Spot-350-Headlamp/dp/B08BHRBP3N/ref=sr_1_41?keywords=Black+Diamond+Spot+400+Headlamp&amp;qid=1695124486&amp;sr=8-41")</f>
        <v/>
      </c>
      <c r="F100" t="inlineStr">
        <is>
          <t>B08BHRBP3N</t>
        </is>
      </c>
      <c r="G100">
        <f>IMAGE("https://alssports.vtexassets.com/arquivos/ids/1053612-800-auto?v=637867784637730000&amp;width=800&amp;height=auto&amp;aspect=true")</f>
        <v/>
      </c>
      <c r="H100">
        <f>IMAGE("https://m.media-amazon.com/images/I/71CGz9AXMfL._AC_UL320_.jpg")</f>
        <v/>
      </c>
      <c r="I100" t="inlineStr">
        <is>
          <t>49.95</t>
        </is>
      </c>
      <c r="J100" t="n">
        <v>42.95</v>
      </c>
      <c r="K100" s="3" t="inlineStr">
        <is>
          <t>-14.01%</t>
        </is>
      </c>
      <c r="L100" t="n">
        <v>4.7</v>
      </c>
      <c r="M100" t="n">
        <v>160</v>
      </c>
      <c r="O100" t="inlineStr">
        <is>
          <t>InStock</t>
        </is>
      </c>
      <c r="P100" t="inlineStr">
        <is>
          <t>undefined</t>
        </is>
      </c>
      <c r="Q100" t="inlineStr">
        <is>
          <t>931481</t>
        </is>
      </c>
    </row>
    <row r="101">
      <c r="A101" s="2">
        <f>HYPERLINK("https://www.als.com/vans-shoe-old-skool/p?skuId=1339083", "https://www.als.com/vans-shoe-old-skool/p?skuId=1339083")</f>
        <v/>
      </c>
      <c r="B101" s="2">
        <f>HYPERLINK("https://www.als.com/vans-shoe-old-skool/p", "https://www.als.com/vans-shoe-old-skool/p")</f>
        <v/>
      </c>
      <c r="C101" t="inlineStr">
        <is>
          <t>Vans Canvas Old Skool Shoe</t>
        </is>
      </c>
      <c r="D101" t="inlineStr">
        <is>
          <t>Vans Boy's &amp; Girl's Old Skool Pre School Little Kid Skate Shoe (True White, Medium</t>
        </is>
      </c>
      <c r="E101" s="2">
        <f>HYPERLINK("https://www.amazon.com/Vans-Old-Skool-Black-Size/dp/B0C21VP4YJ/ref=sr_1_12?keywords=Vans+Canvas+Old+Skool+Shoe&amp;qid=1695124392&amp;sr=8-12", "https://www.amazon.com/Vans-Old-Skool-Black-Size/dp/B0C21VP4YJ/ref=sr_1_12?keywords=Vans+Canvas+Old+Skool+Shoe&amp;qid=1695124392&amp;sr=8-12")</f>
        <v/>
      </c>
      <c r="F101" t="inlineStr">
        <is>
          <t>B0C21VP4YJ</t>
        </is>
      </c>
      <c r="G101">
        <f>IMAGE("https://alssports.vtexassets.com/arquivos/ids/1339950-800-auto?v=638216000421770000&amp;width=800&amp;height=auto&amp;aspect=true")</f>
        <v/>
      </c>
      <c r="H101">
        <f>IMAGE("https://m.media-amazon.com/images/I/41X8QUWxEoL._AC_UL320_.jpg")</f>
        <v/>
      </c>
      <c r="I101" t="inlineStr">
        <is>
          <t>69.95</t>
        </is>
      </c>
      <c r="J101" t="n">
        <v>60.11</v>
      </c>
      <c r="K101" s="3" t="inlineStr">
        <is>
          <t>-14.07%</t>
        </is>
      </c>
      <c r="L101" t="n">
        <v>4.6</v>
      </c>
      <c r="M101" t="n">
        <v>22</v>
      </c>
      <c r="O101" t="inlineStr">
        <is>
          <t>InStock</t>
        </is>
      </c>
      <c r="P101" t="inlineStr">
        <is>
          <t>74.95</t>
        </is>
      </c>
      <c r="Q101" t="inlineStr">
        <is>
          <t>1339083</t>
        </is>
      </c>
    </row>
    <row r="102">
      <c r="A102" s="2">
        <f>HYPERLINK("https://www.als.com/asics-w-shoe-gel-kayano-29/p?skuId=1037742", "https://www.als.com/asics-w-shoe-gel-kayano-29/p?skuId=1037742")</f>
        <v/>
      </c>
      <c r="B102" s="2">
        <f>HYPERLINK("https://www.als.com/asics-w-shoe-gel-kayano-29/p", "https://www.als.com/asics-w-shoe-gel-kayano-29/p")</f>
        <v/>
      </c>
      <c r="C102" t="inlineStr">
        <is>
          <t>Asics Gel-Kayano 29 Running Shoe - Women's</t>
        </is>
      </c>
      <c r="D102" t="inlineStr">
        <is>
          <t>ASICS Women's Gel-Contend 8 Running Shoes</t>
        </is>
      </c>
      <c r="E102" s="2">
        <f>HYPERLINK("https://www.amazon.com/ASICS-Womens-Gel-Contend-Running-Shoes/dp/B09WC7GQ7V/ref=sr_1_20?keywords=Asics+Gel-Kayano+29+Running+Shoe+-+Women%27s&amp;qid=1695124114&amp;sr=8-20", "https://www.amazon.com/ASICS-Womens-Gel-Contend-Running-Shoes/dp/B09WC7GQ7V/ref=sr_1_20?keywords=Asics+Gel-Kayano+29+Running+Shoe+-+Women%27s&amp;qid=1695124114&amp;sr=8-20")</f>
        <v/>
      </c>
      <c r="F102" t="inlineStr">
        <is>
          <t>B09WC7GQ7V</t>
        </is>
      </c>
      <c r="G102">
        <f>IMAGE("https://alssports.vtexassets.com/arquivos/ids/1127320-800-auto?v=637980202666000000&amp;width=800&amp;height=auto&amp;aspect=true")</f>
        <v/>
      </c>
      <c r="H102">
        <f>IMAGE("https://m.media-amazon.com/images/I/61mCQrY9GWL._AC_UL320_.jpg")</f>
        <v/>
      </c>
      <c r="I102" t="inlineStr">
        <is>
          <t>63.98</t>
        </is>
      </c>
      <c r="J102" t="n">
        <v>54.95</v>
      </c>
      <c r="K102" s="3" t="inlineStr">
        <is>
          <t>-14.11%</t>
        </is>
      </c>
      <c r="L102" t="n">
        <v>4.5</v>
      </c>
      <c r="M102" t="n">
        <v>638</v>
      </c>
      <c r="O102" t="inlineStr">
        <is>
          <t>InStock</t>
        </is>
      </c>
      <c r="P102" t="inlineStr">
        <is>
          <t>159.95</t>
        </is>
      </c>
      <c r="Q102" t="inlineStr">
        <is>
          <t>1037742</t>
        </is>
      </c>
    </row>
    <row r="103">
      <c r="A103" s="2">
        <f>HYPERLINK("https://www.als.com/black-diamond-spot-400-headlamp-101632/p?skuId=931481", "https://www.als.com/black-diamond-spot-400-headlamp-101632/p?skuId=931481")</f>
        <v/>
      </c>
      <c r="B103" s="2">
        <f>HYPERLINK("https://www.als.com/black-diamond-spot-400-headlamp-101632/p", "https://www.als.com/black-diamond-spot-400-headlamp-101632/p")</f>
        <v/>
      </c>
      <c r="C103" t="inlineStr">
        <is>
          <t>Black Diamond Spot 400 Headlamp</t>
        </is>
      </c>
      <c r="D103" t="inlineStr">
        <is>
          <t>Black Diamond Storm 400 Headlamp</t>
        </is>
      </c>
      <c r="E103" s="2">
        <f>HYPERLINK("https://www.amazon.com/Black-Diamond-Headlamp-Unisex-Lumens/dp/B084JHMX9C/ref=sr_1_3?keywords=Black+Diamond+Spot+400+Headlamp&amp;qid=1695124486&amp;sr=8-3", "https://www.amazon.com/Black-Diamond-Headlamp-Unisex-Lumens/dp/B084JHMX9C/ref=sr_1_3?keywords=Black+Diamond+Spot+400+Headlamp&amp;qid=1695124486&amp;sr=8-3")</f>
        <v/>
      </c>
      <c r="F103" t="inlineStr">
        <is>
          <t>B084JHMX9C</t>
        </is>
      </c>
      <c r="G103">
        <f>IMAGE("https://alssports.vtexassets.com/arquivos/ids/1053612-800-auto?v=637867784637730000&amp;width=800&amp;height=auto&amp;aspect=true")</f>
        <v/>
      </c>
      <c r="H103">
        <f>IMAGE("https://m.media-amazon.com/images/I/719S6KbSCxL._AC_UL320_.jpg")</f>
        <v/>
      </c>
      <c r="I103" t="inlineStr">
        <is>
          <t>49.95</t>
        </is>
      </c>
      <c r="J103" t="n">
        <v>42.88</v>
      </c>
      <c r="K103" s="3" t="inlineStr">
        <is>
          <t>-14.15%</t>
        </is>
      </c>
      <c r="L103" t="n">
        <v>4.7</v>
      </c>
      <c r="M103" t="n">
        <v>2238</v>
      </c>
      <c r="O103" t="inlineStr">
        <is>
          <t>InStock</t>
        </is>
      </c>
      <c r="P103" t="inlineStr">
        <is>
          <t>undefined</t>
        </is>
      </c>
      <c r="Q103" t="inlineStr">
        <is>
          <t>931481</t>
        </is>
      </c>
    </row>
    <row r="104">
      <c r="A104" s="2">
        <f>HYPERLINK("https://www.als.com/vans-shoe-old-skool/p?skuId=1339083", "https://www.als.com/vans-shoe-old-skool/p?skuId=1339083")</f>
        <v/>
      </c>
      <c r="B104" s="2">
        <f>HYPERLINK("https://www.als.com/vans-shoe-old-skool/p", "https://www.als.com/vans-shoe-old-skool/p")</f>
        <v/>
      </c>
      <c r="C104" t="inlineStr">
        <is>
          <t>Vans Canvas Old Skool Shoe</t>
        </is>
      </c>
      <c r="D104" t="inlineStr">
        <is>
          <t>Vans Women's Old Skool Platform Running Shoes</t>
        </is>
      </c>
      <c r="E104" s="2">
        <f>HYPERLINK("https://www.amazon.com/Vans-Unisex-Skool-Skate-Shoes/dp/B001CVUZII/ref=sr_1_11?keywords=Vans+Canvas+Old+Skool+Shoe&amp;qid=1695124392&amp;sr=8-11", "https://www.amazon.com/Vans-Unisex-Skool-Skate-Shoes/dp/B001CVUZII/ref=sr_1_11?keywords=Vans+Canvas+Old+Skool+Shoe&amp;qid=1695124392&amp;sr=8-11")</f>
        <v/>
      </c>
      <c r="F104" t="inlineStr">
        <is>
          <t>B001CVUZII</t>
        </is>
      </c>
      <c r="G104">
        <f>IMAGE("https://alssports.vtexassets.com/arquivos/ids/1339950-800-auto?v=638216000421770000&amp;width=800&amp;height=auto&amp;aspect=true")</f>
        <v/>
      </c>
      <c r="H104">
        <f>IMAGE("https://m.media-amazon.com/images/I/71pf7VFs9CL._AC_UL320_.jpg")</f>
        <v/>
      </c>
      <c r="I104" t="inlineStr">
        <is>
          <t>69.95</t>
        </is>
      </c>
      <c r="J104" t="n">
        <v>59.95</v>
      </c>
      <c r="K104" s="3" t="inlineStr">
        <is>
          <t>-14.30%</t>
        </is>
      </c>
      <c r="L104" t="n">
        <v>4.7</v>
      </c>
      <c r="M104" t="n">
        <v>2789</v>
      </c>
      <c r="O104" t="inlineStr">
        <is>
          <t>InStock</t>
        </is>
      </c>
      <c r="P104" t="inlineStr">
        <is>
          <t>74.95</t>
        </is>
      </c>
      <c r="Q104" t="inlineStr">
        <is>
          <t>1339083</t>
        </is>
      </c>
    </row>
    <row r="105">
      <c r="A105" s="2">
        <f>HYPERLINK("https://www.als.com/vans-shoe-old-skool-classic/p?skuId=486101", "https://www.als.com/vans-shoe-old-skool-classic/p?skuId=486101")</f>
        <v/>
      </c>
      <c r="B105" s="2">
        <f>HYPERLINK("https://www.als.com/vans-shoe-old-skool-classic/p", "https://www.als.com/vans-shoe-old-skool-classic/p")</f>
        <v/>
      </c>
      <c r="C105" t="inlineStr">
        <is>
          <t>Vans Old Skool Skate Shoe</t>
        </is>
      </c>
      <c r="D105" t="inlineStr">
        <is>
          <t>Vans Women's Old Skool Platform Running Shoes</t>
        </is>
      </c>
      <c r="E105" s="2">
        <f>HYPERLINK("https://www.amazon.com/Vans-Unisex-Skool-Skate-Shoes/dp/B001CVUZII/ref=sr_1_10?keywords=Vans+Old+Skool+Skate+Shoe&amp;qid=1695124126&amp;sr=8-10", "https://www.amazon.com/Vans-Unisex-Skool-Skate-Shoes/dp/B001CVUZII/ref=sr_1_10?keywords=Vans+Old+Skool+Skate+Shoe&amp;qid=1695124126&amp;sr=8-10")</f>
        <v/>
      </c>
      <c r="F105" t="inlineStr">
        <is>
          <t>B001CVUZII</t>
        </is>
      </c>
      <c r="G105">
        <f>IMAGE("https://alssports.vtexassets.com/arquivos/ids/1076563-800-auto?v=637904803557770000&amp;width=800&amp;height=auto&amp;aspect=true")</f>
        <v/>
      </c>
      <c r="H105">
        <f>IMAGE("https://m.media-amazon.com/images/I/71pf7VFs9CL._AC_UL320_.jpg")</f>
        <v/>
      </c>
      <c r="I105" t="inlineStr">
        <is>
          <t>69.95</t>
        </is>
      </c>
      <c r="J105" t="n">
        <v>59.95</v>
      </c>
      <c r="K105" s="3" t="inlineStr">
        <is>
          <t>-14.30%</t>
        </is>
      </c>
      <c r="L105" t="n">
        <v>4.7</v>
      </c>
      <c r="M105" t="n">
        <v>2789</v>
      </c>
      <c r="O105" t="inlineStr">
        <is>
          <t>InStock</t>
        </is>
      </c>
      <c r="P105" t="inlineStr">
        <is>
          <t>99.95</t>
        </is>
      </c>
      <c r="Q105" t="inlineStr">
        <is>
          <t>486101</t>
        </is>
      </c>
    </row>
    <row r="106">
      <c r="A106" s="2">
        <f>HYPERLINK("https://www.als.com/heydud-m-shoe-wally-braided/p?skuId=599445", "https://www.als.com/heydud-m-shoe-wally-braided/p?skuId=599445")</f>
        <v/>
      </c>
      <c r="B106" s="2">
        <f>HYPERLINK("https://www.als.com/heydud-m-shoe-wally-braided/p", "https://www.als.com/heydud-m-shoe-wally-braided/p")</f>
        <v/>
      </c>
      <c r="C106" t="inlineStr">
        <is>
          <t>Hey Dude Wally Braided Shoe - Men's</t>
        </is>
      </c>
      <c r="D106" t="inlineStr">
        <is>
          <t>Hey Dude Men's Wally Stretch Fleece | Men’s Shoes | Men's Lace Up Loafers | Comfortable &amp; Light-Weight</t>
        </is>
      </c>
      <c r="E106" s="2">
        <f>HYPERLINK("https://www.amazon.com/Hey-Dude-Stretch-Midnight-Bunker/dp/B08XDDY71J/ref=sr_1_37?keywords=Hey+Dude+Wally+Braided+Shoe+-+Mens&amp;qid=1695124451&amp;sr=8-37", "https://www.amazon.com/Hey-Dude-Stretch-Midnight-Bunker/dp/B08XDDY71J/ref=sr_1_37?keywords=Hey+Dude+Wally+Braided+Shoe+-+Mens&amp;qid=1695124451&amp;sr=8-37")</f>
        <v/>
      </c>
      <c r="F106" t="inlineStr">
        <is>
          <t>B08XDDY71J</t>
        </is>
      </c>
      <c r="G106">
        <f>IMAGE("https://alssports.vtexassets.com/arquivos/ids/1386107-800-auto?v=638254870959300000&amp;width=800&amp;height=auto&amp;aspect=true")</f>
        <v/>
      </c>
      <c r="H106">
        <f>IMAGE("https://m.media-amazon.com/images/I/61XQ9WpcMLL._AC_UL320_.jpg")</f>
        <v/>
      </c>
      <c r="I106" t="inlineStr">
        <is>
          <t>64.95</t>
        </is>
      </c>
      <c r="J106" t="n">
        <v>55.6</v>
      </c>
      <c r="K106" s="3" t="inlineStr">
        <is>
          <t>-14.40%</t>
        </is>
      </c>
      <c r="L106" t="n">
        <v>4.7</v>
      </c>
      <c r="M106" t="n">
        <v>83</v>
      </c>
      <c r="O106" t="inlineStr">
        <is>
          <t>InStock</t>
        </is>
      </c>
      <c r="P106" t="inlineStr">
        <is>
          <t>undefined</t>
        </is>
      </c>
      <c r="Q106" t="inlineStr">
        <is>
          <t>599445</t>
        </is>
      </c>
    </row>
    <row r="107">
      <c r="A107" s="2">
        <f>HYPERLINK("https://www.als.com/shimab-pedal-pd-/p?skuId=594007", "https://www.als.com/shimab-pedal-pd-/p?skuId=594007")</f>
        <v/>
      </c>
      <c r="B107" s="2">
        <f>HYPERLINK("https://www.als.com/shimab-pedal-pd-/p", "https://www.als.com/shimab-pedal-pd-/p")</f>
        <v/>
      </c>
      <c r="C107" t="inlineStr">
        <is>
          <t>Shimano Deore XT SPD Pedal</t>
        </is>
      </c>
      <c r="D107" t="inlineStr">
        <is>
          <t>Shimano Deore XT PD-T8000 Pedal Trekking, Black, One Size</t>
        </is>
      </c>
      <c r="E107" s="2">
        <f>HYPERLINK("https://www.amazon.com/Shimano-PD-T8000-Trekking-Bicycle-Clipless/dp/B01HI6M1KU/ref=sr_1_1?keywords=Shimano+Deore+XT+SPD+Pedal&amp;qid=1695124486&amp;sr=8-1", "https://www.amazon.com/Shimano-PD-T8000-Trekking-Bicycle-Clipless/dp/B01HI6M1KU/ref=sr_1_1?keywords=Shimano+Deore+XT+SPD+Pedal&amp;qid=1695124486&amp;sr=8-1")</f>
        <v/>
      </c>
      <c r="F107" t="inlineStr">
        <is>
          <t>B01HI6M1KU</t>
        </is>
      </c>
      <c r="G107">
        <f>IMAGE("https://alssports.vtexassets.com/arquivos/ids/400958-800-auto?v=637243831912700000&amp;width=800&amp;height=auto&amp;aspect=true")</f>
        <v/>
      </c>
      <c r="H107">
        <f>IMAGE("https://m.media-amazon.com/images/I/61adB0yN2NL._AC_UL320_.jpg")</f>
        <v/>
      </c>
      <c r="I107" t="inlineStr">
        <is>
          <t>125.0</t>
        </is>
      </c>
      <c r="J107" t="n">
        <v>106.74</v>
      </c>
      <c r="K107" s="3" t="inlineStr">
        <is>
          <t>-14.61%</t>
        </is>
      </c>
      <c r="L107" t="n">
        <v>4.7</v>
      </c>
      <c r="M107" t="n">
        <v>1017</v>
      </c>
      <c r="O107" t="inlineStr">
        <is>
          <t>InStock</t>
        </is>
      </c>
      <c r="P107" t="inlineStr">
        <is>
          <t>undefined</t>
        </is>
      </c>
      <c r="Q107" t="inlineStr">
        <is>
          <t>594007</t>
        </is>
      </c>
    </row>
    <row r="108">
      <c r="A108" s="2">
        <f>HYPERLINK("https://www.als.com/vans-shoe-classic-slip-on/p?skuId=226085", "https://www.als.com/vans-shoe-classic-slip-on/p?skuId=226085")</f>
        <v/>
      </c>
      <c r="B108" s="2">
        <f>HYPERLINK("https://www.als.com/vans-shoe-classic-slip-on/p", "https://www.als.com/vans-shoe-classic-slip-on/p")</f>
        <v/>
      </c>
      <c r="C108" t="inlineStr">
        <is>
          <t>Vans Classic Slip-On Shoe</t>
        </is>
      </c>
      <c r="D108" t="inlineStr">
        <is>
          <t>Vans Unisex Adults’ Classic Slip On Trainers True White</t>
        </is>
      </c>
      <c r="E108" s="2">
        <f>HYPERLINK("https://www.amazon.com/Vans-Unisex-Adults-Classic-Trainers/dp/B07L243PNC/ref=sr_1_45?keywords=Vans+Classic+Slip-On+Shoe&amp;qid=1695124089&amp;sr=8-45", "https://www.amazon.com/Vans-Unisex-Adults-Classic-Trainers/dp/B07L243PNC/ref=sr_1_45?keywords=Vans+Classic+Slip-On+Shoe&amp;qid=1695124089&amp;sr=8-45")</f>
        <v/>
      </c>
      <c r="F108" t="inlineStr">
        <is>
          <t>B07L243PNC</t>
        </is>
      </c>
      <c r="G108">
        <f>IMAGE("https://alssports.vtexassets.com/arquivos/ids/1443076-800-auto?v=638292000890400000&amp;width=800&amp;height=auto&amp;aspect=true")</f>
        <v/>
      </c>
      <c r="H108">
        <f>IMAGE("https://m.media-amazon.com/images/I/710ghlzdjXL._AC_UL320_.jpg")</f>
        <v/>
      </c>
      <c r="I108" t="inlineStr">
        <is>
          <t>59.95</t>
        </is>
      </c>
      <c r="J108" t="n">
        <v>51.09</v>
      </c>
      <c r="K108" s="3" t="inlineStr">
        <is>
          <t>-14.78%</t>
        </is>
      </c>
      <c r="L108" t="n">
        <v>4.5</v>
      </c>
      <c r="M108" t="n">
        <v>19</v>
      </c>
      <c r="O108" t="inlineStr">
        <is>
          <t>InStock</t>
        </is>
      </c>
      <c r="P108" t="inlineStr">
        <is>
          <t>undefined</t>
        </is>
      </c>
      <c r="Q108" t="inlineStr">
        <is>
          <t>226085</t>
        </is>
      </c>
    </row>
    <row r="109">
      <c r="A109" s="2">
        <f>HYPERLINK("https://www.als.com/birken-ws-sandal-arizona-soft-ftbed/p?skuId=254551", "https://www.als.com/birken-ws-sandal-arizona-soft-ftbed/p?skuId=254551")</f>
        <v/>
      </c>
      <c r="B109" s="2">
        <f>HYPERLINK("https://www.als.com/birken-ws-sandal-arizona-soft-ftbed/p", "https://www.als.com/birken-ws-sandal-arizona-soft-ftbed/p")</f>
        <v/>
      </c>
      <c r="C109" t="inlineStr">
        <is>
          <t>Birkenstock Arizona Soft Footbed Sandal</t>
        </is>
      </c>
      <c r="D109" t="inlineStr">
        <is>
          <t>Birkenstock Womens Arizona Soft Footbed - Leather (Unisex)</t>
        </is>
      </c>
      <c r="E109" s="2">
        <f>HYPERLINK("https://www.amazon.com/Birkenstock-Arizona-Leather-Soft-Footbed/dp/B00EE48SMU/ref=sr_1_4?keywords=Birkenstock+Arizona+Soft+Footbed+Sandal&amp;qid=1695124328&amp;sr=8-4", "https://www.amazon.com/Birkenstock-Arizona-Leather-Soft-Footbed/dp/B00EE48SMU/ref=sr_1_4?keywords=Birkenstock+Arizona+Soft+Footbed+Sandal&amp;qid=1695124328&amp;sr=8-4")</f>
        <v/>
      </c>
      <c r="F109" t="inlineStr">
        <is>
          <t>B00EE48SMU</t>
        </is>
      </c>
      <c r="G109">
        <f>IMAGE("https://alssports.vtexassets.com/arquivos/ids/1316883-800-auto?v=638198562145970000&amp;width=800&amp;height=auto&amp;aspect=true")</f>
        <v/>
      </c>
      <c r="H109">
        <f>IMAGE("https://m.media-amazon.com/images/I/71ytVB-MD3L._AC_UL320_.jpg")</f>
        <v/>
      </c>
      <c r="I109" t="inlineStr">
        <is>
          <t>135.0</t>
        </is>
      </c>
      <c r="J109" t="n">
        <v>114.95</v>
      </c>
      <c r="K109" s="3" t="inlineStr">
        <is>
          <t>-14.85%</t>
        </is>
      </c>
      <c r="L109" t="n">
        <v>4.5</v>
      </c>
      <c r="M109" t="n">
        <v>1387</v>
      </c>
      <c r="O109" t="inlineStr">
        <is>
          <t>InStock</t>
        </is>
      </c>
      <c r="P109" t="inlineStr">
        <is>
          <t>undefined</t>
        </is>
      </c>
      <c r="Q109" t="inlineStr">
        <is>
          <t>254551</t>
        </is>
      </c>
    </row>
    <row r="110">
      <c r="A110" s="2">
        <f>HYPERLINK("https://www.als.com/heydud-m-shoe-wally-braided/p?skuId=599445", "https://www.als.com/heydud-m-shoe-wally-braided/p?skuId=599445")</f>
        <v/>
      </c>
      <c r="B110" s="2">
        <f>HYPERLINK("https://www.als.com/heydud-m-shoe-wally-braided/p", "https://www.als.com/heydud-m-shoe-wally-braided/p")</f>
        <v/>
      </c>
      <c r="C110" t="inlineStr">
        <is>
          <t>Hey Dude Wally Braided Shoe - Men's</t>
        </is>
      </c>
      <c r="D110" t="inlineStr">
        <is>
          <t>Hey Dude Men's Wally Linen | Men's Loafers | Men's Slip On Shoes | Comfortable &amp; Light-Weight</t>
        </is>
      </c>
      <c r="E110" s="2">
        <f>HYPERLINK("https://www.amazon.com/Hey-Dude-Loafers-Comfortable-Light-Weight/dp/B0BZ6298P6/ref=sr_1_6?keywords=Hey+Dude+Wally+Braided+Shoe+-+Mens&amp;qid=1695124451&amp;sr=8-6", "https://www.amazon.com/Hey-Dude-Loafers-Comfortable-Light-Weight/dp/B0BZ6298P6/ref=sr_1_6?keywords=Hey+Dude+Wally+Braided+Shoe+-+Mens&amp;qid=1695124451&amp;sr=8-6")</f>
        <v/>
      </c>
      <c r="F110" t="inlineStr">
        <is>
          <t>B0BZ6298P6</t>
        </is>
      </c>
      <c r="G110">
        <f>IMAGE("https://alssports.vtexassets.com/arquivos/ids/1386107-800-auto?v=638254870959300000&amp;width=800&amp;height=auto&amp;aspect=true")</f>
        <v/>
      </c>
      <c r="H110">
        <f>IMAGE("https://m.media-amazon.com/images/I/61KUSylpRuL._AC_UL320_.jpg")</f>
        <v/>
      </c>
      <c r="I110" t="inlineStr">
        <is>
          <t>64.95</t>
        </is>
      </c>
      <c r="J110" t="n">
        <v>55.24</v>
      </c>
      <c r="K110" s="3" t="inlineStr">
        <is>
          <t>-14.95%</t>
        </is>
      </c>
      <c r="L110" t="n">
        <v>4.7</v>
      </c>
      <c r="M110" t="n">
        <v>885</v>
      </c>
      <c r="O110" t="inlineStr">
        <is>
          <t>InStock</t>
        </is>
      </c>
      <c r="P110" t="inlineStr">
        <is>
          <t>undefined</t>
        </is>
      </c>
      <c r="Q110" t="inlineStr">
        <is>
          <t>599445</t>
        </is>
      </c>
    </row>
    <row r="111">
      <c r="A111" s="2">
        <f>HYPERLINK("https://www.als.com/heydud-m-shoe-wally-braided/p?skuId=599445", "https://www.als.com/heydud-m-shoe-wally-braided/p?skuId=599445")</f>
        <v/>
      </c>
      <c r="B111" s="2">
        <f>HYPERLINK("https://www.als.com/heydud-m-shoe-wally-braided/p", "https://www.als.com/heydud-m-shoe-wally-braided/p")</f>
        <v/>
      </c>
      <c r="C111" t="inlineStr">
        <is>
          <t>Hey Dude Wally Braided Shoe - Men's</t>
        </is>
      </c>
      <c r="D111" t="inlineStr">
        <is>
          <t>Hey Dude Men's Wally Sox Multiple Color &amp; Sizes | Men’s Shoes | Men's Lace Up Loafers | Comfortable &amp; Light-Weight</t>
        </is>
      </c>
      <c r="E111" s="2">
        <f>HYPERLINK("https://www.amazon.com/Hey-Dude-Mens-Wally-Cobblestone/dp/B095KZVVDL/ref=sr_1_26?keywords=Hey+Dude+Wally+Braided+Shoe+-+Mens&amp;qid=1695124451&amp;sr=8-26", "https://www.amazon.com/Hey-Dude-Mens-Wally-Cobblestone/dp/B095KZVVDL/ref=sr_1_26?keywords=Hey+Dude+Wally+Braided+Shoe+-+Mens&amp;qid=1695124451&amp;sr=8-26")</f>
        <v/>
      </c>
      <c r="F111" t="inlineStr">
        <is>
          <t>B095KZVVDL</t>
        </is>
      </c>
      <c r="G111">
        <f>IMAGE("https://alssports.vtexassets.com/arquivos/ids/1386107-800-auto?v=638254870959300000&amp;width=800&amp;height=auto&amp;aspect=true")</f>
        <v/>
      </c>
      <c r="H111">
        <f>IMAGE("https://m.media-amazon.com/images/I/61KLYR6UYDL._AC_UL320_.jpg")</f>
        <v/>
      </c>
      <c r="I111" t="inlineStr">
        <is>
          <t>64.95</t>
        </is>
      </c>
      <c r="J111" t="n">
        <v>55.24</v>
      </c>
      <c r="K111" s="3" t="inlineStr">
        <is>
          <t>-14.95%</t>
        </is>
      </c>
      <c r="L111" t="n">
        <v>4.8</v>
      </c>
      <c r="M111" t="n">
        <v>984</v>
      </c>
      <c r="O111" t="inlineStr">
        <is>
          <t>InStock</t>
        </is>
      </c>
      <c r="P111" t="inlineStr">
        <is>
          <t>undefined</t>
        </is>
      </c>
      <c r="Q111" t="inlineStr">
        <is>
          <t>599445</t>
        </is>
      </c>
    </row>
    <row r="112">
      <c r="A112" s="2">
        <f>HYPERLINK("https://www.als.com/heydud-m-shoe-wally-braided/p?skuId=599445", "https://www.als.com/heydud-m-shoe-wally-braided/p?skuId=599445")</f>
        <v/>
      </c>
      <c r="B112" s="2">
        <f>HYPERLINK("https://www.als.com/heydud-m-shoe-wally-braided/p", "https://www.als.com/heydud-m-shoe-wally-braided/p")</f>
        <v/>
      </c>
      <c r="C112" t="inlineStr">
        <is>
          <t>Hey Dude Wally Braided Shoe - Men's</t>
        </is>
      </c>
      <c r="D112" t="inlineStr">
        <is>
          <t>Hey Dude Men's Wally Sox | Men's Loafers | Men's Slip On Shoes | Comfortable &amp; Light-Weight</t>
        </is>
      </c>
      <c r="E112" s="2">
        <f>HYPERLINK("https://www.amazon.com/Hey-Dude-Loafers-Comfortable-Light-Weight/dp/B0B9WHR4TL/ref=sr_1_16?keywords=Hey+Dude+Wally+Braided+Shoe+-+Mens&amp;qid=1695124451&amp;sr=8-16", "https://www.amazon.com/Hey-Dude-Loafers-Comfortable-Light-Weight/dp/B0B9WHR4TL/ref=sr_1_16?keywords=Hey+Dude+Wally+Braided+Shoe+-+Mens&amp;qid=1695124451&amp;sr=8-16")</f>
        <v/>
      </c>
      <c r="F112" t="inlineStr">
        <is>
          <t>B0B9WHR4TL</t>
        </is>
      </c>
      <c r="G112">
        <f>IMAGE("https://alssports.vtexassets.com/arquivos/ids/1386107-800-auto?v=638254870959300000&amp;width=800&amp;height=auto&amp;aspect=true")</f>
        <v/>
      </c>
      <c r="H112">
        <f>IMAGE("https://m.media-amazon.com/images/I/61T4rc76+DL._AC_UL320_.jpg")</f>
        <v/>
      </c>
      <c r="I112" t="inlineStr">
        <is>
          <t>64.95</t>
        </is>
      </c>
      <c r="J112" t="n">
        <v>55.24</v>
      </c>
      <c r="K112" s="3" t="inlineStr">
        <is>
          <t>-14.95%</t>
        </is>
      </c>
      <c r="L112" t="n">
        <v>4.7</v>
      </c>
      <c r="M112" t="n">
        <v>239</v>
      </c>
      <c r="O112" t="inlineStr">
        <is>
          <t>InStock</t>
        </is>
      </c>
      <c r="P112" t="inlineStr">
        <is>
          <t>undefined</t>
        </is>
      </c>
      <c r="Q112" t="inlineStr">
        <is>
          <t>599445</t>
        </is>
      </c>
    </row>
    <row r="113">
      <c r="A113" s="2">
        <f>HYPERLINK("https://www.als.com/heydud-m-shoe-wally-washed-canvas/p?skuId=1317816", "https://www.als.com/heydud-m-shoe-wally-washed-canvas/p?skuId=1317816")</f>
        <v/>
      </c>
      <c r="B113" s="2">
        <f>HYPERLINK("https://www.als.com/heydud-m-shoe-wally-washed-canvas/p", "https://www.als.com/heydud-m-shoe-wally-washed-canvas/p")</f>
        <v/>
      </c>
      <c r="C113" t="inlineStr">
        <is>
          <t>Hey Dude Wally Washed Canvas Shoe - Men's</t>
        </is>
      </c>
      <c r="D113" t="inlineStr">
        <is>
          <t>Hey Dude Men's Wally Linen | Men's Loafers | Men's Slip On Shoes | Comfortable &amp; Light-Weight</t>
        </is>
      </c>
      <c r="E113" s="2">
        <f>HYPERLINK("https://www.amazon.com/Hey-Dude-Loafers-Comfortable-Light-Weight/dp/B0B9WZKZ2C/ref=sr_1_9?keywords=Hey+Dude+Wally+Washed+Canvas+Shoe+-+Mens&amp;qid=1695124460&amp;sr=8-9", "https://www.amazon.com/Hey-Dude-Loafers-Comfortable-Light-Weight/dp/B0B9WZKZ2C/ref=sr_1_9?keywords=Hey+Dude+Wally+Washed+Canvas+Shoe+-+Mens&amp;qid=1695124460&amp;sr=8-9")</f>
        <v/>
      </c>
      <c r="F113" t="inlineStr">
        <is>
          <t>B0B9WZKZ2C</t>
        </is>
      </c>
      <c r="G113">
        <f>IMAGE("https://alssports.vtexassets.com/arquivos/ids/1388214-800-auto?v=638255521966130000&amp;width=800&amp;height=auto&amp;aspect=true")</f>
        <v/>
      </c>
      <c r="H113">
        <f>IMAGE("https://m.media-amazon.com/images/I/519OkPQ7VsL._AC_UL320_.jpg")</f>
        <v/>
      </c>
      <c r="I113" t="inlineStr">
        <is>
          <t>64.95</t>
        </is>
      </c>
      <c r="J113" t="n">
        <v>55.24</v>
      </c>
      <c r="K113" s="3" t="inlineStr">
        <is>
          <t>-14.95%</t>
        </is>
      </c>
      <c r="L113" t="n">
        <v>4.7</v>
      </c>
      <c r="M113" t="n">
        <v>885</v>
      </c>
      <c r="O113" t="inlineStr">
        <is>
          <t>InStock</t>
        </is>
      </c>
      <c r="P113" t="inlineStr">
        <is>
          <t>undefined</t>
        </is>
      </c>
      <c r="Q113" t="inlineStr">
        <is>
          <t>1317816</t>
        </is>
      </c>
    </row>
    <row r="114">
      <c r="A114" s="2">
        <f>HYPERLINK("https://www.als.com/heydud-m-shoe-wally-braided/p?skuId=599445", "https://www.als.com/heydud-m-shoe-wally-braided/p?skuId=599445")</f>
        <v/>
      </c>
      <c r="B114" s="2">
        <f>HYPERLINK("https://www.als.com/heydud-m-shoe-wally-braided/p", "https://www.als.com/heydud-m-shoe-wally-braided/p")</f>
        <v/>
      </c>
      <c r="C114" t="inlineStr">
        <is>
          <t>Hey Dude Wally Braided Shoe - Men's</t>
        </is>
      </c>
      <c r="D114" t="inlineStr">
        <is>
          <t>Hey Dude Men's Wally Chambray | Men's Loafers | Men's Slip On Shoes | Comfortable &amp; Light-Weight</t>
        </is>
      </c>
      <c r="E114" s="2">
        <f>HYPERLINK("https://www.amazon.com/Hey-Dude-Chambray-Comfortable-Light-Weight/dp/B08QV4QZR8/ref=sr_1_27?keywords=Hey+Dude+Wally+Braided+Shoe+-+Mens&amp;qid=1695124451&amp;sr=8-27", "https://www.amazon.com/Hey-Dude-Chambray-Comfortable-Light-Weight/dp/B08QV4QZR8/ref=sr_1_27?keywords=Hey+Dude+Wally+Braided+Shoe+-+Mens&amp;qid=1695124451&amp;sr=8-27")</f>
        <v/>
      </c>
      <c r="F114" t="inlineStr">
        <is>
          <t>B08QV4QZR8</t>
        </is>
      </c>
      <c r="G114">
        <f>IMAGE("https://alssports.vtexassets.com/arquivos/ids/1386107-800-auto?v=638254870959300000&amp;width=800&amp;height=auto&amp;aspect=true")</f>
        <v/>
      </c>
      <c r="H114">
        <f>IMAGE("https://m.media-amazon.com/images/I/61dbPHjg9aL._AC_UL320_.jpg")</f>
        <v/>
      </c>
      <c r="I114" t="inlineStr">
        <is>
          <t>64.95</t>
        </is>
      </c>
      <c r="J114" t="n">
        <v>55.24</v>
      </c>
      <c r="K114" s="3" t="inlineStr">
        <is>
          <t>-14.95%</t>
        </is>
      </c>
      <c r="L114" t="n">
        <v>4.8</v>
      </c>
      <c r="M114" t="n">
        <v>22761</v>
      </c>
      <c r="O114" t="inlineStr">
        <is>
          <t>InStock</t>
        </is>
      </c>
      <c r="P114" t="inlineStr">
        <is>
          <t>undefined</t>
        </is>
      </c>
      <c r="Q114" t="inlineStr">
        <is>
          <t>599445</t>
        </is>
      </c>
    </row>
    <row r="115">
      <c r="A115" s="2">
        <f>HYPERLINK("https://www.als.com/mizuno-w-wave-sky-6/p?skuId=1262559", "https://www.als.com/mizuno-w-wave-sky-6/p?skuId=1262559")</f>
        <v/>
      </c>
      <c r="B115" s="2">
        <f>HYPERLINK("https://www.als.com/mizuno-w-wave-sky-6/p", "https://www.als.com/mizuno-w-wave-sky-6/p")</f>
        <v/>
      </c>
      <c r="C115" t="inlineStr">
        <is>
          <t>Mizuno Wave Sky 6 Running Shoe - Women's</t>
        </is>
      </c>
      <c r="D115" t="inlineStr">
        <is>
          <t>Mizuno Wave Horizon 6 Women's Running Shoe</t>
        </is>
      </c>
      <c r="E115" s="2">
        <f>HYPERLINK("https://www.amazon.com/Mizuno-Running-Horizon-Ultimate-Grey-Silver/dp/B091ZK4NT5/ref=sr_1_19?keywords=Mizuno+Wave+Sky+6+Running+Shoe+-+Women%27s&amp;qid=1695124449&amp;sr=8-19", "https://www.amazon.com/Mizuno-Running-Horizon-Ultimate-Grey-Silver/dp/B091ZK4NT5/ref=sr_1_19?keywords=Mizuno+Wave+Sky+6+Running+Shoe+-+Women%27s&amp;qid=1695124449&amp;sr=8-19")</f>
        <v/>
      </c>
      <c r="F115" t="inlineStr">
        <is>
          <t>B091ZK4NT5</t>
        </is>
      </c>
      <c r="G115">
        <f>IMAGE("https://alssports.vtexassets.com/arquivos/ids/1277387-800-auto?v=638152938174200000&amp;width=800&amp;height=auto&amp;aspect=true")</f>
        <v/>
      </c>
      <c r="H115">
        <f>IMAGE("https://m.media-amazon.com/images/I/81oic07JSaL._AC_UL320_.jpg")</f>
        <v/>
      </c>
      <c r="I115" t="inlineStr">
        <is>
          <t>169.99</t>
        </is>
      </c>
      <c r="J115" t="n">
        <v>144.5</v>
      </c>
      <c r="K115" s="3" t="inlineStr">
        <is>
          <t>-14.99%</t>
        </is>
      </c>
      <c r="L115" t="n">
        <v>4.5</v>
      </c>
      <c r="M115" t="n">
        <v>28</v>
      </c>
      <c r="O115" t="inlineStr">
        <is>
          <t>InStock</t>
        </is>
      </c>
      <c r="P115" t="inlineStr">
        <is>
          <t>170.0</t>
        </is>
      </c>
      <c r="Q115" t="inlineStr">
        <is>
          <t>1262559</t>
        </is>
      </c>
    </row>
    <row r="116">
      <c r="A116" s="2">
        <f>HYPERLINK("https://www.als.com/sorel-m-boot-madson-ii-moc-toe-wp/p?skuId=1067549", "https://www.als.com/sorel-m-boot-madson-ii-moc-toe-wp/p?skuId=1067549")</f>
        <v/>
      </c>
      <c r="B116" s="2">
        <f>HYPERLINK("https://www.als.com/sorel-m-boot-madson-ii-moc-toe-wp/p", "https://www.als.com/sorel-m-boot-madson-ii-moc-toe-wp/p")</f>
        <v/>
      </c>
      <c r="C116" t="inlineStr">
        <is>
          <t>Sorel Madson II Moc Toe Waterproof Boot - Men's</t>
        </is>
      </c>
      <c r="D116" t="inlineStr">
        <is>
          <t>Sorel Men's Madson II Hiker WP Boot - Rain - Waterproof</t>
        </is>
      </c>
      <c r="E116" s="2">
        <f>HYPERLINK("https://www.amazon.com/Sorel-Madson-Hiker-Waterproof-Saddle/dp/B0821ZV4H2/ref=sr_1_7?keywords=Sorel+Madson+II+Moc+Toe+Waterproof+Boot+-+Men%27s&amp;qid=1695124455&amp;sr=8-7", "https://www.amazon.com/Sorel-Madson-Hiker-Waterproof-Saddle/dp/B0821ZV4H2/ref=sr_1_7?keywords=Sorel+Madson+II+Moc+Toe+Waterproof+Boot+-+Men%27s&amp;qid=1695124455&amp;sr=8-7")</f>
        <v/>
      </c>
      <c r="F116" t="inlineStr">
        <is>
          <t>B0821ZV4H2</t>
        </is>
      </c>
      <c r="G116">
        <f>IMAGE("https://alssports.vtexassets.com/arquivos/ids/1131590-800-auto?v=637986124854400000&amp;width=800&amp;height=auto&amp;aspect=true")</f>
        <v/>
      </c>
      <c r="H116">
        <f>IMAGE("https://m.media-amazon.com/images/I/71cHcZKd8tL._AC_UL320_.jpg")</f>
        <v/>
      </c>
      <c r="I116" t="inlineStr">
        <is>
          <t>199.95</t>
        </is>
      </c>
      <c r="J116" t="n">
        <v>169.5</v>
      </c>
      <c r="K116" s="3" t="inlineStr">
        <is>
          <t>-15.23%</t>
        </is>
      </c>
      <c r="L116" t="n">
        <v>4.5</v>
      </c>
      <c r="M116" t="n">
        <v>274</v>
      </c>
      <c r="O116" t="inlineStr">
        <is>
          <t>InStock</t>
        </is>
      </c>
      <c r="P116" t="inlineStr">
        <is>
          <t>undefined</t>
        </is>
      </c>
      <c r="Q116" t="inlineStr">
        <is>
          <t>1067549</t>
        </is>
      </c>
    </row>
    <row r="117">
      <c r="A117" s="2">
        <f>HYPERLINK("https://www.als.com/heydud-m-shoe-wally-braided/p?skuId=599445", "https://www.als.com/heydud-m-shoe-wally-braided/p?skuId=599445")</f>
        <v/>
      </c>
      <c r="B117" s="2">
        <f>HYPERLINK("https://www.als.com/heydud-m-shoe-wally-braided/p", "https://www.als.com/heydud-m-shoe-wally-braided/p")</f>
        <v/>
      </c>
      <c r="C117" t="inlineStr">
        <is>
          <t>Hey Dude Wally Braided Shoe - Men's</t>
        </is>
      </c>
      <c r="D117" t="inlineStr">
        <is>
          <t>Hey Dude Men's Wally Kite Various Sizes and Colors | Men’s Shoes | Men's Lace-Up Loafers | Lightweight and Comfortable</t>
        </is>
      </c>
      <c r="E117" s="2">
        <f>HYPERLINK("https://www.amazon.com/Hey-Dude-Loafers-Comfortable-Light-Weight/dp/B0B9YN3V12/ref=sr_1_21?keywords=Hey+Dude+Wally+Braided+Shoe+-+Mens&amp;qid=1695124451&amp;sr=8-21", "https://www.amazon.com/Hey-Dude-Loafers-Comfortable-Light-Weight/dp/B0B9YN3V12/ref=sr_1_21?keywords=Hey+Dude+Wally+Braided+Shoe+-+Mens&amp;qid=1695124451&amp;sr=8-21")</f>
        <v/>
      </c>
      <c r="F117" t="inlineStr">
        <is>
          <t>B0B9YN3V12</t>
        </is>
      </c>
      <c r="G117">
        <f>IMAGE("https://alssports.vtexassets.com/arquivos/ids/1386107-800-auto?v=638254870959300000&amp;width=800&amp;height=auto&amp;aspect=true")</f>
        <v/>
      </c>
      <c r="H117">
        <f>IMAGE("https://m.media-amazon.com/images/I/71V1mOLxXzL._AC_UL320_.jpg")</f>
        <v/>
      </c>
      <c r="I117" t="inlineStr">
        <is>
          <t>64.95</t>
        </is>
      </c>
      <c r="J117" t="n">
        <v>55</v>
      </c>
      <c r="K117" s="3" t="inlineStr">
        <is>
          <t>-15.32%</t>
        </is>
      </c>
      <c r="L117" t="n">
        <v>4.7</v>
      </c>
      <c r="M117" t="n">
        <v>50</v>
      </c>
      <c r="O117" t="inlineStr">
        <is>
          <t>InStock</t>
        </is>
      </c>
      <c r="P117" t="inlineStr">
        <is>
          <t>undefined</t>
        </is>
      </c>
      <c r="Q117" t="inlineStr">
        <is>
          <t>599445</t>
        </is>
      </c>
    </row>
    <row r="118">
      <c r="A118" s="2">
        <f>HYPERLINK("https://www.als.com/heydud-m-shoe-wally-washed-canvas/p?skuId=1317816", "https://www.als.com/heydud-m-shoe-wally-washed-canvas/p?skuId=1317816")</f>
        <v/>
      </c>
      <c r="B118" s="2">
        <f>HYPERLINK("https://www.als.com/heydud-m-shoe-wally-washed-canvas/p", "https://www.als.com/heydud-m-shoe-wally-washed-canvas/p")</f>
        <v/>
      </c>
      <c r="C118" t="inlineStr">
        <is>
          <t>Hey Dude Wally Washed Canvas Shoe - Men's</t>
        </is>
      </c>
      <c r="D118" t="inlineStr">
        <is>
          <t>Hey Dude Men's Wally Kite Various Sizes and Colors | Men’s Shoes | Men's Lace-Up Loafers | Lightweight and Comfortable</t>
        </is>
      </c>
      <c r="E118" s="2">
        <f>HYPERLINK("https://www.amazon.com/Hey-Dude-Loafers-Comfortable-Light-Weight/dp/B0B9YN3V12/ref=sr_1_44?keywords=Hey+Dude+Wally+Washed+Canvas+Shoe+-+Mens&amp;qid=1695124460&amp;sr=8-44", "https://www.amazon.com/Hey-Dude-Loafers-Comfortable-Light-Weight/dp/B0B9YN3V12/ref=sr_1_44?keywords=Hey+Dude+Wally+Washed+Canvas+Shoe+-+Mens&amp;qid=1695124460&amp;sr=8-44")</f>
        <v/>
      </c>
      <c r="F118" t="inlineStr">
        <is>
          <t>B0B9YN3V12</t>
        </is>
      </c>
      <c r="G118">
        <f>IMAGE("https://alssports.vtexassets.com/arquivos/ids/1388214-800-auto?v=638255521966130000&amp;width=800&amp;height=auto&amp;aspect=true")</f>
        <v/>
      </c>
      <c r="H118">
        <f>IMAGE("https://m.media-amazon.com/images/I/71V1mOLxXzL._AC_UL320_.jpg")</f>
        <v/>
      </c>
      <c r="I118" t="inlineStr">
        <is>
          <t>64.95</t>
        </is>
      </c>
      <c r="J118" t="n">
        <v>55</v>
      </c>
      <c r="K118" s="3" t="inlineStr">
        <is>
          <t>-15.32%</t>
        </is>
      </c>
      <c r="L118" t="n">
        <v>4.7</v>
      </c>
      <c r="M118" t="n">
        <v>50</v>
      </c>
      <c r="O118" t="inlineStr">
        <is>
          <t>InStock</t>
        </is>
      </c>
      <c r="P118" t="inlineStr">
        <is>
          <t>undefined</t>
        </is>
      </c>
      <c r="Q118" t="inlineStr">
        <is>
          <t>1317816</t>
        </is>
      </c>
    </row>
    <row r="119">
      <c r="A119" s="2">
        <f>HYPERLINK("https://www.als.com/reef-w-sandals-cushion-vista-hi/p?skuId=1280794", "https://www.als.com/reef-w-sandals-cushion-vista-hi/p?skuId=1280794")</f>
        <v/>
      </c>
      <c r="B119" s="2">
        <f>HYPERLINK("https://www.als.com/reef-w-sandals-cushion-vista-hi/p", "https://www.als.com/reef-w-sandals-cushion-vista-hi/p")</f>
        <v/>
      </c>
      <c r="C119" t="inlineStr">
        <is>
          <t>REEF Cushion Vista HI Slide - Women's</t>
        </is>
      </c>
      <c r="D119" t="inlineStr">
        <is>
          <t>Reef Women's Cushion Ruby Slide Sandal</t>
        </is>
      </c>
      <c r="E119" s="2">
        <f>HYPERLINK("https://www.amazon.com/Reef-Womens-Cushion-Slide-Sandal/dp/B0B1JNSHXH/ref=sr_1_16?keywords=REEF+Cushion+Vista+HI+Slide+-+Women%27s&amp;qid=1695124489&amp;sr=8-16", "https://www.amazon.com/Reef-Womens-Cushion-Slide-Sandal/dp/B0B1JNSHXH/ref=sr_1_16?keywords=REEF+Cushion+Vista+HI+Slide+-+Women%27s&amp;qid=1695124489&amp;sr=8-16")</f>
        <v/>
      </c>
      <c r="F119" t="inlineStr">
        <is>
          <t>B0B1JNSHXH</t>
        </is>
      </c>
      <c r="G119">
        <f>IMAGE("https://alssports.vtexassets.com/arquivos/ids/1252015-800-auto?v=638131199167330000&amp;width=800&amp;height=auto&amp;aspect=true")</f>
        <v/>
      </c>
      <c r="H119">
        <f>IMAGE("https://m.media-amazon.com/images/I/51KuUqTscAL._AC_UL320_.jpg")</f>
        <v/>
      </c>
      <c r="I119" t="inlineStr">
        <is>
          <t>64.95</t>
        </is>
      </c>
      <c r="J119" t="n">
        <v>55</v>
      </c>
      <c r="K119" s="3" t="inlineStr">
        <is>
          <t>-15.32%</t>
        </is>
      </c>
      <c r="L119" t="n">
        <v>4.5</v>
      </c>
      <c r="M119" t="n">
        <v>82</v>
      </c>
      <c r="O119" t="inlineStr">
        <is>
          <t>InStock</t>
        </is>
      </c>
      <c r="P119" t="inlineStr">
        <is>
          <t>undefined</t>
        </is>
      </c>
      <c r="Q119" t="inlineStr">
        <is>
          <t>1280794</t>
        </is>
      </c>
    </row>
    <row r="120">
      <c r="A120" s="2">
        <f>HYPERLINK("https://www.als.com/oakley-lineminer-xm-goggle/p?skuId=1322891", "https://www.als.com/oakley-lineminer-xm-goggle/p?skuId=1322891")</f>
        <v/>
      </c>
      <c r="B120" s="2">
        <f>HYPERLINK("https://www.als.com/oakley-lineminer-xm-goggle/p", "https://www.als.com/oakley-lineminer-xm-goggle/p")</f>
        <v/>
      </c>
      <c r="C120" t="inlineStr">
        <is>
          <t>Oakley Line Miner M Snow Goggle</t>
        </is>
      </c>
      <c r="D120" t="inlineStr">
        <is>
          <t>Oakley LINE MINER S Snow Goggle Replacement Lens</t>
        </is>
      </c>
      <c r="E120" s="2">
        <f>HYPERLINK("https://www.amazon.com/Oakley-Miner-Youth-Goggle-Replacement/dp/B079SX1JNM/ref=sr_1_41?keywords=Oakley+Line+Miner+M+Snow+Goggle&amp;qid=1695124326&amp;sr=8-41", "https://www.amazon.com/Oakley-Miner-Youth-Goggle-Replacement/dp/B079SX1JNM/ref=sr_1_41?keywords=Oakley+Line+Miner+M+Snow+Goggle&amp;qid=1695124326&amp;sr=8-41")</f>
        <v/>
      </c>
      <c r="F120" t="inlineStr">
        <is>
          <t>B079SX1JNM</t>
        </is>
      </c>
      <c r="G120">
        <f>IMAGE("https://alssports.vtexassets.com/arquivos/ids/1362246-800-auto?v=638235821541230000&amp;width=800&amp;height=auto&amp;aspect=true")</f>
        <v/>
      </c>
      <c r="H120">
        <f>IMAGE("https://m.media-amazon.com/images/I/5180jnEvU8L._AC_UL320_.jpg")</f>
        <v/>
      </c>
      <c r="I120" t="inlineStr">
        <is>
          <t>64.99</t>
        </is>
      </c>
      <c r="J120" t="n">
        <v>55</v>
      </c>
      <c r="K120" s="3" t="inlineStr">
        <is>
          <t>-15.37%</t>
        </is>
      </c>
      <c r="L120" t="n">
        <v>5</v>
      </c>
      <c r="M120" t="n">
        <v>11</v>
      </c>
      <c r="O120" t="inlineStr">
        <is>
          <t>InStock</t>
        </is>
      </c>
      <c r="P120" t="inlineStr">
        <is>
          <t>154.0</t>
        </is>
      </c>
      <c r="Q120" t="inlineStr">
        <is>
          <t>1322891</t>
        </is>
      </c>
    </row>
    <row r="121">
      <c r="A121" s="2">
        <f>HYPERLINK("https://www.als.com/heydud-m-shoe-wally-braided/p?skuId=599445", "https://www.als.com/heydud-m-shoe-wally-braided/p?skuId=599445")</f>
        <v/>
      </c>
      <c r="B121" s="2">
        <f>HYPERLINK("https://www.als.com/heydud-m-shoe-wally-braided/p", "https://www.als.com/heydud-m-shoe-wally-braided/p")</f>
        <v/>
      </c>
      <c r="C121" t="inlineStr">
        <is>
          <t>Hey Dude Wally Braided Shoe - Men's</t>
        </is>
      </c>
      <c r="D121" t="inlineStr">
        <is>
          <t>Hey Dude Men's Wally Braided Multiple Colors &amp; Sizes | Men’s Loafers | Men’s Slip On Shoes | Comfortable &amp; Lightweight</t>
        </is>
      </c>
      <c r="E121" s="2">
        <f>HYPERLINK("https://www.amazon.com/Hey-Dude-Braided-Comfortable-Light-Weight/dp/B08XBDVG1W/ref=sr_1_4?keywords=Hey+Dude+Wally+Braided+Shoe+-+Mens&amp;qid=1695124451&amp;sr=8-4", "https://www.amazon.com/Hey-Dude-Braided-Comfortable-Light-Weight/dp/B08XBDVG1W/ref=sr_1_4?keywords=Hey+Dude+Wally+Braided+Shoe+-+Mens&amp;qid=1695124451&amp;sr=8-4")</f>
        <v/>
      </c>
      <c r="F121" t="inlineStr">
        <is>
          <t>B08XBDVG1W</t>
        </is>
      </c>
      <c r="G121">
        <f>IMAGE("https://alssports.vtexassets.com/arquivos/ids/1386107-800-auto?v=638254870959300000&amp;width=800&amp;height=auto&amp;aspect=true")</f>
        <v/>
      </c>
      <c r="H121">
        <f>IMAGE("https://m.media-amazon.com/images/I/61rHVJO5oVL._AC_UL320_.jpg")</f>
        <v/>
      </c>
      <c r="I121" t="inlineStr">
        <is>
          <t>64.95</t>
        </is>
      </c>
      <c r="J121" t="n">
        <v>54.95</v>
      </c>
      <c r="K121" s="3" t="inlineStr">
        <is>
          <t>-15.40%</t>
        </is>
      </c>
      <c r="L121" t="n">
        <v>4.7</v>
      </c>
      <c r="M121" t="n">
        <v>235</v>
      </c>
      <c r="O121" t="inlineStr">
        <is>
          <t>InStock</t>
        </is>
      </c>
      <c r="P121" t="inlineStr">
        <is>
          <t>undefined</t>
        </is>
      </c>
      <c r="Q121" t="inlineStr">
        <is>
          <t>599445</t>
        </is>
      </c>
    </row>
    <row r="122">
      <c r="A122" s="2">
        <f>HYPERLINK("https://www.als.com/reef-w-sandals-cushion-vista-hi/p?skuId=1280794", "https://www.als.com/reef-w-sandals-cushion-vista-hi/p?skuId=1280794")</f>
        <v/>
      </c>
      <c r="B122" s="2">
        <f>HYPERLINK("https://www.als.com/reef-w-sandals-cushion-vista-hi/p", "https://www.als.com/reef-w-sandals-cushion-vista-hi/p")</f>
        <v/>
      </c>
      <c r="C122" t="inlineStr">
        <is>
          <t>REEF Cushion Vista HI Slide - Women's</t>
        </is>
      </c>
      <c r="D122" t="inlineStr">
        <is>
          <t>Reef Women's Water Vista Slide Sandal</t>
        </is>
      </c>
      <c r="E122" s="2">
        <f>HYPERLINK("https://www.amazon.com/Reef-Womens-Water-Sandal-Crystal/dp/B0B7TX4KLV/ref=sr_1_15?keywords=REEF+Cushion+Vista+HI+Slide+-+Women%27s&amp;qid=1695124489&amp;sr=8-15", "https://www.amazon.com/Reef-Womens-Water-Sandal-Crystal/dp/B0B7TX4KLV/ref=sr_1_15?keywords=REEF+Cushion+Vista+HI+Slide+-+Women%27s&amp;qid=1695124489&amp;sr=8-15")</f>
        <v/>
      </c>
      <c r="F122" t="inlineStr">
        <is>
          <t>B0B7TX4KLV</t>
        </is>
      </c>
      <c r="G122">
        <f>IMAGE("https://alssports.vtexassets.com/arquivos/ids/1252015-800-auto?v=638131199167330000&amp;width=800&amp;height=auto&amp;aspect=true")</f>
        <v/>
      </c>
      <c r="H122">
        <f>IMAGE("https://m.media-amazon.com/images/I/51CxF0MEpIL._AC_UL320_.jpg")</f>
        <v/>
      </c>
      <c r="I122" t="inlineStr">
        <is>
          <t>64.95</t>
        </is>
      </c>
      <c r="J122" t="n">
        <v>54.95</v>
      </c>
      <c r="K122" s="3" t="inlineStr">
        <is>
          <t>-15.40%</t>
        </is>
      </c>
      <c r="L122" t="n">
        <v>4.5</v>
      </c>
      <c r="M122" t="n">
        <v>90</v>
      </c>
      <c r="O122" t="inlineStr">
        <is>
          <t>InStock</t>
        </is>
      </c>
      <c r="P122" t="inlineStr">
        <is>
          <t>undefined</t>
        </is>
      </c>
      <c r="Q122" t="inlineStr">
        <is>
          <t>1280794</t>
        </is>
      </c>
    </row>
    <row r="123">
      <c r="A123" s="2">
        <f>HYPERLINK("https://www.als.com/shimab-pedal-pd-m9100-spd-cleat-pack/p?skuId=500218", "https://www.als.com/shimab-pedal-pd-m9100-spd-cleat-pack/p?skuId=500218")</f>
        <v/>
      </c>
      <c r="B123" s="2">
        <f>HYPERLINK("https://www.als.com/shimab-pedal-pd-m9100-spd-cleat-pack/p", "https://www.als.com/shimab-pedal-pd-m9100-spd-cleat-pack/p")</f>
        <v/>
      </c>
      <c r="C123" t="inlineStr">
        <is>
          <t>Shimano TR PD-M9100 Pedal</t>
        </is>
      </c>
      <c r="D123" t="inlineStr">
        <is>
          <t>Shimano PD-M9100; XTR; SPD Flat Bike Pedal; Cleat Set Included</t>
        </is>
      </c>
      <c r="E123" s="2">
        <f>HYPERLINK("https://www.amazon.com/SHIMANO-PD-M9100-Pedal-Cleat-Included/dp/B07H8W4CF5/ref=sr_1_2?keywords=Shimano+TR+PD-M9100+Pedal&amp;qid=1695124455&amp;sr=8-2", "https://www.amazon.com/SHIMANO-PD-M9100-Pedal-Cleat-Included/dp/B07H8W4CF5/ref=sr_1_2?keywords=Shimano+TR+PD-M9100+Pedal&amp;qid=1695124455&amp;sr=8-2")</f>
        <v/>
      </c>
      <c r="F123" t="inlineStr">
        <is>
          <t>B07H8W4CF5</t>
        </is>
      </c>
      <c r="G123">
        <f>IMAGE("https://alssports.vtexassets.com/arquivos/ids/1120618-800-auto?v=637969747990030000&amp;width=800&amp;height=auto&amp;aspect=true")</f>
        <v/>
      </c>
      <c r="H123">
        <f>IMAGE("https://m.media-amazon.com/images/I/71Is17kNwaL._AC_UL320_.jpg")</f>
        <v/>
      </c>
      <c r="I123" t="inlineStr">
        <is>
          <t>179.99</t>
        </is>
      </c>
      <c r="J123" t="n">
        <v>151.8</v>
      </c>
      <c r="K123" s="3" t="inlineStr">
        <is>
          <t>-15.66%</t>
        </is>
      </c>
      <c r="L123" t="n">
        <v>4.7</v>
      </c>
      <c r="M123" t="n">
        <v>449</v>
      </c>
      <c r="O123" t="inlineStr">
        <is>
          <t>InStock</t>
        </is>
      </c>
      <c r="P123" t="inlineStr">
        <is>
          <t>undefined</t>
        </is>
      </c>
      <c r="Q123" t="inlineStr">
        <is>
          <t>500218</t>
        </is>
      </c>
    </row>
    <row r="124">
      <c r="A124" s="2">
        <f>HYPERLINK("https://www.als.com/heydud-m-shoe-wally-washed-canvas/p?skuId=1317816", "https://www.als.com/heydud-m-shoe-wally-washed-canvas/p?skuId=1317816")</f>
        <v/>
      </c>
      <c r="B124" s="2">
        <f>HYPERLINK("https://www.als.com/heydud-m-shoe-wally-washed-canvas/p", "https://www.als.com/heydud-m-shoe-wally-washed-canvas/p")</f>
        <v/>
      </c>
      <c r="C124" t="inlineStr">
        <is>
          <t>Hey Dude Wally Washed Canvas Shoe - Men's</t>
        </is>
      </c>
      <c r="D124" t="inlineStr">
        <is>
          <t>Hey Dude Men’s Wally Loafer Multiple Colors | Men’s Shoes | Men's Lace Up Loafers</t>
        </is>
      </c>
      <c r="E124" s="2">
        <f>HYPERLINK("https://www.amazon.com/Hey-Dude-Loafers-Comfortable-Light-Weight/dp/B0B9WVJNW5/ref=sr_1_60?keywords=Hey+Dude+Wally+Washed+Canvas+Shoe+-+Mens&amp;qid=1695124460&amp;sr=8-60", "https://www.amazon.com/Hey-Dude-Loafers-Comfortable-Light-Weight/dp/B0B9WVJNW5/ref=sr_1_60?keywords=Hey+Dude+Wally+Washed+Canvas+Shoe+-+Mens&amp;qid=1695124460&amp;sr=8-60")</f>
        <v/>
      </c>
      <c r="F124" t="inlineStr">
        <is>
          <t>B0B9WVJNW5</t>
        </is>
      </c>
      <c r="G124">
        <f>IMAGE("https://alssports.vtexassets.com/arquivos/ids/1388214-800-auto?v=638255521966130000&amp;width=800&amp;height=auto&amp;aspect=true")</f>
        <v/>
      </c>
      <c r="H124">
        <f>IMAGE("https://m.media-amazon.com/images/I/71emzKgz2iL._AC_UL320_.jpg")</f>
        <v/>
      </c>
      <c r="I124" t="inlineStr">
        <is>
          <t>64.95</t>
        </is>
      </c>
      <c r="J124" t="n">
        <v>54.59</v>
      </c>
      <c r="K124" s="3" t="inlineStr">
        <is>
          <t>-15.95%</t>
        </is>
      </c>
      <c r="L124" t="n">
        <v>4.9</v>
      </c>
      <c r="M124" t="n">
        <v>12</v>
      </c>
      <c r="O124" t="inlineStr">
        <is>
          <t>InStock</t>
        </is>
      </c>
      <c r="P124" t="inlineStr">
        <is>
          <t>undefined</t>
        </is>
      </c>
      <c r="Q124" t="inlineStr">
        <is>
          <t>1317816</t>
        </is>
      </c>
    </row>
    <row r="125">
      <c r="A125" s="2">
        <f>HYPERLINK("https://www.als.com/under-m-charged-verssert-run-shoe/p?skuId=1204906", "https://www.als.com/under-m-charged-verssert-run-shoe/p?skuId=1204906")</f>
        <v/>
      </c>
      <c r="B125" s="2">
        <f>HYPERLINK("https://www.als.com/under-m-charged-verssert-run-shoe/p", "https://www.als.com/under-m-charged-verssert-run-shoe/p")</f>
        <v/>
      </c>
      <c r="C125" t="inlineStr">
        <is>
          <t>Under Armour Charged Verssert Running Shoe - Men's</t>
        </is>
      </c>
      <c r="D125" t="inlineStr">
        <is>
          <t>Under Armour Men's Charged Rogue 3 4e Running Shoe</t>
        </is>
      </c>
      <c r="E125" s="2">
        <f>HYPERLINK("https://www.amazon.com/Under-Armour-Charged-Running-X-Wide/dp/B09LSBS78L/ref=sr_1_12?keywords=Under+Armour+Charged+Verssert+Running+Shoe+-+Mens&amp;qid=1695124491&amp;sr=8-12", "https://www.amazon.com/Under-Armour-Charged-Running-X-Wide/dp/B09LSBS78L/ref=sr_1_12?keywords=Under+Armour+Charged+Verssert+Running+Shoe+-+Mens&amp;qid=1695124491&amp;sr=8-12")</f>
        <v/>
      </c>
      <c r="F125" t="inlineStr">
        <is>
          <t>B09LSBS78L</t>
        </is>
      </c>
      <c r="G125">
        <f>IMAGE("https://alssports.vtexassets.com/arquivos/ids/1282426-800-auto?v=638158001411130000&amp;width=800&amp;height=auto&amp;aspect=true")</f>
        <v/>
      </c>
      <c r="H125">
        <f>IMAGE("https://m.media-amazon.com/images/I/71sdON1GKpL._AC_UL320_.jpg")</f>
        <v/>
      </c>
      <c r="I125" t="inlineStr">
        <is>
          <t>75.0</t>
        </is>
      </c>
      <c r="J125" t="n">
        <v>62.23</v>
      </c>
      <c r="K125" s="3" t="inlineStr">
        <is>
          <t>-17.03%</t>
        </is>
      </c>
      <c r="L125" t="n">
        <v>4.6</v>
      </c>
      <c r="M125" t="n">
        <v>266</v>
      </c>
      <c r="O125" t="inlineStr">
        <is>
          <t>InStock</t>
        </is>
      </c>
      <c r="P125" t="inlineStr">
        <is>
          <t>undefined</t>
        </is>
      </c>
      <c r="Q125" t="inlineStr">
        <is>
          <t>1204906</t>
        </is>
      </c>
    </row>
    <row r="126">
      <c r="A126" s="2">
        <f>HYPERLINK("https://www.als.com/under-ua-drive-pant/p?skuId=997492", "https://www.als.com/under-ua-drive-pant/p?skuId=997492")</f>
        <v/>
      </c>
      <c r="B126" s="2">
        <f>HYPERLINK("https://www.als.com/under-ua-drive-pant/p", "https://www.als.com/under-ua-drive-pant/p")</f>
        <v/>
      </c>
      <c r="C126" t="inlineStr">
        <is>
          <t>Under Armour Drive Pant - Men's</t>
        </is>
      </c>
      <c r="D126" t="inlineStr">
        <is>
          <t>Under Armour Men's Straight Leg Tech Pants</t>
        </is>
      </c>
      <c r="E126" s="2">
        <f>HYPERLINK("https://www.amazon.com/Under-Armour-Standard-Pants-Khaki/dp/B09WCTFCGZ/ref=sr_1_3?keywords=Under+Armour+Drive+Pant+-+Men%27s&amp;qid=1695124299&amp;sr=8-3", "https://www.amazon.com/Under-Armour-Standard-Pants-Khaki/dp/B09WCTFCGZ/ref=sr_1_3?keywords=Under+Armour+Drive+Pant+-+Men%27s&amp;qid=1695124299&amp;sr=8-3")</f>
        <v/>
      </c>
      <c r="F126" t="inlineStr">
        <is>
          <t>B09WCTFCGZ</t>
        </is>
      </c>
      <c r="G126">
        <f>IMAGE("https://alssports.vtexassets.com/arquivos/ids/1442508-800-auto?v=638291812057330000&amp;width=800&amp;height=auto&amp;aspect=true")</f>
        <v/>
      </c>
      <c r="H126">
        <f>IMAGE("https://m.media-amazon.com/images/I/61U6lAqOvzL._AC_UL320_.jpg")</f>
        <v/>
      </c>
      <c r="I126" t="inlineStr">
        <is>
          <t>51.0</t>
        </is>
      </c>
      <c r="J126" t="n">
        <v>42.15</v>
      </c>
      <c r="K126" s="3" t="inlineStr">
        <is>
          <t>-17.35%</t>
        </is>
      </c>
      <c r="L126" t="n">
        <v>4.7</v>
      </c>
      <c r="M126" t="n">
        <v>178</v>
      </c>
      <c r="O126" t="inlineStr">
        <is>
          <t>undefined</t>
        </is>
      </c>
      <c r="P126" t="inlineStr">
        <is>
          <t>85.0</t>
        </is>
      </c>
      <c r="Q126" t="inlineStr">
        <is>
          <t>997492</t>
        </is>
      </c>
    </row>
    <row r="127">
      <c r="A127" s="2">
        <f>HYPERLINK("https://www.als.com/crocs-classic-clog/p?skuId=1196935", "https://www.als.com/crocs-classic-clog/p?skuId=1196935")</f>
        <v/>
      </c>
      <c r="B127" s="2">
        <f>HYPERLINK("https://www.als.com/crocs-classic-clog/p", "https://www.als.com/crocs-classic-clog/p")</f>
        <v/>
      </c>
      <c r="C127" t="inlineStr">
        <is>
          <t>Crocs Classic Clog</t>
        </is>
      </c>
      <c r="D127" t="inlineStr">
        <is>
          <t>Crocs Unisex-Adult Classic Glitter Clog</t>
        </is>
      </c>
      <c r="E127" s="2">
        <f>HYPERLINK("https://www.amazon.com/Crocs-Classic-Sparkly-Metallic-Glitter/dp/B0C2XFY2VW/ref=sr_1_33?keywords=Crocs+Classic+Clog&amp;qid=1695124151&amp;sr=8-33", "https://www.amazon.com/Crocs-Classic-Sparkly-Metallic-Glitter/dp/B0C2XFY2VW/ref=sr_1_33?keywords=Crocs+Classic+Clog&amp;qid=1695124151&amp;sr=8-33")</f>
        <v/>
      </c>
      <c r="F127" t="inlineStr">
        <is>
          <t>B0C2XFY2VW</t>
        </is>
      </c>
      <c r="G127">
        <f>IMAGE("https://alssports.vtexassets.com/arquivos/ids/1222253-800-auto?v=638102875835800000&amp;width=800&amp;height=auto&amp;aspect=true")</f>
        <v/>
      </c>
      <c r="H127">
        <f>IMAGE("https://m.media-amazon.com/images/I/81VaHLz5TfL._AC_UL320_.jpg")</f>
        <v/>
      </c>
      <c r="I127" t="inlineStr">
        <is>
          <t>49.95</t>
        </is>
      </c>
      <c r="J127" t="n">
        <v>41.24</v>
      </c>
      <c r="K127" s="3" t="inlineStr">
        <is>
          <t>-17.44%</t>
        </is>
      </c>
      <c r="L127" t="n">
        <v>4.7</v>
      </c>
      <c r="M127" t="n">
        <v>63</v>
      </c>
      <c r="O127" t="inlineStr">
        <is>
          <t>InStock</t>
        </is>
      </c>
      <c r="P127" t="inlineStr">
        <is>
          <t>undefined</t>
        </is>
      </c>
      <c r="Q127" t="inlineStr">
        <is>
          <t>1196935</t>
        </is>
      </c>
    </row>
    <row r="128">
      <c r="A128" s="2">
        <f>HYPERLINK("https://www.als.com/reding-reel-run/p?skuId=668675", "https://www.als.com/reding-reel-run/p?skuId=668675")</f>
        <v/>
      </c>
      <c r="B128" s="2">
        <f>HYPERLINK("https://www.als.com/reding-reel-run/p", "https://www.als.com/reding-reel-run/p")</f>
        <v/>
      </c>
      <c r="C128" t="inlineStr">
        <is>
          <t>Redington Run Fishing Reel</t>
        </is>
      </c>
      <c r="D128" t="inlineStr">
        <is>
          <t>Redington Zero Fly Fishing Reel, Lightweight Design for Trout, Clicker Drag System</t>
        </is>
      </c>
      <c r="E128" s="2">
        <f>HYPERLINK("https://www.amazon.com/Redington-Fishing-Lightweight-Design-Clicker/dp/B09XFC5XWV/ref=sr_1_15?keywords=Redington+Run+Fishing+Reel&amp;qid=1695124368&amp;sr=8-15", "https://www.amazon.com/Redington-Fishing-Lightweight-Design-Clicker/dp/B09XFC5XWV/ref=sr_1_15?keywords=Redington+Run+Fishing+Reel&amp;qid=1695124368&amp;sr=8-15")</f>
        <v/>
      </c>
      <c r="F128" t="inlineStr">
        <is>
          <t>B09XFC5XWV</t>
        </is>
      </c>
      <c r="G128">
        <f>IMAGE("https://alssports.vtexassets.com/arquivos/ids/965822-800-auto?v=637738270480870000&amp;width=800&amp;height=auto&amp;aspect=true")</f>
        <v/>
      </c>
      <c r="H128">
        <f>IMAGE("https://m.media-amazon.com/images/I/61XyX87sM3L._AC_UY218_.jpg")</f>
        <v/>
      </c>
      <c r="I128" t="inlineStr">
        <is>
          <t>119.99</t>
        </is>
      </c>
      <c r="J128" t="n">
        <v>98.98999999999999</v>
      </c>
      <c r="K128" s="3" t="inlineStr">
        <is>
          <t>-17.50%</t>
        </is>
      </c>
      <c r="L128" t="n">
        <v>4.6</v>
      </c>
      <c r="M128" t="n">
        <v>412</v>
      </c>
      <c r="O128" t="inlineStr">
        <is>
          <t>InStock</t>
        </is>
      </c>
      <c r="P128" t="inlineStr">
        <is>
          <t>undefined</t>
        </is>
      </c>
      <c r="Q128" t="inlineStr">
        <is>
          <t>668675</t>
        </is>
      </c>
    </row>
    <row r="129">
      <c r="A129" s="2">
        <f>HYPERLINK("https://www.als.com/sal-sh-m-shoe-speedcross-6-gtx/p?skuId=1067266", "https://www.als.com/sal-sh-m-shoe-speedcross-6-gtx/p?skuId=1067266")</f>
        <v/>
      </c>
      <c r="B129" s="2">
        <f>HYPERLINK("https://www.als.com/sal-sh-m-shoe-speedcross-6-gtx/p", "https://www.als.com/sal-sh-m-shoe-speedcross-6-gtx/p")</f>
        <v/>
      </c>
      <c r="C129" t="inlineStr">
        <is>
          <t>Salomon Speedcross 6 Gore-Tex Shoe - Men's</t>
        </is>
      </c>
      <c r="D129" t="inlineStr">
        <is>
          <t>Salomon Men's Alphacross 4 Gore-tex Trail Running Shoe</t>
        </is>
      </c>
      <c r="E129" s="2">
        <f>HYPERLINK("https://www.amazon.com/Salomon-ALPHACROSS-Gore-TEX-Trail-Running/dp/B0B5JVB86N/ref=sr_1_9?keywords=Salomon+Speedcross+6+Gore-Tex+Shoe+-+Mens&amp;qid=1695124153&amp;sr=8-9", "https://www.amazon.com/Salomon-ALPHACROSS-Gore-TEX-Trail-Running/dp/B0B5JVB86N/ref=sr_1_9?keywords=Salomon+Speedcross+6+Gore-Tex+Shoe+-+Mens&amp;qid=1695124153&amp;sr=8-9")</f>
        <v/>
      </c>
      <c r="F129" t="inlineStr">
        <is>
          <t>B0B5JVB86N</t>
        </is>
      </c>
      <c r="G129">
        <f>IMAGE("https://alssports.vtexassets.com/arquivos/ids/1278354-800-auto?v=638155540293900000&amp;width=800&amp;height=auto&amp;aspect=true")</f>
        <v/>
      </c>
      <c r="H129">
        <f>IMAGE("https://m.media-amazon.com/images/I/81YJm-7NiSL._AC_UL320_.jpg")</f>
        <v/>
      </c>
      <c r="I129" t="inlineStr">
        <is>
          <t>95.97</t>
        </is>
      </c>
      <c r="J129" t="n">
        <v>78.16</v>
      </c>
      <c r="K129" s="3" t="inlineStr">
        <is>
          <t>-18.56%</t>
        </is>
      </c>
      <c r="L129" t="n">
        <v>4.5</v>
      </c>
      <c r="M129" t="n">
        <v>31</v>
      </c>
      <c r="O129" t="inlineStr">
        <is>
          <t>InStock</t>
        </is>
      </c>
      <c r="P129" t="inlineStr">
        <is>
          <t>159.95</t>
        </is>
      </c>
      <c r="Q129" t="inlineStr">
        <is>
          <t>1067266</t>
        </is>
      </c>
    </row>
    <row r="130">
      <c r="A130" s="2">
        <f>HYPERLINK("https://www.als.com/altra-w-shoe-timp-4/p?skuId=929220", "https://www.als.com/altra-w-shoe-timp-4/p?skuId=929220")</f>
        <v/>
      </c>
      <c r="B130" s="2">
        <f>HYPERLINK("https://www.als.com/altra-w-shoe-timp-4/p", "https://www.als.com/altra-w-shoe-timp-4/p")</f>
        <v/>
      </c>
      <c r="C130" t="inlineStr">
        <is>
          <t>Altra Timp 4 Running Shoe - Women's</t>
        </is>
      </c>
      <c r="D130" t="inlineStr">
        <is>
          <t>ALTRA Women's AL0A4VR3 Escalante 2.5 Road Running Shoe</t>
        </is>
      </c>
      <c r="E130" s="2">
        <f>HYPERLINK("https://www.amazon.com/ALTRA-Womens-AL0A4VR3-Escalante-Running/dp/B082Q31Q46/ref=sr_1_18?keywords=Altra+Timp+4+Running+Shoe+-+Womens&amp;qid=1695124369&amp;sr=8-18", "https://www.amazon.com/ALTRA-Womens-AL0A4VR3-Escalante-Running/dp/B082Q31Q46/ref=sr_1_18?keywords=Altra+Timp+4+Running+Shoe+-+Womens&amp;qid=1695124369&amp;sr=8-18")</f>
        <v/>
      </c>
      <c r="F130" t="inlineStr">
        <is>
          <t>B082Q31Q46</t>
        </is>
      </c>
      <c r="G130">
        <f>IMAGE("https://alssports.vtexassets.com/arquivos/ids/1112796-800-auto?v=637957454637830000&amp;width=800&amp;height=auto&amp;aspect=true")</f>
        <v/>
      </c>
      <c r="H130">
        <f>IMAGE("https://m.media-amazon.com/images/I/71MTqCz0lDL._AC_UL320_.jpg")</f>
        <v/>
      </c>
      <c r="I130" t="inlineStr">
        <is>
          <t>159.95</t>
        </is>
      </c>
      <c r="J130" t="n">
        <v>130.15</v>
      </c>
      <c r="K130" s="3" t="inlineStr">
        <is>
          <t>-18.63%</t>
        </is>
      </c>
      <c r="L130" t="n">
        <v>4.7</v>
      </c>
      <c r="M130" t="n">
        <v>1096</v>
      </c>
      <c r="O130" t="inlineStr">
        <is>
          <t>InStock</t>
        </is>
      </c>
      <c r="P130" t="inlineStr">
        <is>
          <t>129.95</t>
        </is>
      </c>
      <c r="Q130" t="inlineStr">
        <is>
          <t>929220</t>
        </is>
      </c>
    </row>
    <row r="131">
      <c r="A131" s="2">
        <f>HYPERLINK("https://www.als.com/under-m-charged-verssert-run-shoe/p?skuId=1204906", "https://www.als.com/under-m-charged-verssert-run-shoe/p?skuId=1204906")</f>
        <v/>
      </c>
      <c r="B131" s="2">
        <f>HYPERLINK("https://www.als.com/under-m-charged-verssert-run-shoe/p", "https://www.als.com/under-m-charged-verssert-run-shoe/p")</f>
        <v/>
      </c>
      <c r="C131" t="inlineStr">
        <is>
          <t>Under Armour Charged Verssert Running Shoe - Men's</t>
        </is>
      </c>
      <c r="D131" t="inlineStr">
        <is>
          <t>Under Armour Men's Surge 3 Running Shoe</t>
        </is>
      </c>
      <c r="E131" s="2">
        <f>HYPERLINK("https://www.amazon.com/Under-Armour-Surge-Running-Black/dp/B09692NZPM/ref=sr_1_20?keywords=Under+Armour+Charged+Verssert+Running+Shoe+-+Mens&amp;qid=1695124491&amp;sr=8-20", "https://www.amazon.com/Under-Armour-Surge-Running-Black/dp/B09692NZPM/ref=sr_1_20?keywords=Under+Armour+Charged+Verssert+Running+Shoe+-+Mens&amp;qid=1695124491&amp;sr=8-20")</f>
        <v/>
      </c>
      <c r="F131" t="inlineStr">
        <is>
          <t>B09692NZPM</t>
        </is>
      </c>
      <c r="G131">
        <f>IMAGE("https://alssports.vtexassets.com/arquivos/ids/1282426-800-auto?v=638158001411130000&amp;width=800&amp;height=auto&amp;aspect=true")</f>
        <v/>
      </c>
      <c r="H131">
        <f>IMAGE("https://m.media-amazon.com/images/I/51sQuWP5SdL._AC_UL320_.jpg")</f>
        <v/>
      </c>
      <c r="I131" t="inlineStr">
        <is>
          <t>75.0</t>
        </is>
      </c>
      <c r="J131" t="n">
        <v>60.78</v>
      </c>
      <c r="K131" s="3" t="inlineStr">
        <is>
          <t>-18.96%</t>
        </is>
      </c>
      <c r="L131" t="n">
        <v>4.6</v>
      </c>
      <c r="M131" t="n">
        <v>5036</v>
      </c>
      <c r="O131" t="inlineStr">
        <is>
          <t>InStock</t>
        </is>
      </c>
      <c r="P131" t="inlineStr">
        <is>
          <t>undefined</t>
        </is>
      </c>
      <c r="Q131" t="inlineStr">
        <is>
          <t>1204906</t>
        </is>
      </c>
    </row>
    <row r="132">
      <c r="A132" s="2">
        <f>HYPERLINK("https://www.als.com/under-m-charged-verssert-run-shoe/p?skuId=1204906", "https://www.als.com/under-m-charged-verssert-run-shoe/p?skuId=1204906")</f>
        <v/>
      </c>
      <c r="B132" s="2">
        <f>HYPERLINK("https://www.als.com/under-m-charged-verssert-run-shoe/p", "https://www.als.com/under-m-charged-verssert-run-shoe/p")</f>
        <v/>
      </c>
      <c r="C132" t="inlineStr">
        <is>
          <t>Under Armour Charged Verssert Running Shoe - Men's</t>
        </is>
      </c>
      <c r="D132" t="inlineStr">
        <is>
          <t>Under Armour Men's Charged Assert 10 Running Shoe</t>
        </is>
      </c>
      <c r="E132" s="2">
        <f>HYPERLINK("https://www.amazon.com/Under-Armour-Charged-Assert-Running/dp/B09XBW8F76/ref=sr_1_6?keywords=Under+Armour+Charged+Verssert+Running+Shoe+-+Mens&amp;qid=1695124491&amp;sr=8-6", "https://www.amazon.com/Under-Armour-Charged-Assert-Running/dp/B09XBW8F76/ref=sr_1_6?keywords=Under+Armour+Charged+Verssert+Running+Shoe+-+Mens&amp;qid=1695124491&amp;sr=8-6")</f>
        <v/>
      </c>
      <c r="F132" t="inlineStr">
        <is>
          <t>B09XBW8F76</t>
        </is>
      </c>
      <c r="G132">
        <f>IMAGE("https://alssports.vtexassets.com/arquivos/ids/1282426-800-auto?v=638158001411130000&amp;width=800&amp;height=auto&amp;aspect=true")</f>
        <v/>
      </c>
      <c r="H132">
        <f>IMAGE("https://m.media-amazon.com/images/I/61ynNc0nmrL._AC_UL320_.jpg")</f>
        <v/>
      </c>
      <c r="I132" t="inlineStr">
        <is>
          <t>75.0</t>
        </is>
      </c>
      <c r="J132" t="n">
        <v>60.51</v>
      </c>
      <c r="K132" s="3" t="inlineStr">
        <is>
          <t>-19.32%</t>
        </is>
      </c>
      <c r="L132" t="n">
        <v>4.5</v>
      </c>
      <c r="M132" t="n">
        <v>757</v>
      </c>
      <c r="O132" t="inlineStr">
        <is>
          <t>InStock</t>
        </is>
      </c>
      <c r="P132" t="inlineStr">
        <is>
          <t>undefined</t>
        </is>
      </c>
      <c r="Q132" t="inlineStr">
        <is>
          <t>1204906</t>
        </is>
      </c>
    </row>
    <row r="133">
      <c r="A133" s="2">
        <f>HYPERLINK("https://www.als.com/mizuno-m-wave-sky-6/p?skuId=1249127", "https://www.als.com/mizuno-m-wave-sky-6/p?skuId=1249127")</f>
        <v/>
      </c>
      <c r="B133" s="2">
        <f>HYPERLINK("https://www.als.com/mizuno-m-wave-sky-6/p", "https://www.als.com/mizuno-m-wave-sky-6/p")</f>
        <v/>
      </c>
      <c r="C133" t="inlineStr">
        <is>
          <t>Mizuno Wave Sky 6 Wide Running Shoe - Men's</t>
        </is>
      </c>
      <c r="D133" t="inlineStr">
        <is>
          <t>Mizuno Men's Wave Rider 26 Running Shoe</t>
        </is>
      </c>
      <c r="E133" s="2">
        <f>HYPERLINK("https://www.amazon.com/Mizuno-Running-Rider-Odysy-Grey-Metallic/dp/B09KP3MFXT/ref=sr_1_13?keywords=Mizuno+Wave+Sky+6+Wide+Running+Shoe+-+Mens&amp;qid=1695124408&amp;sr=8-13", "https://www.amazon.com/Mizuno-Running-Rider-Odysy-Grey-Metallic/dp/B09KP3MFXT/ref=sr_1_13?keywords=Mizuno+Wave+Sky+6+Wide+Running+Shoe+-+Mens&amp;qid=1695124408&amp;sr=8-13")</f>
        <v/>
      </c>
      <c r="F133" t="inlineStr">
        <is>
          <t>B09KP3MFXT</t>
        </is>
      </c>
      <c r="G133">
        <f>IMAGE("https://alssports.vtexassets.com/arquivos/ids/1277484-800-auto?v=638152954723900000&amp;width=800&amp;height=auto&amp;aspect=true")</f>
        <v/>
      </c>
      <c r="H133">
        <f>IMAGE("https://m.media-amazon.com/images/I/810oEalQY9L._AC_UL320_.jpg")</f>
        <v/>
      </c>
      <c r="I133" t="inlineStr">
        <is>
          <t>169.99</t>
        </is>
      </c>
      <c r="J133" t="n">
        <v>136.84</v>
      </c>
      <c r="K133" s="3" t="inlineStr">
        <is>
          <t>-19.50%</t>
        </is>
      </c>
      <c r="L133" t="n">
        <v>4.6</v>
      </c>
      <c r="M133" t="n">
        <v>207</v>
      </c>
      <c r="O133" t="inlineStr">
        <is>
          <t>InStock</t>
        </is>
      </c>
      <c r="P133" t="inlineStr">
        <is>
          <t>169.99</t>
        </is>
      </c>
      <c r="Q133" t="inlineStr">
        <is>
          <t>1249127</t>
        </is>
      </c>
    </row>
    <row r="134">
      <c r="A134" s="2">
        <f>HYPERLINK("https://www.als.com/smitho-helmet-wilder-jr-mips/p?skuId=1277864", "https://www.als.com/smitho-helmet-wilder-jr-mips/p?skuId=1277864")</f>
        <v/>
      </c>
      <c r="B134" s="2">
        <f>HYPERLINK("https://www.als.com/smitho-helmet-wilder-jr-mips/p", "https://www.als.com/smitho-helmet-wilder-jr-mips/p")</f>
        <v/>
      </c>
      <c r="C134" t="inlineStr">
        <is>
          <t>Smith Optics Wilder Jr. Helmet w/ MIPS - Youth</t>
        </is>
      </c>
      <c r="D134" t="inlineStr">
        <is>
          <t>Smith Optics Holt Jr. Youth Snow Helmets</t>
        </is>
      </c>
      <c r="E134" s="2">
        <f>HYPERLINK("https://www.amazon.com/Smith-Optics-Unisex-Sports-Helmet/dp/B00UMBKV8S/ref=sr_1_9?keywords=Smith+Optics+Wilder+Jr.+Helmet+w%2F+MIPS+-+Youth&amp;qid=1695124108&amp;sr=8-9", "https://www.amazon.com/Smith-Optics-Unisex-Sports-Helmet/dp/B00UMBKV8S/ref=sr_1_9?keywords=Smith+Optics+Wilder+Jr.+Helmet+w%2F+MIPS+-+Youth&amp;qid=1695124108&amp;sr=8-9")</f>
        <v/>
      </c>
      <c r="F134" t="inlineStr">
        <is>
          <t>B00UMBKV8S</t>
        </is>
      </c>
      <c r="G134">
        <f>IMAGE("https://alssports.vtexassets.com/arquivos/ids/1210653-800-auto?v=638090917714800000&amp;width=800&amp;height=auto&amp;aspect=true")</f>
        <v/>
      </c>
      <c r="H134">
        <f>IMAGE("https://m.media-amazon.com/images/I/61n8nXvlOoL._AC_UL320_.jpg")</f>
        <v/>
      </c>
      <c r="I134" t="inlineStr">
        <is>
          <t>75.0</t>
        </is>
      </c>
      <c r="J134" t="n">
        <v>60.34</v>
      </c>
      <c r="K134" s="3" t="inlineStr">
        <is>
          <t>-19.55%</t>
        </is>
      </c>
      <c r="L134" t="n">
        <v>4.7</v>
      </c>
      <c r="M134" t="n">
        <v>53</v>
      </c>
      <c r="O134" t="inlineStr">
        <is>
          <t>InStock</t>
        </is>
      </c>
      <c r="P134" t="inlineStr">
        <is>
          <t>undefined</t>
        </is>
      </c>
      <c r="Q134" t="inlineStr">
        <is>
          <t>1277864</t>
        </is>
      </c>
    </row>
    <row r="135">
      <c r="A135" s="2">
        <f>HYPERLINK("https://www.als.com/asics-ws-shoe-gel-nimbus-24/p?skuId=1037727", "https://www.als.com/asics-ws-shoe-gel-nimbus-24/p?skuId=1037727")</f>
        <v/>
      </c>
      <c r="B135" s="2">
        <f>HYPERLINK("https://www.als.com/asics-ws-shoe-gel-nimbus-24/p", "https://www.als.com/asics-ws-shoe-gel-nimbus-24/p")</f>
        <v/>
      </c>
      <c r="C135" t="inlineStr">
        <is>
          <t>Asics GEL-NIMBUS 24 Running Shoe - Women's</t>
        </is>
      </c>
      <c r="D135" t="inlineStr">
        <is>
          <t>ASICS Women's Gel-Kayano 28 Running Shoes</t>
        </is>
      </c>
      <c r="E135" s="2">
        <f>HYPERLINK("https://www.amazon.com/ASICS-Womens-Gel-Kayano-Running-Shoes/dp/B0943ZLRGH/ref=sr_1_27?keywords=Asics+GEL-NIMBUS+24+Running+Shoe+-+Womens&amp;qid=1695124093&amp;sr=8-27", "https://www.amazon.com/ASICS-Womens-Gel-Kayano-Running-Shoes/dp/B0943ZLRGH/ref=sr_1_27?keywords=Asics+GEL-NIMBUS+24+Running+Shoe+-+Womens&amp;qid=1695124093&amp;sr=8-27")</f>
        <v/>
      </c>
      <c r="F135" t="inlineStr">
        <is>
          <t>B0943ZLRGH</t>
        </is>
      </c>
      <c r="G135">
        <f>IMAGE("https://alssports.vtexassets.com/arquivos/ids/1109551-800-auto?v=637950821539330000&amp;width=800&amp;height=auto&amp;aspect=true")</f>
        <v/>
      </c>
      <c r="H135">
        <f>IMAGE("https://m.media-amazon.com/images/I/61ZA59Q2OIL._AC_UL320_.jpg")</f>
        <v/>
      </c>
      <c r="I135" t="inlineStr">
        <is>
          <t>111.96</t>
        </is>
      </c>
      <c r="J135" t="n">
        <v>89.95</v>
      </c>
      <c r="K135" s="3" t="inlineStr">
        <is>
          <t>-19.66%</t>
        </is>
      </c>
      <c r="L135" t="n">
        <v>4.5</v>
      </c>
      <c r="M135" t="n">
        <v>4460</v>
      </c>
      <c r="O135" t="inlineStr">
        <is>
          <t>InStock</t>
        </is>
      </c>
      <c r="P135" t="inlineStr">
        <is>
          <t>159.95</t>
        </is>
      </c>
      <c r="Q135" t="inlineStr">
        <is>
          <t>1037727</t>
        </is>
      </c>
    </row>
    <row r="136">
      <c r="A136" s="2">
        <f>HYPERLINK("https://www.als.com/asics-ws-shoe-gel-nimbus-24/p?skuId=1037727", "https://www.als.com/asics-ws-shoe-gel-nimbus-24/p?skuId=1037727")</f>
        <v/>
      </c>
      <c r="B136" s="2">
        <f>HYPERLINK("https://www.als.com/asics-ws-shoe-gel-nimbus-24/p", "https://www.als.com/asics-ws-shoe-gel-nimbus-24/p")</f>
        <v/>
      </c>
      <c r="C136" t="inlineStr">
        <is>
          <t>Asics GEL-NIMBUS 24 Running Shoe - Women's</t>
        </is>
      </c>
      <c r="D136" t="inlineStr">
        <is>
          <t>ASICS Women's Gel-Cumulus 24 Running Shoes</t>
        </is>
      </c>
      <c r="E136" s="2">
        <f>HYPERLINK("https://www.amazon.com/ASICS-Womens-Gel-Cumulus-Running-Orange/dp/B09CLKXV5K/ref=sr_1_6?keywords=Asics+GEL-NIMBUS+24+Running+Shoe+-+Womens&amp;qid=1695124093&amp;sr=8-6", "https://www.amazon.com/ASICS-Womens-Gel-Cumulus-Running-Orange/dp/B09CLKXV5K/ref=sr_1_6?keywords=Asics+GEL-NIMBUS+24+Running+Shoe+-+Womens&amp;qid=1695124093&amp;sr=8-6")</f>
        <v/>
      </c>
      <c r="F136" t="inlineStr">
        <is>
          <t>B09CLKXV5K</t>
        </is>
      </c>
      <c r="G136">
        <f>IMAGE("https://alssports.vtexassets.com/arquivos/ids/1109551-800-auto?v=637950821539330000&amp;width=800&amp;height=auto&amp;aspect=true")</f>
        <v/>
      </c>
      <c r="H136">
        <f>IMAGE("https://m.media-amazon.com/images/I/5125do8u9eL._AC_UL320_.jpg")</f>
        <v/>
      </c>
      <c r="I136" t="inlineStr">
        <is>
          <t>111.96</t>
        </is>
      </c>
      <c r="J136" t="n">
        <v>89.95</v>
      </c>
      <c r="K136" s="3" t="inlineStr">
        <is>
          <t>-19.66%</t>
        </is>
      </c>
      <c r="L136" t="n">
        <v>4.6</v>
      </c>
      <c r="M136" t="n">
        <v>1072</v>
      </c>
      <c r="O136" t="inlineStr">
        <is>
          <t>InStock</t>
        </is>
      </c>
      <c r="P136" t="inlineStr">
        <is>
          <t>159.95</t>
        </is>
      </c>
      <c r="Q136" t="inlineStr">
        <is>
          <t>1037727</t>
        </is>
      </c>
    </row>
    <row r="137">
      <c r="A137" s="2">
        <f>HYPERLINK("https://www.als.com/asics-ws-shoe-gel-nimbus-24/p?skuId=1037727", "https://www.als.com/asics-ws-shoe-gel-nimbus-24/p?skuId=1037727")</f>
        <v/>
      </c>
      <c r="B137" s="2">
        <f>HYPERLINK("https://www.als.com/asics-ws-shoe-gel-nimbus-24/p", "https://www.als.com/asics-ws-shoe-gel-nimbus-24/p")</f>
        <v/>
      </c>
      <c r="C137" t="inlineStr">
        <is>
          <t>Asics GEL-NIMBUS 24 Running Shoe - Women's</t>
        </is>
      </c>
      <c r="D137" t="inlineStr">
        <is>
          <t>ASICS Women's Gel-Cumulus 24 Running Shoes</t>
        </is>
      </c>
      <c r="E137" s="2">
        <f>HYPERLINK("https://www.amazon.com/ASICS-Womens-Gel-Cumulus-Running-Orange/dp/B09CLPCJYL/ref=sr_1_18?keywords=Asics+GEL-NIMBUS+24+Running+Shoe+-+Womens&amp;qid=1695124093&amp;sr=8-18", "https://www.amazon.com/ASICS-Womens-Gel-Cumulus-Running-Orange/dp/B09CLPCJYL/ref=sr_1_18?keywords=Asics+GEL-NIMBUS+24+Running+Shoe+-+Womens&amp;qid=1695124093&amp;sr=8-18")</f>
        <v/>
      </c>
      <c r="F137" t="inlineStr">
        <is>
          <t>B09CLPCJYL</t>
        </is>
      </c>
      <c r="G137">
        <f>IMAGE("https://alssports.vtexassets.com/arquivos/ids/1109551-800-auto?v=637950821539330000&amp;width=800&amp;height=auto&amp;aspect=true")</f>
        <v/>
      </c>
      <c r="H137">
        <f>IMAGE("https://m.media-amazon.com/images/I/5125do8u9eL._AC_UL320_.jpg")</f>
        <v/>
      </c>
      <c r="I137" t="inlineStr">
        <is>
          <t>111.96</t>
        </is>
      </c>
      <c r="J137" t="n">
        <v>89.95</v>
      </c>
      <c r="K137" s="3" t="inlineStr">
        <is>
          <t>-19.66%</t>
        </is>
      </c>
      <c r="L137" t="n">
        <v>4.6</v>
      </c>
      <c r="M137" t="n">
        <v>1072</v>
      </c>
      <c r="O137" t="inlineStr">
        <is>
          <t>InStock</t>
        </is>
      </c>
      <c r="P137" t="inlineStr">
        <is>
          <t>159.95</t>
        </is>
      </c>
      <c r="Q137" t="inlineStr">
        <is>
          <t>1037727</t>
        </is>
      </c>
    </row>
    <row r="138">
      <c r="A138" s="2">
        <f>HYPERLINK("https://www.als.com/asics-ws-shoe-gel-nimbus-24/p?skuId=1037727", "https://www.als.com/asics-ws-shoe-gel-nimbus-24/p?skuId=1037727")</f>
        <v/>
      </c>
      <c r="B138" s="2">
        <f>HYPERLINK("https://www.als.com/asics-ws-shoe-gel-nimbus-24/p", "https://www.als.com/asics-ws-shoe-gel-nimbus-24/p")</f>
        <v/>
      </c>
      <c r="C138" t="inlineStr">
        <is>
          <t>Asics GEL-NIMBUS 24 Running Shoe - Women's</t>
        </is>
      </c>
      <c r="D138" t="inlineStr">
        <is>
          <t>ASICS Women's Gel-Nimbus LITE 2 Running Shoe</t>
        </is>
      </c>
      <c r="E138" s="2">
        <f>HYPERLINK("https://www.amazon.com/ASICS-Womens-Gel-Nimbus-Running-Lagoon/dp/B09X6LTN2W/ref=sr_1_41?keywords=Asics+GEL-NIMBUS+24+Running+Shoe+-+Womens&amp;qid=1695124093&amp;sr=8-41", "https://www.amazon.com/ASICS-Womens-Gel-Nimbus-Running-Lagoon/dp/B09X6LTN2W/ref=sr_1_41?keywords=Asics+GEL-NIMBUS+24+Running+Shoe+-+Womens&amp;qid=1695124093&amp;sr=8-41")</f>
        <v/>
      </c>
      <c r="F138" t="inlineStr">
        <is>
          <t>B09X6LTN2W</t>
        </is>
      </c>
      <c r="G138">
        <f>IMAGE("https://alssports.vtexassets.com/arquivos/ids/1109551-800-auto?v=637950821539330000&amp;width=800&amp;height=auto&amp;aspect=true")</f>
        <v/>
      </c>
      <c r="H138">
        <f>IMAGE("https://m.media-amazon.com/images/I/612lAOKTVoL._AC_UL320_.jpg")</f>
        <v/>
      </c>
      <c r="I138" t="inlineStr">
        <is>
          <t>111.96</t>
        </is>
      </c>
      <c r="J138" t="n">
        <v>89.95</v>
      </c>
      <c r="K138" s="3" t="inlineStr">
        <is>
          <t>-19.66%</t>
        </is>
      </c>
      <c r="L138" t="n">
        <v>4.7</v>
      </c>
      <c r="M138" t="n">
        <v>25</v>
      </c>
      <c r="O138" t="inlineStr">
        <is>
          <t>InStock</t>
        </is>
      </c>
      <c r="P138" t="inlineStr">
        <is>
          <t>159.95</t>
        </is>
      </c>
      <c r="Q138" t="inlineStr">
        <is>
          <t>1037727</t>
        </is>
      </c>
    </row>
    <row r="139">
      <c r="A139" s="2">
        <f>HYPERLINK("https://www.als.com/heydud-w-shoe-wendy-rise-woven/p?skuId=1317686", "https://www.als.com/heydud-w-shoe-wendy-rise-woven/p?skuId=1317686")</f>
        <v/>
      </c>
      <c r="B139" s="2">
        <f>HYPERLINK("https://www.als.com/heydud-w-shoe-wendy-rise-woven/p", "https://www.als.com/heydud-w-shoe-wendy-rise-woven/p")</f>
        <v/>
      </c>
      <c r="C139" t="inlineStr">
        <is>
          <t>Hey Dude Wendy Rise Woven Shoe - Women's</t>
        </is>
      </c>
      <c r="D139" t="inlineStr">
        <is>
          <t>Hey Dude Women's Wendy Boho Slip-on Casual Shoes Loafer</t>
        </is>
      </c>
      <c r="E139" s="2">
        <f>HYPERLINK("https://www.amazon.com/Hey-Dude-Crochet-Comfortable-Light-Weight/dp/B0B9YVQTY6/ref=sr_1_14?keywords=Hey+Dude+Wendy+Rise+Woven+Shoe+-+Womens&amp;qid=1695124483&amp;sr=8-14", "https://www.amazon.com/Hey-Dude-Crochet-Comfortable-Light-Weight/dp/B0B9YVQTY6/ref=sr_1_14?keywords=Hey+Dude+Wendy+Rise+Woven+Shoe+-+Womens&amp;qid=1695124483&amp;sr=8-14")</f>
        <v/>
      </c>
      <c r="F139" t="inlineStr">
        <is>
          <t>B0B9YVQTY6</t>
        </is>
      </c>
      <c r="G139">
        <f>IMAGE("https://alssports.vtexassets.com/arquivos/ids/1387367-800-auto?v=638255482261930000&amp;width=800&amp;height=auto&amp;aspect=true")</f>
        <v/>
      </c>
      <c r="H139">
        <f>IMAGE("https://m.media-amazon.com/images/I/61eo2HIsw5L._AC_UL320_.jpg")</f>
        <v/>
      </c>
      <c r="I139" t="inlineStr">
        <is>
          <t>64.95</t>
        </is>
      </c>
      <c r="J139" t="n">
        <v>51.99</v>
      </c>
      <c r="K139" s="3" t="inlineStr">
        <is>
          <t>-19.95%</t>
        </is>
      </c>
      <c r="L139" t="n">
        <v>4.8</v>
      </c>
      <c r="M139" t="n">
        <v>9721</v>
      </c>
      <c r="O139" t="inlineStr">
        <is>
          <t>InStock</t>
        </is>
      </c>
      <c r="P139" t="inlineStr">
        <is>
          <t>undefined</t>
        </is>
      </c>
      <c r="Q139" t="inlineStr">
        <is>
          <t>1317686</t>
        </is>
      </c>
    </row>
    <row r="140">
      <c r="A140" s="2">
        <f>HYPERLINK("https://www.als.com/asics-ws-shoe-gel-nimbus-24/p?skuId=1037727", "https://www.als.com/asics-ws-shoe-gel-nimbus-24/p?skuId=1037727")</f>
        <v/>
      </c>
      <c r="B140" s="2">
        <f>HYPERLINK("https://www.als.com/asics-ws-shoe-gel-nimbus-24/p", "https://www.als.com/asics-ws-shoe-gel-nimbus-24/p")</f>
        <v/>
      </c>
      <c r="C140" t="inlineStr">
        <is>
          <t>Asics GEL-NIMBUS 24 Running Shoe - Women's</t>
        </is>
      </c>
      <c r="D140" t="inlineStr">
        <is>
          <t>ASICS Women's Gel-Cumulus 24 Running Shoes</t>
        </is>
      </c>
      <c r="E140" s="2">
        <f>HYPERLINK("https://www.amazon.com/ASICS-Womens-Gel-Cumulus-Running-Orange/dp/B09CLMW3JB/ref=sr_1_9?keywords=Asics+GEL-NIMBUS+24+Running+Shoe+-+Womens&amp;qid=1695124093&amp;sr=8-9", "https://www.amazon.com/ASICS-Womens-Gel-Cumulus-Running-Orange/dp/B09CLMW3JB/ref=sr_1_9?keywords=Asics+GEL-NIMBUS+24+Running+Shoe+-+Womens&amp;qid=1695124093&amp;sr=8-9")</f>
        <v/>
      </c>
      <c r="F140" t="inlineStr">
        <is>
          <t>B09CLMW3JB</t>
        </is>
      </c>
      <c r="G140">
        <f>IMAGE("https://alssports.vtexassets.com/arquivos/ids/1109551-800-auto?v=637950821539330000&amp;width=800&amp;height=auto&amp;aspect=true")</f>
        <v/>
      </c>
      <c r="H140">
        <f>IMAGE("https://m.media-amazon.com/images/I/5125do8u9eL._AC_UL320_.jpg")</f>
        <v/>
      </c>
      <c r="I140" t="inlineStr">
        <is>
          <t>111.96</t>
        </is>
      </c>
      <c r="J140" t="n">
        <v>88.98999999999999</v>
      </c>
      <c r="K140" s="3" t="inlineStr">
        <is>
          <t>-20.52%</t>
        </is>
      </c>
      <c r="L140" t="n">
        <v>4.6</v>
      </c>
      <c r="M140" t="n">
        <v>1072</v>
      </c>
      <c r="O140" t="inlineStr">
        <is>
          <t>InStock</t>
        </is>
      </c>
      <c r="P140" t="inlineStr">
        <is>
          <t>159.95</t>
        </is>
      </c>
      <c r="Q140" t="inlineStr">
        <is>
          <t>1037727</t>
        </is>
      </c>
    </row>
    <row r="141">
      <c r="A141" s="2">
        <f>HYPERLINK("https://www.als.com/brooks-ms-shoe-adrenaline-gts-22/p?skuId=900565", "https://www.als.com/brooks-ms-shoe-adrenaline-gts-22/p?skuId=900565")</f>
        <v/>
      </c>
      <c r="B141" s="2">
        <f>HYPERLINK("https://www.als.com/brooks-ms-shoe-adrenaline-gts-22/p", "https://www.als.com/brooks-ms-shoe-adrenaline-gts-22/p")</f>
        <v/>
      </c>
      <c r="C141" t="inlineStr">
        <is>
          <t>Brooks Adrenaline GTS 22 Running Shoe - Men's</t>
        </is>
      </c>
      <c r="D141" t="inlineStr">
        <is>
          <t>Brooks Men's Levitate GTS 5 Supportive Running Shoe</t>
        </is>
      </c>
      <c r="E141" s="2">
        <f>HYPERLINK("https://www.amazon.com/Brooks-Levitate-Mens-Supportive-Running/dp/B08LQV815D/ref=sr_1_11?keywords=Brooks+Adrenaline+GTS+22+Running+Shoe+-+Mens&amp;qid=1695124319&amp;sr=8-11", "https://www.amazon.com/Brooks-Levitate-Mens-Supportive-Running/dp/B08LQV815D/ref=sr_1_11?keywords=Brooks+Adrenaline+GTS+22+Running+Shoe+-+Mens&amp;qid=1695124319&amp;sr=8-11")</f>
        <v/>
      </c>
      <c r="F141" t="inlineStr">
        <is>
          <t>B08LQV815D</t>
        </is>
      </c>
      <c r="G141">
        <f>IMAGE("https://alssports.vtexassets.com/arquivos/ids/1076112-800-auto?v=637904171081370000&amp;width=800&amp;height=auto&amp;aspect=true")</f>
        <v/>
      </c>
      <c r="H141">
        <f>IMAGE("https://m.media-amazon.com/images/I/91rp-wVxDIL._AC_UL320_.jpg")</f>
        <v/>
      </c>
      <c r="I141" t="inlineStr">
        <is>
          <t>109.95</t>
        </is>
      </c>
      <c r="J141" t="n">
        <v>86.95</v>
      </c>
      <c r="K141" s="3" t="inlineStr">
        <is>
          <t>-20.92%</t>
        </is>
      </c>
      <c r="L141" t="n">
        <v>4.6</v>
      </c>
      <c r="M141" t="n">
        <v>403</v>
      </c>
      <c r="O141" t="inlineStr">
        <is>
          <t>InStock</t>
        </is>
      </c>
      <c r="P141" t="inlineStr">
        <is>
          <t>139.95</t>
        </is>
      </c>
      <c r="Q141" t="inlineStr">
        <is>
          <t>900565</t>
        </is>
      </c>
    </row>
    <row r="142">
      <c r="A142" s="2">
        <f>HYPERLINK("https://www.als.com/keen-m-koven-mid-wp/p?skuId=1240445", "https://www.als.com/keen-m-koven-mid-wp/p?skuId=1240445")</f>
        <v/>
      </c>
      <c r="B142" s="2">
        <f>HYPERLINK("https://www.als.com/keen-m-koven-mid-wp/p", "https://www.als.com/keen-m-koven-mid-wp/p")</f>
        <v/>
      </c>
      <c r="C142" t="inlineStr">
        <is>
          <t>KEEN Koven Mid Waterproof Hiking Boot - Men's</t>
        </is>
      </c>
      <c r="D142" t="inlineStr">
        <is>
          <t>KEEN Men's Targhee 2 Waterproof Insulated Hiking Boot</t>
        </is>
      </c>
      <c r="E142" s="2">
        <f>HYPERLINK("https://www.amazon.com/KEEN-Targhee-Winter-Hiking-Black/dp/B09S8PYGSR/ref=sr_1_21?keywords=KEEN+Koven+Mid+Waterproof+Hiking+Boot+-+Men%27s&amp;qid=1695124140&amp;sr=8-21", "https://www.amazon.com/KEEN-Targhee-Winter-Hiking-Black/dp/B09S8PYGSR/ref=sr_1_21?keywords=KEEN+Koven+Mid+Waterproof+Hiking+Boot+-+Men%27s&amp;qid=1695124140&amp;sr=8-21")</f>
        <v/>
      </c>
      <c r="F142" t="inlineStr">
        <is>
          <t>B09S8PYGSR</t>
        </is>
      </c>
      <c r="G142">
        <f>IMAGE("https://alssports.vtexassets.com/arquivos/ids/1363221-800-auto?v=638236488805200000&amp;width=800&amp;height=auto&amp;aspect=true")</f>
        <v/>
      </c>
      <c r="H142">
        <f>IMAGE("https://m.media-amazon.com/images/I/71i7cS3uTWL._AC_UL320_.jpg")</f>
        <v/>
      </c>
      <c r="I142" t="inlineStr">
        <is>
          <t>139.99</t>
        </is>
      </c>
      <c r="J142" t="n">
        <v>110.6</v>
      </c>
      <c r="K142" s="3" t="inlineStr">
        <is>
          <t>-20.99%</t>
        </is>
      </c>
      <c r="L142" t="n">
        <v>4.5</v>
      </c>
      <c r="M142" t="n">
        <v>44</v>
      </c>
      <c r="O142" t="inlineStr">
        <is>
          <t>InStock</t>
        </is>
      </c>
      <c r="P142" t="inlineStr">
        <is>
          <t>undefined</t>
        </is>
      </c>
      <c r="Q142" t="inlineStr">
        <is>
          <t>1240445</t>
        </is>
      </c>
    </row>
    <row r="143">
      <c r="A143" s="2">
        <f>HYPERLINK("https://www.als.com/billab-ride-in/p?skuId=1331610", "https://www.als.com/billab-ride-in/p?skuId=1331610")</f>
        <v/>
      </c>
      <c r="B143" s="2">
        <f>HYPERLINK("https://www.als.com/billab-ride-in/p", "https://www.als.com/billab-ride-in/p")</f>
        <v/>
      </c>
      <c r="C143" t="inlineStr">
        <is>
          <t>Billabong Ride In Oversized Crewneck Sweatshirt - Women's</t>
        </is>
      </c>
      <c r="D143" t="inlineStr">
        <is>
          <t>Billabong Women's Ride in Oversized Crewneck Sweatshirt</t>
        </is>
      </c>
      <c r="E143" s="2">
        <f>HYPERLINK("https://www.amazon.com/Billabong-RIDE-SC1-XS-6/dp/B0B4YS8SNL/ref=sr_1_1?keywords=Billabong+Ride+In+Oversized+Crewneck+Sweatshirt+-+Womens&amp;qid=1695124426&amp;sr=8-1", "https://www.amazon.com/Billabong-RIDE-SC1-XS-6/dp/B0B4YS8SNL/ref=sr_1_1?keywords=Billabong+Ride+In+Oversized+Crewneck+Sweatshirt+-+Womens&amp;qid=1695124426&amp;sr=8-1")</f>
        <v/>
      </c>
      <c r="F143" t="inlineStr">
        <is>
          <t>B0B4YS8SNL</t>
        </is>
      </c>
      <c r="G143">
        <f>IMAGE("https://alssports.vtexassets.com/arquivos/ids/1400612-800-auto?v=638264306168870000&amp;width=800&amp;height=auto&amp;aspect=true")</f>
        <v/>
      </c>
      <c r="H143">
        <f>IMAGE("https://m.media-amazon.com/images/I/8181F9RUyPL._AC_UL320_.jpg")</f>
        <v/>
      </c>
      <c r="I143" t="inlineStr">
        <is>
          <t>65.95</t>
        </is>
      </c>
      <c r="J143" t="n">
        <v>52.06</v>
      </c>
      <c r="K143" s="3" t="inlineStr">
        <is>
          <t>-21.06%</t>
        </is>
      </c>
      <c r="L143" t="n">
        <v>4.7</v>
      </c>
      <c r="M143" t="n">
        <v>16</v>
      </c>
      <c r="O143" t="inlineStr">
        <is>
          <t>InStock</t>
        </is>
      </c>
      <c r="P143" t="inlineStr">
        <is>
          <t>undefined</t>
        </is>
      </c>
      <c r="Q143" t="inlineStr">
        <is>
          <t>1331610</t>
        </is>
      </c>
    </row>
    <row r="144">
      <c r="A144" s="2">
        <f>HYPERLINK("https://www.als.com/sorel-m-explorer-sneaker-mid-wp/p?skuId=1262096", "https://www.als.com/sorel-m-explorer-sneaker-mid-wp/p?skuId=1262096")</f>
        <v/>
      </c>
      <c r="B144" s="2">
        <f>HYPERLINK("https://www.als.com/sorel-m-explorer-sneaker-mid-wp/p", "https://www.als.com/sorel-m-explorer-sneaker-mid-wp/p")</f>
        <v/>
      </c>
      <c r="C144" t="inlineStr">
        <is>
          <t>Sorel Explorer Sneaker Mid - Men's</t>
        </is>
      </c>
      <c r="D144" t="inlineStr">
        <is>
          <t>Sorel Men's Explorer Sneaker Mid Waterproof Shoe</t>
        </is>
      </c>
      <c r="E144" s="2">
        <f>HYPERLINK("https://www.amazon.com/Sorel-Mens-Explorer-Sneaker-Waterproof/dp/B0B6JRQFT2/ref=sr_1_1?keywords=Sorel+Explorer+Sneaker+Mid+-+Mens&amp;qid=1695124459&amp;sr=8-1", "https://www.amazon.com/Sorel-Mens-Explorer-Sneaker-Waterproof/dp/B0B6JRQFT2/ref=sr_1_1?keywords=Sorel+Explorer+Sneaker+Mid+-+Mens&amp;qid=1695124459&amp;sr=8-1")</f>
        <v/>
      </c>
      <c r="F144" t="inlineStr">
        <is>
          <t>B0B6JRQFT2</t>
        </is>
      </c>
      <c r="G144">
        <f>IMAGE("https://alssports.vtexassets.com/arquivos/ids/1316710-800-auto?v=638198522661330000&amp;width=800&amp;height=auto&amp;aspect=true")</f>
        <v/>
      </c>
      <c r="H144">
        <f>IMAGE("https://m.media-amazon.com/images/I/619gYJ-OlHL._AC_UL320_.jpg")</f>
        <v/>
      </c>
      <c r="I144" t="inlineStr">
        <is>
          <t>139.95</t>
        </is>
      </c>
      <c r="J144" t="n">
        <v>109.95</v>
      </c>
      <c r="K144" s="3" t="inlineStr">
        <is>
          <t>-21.44%</t>
        </is>
      </c>
      <c r="L144" t="n">
        <v>4.6</v>
      </c>
      <c r="M144" t="n">
        <v>89</v>
      </c>
      <c r="O144" t="inlineStr">
        <is>
          <t>InStock</t>
        </is>
      </c>
      <c r="P144" t="inlineStr">
        <is>
          <t>undefined</t>
        </is>
      </c>
      <c r="Q144" t="inlineStr">
        <is>
          <t>1262096</t>
        </is>
      </c>
    </row>
    <row r="145">
      <c r="A145" s="2">
        <f>HYPERLINK("https://www.als.com/heydud-m-shoe-wally-braided/p?skuId=599445", "https://www.als.com/heydud-m-shoe-wally-braided/p?skuId=599445")</f>
        <v/>
      </c>
      <c r="B145" s="2">
        <f>HYPERLINK("https://www.als.com/heydud-m-shoe-wally-braided/p", "https://www.als.com/heydud-m-shoe-wally-braided/p")</f>
        <v/>
      </c>
      <c r="C145" t="inlineStr">
        <is>
          <t>Hey Dude Wally Braided Shoe - Men's</t>
        </is>
      </c>
      <c r="D145" t="inlineStr">
        <is>
          <t>Hey Dude Men's All Wally Styles | Men’s Shoes | Men's Lace Up Loafers | Comfortable &amp; Light-Weight</t>
        </is>
      </c>
      <c r="E145" s="2">
        <f>HYPERLINK("https://www.amazon.com/Hey-Dude-Mens-Wally-Size/dp/B007MMQRVK/ref=sr_1_14?keywords=Hey+Dude+Wally+Braided+Shoe+-+Mens&amp;qid=1695124451&amp;sr=8-14", "https://www.amazon.com/Hey-Dude-Mens-Wally-Size/dp/B007MMQRVK/ref=sr_1_14?keywords=Hey+Dude+Wally+Braided+Shoe+-+Mens&amp;qid=1695124451&amp;sr=8-14")</f>
        <v/>
      </c>
      <c r="F145" t="inlineStr">
        <is>
          <t>B007MMQRVK</t>
        </is>
      </c>
      <c r="G145">
        <f>IMAGE("https://alssports.vtexassets.com/arquivos/ids/1386107-800-auto?v=638254870959300000&amp;width=800&amp;height=auto&amp;aspect=true")</f>
        <v/>
      </c>
      <c r="H145">
        <f>IMAGE("https://m.media-amazon.com/images/I/61vlU8yUBrL._AC_UL320_.jpg")</f>
        <v/>
      </c>
      <c r="I145" t="inlineStr">
        <is>
          <t>64.95</t>
        </is>
      </c>
      <c r="J145" t="n">
        <v>50.99</v>
      </c>
      <c r="K145" s="3" t="inlineStr">
        <is>
          <t>-21.49%</t>
        </is>
      </c>
      <c r="L145" t="n">
        <v>4.7</v>
      </c>
      <c r="M145" t="n">
        <v>26435</v>
      </c>
      <c r="O145" t="inlineStr">
        <is>
          <t>InStock</t>
        </is>
      </c>
      <c r="P145" t="inlineStr">
        <is>
          <t>undefined</t>
        </is>
      </c>
      <c r="Q145" t="inlineStr">
        <is>
          <t>599445</t>
        </is>
      </c>
    </row>
    <row r="146">
      <c r="A146" s="2">
        <f>HYPERLINK("https://www.als.com/heydud-m-shoe-wally-washed-canvas/p?skuId=1317816", "https://www.als.com/heydud-m-shoe-wally-washed-canvas/p?skuId=1317816")</f>
        <v/>
      </c>
      <c r="B146" s="2">
        <f>HYPERLINK("https://www.als.com/heydud-m-shoe-wally-washed-canvas/p", "https://www.als.com/heydud-m-shoe-wally-washed-canvas/p")</f>
        <v/>
      </c>
      <c r="C146" t="inlineStr">
        <is>
          <t>Hey Dude Wally Washed Canvas Shoe - Men's</t>
        </is>
      </c>
      <c r="D146" t="inlineStr">
        <is>
          <t>Hey Dude Men's Wally Camo | Men's Loafers | Men's Slip On Shoes | Comfortable &amp; Light-Weight</t>
        </is>
      </c>
      <c r="E146" s="2">
        <f>HYPERLINK("https://www.amazon.com/Hey-Dude-Ripstop-Comfortable-Light-Weight/dp/B0B9R3SL4H/ref=sr_1_52?keywords=Hey+Dude+Wally+Washed+Canvas+Shoe+-+Mens&amp;qid=1695124460&amp;sr=8-52", "https://www.amazon.com/Hey-Dude-Ripstop-Comfortable-Light-Weight/dp/B0B9R3SL4H/ref=sr_1_52?keywords=Hey+Dude+Wally+Washed+Canvas+Shoe+-+Mens&amp;qid=1695124460&amp;sr=8-52")</f>
        <v/>
      </c>
      <c r="F146" t="inlineStr">
        <is>
          <t>B0B9R3SL4H</t>
        </is>
      </c>
      <c r="G146">
        <f>IMAGE("https://alssports.vtexassets.com/arquivos/ids/1388214-800-auto?v=638255521966130000&amp;width=800&amp;height=auto&amp;aspect=true")</f>
        <v/>
      </c>
      <c r="H146">
        <f>IMAGE("https://m.media-amazon.com/images/I/61wgqkwcvDL._AC_UL320_.jpg")</f>
        <v/>
      </c>
      <c r="I146" t="inlineStr">
        <is>
          <t>64.95</t>
        </is>
      </c>
      <c r="J146" t="n">
        <v>50.99</v>
      </c>
      <c r="K146" s="3" t="inlineStr">
        <is>
          <t>-21.49%</t>
        </is>
      </c>
      <c r="L146" t="n">
        <v>4.6</v>
      </c>
      <c r="M146" t="n">
        <v>102</v>
      </c>
      <c r="O146" t="inlineStr">
        <is>
          <t>InStock</t>
        </is>
      </c>
      <c r="P146" t="inlineStr">
        <is>
          <t>undefined</t>
        </is>
      </c>
      <c r="Q146" t="inlineStr">
        <is>
          <t>1317816</t>
        </is>
      </c>
    </row>
    <row r="147">
      <c r="A147" s="2">
        <f>HYPERLINK("https://www.als.com/sitka-m-pant-mountain-optifade/p?skuId=90738", "https://www.als.com/sitka-m-pant-mountain-optifade/p?skuId=90738")</f>
        <v/>
      </c>
      <c r="B147" s="2">
        <f>HYPERLINK("https://www.als.com/sitka-m-pant-mountain-optifade/p", "https://www.als.com/sitka-m-pant-mountain-optifade/p")</f>
        <v/>
      </c>
      <c r="C147" t="inlineStr">
        <is>
          <t>Sitka Mountain Pant - Men's</t>
        </is>
      </c>
      <c r="D147" t="inlineStr">
        <is>
          <t>SITKA Gear Men's Apex Hunting Pant</t>
        </is>
      </c>
      <c r="E147" s="2">
        <f>HYPERLINK("https://www.amazon.com/SITKA-Gear-Apex-Optifade-Subalpine/dp/B07C56Q76W/ref=sr_1_4?keywords=Sitka+Mountain+Pant+-+Mens&amp;qid=1695124392&amp;sr=8-4", "https://www.amazon.com/SITKA-Gear-Apex-Optifade-Subalpine/dp/B07C56Q76W/ref=sr_1_4?keywords=Sitka+Mountain+Pant+-+Mens&amp;qid=1695124392&amp;sr=8-4")</f>
        <v/>
      </c>
      <c r="F147" t="inlineStr">
        <is>
          <t>B07C56Q76W</t>
        </is>
      </c>
      <c r="G147">
        <f>IMAGE("https://alssports.vtexassets.com/arquivos/ids/1369099-800-auto?v=638242004529500000&amp;width=800&amp;height=auto&amp;aspect=true")</f>
        <v/>
      </c>
      <c r="H147">
        <f>IMAGE("https://m.media-amazon.com/images/I/51noBJ1VDqL._AC_UL320_.jpg")</f>
        <v/>
      </c>
      <c r="I147" t="inlineStr">
        <is>
          <t>209.0</t>
        </is>
      </c>
      <c r="J147" t="n">
        <v>164</v>
      </c>
      <c r="K147" s="3" t="inlineStr">
        <is>
          <t>-21.53%</t>
        </is>
      </c>
      <c r="L147" t="n">
        <v>4.7</v>
      </c>
      <c r="M147" t="n">
        <v>134</v>
      </c>
      <c r="O147" t="inlineStr">
        <is>
          <t>InStock</t>
        </is>
      </c>
      <c r="P147" t="inlineStr">
        <is>
          <t>undefined</t>
        </is>
      </c>
      <c r="Q147" t="inlineStr">
        <is>
          <t>90738</t>
        </is>
      </c>
    </row>
    <row r="148">
      <c r="A148" s="2">
        <f>HYPERLINK("https://www.als.com/adidas-m-shoe-lite-racer-adapt-50/p?skuId=1338101", "https://www.als.com/adidas-m-shoe-lite-racer-adapt-50/p?skuId=1338101")</f>
        <v/>
      </c>
      <c r="B148" s="2">
        <f>HYPERLINK("https://www.als.com/adidas-m-shoe-lite-racer-adapt-50/p", "https://www.als.com/adidas-m-shoe-lite-racer-adapt-50/p")</f>
        <v/>
      </c>
      <c r="C148" t="inlineStr">
        <is>
          <t>adidas Lite Racer Adapt 5.0 Shoe - Men's</t>
        </is>
      </c>
      <c r="D148" t="inlineStr">
        <is>
          <t>adidas Men's Lite Racer Adapt 6.0 Sneaker</t>
        </is>
      </c>
      <c r="E148" s="2">
        <f>HYPERLINK("https://www.amazon.com/adidas-Mens-Racer-Adapt-Sneaker/dp/B0BHPTVT28/ref=sr_1_13?keywords=adidas+Lite+Racer+Adapt+5.0+Shoe+-+Mens&amp;qid=1695124407&amp;sr=8-13", "https://www.amazon.com/adidas-Mens-Racer-Adapt-Sneaker/dp/B0BHPTVT28/ref=sr_1_13?keywords=adidas+Lite+Racer+Adapt+5.0+Shoe+-+Mens&amp;qid=1695124407&amp;sr=8-13")</f>
        <v/>
      </c>
      <c r="F148" t="inlineStr">
        <is>
          <t>B0BHPTVT28</t>
        </is>
      </c>
      <c r="G148">
        <f>IMAGE("https://alssports.vtexassets.com/arquivos/ids/1378546-800-auto?v=638248784142700000&amp;width=800&amp;height=auto&amp;aspect=true")</f>
        <v/>
      </c>
      <c r="H148">
        <f>IMAGE("https://m.media-amazon.com/images/I/81j6Ede9o-L._AC_UL320_.jpg")</f>
        <v/>
      </c>
      <c r="I148" t="inlineStr">
        <is>
          <t>69.95</t>
        </is>
      </c>
      <c r="J148" t="n">
        <v>54.88</v>
      </c>
      <c r="K148" s="3" t="inlineStr">
        <is>
          <t>-21.54%</t>
        </is>
      </c>
      <c r="L148" t="n">
        <v>4.7</v>
      </c>
      <c r="M148" t="n">
        <v>65</v>
      </c>
      <c r="O148" t="inlineStr">
        <is>
          <t>InStock</t>
        </is>
      </c>
      <c r="P148" t="inlineStr">
        <is>
          <t>undefined</t>
        </is>
      </c>
      <c r="Q148" t="inlineStr">
        <is>
          <t>1338101</t>
        </is>
      </c>
    </row>
    <row r="149">
      <c r="A149" s="2">
        <f>HYPERLINK("https://www.als.com/gord-rally-mitt/p?skuId=1306142", "https://www.als.com/gord-rally-mitt/p?skuId=1306142")</f>
        <v/>
      </c>
      <c r="B149" s="2">
        <f>HYPERLINK("https://www.als.com/gord-rally-mitt/p", "https://www.als.com/gord-rally-mitt/p")</f>
        <v/>
      </c>
      <c r="C149" t="inlineStr">
        <is>
          <t>Gordini Rally Mitten - Men's</t>
        </is>
      </c>
      <c r="D149" t="inlineStr">
        <is>
          <t>Gordini Women's Stomp Mitten</t>
        </is>
      </c>
      <c r="E149" s="2">
        <f>HYPERLINK("https://www.amazon.com/Gordini-Womens-Waterproof-Insulated-Medium/dp/B07CQC5HN4/ref=sr_1_46?keywords=Gordini+Rally+Mitten+-+Mens&amp;qid=1695124309&amp;sr=8-46", "https://www.amazon.com/Gordini-Womens-Waterproof-Insulated-Medium/dp/B07CQC5HN4/ref=sr_1_46?keywords=Gordini+Rally+Mitten+-+Mens&amp;qid=1695124309&amp;sr=8-46")</f>
        <v/>
      </c>
      <c r="F149" t="inlineStr">
        <is>
          <t>B07CQC5HN4</t>
        </is>
      </c>
      <c r="G149">
        <f>IMAGE("https://alssports.vtexassets.com/arquivos/ids/1427992-800-auto?v=638283287978400000&amp;width=800&amp;height=auto&amp;aspect=true")</f>
        <v/>
      </c>
      <c r="H149">
        <f>IMAGE("https://m.media-amazon.com/images/I/915VI2249JL._AC_UL320_.jpg")</f>
        <v/>
      </c>
      <c r="I149" t="inlineStr">
        <is>
          <t>69.99</t>
        </is>
      </c>
      <c r="J149" t="n">
        <v>54.84</v>
      </c>
      <c r="K149" s="3" t="inlineStr">
        <is>
          <t>-21.65%</t>
        </is>
      </c>
      <c r="L149" t="n">
        <v>4.6</v>
      </c>
      <c r="M149" t="n">
        <v>20</v>
      </c>
      <c r="O149" t="inlineStr">
        <is>
          <t>InStock</t>
        </is>
      </c>
      <c r="P149" t="inlineStr">
        <is>
          <t>undefined</t>
        </is>
      </c>
      <c r="Q149" t="inlineStr">
        <is>
          <t>1306142</t>
        </is>
      </c>
    </row>
    <row r="150">
      <c r="A150" s="2">
        <f>HYPERLINK("https://www.als.com/racefa-pedal-chester-composite/p?skuId=572609", "https://www.als.com/racefa-pedal-chester-composite/p?skuId=572609")</f>
        <v/>
      </c>
      <c r="B150" s="2">
        <f>HYPERLINK("https://www.als.com/racefa-pedal-chester-composite/p", "https://www.als.com/racefa-pedal-chester-composite/p")</f>
        <v/>
      </c>
      <c r="C150" t="inlineStr">
        <is>
          <t>Race Face Chester Composite Bike Pedal</t>
        </is>
      </c>
      <c r="D150" t="inlineStr">
        <is>
          <t>RaceFace Chester Mountain Bike Pedal</t>
        </is>
      </c>
      <c r="E150" s="2">
        <f>HYPERLINK("https://www.amazon.com/RaceFace-Chester-Pedal-Black-Size/dp/B018J1J7QE/ref=sr_1_6?keywords=Race+Face+Chester+Composite+Bike+Pedal&amp;qid=1695124438&amp;sr=8-6", "https://www.amazon.com/RaceFace-Chester-Pedal-Black-Size/dp/B018J1J7QE/ref=sr_1_6?keywords=Race+Face+Chester+Composite+Bike+Pedal&amp;qid=1695124438&amp;sr=8-6")</f>
        <v/>
      </c>
      <c r="F150" t="inlineStr">
        <is>
          <t>B018J1J7QE</t>
        </is>
      </c>
      <c r="G150">
        <f>IMAGE("https://alssports.vtexassets.com/arquivos/ids/553606-800-auto?v=637515227766800000&amp;width=800&amp;height=auto&amp;aspect=true")</f>
        <v/>
      </c>
      <c r="H150">
        <f>IMAGE("https://m.media-amazon.com/images/I/61tg7M5G0-L._AC_UL320_.jpg")</f>
        <v/>
      </c>
      <c r="I150" t="inlineStr">
        <is>
          <t>59.99</t>
        </is>
      </c>
      <c r="J150" t="n">
        <v>46.97</v>
      </c>
      <c r="K150" s="3" t="inlineStr">
        <is>
          <t>-21.70%</t>
        </is>
      </c>
      <c r="L150" t="n">
        <v>4.8</v>
      </c>
      <c r="M150" t="n">
        <v>1078</v>
      </c>
      <c r="O150" t="inlineStr">
        <is>
          <t>InStock</t>
        </is>
      </c>
      <c r="P150" t="inlineStr">
        <is>
          <t>undefined</t>
        </is>
      </c>
      <c r="Q150" t="inlineStr">
        <is>
          <t>572609</t>
        </is>
      </c>
    </row>
    <row r="151">
      <c r="A151" s="2">
        <f>HYPERLINK("https://www.als.com/sitka-m-pant-mountain-optifade/p?skuId=90738", "https://www.als.com/sitka-m-pant-mountain-optifade/p?skuId=90738")</f>
        <v/>
      </c>
      <c r="B151" s="2">
        <f>HYPERLINK("https://www.als.com/sitka-m-pant-mountain-optifade/p", "https://www.als.com/sitka-m-pant-mountain-optifade/p")</f>
        <v/>
      </c>
      <c r="C151" t="inlineStr">
        <is>
          <t>Sitka Mountain Pant - Men's</t>
        </is>
      </c>
      <c r="D151" t="inlineStr">
        <is>
          <t>SITKA Gear Mountain Pant</t>
        </is>
      </c>
      <c r="E151" s="2">
        <f>HYPERLINK("https://www.amazon.com/SITKA-Gear-Mountain-Optifade-Subalpine/dp/B071R8BZ97/ref=sr_1_1?keywords=Sitka+Mountain+Pant+-+Mens&amp;qid=1695124392&amp;sr=8-1", "https://www.amazon.com/SITKA-Gear-Mountain-Optifade-Subalpine/dp/B071R8BZ97/ref=sr_1_1?keywords=Sitka+Mountain+Pant+-+Mens&amp;qid=1695124392&amp;sr=8-1")</f>
        <v/>
      </c>
      <c r="F151" t="inlineStr">
        <is>
          <t>B071R8BZ97</t>
        </is>
      </c>
      <c r="G151">
        <f>IMAGE("https://alssports.vtexassets.com/arquivos/ids/1369099-800-auto?v=638242004529500000&amp;width=800&amp;height=auto&amp;aspect=true")</f>
        <v/>
      </c>
      <c r="H151">
        <f>IMAGE("https://m.media-amazon.com/images/I/71OKzR+NLwL._AC_UL320_.jpg")</f>
        <v/>
      </c>
      <c r="I151" t="inlineStr">
        <is>
          <t>209.0</t>
        </is>
      </c>
      <c r="J151" t="n">
        <v>163.47</v>
      </c>
      <c r="K151" s="3" t="inlineStr">
        <is>
          <t>-21.78%</t>
        </is>
      </c>
      <c r="L151" t="n">
        <v>4.7</v>
      </c>
      <c r="M151" t="n">
        <v>430</v>
      </c>
      <c r="O151" t="inlineStr">
        <is>
          <t>InStock</t>
        </is>
      </c>
      <c r="P151" t="inlineStr">
        <is>
          <t>undefined</t>
        </is>
      </c>
      <c r="Q151" t="inlineStr">
        <is>
          <t>90738</t>
        </is>
      </c>
    </row>
    <row r="152">
      <c r="A152" s="2">
        <f>HYPERLINK("https://www.als.com/coleha-m-shoe-grd-sprt-journeysnkr/p?skuId=1167213", "https://www.als.com/coleha-m-shoe-grd-sprt-journeysnkr/p?skuId=1167213")</f>
        <v/>
      </c>
      <c r="B152" s="2">
        <f>HYPERLINK("https://www.als.com/coleha-m-shoe-grd-sprt-journeysnkr/p", "https://www.als.com/coleha-m-shoe-grd-sprt-journeysnkr/p")</f>
        <v/>
      </c>
      <c r="C152" t="inlineStr">
        <is>
          <t>Cole Haan Grand Sports Journey Knit Sneaker - Men's</t>
        </is>
      </c>
      <c r="D152" t="inlineStr">
        <is>
          <t>Cole Haan Men's Zerogrand Journey Runner Sneaker</t>
        </is>
      </c>
      <c r="E152" s="2">
        <f>HYPERLINK("https://www.amazon.com/Cole-Haan-Zerogrand-Journey-Sneaker/dp/B08SQKQ4CD/ref=sr_1_7?keywords=Cole+Haan+Grand+Sports+Journey+Knit+Sneaker+-+Mens&amp;qid=1695124313&amp;sr=8-7", "https://www.amazon.com/Cole-Haan-Zerogrand-Journey-Sneaker/dp/B08SQKQ4CD/ref=sr_1_7?keywords=Cole+Haan+Grand+Sports+Journey+Knit+Sneaker+-+Mens&amp;qid=1695124313&amp;sr=8-7")</f>
        <v/>
      </c>
      <c r="F152" t="inlineStr">
        <is>
          <t>B08SQKQ4CD</t>
        </is>
      </c>
      <c r="G152">
        <f>IMAGE("https://alssports.vtexassets.com/arquivos/ids/1214886-800-auto?v=638097528133370000&amp;width=800&amp;height=auto&amp;aspect=true")</f>
        <v/>
      </c>
      <c r="H152">
        <f>IMAGE("https://m.media-amazon.com/images/I/81HOlnt383L._AC_UL320_.jpg")</f>
        <v/>
      </c>
      <c r="I152" t="inlineStr">
        <is>
          <t>99.95</t>
        </is>
      </c>
      <c r="J152" t="n">
        <v>78</v>
      </c>
      <c r="K152" s="3" t="inlineStr">
        <is>
          <t>-21.96%</t>
        </is>
      </c>
      <c r="L152" t="n">
        <v>4.6</v>
      </c>
      <c r="M152" t="n">
        <v>546</v>
      </c>
      <c r="O152" t="inlineStr">
        <is>
          <t>InStock</t>
        </is>
      </c>
      <c r="P152" t="inlineStr">
        <is>
          <t>194.95</t>
        </is>
      </c>
      <c r="Q152" t="inlineStr">
        <is>
          <t>1167213</t>
        </is>
      </c>
    </row>
    <row r="153">
      <c r="A153" s="2">
        <f>HYPERLINK("https://www.als.com/sitka-m-pant-mountain-optifade/p?skuId=90738", "https://www.als.com/sitka-m-pant-mountain-optifade/p?skuId=90738")</f>
        <v/>
      </c>
      <c r="B153" s="2">
        <f>HYPERLINK("https://www.als.com/sitka-m-pant-mountain-optifade/p", "https://www.als.com/sitka-m-pant-mountain-optifade/p")</f>
        <v/>
      </c>
      <c r="C153" t="inlineStr">
        <is>
          <t>Sitka Mountain Pant - Men's</t>
        </is>
      </c>
      <c r="D153" t="inlineStr">
        <is>
          <t>SITKA Gear Men's Ascent Breathable 4-Way Stretch Hunting Pant</t>
        </is>
      </c>
      <c r="E153" s="2">
        <f>HYPERLINK("https://www.amazon.com/SITKA-Gear-Ascent-Optifade-Subalpine/dp/B01M9F1XMZ/ref=sr_1_7?keywords=Sitka+Mountain+Pant+-+Mens&amp;qid=1695124392&amp;sr=8-7", "https://www.amazon.com/SITKA-Gear-Ascent-Optifade-Subalpine/dp/B01M9F1XMZ/ref=sr_1_7?keywords=Sitka+Mountain+Pant+-+Mens&amp;qid=1695124392&amp;sr=8-7")</f>
        <v/>
      </c>
      <c r="F153" t="inlineStr">
        <is>
          <t>B01M9F1XMZ</t>
        </is>
      </c>
      <c r="G153">
        <f>IMAGE("https://alssports.vtexassets.com/arquivos/ids/1369099-800-auto?v=638242004529500000&amp;width=800&amp;height=auto&amp;aspect=true")</f>
        <v/>
      </c>
      <c r="H153">
        <f>IMAGE("https://m.media-amazon.com/images/I/711yV-m606L._AC_UL320_.jpg")</f>
        <v/>
      </c>
      <c r="I153" t="inlineStr">
        <is>
          <t>209.0</t>
        </is>
      </c>
      <c r="J153" t="n">
        <v>162.59</v>
      </c>
      <c r="K153" s="3" t="inlineStr">
        <is>
          <t>-22.21%</t>
        </is>
      </c>
      <c r="L153" t="n">
        <v>4.5</v>
      </c>
      <c r="M153" t="n">
        <v>14</v>
      </c>
      <c r="O153" t="inlineStr">
        <is>
          <t>InStock</t>
        </is>
      </c>
      <c r="P153" t="inlineStr">
        <is>
          <t>undefined</t>
        </is>
      </c>
      <c r="Q153" t="inlineStr">
        <is>
          <t>90738</t>
        </is>
      </c>
    </row>
    <row r="154">
      <c r="A154" s="2">
        <f>HYPERLINK("https://www.als.com/petzl-belay-grigri-assisted-braking/p?skuId=572368", "https://www.als.com/petzl-belay-grigri-assisted-braking/p?skuId=572368")</f>
        <v/>
      </c>
      <c r="B154" s="2">
        <f>HYPERLINK("https://www.als.com/petzl-belay-grigri-assisted-braking/p", "https://www.als.com/petzl-belay-grigri-assisted-braking/p")</f>
        <v/>
      </c>
      <c r="C154" t="inlineStr">
        <is>
          <t>Petzl GriGri Belay Device</t>
        </is>
      </c>
      <c r="D154" t="inlineStr">
        <is>
          <t>Petzl GRIGRI Belay Device - Belay Device with Cam-Assisted Blocking for Sport, Trad, and Top-Rope Climbing</t>
        </is>
      </c>
      <c r="E154" s="2">
        <f>HYPERLINK("https://www.amazon.com/Petzl-GRIGRI-Belay-Device-Cam-Assisted/dp/B07MLTP3S4/ref=sr_1_1?keywords=Petzl+GriGri+Belay+Device&amp;qid=1695124323&amp;sr=8-1", "https://www.amazon.com/Petzl-GRIGRI-Belay-Device-Cam-Assisted/dp/B07MLTP3S4/ref=sr_1_1?keywords=Petzl+GriGri+Belay+Device&amp;qid=1695124323&amp;sr=8-1")</f>
        <v/>
      </c>
      <c r="F154" t="inlineStr">
        <is>
          <t>B07MLTP3S4</t>
        </is>
      </c>
      <c r="G154">
        <f>IMAGE("https://alssports.vtexassets.com/arquivos/ids/1023632-800-auto?v=637823067748170000&amp;width=800&amp;height=auto&amp;aspect=true")</f>
        <v/>
      </c>
      <c r="H154">
        <f>IMAGE("https://m.media-amazon.com/images/I/71LJXUhQw-L._AC_UY218_.jpg")</f>
        <v/>
      </c>
      <c r="I154" t="inlineStr">
        <is>
          <t>109.95</t>
        </is>
      </c>
      <c r="J154" t="n">
        <v>85.40000000000001</v>
      </c>
      <c r="K154" s="3" t="inlineStr">
        <is>
          <t>-22.33%</t>
        </is>
      </c>
      <c r="L154" t="n">
        <v>4.8</v>
      </c>
      <c r="M154" t="n">
        <v>2427</v>
      </c>
      <c r="O154" t="inlineStr">
        <is>
          <t>InStock</t>
        </is>
      </c>
      <c r="P154" t="inlineStr">
        <is>
          <t>undefined</t>
        </is>
      </c>
      <c r="Q154" t="inlineStr">
        <is>
          <t>572368</t>
        </is>
      </c>
    </row>
    <row r="155">
      <c r="A155" s="2">
        <f>HYPERLINK("https://www.als.com/teva-m-sandal-hurricane-xlt2/p?skuId=398840", "https://www.als.com/teva-m-sandal-hurricane-xlt2/p?skuId=398840")</f>
        <v/>
      </c>
      <c r="B155" s="2">
        <f>HYPERLINK("https://www.als.com/teva-m-sandal-hurricane-xlt2/p", "https://www.als.com/teva-m-sandal-hurricane-xlt2/p")</f>
        <v/>
      </c>
      <c r="C155" t="inlineStr">
        <is>
          <t>Teva Hurricane XLT2 Sandal - Men's</t>
        </is>
      </c>
      <c r="D155" t="inlineStr">
        <is>
          <t>Teva Men's Hurricane XLT2 Sandal, Rapids Insignia, 14</t>
        </is>
      </c>
      <c r="E155" s="2">
        <f>HYPERLINK("https://www.amazon.com/Teva-Hurricane-Sandal-Rapids-Insignia/dp/B0721BB2NS/ref=sr_1_4?keywords=Teva+Hurricane+XLT2+Sandal+-+Men%27s&amp;qid=1695124141&amp;sr=8-4", "https://www.amazon.com/Teva-Hurricane-Sandal-Rapids-Insignia/dp/B0721BB2NS/ref=sr_1_4?keywords=Teva+Hurricane+XLT2+Sandal+-+Men%27s&amp;qid=1695124141&amp;sr=8-4")</f>
        <v/>
      </c>
      <c r="F155" t="inlineStr">
        <is>
          <t>B0721BB2NS</t>
        </is>
      </c>
      <c r="G155">
        <f>IMAGE("https://alssports.vtexassets.com/arquivos/ids/1220918-800-auto?v=638102154417000000&amp;width=800&amp;height=auto&amp;aspect=true")</f>
        <v/>
      </c>
      <c r="H155">
        <f>IMAGE("https://m.media-amazon.com/images/I/81sv9AzE6kL._AC_UL320_.jpg")</f>
        <v/>
      </c>
      <c r="I155" t="inlineStr">
        <is>
          <t>74.95</t>
        </is>
      </c>
      <c r="J155" t="n">
        <v>58.16</v>
      </c>
      <c r="K155" s="3" t="inlineStr">
        <is>
          <t>-22.40%</t>
        </is>
      </c>
      <c r="L155" t="n">
        <v>4.7</v>
      </c>
      <c r="M155" t="n">
        <v>42</v>
      </c>
      <c r="O155" t="inlineStr">
        <is>
          <t>InStock</t>
        </is>
      </c>
      <c r="P155" t="inlineStr">
        <is>
          <t>undefined</t>
        </is>
      </c>
      <c r="Q155" t="inlineStr">
        <is>
          <t>398840</t>
        </is>
      </c>
    </row>
    <row r="156">
      <c r="A156" s="2">
        <f>HYPERLINK("https://www.als.com/columbia-bugaboo-ii-fleece-interchange-jacket-boys-24033/p?skuId=871369", "https://www.als.com/columbia-bugaboo-ii-fleece-interchange-jacket-boys-24033/p?skuId=871369")</f>
        <v/>
      </c>
      <c r="B156" s="2">
        <f>HYPERLINK("https://www.als.com/columbia-bugaboo-ii-fleece-interchange-jacket-boys-24033/p", "https://www.als.com/columbia-bugaboo-ii-fleece-interchange-jacket-boys-24033/p")</f>
        <v/>
      </c>
      <c r="C156" t="inlineStr">
        <is>
          <t>Columbia Bugaboo II Fleece Interchange Jacket - Boys'</t>
        </is>
      </c>
      <c r="D156" t="inlineStr">
        <is>
          <t>Columbia Boys Bugaboo II Fleece Interchange Jacket</t>
        </is>
      </c>
      <c r="E156" s="2">
        <f>HYPERLINK("https://www.amazon.com/Columbia-Bugaboo-Interchange-Mountain-XX-Small/dp/B08MPXXWWB/ref=sr_1_5?keywords=Columbia+Bugaboo+II+Fleece+Interchange+Jacket+-+Boys&amp;qid=1695124372&amp;sr=8-5", "https://www.amazon.com/Columbia-Bugaboo-Interchange-Mountain-XX-Small/dp/B08MPXXWWB/ref=sr_1_5?keywords=Columbia+Bugaboo+II+Fleece+Interchange+Jacket+-+Boys&amp;qid=1695124372&amp;sr=8-5")</f>
        <v/>
      </c>
      <c r="F156" t="inlineStr">
        <is>
          <t>B08MPXXWWB</t>
        </is>
      </c>
      <c r="G156">
        <f>IMAGE("https://alssports.vtexassets.com/arquivos/ids/1347634-800-auto?v=638224417875170000&amp;width=800&amp;height=auto&amp;aspect=true")</f>
        <v/>
      </c>
      <c r="H156">
        <f>IMAGE("https://m.media-amazon.com/images/I/81X1kwFIRsL._AC_UL320_.jpg")</f>
        <v/>
      </c>
      <c r="I156" t="inlineStr">
        <is>
          <t>84.0</t>
        </is>
      </c>
      <c r="J156" t="n">
        <v>65</v>
      </c>
      <c r="K156" s="3" t="inlineStr">
        <is>
          <t>-22.62%</t>
        </is>
      </c>
      <c r="L156" t="n">
        <v>4.7</v>
      </c>
      <c r="M156" t="n">
        <v>221</v>
      </c>
      <c r="O156" t="inlineStr">
        <is>
          <t>InStock</t>
        </is>
      </c>
      <c r="P156" t="inlineStr">
        <is>
          <t>120.0</t>
        </is>
      </c>
      <c r="Q156" t="inlineStr">
        <is>
          <t>871369</t>
        </is>
      </c>
    </row>
    <row r="157">
      <c r="A157" s="2">
        <f>HYPERLINK("https://www.als.com/heydud-m-shoe-wally-washed-canvas/p?skuId=1317816", "https://www.als.com/heydud-m-shoe-wally-washed-canvas/p?skuId=1317816")</f>
        <v/>
      </c>
      <c r="B157" s="2">
        <f>HYPERLINK("https://www.als.com/heydud-m-shoe-wally-washed-canvas/p", "https://www.als.com/heydud-m-shoe-wally-washed-canvas/p")</f>
        <v/>
      </c>
      <c r="C157" t="inlineStr">
        <is>
          <t>Hey Dude Wally Washed Canvas Shoe - Men's</t>
        </is>
      </c>
      <c r="D157" t="inlineStr">
        <is>
          <t>Hey Dude Men's Wally Stretch | Men’s Shoes | Men's Lace Up Loafers | Comfortable &amp; Light-Weight</t>
        </is>
      </c>
      <c r="E157" s="2">
        <f>HYPERLINK("https://www.amazon.com/Hey-Dude-Wally-Micro-Total/dp/B07H7TK9KT/ref=sr_1_12?keywords=Hey+Dude+Wally+Washed+Canvas+Shoe+-+Mens&amp;qid=1695124460&amp;sr=8-12", "https://www.amazon.com/Hey-Dude-Wally-Micro-Total/dp/B07H7TK9KT/ref=sr_1_12?keywords=Hey+Dude+Wally+Washed+Canvas+Shoe+-+Mens&amp;qid=1695124460&amp;sr=8-12")</f>
        <v/>
      </c>
      <c r="F157" t="inlineStr">
        <is>
          <t>B07H7TK9KT</t>
        </is>
      </c>
      <c r="G157">
        <f>IMAGE("https://alssports.vtexassets.com/arquivos/ids/1388214-800-auto?v=638255521966130000&amp;width=800&amp;height=auto&amp;aspect=true")</f>
        <v/>
      </c>
      <c r="H157">
        <f>IMAGE("https://m.media-amazon.com/images/I/81r6UvM0bnL._AC_UL320_.jpg")</f>
        <v/>
      </c>
      <c r="I157" t="inlineStr">
        <is>
          <t>64.95</t>
        </is>
      </c>
      <c r="J157" t="n">
        <v>50.21</v>
      </c>
      <c r="K157" s="3" t="inlineStr">
        <is>
          <t>-22.69%</t>
        </is>
      </c>
      <c r="L157" t="n">
        <v>4.8</v>
      </c>
      <c r="M157" t="n">
        <v>22752</v>
      </c>
      <c r="O157" t="inlineStr">
        <is>
          <t>InStock</t>
        </is>
      </c>
      <c r="P157" t="inlineStr">
        <is>
          <t>undefined</t>
        </is>
      </c>
      <c r="Q157" t="inlineStr">
        <is>
          <t>1317816</t>
        </is>
      </c>
    </row>
    <row r="158">
      <c r="A158" s="2">
        <f>HYPERLINK("https://www.als.com/heydud-m-shoe-wally-braided/p?skuId=599445", "https://www.als.com/heydud-m-shoe-wally-braided/p?skuId=599445")</f>
        <v/>
      </c>
      <c r="B158" s="2">
        <f>HYPERLINK("https://www.als.com/heydud-m-shoe-wally-braided/p", "https://www.als.com/heydud-m-shoe-wally-braided/p")</f>
        <v/>
      </c>
      <c r="C158" t="inlineStr">
        <is>
          <t>Hey Dude Wally Braided Shoe - Men's</t>
        </is>
      </c>
      <c r="D158" t="inlineStr">
        <is>
          <t>Hey Dude Mens Wally Eco Linen Shoes</t>
        </is>
      </c>
      <c r="E158" s="2">
        <f>HYPERLINK("https://www.amazon.com/Hey-Dude-Wally-Linen-Brown/dp/B09HVDY96H/ref=sr_1_30?keywords=Hey+Dude+Wally+Braided+Shoe+-+Mens&amp;qid=1695124451&amp;sr=8-30", "https://www.amazon.com/Hey-Dude-Wally-Linen-Brown/dp/B09HVDY96H/ref=sr_1_30?keywords=Hey+Dude+Wally+Braided+Shoe+-+Mens&amp;qid=1695124451&amp;sr=8-30")</f>
        <v/>
      </c>
      <c r="F158" t="inlineStr">
        <is>
          <t>B09HVDY96H</t>
        </is>
      </c>
      <c r="G158">
        <f>IMAGE("https://alssports.vtexassets.com/arquivos/ids/1386107-800-auto?v=638254870959300000&amp;width=800&amp;height=auto&amp;aspect=true")</f>
        <v/>
      </c>
      <c r="H158">
        <f>IMAGE("https://m.media-amazon.com/images/I/61WHtKvWLGL._AC_UL320_.jpg")</f>
        <v/>
      </c>
      <c r="I158" t="inlineStr">
        <is>
          <t>64.95</t>
        </is>
      </c>
      <c r="J158" t="n">
        <v>50</v>
      </c>
      <c r="K158" s="3" t="inlineStr">
        <is>
          <t>-23.02%</t>
        </is>
      </c>
      <c r="L158" t="n">
        <v>4.7</v>
      </c>
      <c r="M158" t="n">
        <v>315</v>
      </c>
      <c r="O158" t="inlineStr">
        <is>
          <t>InStock</t>
        </is>
      </c>
      <c r="P158" t="inlineStr">
        <is>
          <t>undefined</t>
        </is>
      </c>
      <c r="Q158" t="inlineStr">
        <is>
          <t>599445</t>
        </is>
      </c>
    </row>
    <row r="159">
      <c r="A159" s="2">
        <f>HYPERLINK("https://www.als.com/oakley-lineminer-xm-goggle/p?skuId=1322891", "https://www.als.com/oakley-lineminer-xm-goggle/p?skuId=1322891")</f>
        <v/>
      </c>
      <c r="B159" s="2">
        <f>HYPERLINK("https://www.als.com/oakley-lineminer-xm-goggle/p", "https://www.als.com/oakley-lineminer-xm-goggle/p")</f>
        <v/>
      </c>
      <c r="C159" t="inlineStr">
        <is>
          <t>Oakley Line Miner M Snow Goggle</t>
        </is>
      </c>
      <c r="D159" t="inlineStr">
        <is>
          <t>Zero Replacement Lens for Oakley Lineminer XL Snow Goggle Ski Snowboad</t>
        </is>
      </c>
      <c r="E159" s="2">
        <f>HYPERLINK("https://www.amazon.com/Replacement-Lenses-Oakley-Lineminer-Goggle/dp/B01N4UET03/ref=sr_1_42?keywords=Oakley+Line+Miner+M+Snow+Goggle&amp;qid=1695124326&amp;sr=8-42", "https://www.amazon.com/Replacement-Lenses-Oakley-Lineminer-Goggle/dp/B01N4UET03/ref=sr_1_42?keywords=Oakley+Line+Miner+M+Snow+Goggle&amp;qid=1695124326&amp;sr=8-42")</f>
        <v/>
      </c>
      <c r="F159" t="inlineStr">
        <is>
          <t>B01N4UET03</t>
        </is>
      </c>
      <c r="G159">
        <f>IMAGE("https://alssports.vtexassets.com/arquivos/ids/1362246-800-auto?v=638235821541230000&amp;width=800&amp;height=auto&amp;aspect=true")</f>
        <v/>
      </c>
      <c r="H159">
        <f>IMAGE("https://m.media-amazon.com/images/I/51boCfxOjZL._AC_UL320_.jpg")</f>
        <v/>
      </c>
      <c r="I159" t="inlineStr">
        <is>
          <t>64.99</t>
        </is>
      </c>
      <c r="J159" t="n">
        <v>49.99</v>
      </c>
      <c r="K159" s="3" t="inlineStr">
        <is>
          <t>-23.08%</t>
        </is>
      </c>
      <c r="L159" t="n">
        <v>4.8</v>
      </c>
      <c r="M159" t="n">
        <v>11</v>
      </c>
      <c r="O159" t="inlineStr">
        <is>
          <t>InStock</t>
        </is>
      </c>
      <c r="P159" t="inlineStr">
        <is>
          <t>154.0</t>
        </is>
      </c>
      <c r="Q159" t="inlineStr">
        <is>
          <t>1322891</t>
        </is>
      </c>
    </row>
    <row r="160">
      <c r="A160" s="2">
        <f>HYPERLINK("https://www.als.com/black-diamond-momentum-harness-mens-30998/p?skuId=565613", "https://www.als.com/black-diamond-momentum-harness-mens-30998/p?skuId=565613")</f>
        <v/>
      </c>
      <c r="B160" s="2">
        <f>HYPERLINK("https://www.als.com/black-diamond-momentum-harness-mens-30998/p", "https://www.als.com/black-diamond-momentum-harness-mens-30998/p")</f>
        <v/>
      </c>
      <c r="C160" t="inlineStr">
        <is>
          <t>Black Diamond Momentum Harness - Men's</t>
        </is>
      </c>
      <c r="D160" t="inlineStr">
        <is>
          <t>Black Diamond Kids Momentum Rock Climbing Harness</t>
        </is>
      </c>
      <c r="E160" s="2">
        <f>HYPERLINK("https://www.amazon.com/Black-Diamond-Momentum-Climbing-Harness/dp/B081BB7KBQ/ref=sr_1_16?keywords=Black+Diamond+Momentum+Harness+-+Men%27s&amp;qid=1695124426&amp;sr=8-16", "https://www.amazon.com/Black-Diamond-Momentum-Climbing-Harness/dp/B081BB7KBQ/ref=sr_1_16?keywords=Black+Diamond+Momentum+Harness+-+Men%27s&amp;qid=1695124426&amp;sr=8-16")</f>
        <v/>
      </c>
      <c r="F160" t="inlineStr">
        <is>
          <t>B081BB7KBQ</t>
        </is>
      </c>
      <c r="G160">
        <f>IMAGE("https://alssports.vtexassets.com/arquivos/ids/1308135-800-auto?v=638189190355030000&amp;width=800&amp;height=auto&amp;aspect=true")</f>
        <v/>
      </c>
      <c r="H160">
        <f>IMAGE("https://m.media-amazon.com/images/I/811hyjBbXgL._AC_UL320_.jpg")</f>
        <v/>
      </c>
      <c r="I160" t="inlineStr">
        <is>
          <t>64.95</t>
        </is>
      </c>
      <c r="J160" t="n">
        <v>49.95</v>
      </c>
      <c r="K160" s="3" t="inlineStr">
        <is>
          <t>-23.09%</t>
        </is>
      </c>
      <c r="L160" t="n">
        <v>4.8</v>
      </c>
      <c r="M160" t="n">
        <v>108</v>
      </c>
      <c r="O160" t="inlineStr">
        <is>
          <t>InStock</t>
        </is>
      </c>
      <c r="P160" t="inlineStr">
        <is>
          <t>undefined</t>
        </is>
      </c>
      <c r="Q160" t="inlineStr">
        <is>
          <t>565613</t>
        </is>
      </c>
    </row>
    <row r="161">
      <c r="A161" s="2">
        <f>HYPERLINK("https://www.als.com/vans-shoe-sk8-hi-mte-2/p?skuId=1116049", "https://www.als.com/vans-shoe-sk8-hi-mte-2/p?skuId=1116049")</f>
        <v/>
      </c>
      <c r="B161" s="2">
        <f>HYPERLINK("https://www.als.com/vans-shoe-sk8-hi-mte-2/p", "https://www.als.com/vans-shoe-sk8-hi-mte-2/p")</f>
        <v/>
      </c>
      <c r="C161" t="inlineStr">
        <is>
          <t>Vans Sk8-Hi MTE-2 Shoe</t>
        </is>
      </c>
      <c r="D161" t="inlineStr">
        <is>
          <t>Vans Mens Sk8 - Hi MTE 2.0 Dx (MTE) Valerian/True White Vn0A4P3Ituk Size</t>
        </is>
      </c>
      <c r="E161" s="2">
        <f>HYPERLINK("https://www.amazon.com/Vans-Mens-Sk8-Valerian-Vn0A4P3Ituk/dp/B07QFWQT17/ref=sr_1_6?keywords=Vans+Sk8-Hi+MTE-2+Shoe&amp;qid=1695124405&amp;sr=8-6", "https://www.amazon.com/Vans-Mens-Sk8-Valerian-Vn0A4P3Ituk/dp/B07QFWQT17/ref=sr_1_6?keywords=Vans+Sk8-Hi+MTE-2+Shoe&amp;qid=1695124405&amp;sr=8-6")</f>
        <v/>
      </c>
      <c r="F161" t="inlineStr">
        <is>
          <t>B07QFWQT17</t>
        </is>
      </c>
      <c r="G161">
        <f>IMAGE("https://alssports.vtexassets.com/arquivos/ids/1312527-800-auto?v=638193489147030000&amp;width=800&amp;height=auto&amp;aspect=true")</f>
        <v/>
      </c>
      <c r="H161">
        <f>IMAGE("https://m.media-amazon.com/images/I/815Yir+YiCL._AC_UL320_.jpg")</f>
        <v/>
      </c>
      <c r="I161" t="inlineStr">
        <is>
          <t>149.95</t>
        </is>
      </c>
      <c r="J161" t="n">
        <v>115</v>
      </c>
      <c r="K161" s="3" t="inlineStr">
        <is>
          <t>-23.31%</t>
        </is>
      </c>
      <c r="L161" t="n">
        <v>4.5</v>
      </c>
      <c r="M161" t="n">
        <v>11</v>
      </c>
      <c r="O161" t="inlineStr">
        <is>
          <t>InStock</t>
        </is>
      </c>
      <c r="P161" t="inlineStr">
        <is>
          <t>undefined</t>
        </is>
      </c>
      <c r="Q161" t="inlineStr">
        <is>
          <t>1116049</t>
        </is>
      </c>
    </row>
    <row r="162">
      <c r="A162" s="2">
        <f>HYPERLINK("https://www.als.com/chaco-m-sandal-zcloud/p?skuId=932120", "https://www.als.com/chaco-m-sandal-zcloud/p?skuId=932120")</f>
        <v/>
      </c>
      <c r="B162" s="2">
        <f>HYPERLINK("https://www.als.com/chaco-m-sandal-zcloud/p", "https://www.als.com/chaco-m-sandal-zcloud/p")</f>
        <v/>
      </c>
      <c r="C162" t="inlineStr">
        <is>
          <t>Chaco Z/Cloud Sandal - Men's</t>
        </is>
      </c>
      <c r="D162" t="inlineStr">
        <is>
          <t>Chaco Men's Zcloud Sandal</t>
        </is>
      </c>
      <c r="E162" s="2">
        <f>HYPERLINK("https://www.amazon.com/Chaco-ZCLOUD-Sandals-WEAVE-BLACK/dp/B08C2516KL/ref=sr_1_2?keywords=Chaco+Z%2FCloud+Sandal+-+Mens&amp;qid=1695124430&amp;sr=8-2", "https://www.amazon.com/Chaco-ZCLOUD-Sandals-WEAVE-BLACK/dp/B08C2516KL/ref=sr_1_2?keywords=Chaco+Z%2FCloud+Sandal+-+Mens&amp;qid=1695124430&amp;sr=8-2")</f>
        <v/>
      </c>
      <c r="F162" t="inlineStr">
        <is>
          <t>B08C2516KL</t>
        </is>
      </c>
      <c r="G162">
        <f>IMAGE("https://alssports.vtexassets.com/arquivos/ids/1082383-800-auto?v=637913737461500000&amp;width=800&amp;height=auto&amp;aspect=true")</f>
        <v/>
      </c>
      <c r="H162">
        <f>IMAGE("https://m.media-amazon.com/images/I/71mszX9fAWL._AC_UL320_.jpg")</f>
        <v/>
      </c>
      <c r="I162" t="inlineStr">
        <is>
          <t>104.95</t>
        </is>
      </c>
      <c r="J162" t="n">
        <v>79.95</v>
      </c>
      <c r="K162" s="3" t="inlineStr">
        <is>
          <t>-23.82%</t>
        </is>
      </c>
      <c r="L162" t="n">
        <v>4.5</v>
      </c>
      <c r="M162" t="n">
        <v>519</v>
      </c>
      <c r="O162" t="inlineStr">
        <is>
          <t>InStock</t>
        </is>
      </c>
      <c r="P162" t="inlineStr">
        <is>
          <t>undefined</t>
        </is>
      </c>
      <c r="Q162" t="inlineStr">
        <is>
          <t>932120</t>
        </is>
      </c>
    </row>
    <row r="163">
      <c r="A163" s="2">
        <f>HYPERLINK("https://www.als.com/heydud-w-shoe-wendy-rise-woven/p?skuId=1317686", "https://www.als.com/heydud-w-shoe-wendy-rise-woven/p?skuId=1317686")</f>
        <v/>
      </c>
      <c r="B163" s="2">
        <f>HYPERLINK("https://www.als.com/heydud-w-shoe-wendy-rise-woven/p", "https://www.als.com/heydud-w-shoe-wendy-rise-woven/p")</f>
        <v/>
      </c>
      <c r="C163" t="inlineStr">
        <is>
          <t>Hey Dude Wendy Rise Woven Shoe - Women's</t>
        </is>
      </c>
      <c r="D163" t="inlineStr">
        <is>
          <t>Hey Dude Women's Wendy Boho Slip-on Casual Shoes Loafer</t>
        </is>
      </c>
      <c r="E163" s="2">
        <f>HYPERLINK("https://www.amazon.com/Hey-Dude-Womens-Comfortable-Light-Weight/dp/B0B9YTFTHR/ref=sr_1_8?keywords=Hey+Dude+Wendy+Rise+Woven+Shoe+-+Womens&amp;qid=1695124483&amp;sr=8-8", "https://www.amazon.com/Hey-Dude-Womens-Comfortable-Light-Weight/dp/B0B9YTFTHR/ref=sr_1_8?keywords=Hey+Dude+Wendy+Rise+Woven+Shoe+-+Womens&amp;qid=1695124483&amp;sr=8-8")</f>
        <v/>
      </c>
      <c r="F163" t="inlineStr">
        <is>
          <t>B0B9YTFTHR</t>
        </is>
      </c>
      <c r="G163">
        <f>IMAGE("https://alssports.vtexassets.com/arquivos/ids/1387367-800-auto?v=638255482261930000&amp;width=800&amp;height=auto&amp;aspect=true")</f>
        <v/>
      </c>
      <c r="H163">
        <f>IMAGE("https://m.media-amazon.com/images/I/61ZM2+Gb2EL._AC_UL320_.jpg")</f>
        <v/>
      </c>
      <c r="I163" t="inlineStr">
        <is>
          <t>64.95</t>
        </is>
      </c>
      <c r="J163" t="n">
        <v>49.47</v>
      </c>
      <c r="K163" s="3" t="inlineStr">
        <is>
          <t>-23.83%</t>
        </is>
      </c>
      <c r="L163" t="n">
        <v>4.7</v>
      </c>
      <c r="M163" t="n">
        <v>3604</v>
      </c>
      <c r="O163" t="inlineStr">
        <is>
          <t>InStock</t>
        </is>
      </c>
      <c r="P163" t="inlineStr">
        <is>
          <t>undefined</t>
        </is>
      </c>
      <c r="Q163" t="inlineStr">
        <is>
          <t>1317686</t>
        </is>
      </c>
    </row>
    <row r="164">
      <c r="A164" s="2">
        <f>HYPERLINK("https://www.als.com/sram-derailleur-gx-eagle-lunar/p?skuId=847487", "https://www.als.com/sram-derailleur-gx-eagle-lunar/p?skuId=847487")</f>
        <v/>
      </c>
      <c r="B164" s="2">
        <f>HYPERLINK("https://www.als.com/sram-derailleur-gx-eagle-lunar/p", "https://www.als.com/sram-derailleur-gx-eagle-lunar/p")</f>
        <v/>
      </c>
      <c r="C164" t="inlineStr">
        <is>
          <t>Sram Gx Eagle 12 Sp Rear Derailleur - Max 52t Lunar | Rear Derailleur</t>
        </is>
      </c>
      <c r="D164" t="inlineStr">
        <is>
          <t>Sram Nx Eagle 12-Speed Rear Derailleur</t>
        </is>
      </c>
      <c r="E164" s="2">
        <f>HYPERLINK("https://www.amazon.com/SRAM-Eagle-12-Speed-Derailleur-Black/dp/B07DQM85PM/ref=sr_1_6?keywords=Sram+Gx+Eagle+12+Sp+Rear+Derailleur+-+Max+52t+Lunar+%7C+Rear+Derailleur&amp;qid=1695124343&amp;sr=8-6", "https://www.amazon.com/SRAM-Eagle-12-Speed-Derailleur-Black/dp/B07DQM85PM/ref=sr_1_6?keywords=Sram+Gx+Eagle+12+Sp+Rear+Derailleur+-+Max+52t+Lunar+%7C+Rear+Derailleur&amp;qid=1695124343&amp;sr=8-6")</f>
        <v/>
      </c>
      <c r="F164" t="inlineStr">
        <is>
          <t>B07DQM85PM</t>
        </is>
      </c>
      <c r="G164">
        <f>IMAGE("https://alssports.vtexassets.com/arquivos/ids/684018-800-auto?v=637569776148200000&amp;width=800&amp;height=auto&amp;aspect=true")</f>
        <v/>
      </c>
      <c r="H164">
        <f>IMAGE("https://m.media-amazon.com/images/I/61oaOYXCGYL._AC_UL320_.jpg")</f>
        <v/>
      </c>
      <c r="I164" t="inlineStr">
        <is>
          <t>135.0</t>
        </is>
      </c>
      <c r="J164" t="n">
        <v>102.7</v>
      </c>
      <c r="K164" s="3" t="inlineStr">
        <is>
          <t>-23.93%</t>
        </is>
      </c>
      <c r="L164" t="n">
        <v>4.7</v>
      </c>
      <c r="M164" t="n">
        <v>288</v>
      </c>
      <c r="O164" t="inlineStr">
        <is>
          <t>InStock</t>
        </is>
      </c>
      <c r="P164" t="inlineStr">
        <is>
          <t>undefined</t>
        </is>
      </c>
      <c r="Q164" t="inlineStr">
        <is>
          <t>847487</t>
        </is>
      </c>
    </row>
    <row r="165">
      <c r="A165" s="2">
        <f>HYPERLINK("https://www.als.com/jetboi-stove-flash/p?skuId=416626", "https://www.als.com/jetboi-stove-flash/p?skuId=416626")</f>
        <v/>
      </c>
      <c r="B165" s="2">
        <f>HYPERLINK("https://www.als.com/jetboi-stove-flash/p", "https://www.als.com/jetboi-stove-flash/p")</f>
        <v/>
      </c>
      <c r="C165" t="inlineStr">
        <is>
          <t>Jetboil Flash Stove Cooking System</t>
        </is>
      </c>
      <c r="D165" t="inlineStr">
        <is>
          <t>Jetboil Zip Camping Stove Cooking System, Carbon</t>
        </is>
      </c>
      <c r="E165" s="2">
        <f>HYPERLINK("https://www.amazon.com/Jetboil-Zip-Cooking-System-Black/dp/B004UVPDUM/ref=sr_1_8?keywords=Jetboil+Flash+Stove+Cooking+System&amp;qid=1695124341&amp;sr=8-8", "https://www.amazon.com/Jetboil-Zip-Cooking-System-Black/dp/B004UVPDUM/ref=sr_1_8?keywords=Jetboil+Flash+Stove+Cooking+System&amp;qid=1695124341&amp;sr=8-8")</f>
        <v/>
      </c>
      <c r="F165" t="inlineStr">
        <is>
          <t>B004UVPDUM</t>
        </is>
      </c>
      <c r="G165">
        <f>IMAGE("https://alssports.vtexassets.com/arquivos/ids/996877-800-auto?v=637790103902500000&amp;width=800&amp;height=auto&amp;aspect=true")</f>
        <v/>
      </c>
      <c r="H165">
        <f>IMAGE("https://m.media-amazon.com/images/I/81l7kFtJ9wL._AC_UY218_.jpg")</f>
        <v/>
      </c>
      <c r="I165" t="inlineStr">
        <is>
          <t>124.95</t>
        </is>
      </c>
      <c r="J165" t="n">
        <v>94.95</v>
      </c>
      <c r="K165" s="3" t="inlineStr">
        <is>
          <t>-24.01%</t>
        </is>
      </c>
      <c r="L165" t="n">
        <v>4.8</v>
      </c>
      <c r="M165" t="n">
        <v>2966</v>
      </c>
      <c r="O165" t="inlineStr">
        <is>
          <t>InStock</t>
        </is>
      </c>
      <c r="P165" t="inlineStr">
        <is>
          <t>undefined</t>
        </is>
      </c>
      <c r="Q165" t="inlineStr">
        <is>
          <t>416626</t>
        </is>
      </c>
    </row>
    <row r="166">
      <c r="A166" s="2">
        <f>HYPERLINK("https://www.als.com/asics-ws-shoe-gel-nimbus-24/p?skuId=1037727", "https://www.als.com/asics-ws-shoe-gel-nimbus-24/p?skuId=1037727")</f>
        <v/>
      </c>
      <c r="B166" s="2">
        <f>HYPERLINK("https://www.als.com/asics-ws-shoe-gel-nimbus-24/p", "https://www.als.com/asics-ws-shoe-gel-nimbus-24/p")</f>
        <v/>
      </c>
      <c r="C166" t="inlineStr">
        <is>
          <t>Asics GEL-NIMBUS 24 Running Shoe - Women's</t>
        </is>
      </c>
      <c r="D166" t="inlineStr">
        <is>
          <t>ASICS Women's Gel-Nimbus 24 Running Shoes</t>
        </is>
      </c>
      <c r="E166" s="2">
        <f>HYPERLINK("https://www.amazon.com/ASICS-Womens-Gel-Nimbus-Running-French/dp/B09CLM43K9/ref=sr_1_1?keywords=Asics+GEL-NIMBUS+24+Running+Shoe+-+Womens&amp;qid=1695124093&amp;sr=8-1", "https://www.amazon.com/ASICS-Womens-Gel-Nimbus-Running-French/dp/B09CLM43K9/ref=sr_1_1?keywords=Asics+GEL-NIMBUS+24+Running+Shoe+-+Womens&amp;qid=1695124093&amp;sr=8-1")</f>
        <v/>
      </c>
      <c r="F166" t="inlineStr">
        <is>
          <t>B09CLM43K9</t>
        </is>
      </c>
      <c r="G166">
        <f>IMAGE("https://alssports.vtexassets.com/arquivos/ids/1109551-800-auto?v=637950821539330000&amp;width=800&amp;height=auto&amp;aspect=true")</f>
        <v/>
      </c>
      <c r="H166">
        <f>IMAGE("https://m.media-amazon.com/images/I/61-gTnEoC6L._AC_UL320_.jpg")</f>
        <v/>
      </c>
      <c r="I166" t="inlineStr">
        <is>
          <t>111.96</t>
        </is>
      </c>
      <c r="J166" t="n">
        <v>84.95</v>
      </c>
      <c r="K166" s="3" t="inlineStr">
        <is>
          <t>-24.12%</t>
        </is>
      </c>
      <c r="L166" t="n">
        <v>4.5</v>
      </c>
      <c r="M166" t="n">
        <v>3169</v>
      </c>
      <c r="O166" t="inlineStr">
        <is>
          <t>InStock</t>
        </is>
      </c>
      <c r="P166" t="inlineStr">
        <is>
          <t>159.95</t>
        </is>
      </c>
      <c r="Q166" t="inlineStr">
        <is>
          <t>1037727</t>
        </is>
      </c>
    </row>
    <row r="167">
      <c r="A167" s="2">
        <f>HYPERLINK("https://www.als.com/sal-sh-m-shoe-speedcross-6/p?skuId=1067283", "https://www.als.com/sal-sh-m-shoe-speedcross-6/p?skuId=1067283")</f>
        <v/>
      </c>
      <c r="B167" s="2">
        <f>HYPERLINK("https://www.als.com/sal-sh-m-shoe-speedcross-6/p", "https://www.als.com/sal-sh-m-shoe-speedcross-6/p")</f>
        <v/>
      </c>
      <c r="C167" t="inlineStr">
        <is>
          <t>Salomon Speedcross 6 Trail Running Shoe - Men's</t>
        </is>
      </c>
      <c r="D167" t="inlineStr">
        <is>
          <t>Salomon Men's Speedcross 4 GORE-TEX Trail Running Shoes</t>
        </is>
      </c>
      <c r="E167" s="2">
        <f>HYPERLINK("https://www.amazon.com/Salomon-SPEEDCROSS-Running-Synthetic-Metallic-X/dp/B017SR0ELC/ref=sr_1_6?keywords=Salomon+Speedcross+6+Trail+Running+Shoe+-+Men%27s&amp;qid=1695124304&amp;sr=8-6", "https://www.amazon.com/Salomon-SPEEDCROSS-Running-Synthetic-Metallic-X/dp/B017SR0ELC/ref=sr_1_6?keywords=Salomon+Speedcross+6+Trail+Running+Shoe+-+Men%27s&amp;qid=1695124304&amp;sr=8-6")</f>
        <v/>
      </c>
      <c r="F167" t="inlineStr">
        <is>
          <t>B017SR0ELC</t>
        </is>
      </c>
      <c r="G167">
        <f>IMAGE("https://alssports.vtexassets.com/arquivos/ids/1132465-800-auto?v=637986345574970000&amp;width=800&amp;height=auto&amp;aspect=true")</f>
        <v/>
      </c>
      <c r="H167">
        <f>IMAGE("https://m.media-amazon.com/images/I/71pTugv3Z2L._AC_UL320_.jpg")</f>
        <v/>
      </c>
      <c r="I167" t="inlineStr">
        <is>
          <t>144.95</t>
        </is>
      </c>
      <c r="J167" t="n">
        <v>109.97</v>
      </c>
      <c r="K167" s="3" t="inlineStr">
        <is>
          <t>-24.13%</t>
        </is>
      </c>
      <c r="L167" t="n">
        <v>4.5</v>
      </c>
      <c r="M167" t="n">
        <v>11420</v>
      </c>
      <c r="O167" t="inlineStr">
        <is>
          <t>InStock</t>
        </is>
      </c>
      <c r="P167" t="inlineStr">
        <is>
          <t>145.0</t>
        </is>
      </c>
      <c r="Q167" t="inlineStr">
        <is>
          <t>1067283</t>
        </is>
      </c>
    </row>
    <row r="168">
      <c r="A168" s="2">
        <f>HYPERLINK("https://www.als.com/keen-w-koven/p?skuId=1240446", "https://www.als.com/keen-w-koven/p?skuId=1240446")</f>
        <v/>
      </c>
      <c r="B168" s="2">
        <f>HYPERLINK("https://www.als.com/keen-w-koven/p", "https://www.als.com/keen-w-koven/p")</f>
        <v/>
      </c>
      <c r="C168" t="inlineStr">
        <is>
          <t>KEEN Koven Hiking Shoe - Women's</t>
        </is>
      </c>
      <c r="D168" t="inlineStr">
        <is>
          <t>KEEN Women's Wasatch Crest Vent Breathable Hiking Shoes</t>
        </is>
      </c>
      <c r="E168" s="2">
        <f>HYPERLINK("https://www.amazon.com/KEEN-Womens-Wasatch-Crest-Vent-Breathable-Hiking-Sneakers/dp/B097CMR6F8/ref=sr_1_23?keywords=KEEN+Koven+Hiking+Shoe+-+Women%27s&amp;qid=1695124139&amp;sr=8-23", "https://www.amazon.com/KEEN-Womens-Wasatch-Crest-Vent-Breathable-Hiking-Sneakers/dp/B097CMR6F8/ref=sr_1_23?keywords=KEEN+Koven+Hiking+Shoe+-+Women%27s&amp;qid=1695124139&amp;sr=8-23")</f>
        <v/>
      </c>
      <c r="F168" t="inlineStr">
        <is>
          <t>B097CMR6F8</t>
        </is>
      </c>
      <c r="G168">
        <f>IMAGE("https://alssports.vtexassets.com/arquivos/ids/1211483-800-auto?v=638091747520730000&amp;width=800&amp;height=auto&amp;aspect=true")</f>
        <v/>
      </c>
      <c r="H168">
        <f>IMAGE("https://m.media-amazon.com/images/I/71h8hgRqr0L._AC_UL320_.jpg")</f>
        <v/>
      </c>
      <c r="I168" t="inlineStr">
        <is>
          <t>119.99</t>
        </is>
      </c>
      <c r="J168" t="n">
        <v>90.59</v>
      </c>
      <c r="K168" s="3" t="inlineStr">
        <is>
          <t>-24.50%</t>
        </is>
      </c>
      <c r="L168" t="n">
        <v>4.5</v>
      </c>
      <c r="M168" t="n">
        <v>158</v>
      </c>
      <c r="O168" t="inlineStr">
        <is>
          <t>InStock</t>
        </is>
      </c>
      <c r="P168" t="inlineStr">
        <is>
          <t>undefined</t>
        </is>
      </c>
      <c r="Q168" t="inlineStr">
        <is>
          <t>1240446</t>
        </is>
      </c>
    </row>
    <row r="169">
      <c r="A169" s="2">
        <f>HYPERLINK("https://www.als.com/reef-w-sandals-cushion-vista-hi/p?skuId=1280794", "https://www.als.com/reef-w-sandals-cushion-vista-hi/p?skuId=1280794")</f>
        <v/>
      </c>
      <c r="B169" s="2">
        <f>HYPERLINK("https://www.als.com/reef-w-sandals-cushion-vista-hi/p", "https://www.als.com/reef-w-sandals-cushion-vista-hi/p")</f>
        <v/>
      </c>
      <c r="C169" t="inlineStr">
        <is>
          <t>REEF Cushion Vista HI Slide - Women's</t>
        </is>
      </c>
      <c r="D169" t="inlineStr">
        <is>
          <t>Reef Womens Sandals Vista | Vegan Leather Slides for Women With Cushion Bounce Footbed</t>
        </is>
      </c>
      <c r="E169" s="2">
        <f>HYPERLINK("https://www.amazon.com/Reef-Womens-Cushion-Bounce-Natural/dp/B07HRVJZQ5/ref=sr_1_4?keywords=REEF+Cushion+Vista+HI+Slide+-+Women%27s&amp;qid=1695124489&amp;sr=8-4", "https://www.amazon.com/Reef-Womens-Cushion-Bounce-Natural/dp/B07HRVJZQ5/ref=sr_1_4?keywords=REEF+Cushion+Vista+HI+Slide+-+Women%27s&amp;qid=1695124489&amp;sr=8-4")</f>
        <v/>
      </c>
      <c r="F169" t="inlineStr">
        <is>
          <t>B07HRVJZQ5</t>
        </is>
      </c>
      <c r="G169">
        <f>IMAGE("https://alssports.vtexassets.com/arquivos/ids/1252015-800-auto?v=638131199167330000&amp;width=800&amp;height=auto&amp;aspect=true")</f>
        <v/>
      </c>
      <c r="H169">
        <f>IMAGE("https://m.media-amazon.com/images/I/81s1hqo+vLL._AC_UL320_.jpg")</f>
        <v/>
      </c>
      <c r="I169" t="inlineStr">
        <is>
          <t>64.95</t>
        </is>
      </c>
      <c r="J169" t="n">
        <v>48.92</v>
      </c>
      <c r="K169" s="3" t="inlineStr">
        <is>
          <t>-24.68%</t>
        </is>
      </c>
      <c r="L169" t="n">
        <v>4.5</v>
      </c>
      <c r="M169" t="n">
        <v>3097</v>
      </c>
      <c r="O169" t="inlineStr">
        <is>
          <t>InStock</t>
        </is>
      </c>
      <c r="P169" t="inlineStr">
        <is>
          <t>undefined</t>
        </is>
      </c>
      <c r="Q169" t="inlineStr">
        <is>
          <t>1280794</t>
        </is>
      </c>
    </row>
    <row r="170">
      <c r="A170" s="2">
        <f>HYPERLINK("https://www.als.com/orvis-flyrod-clearwater-outfit/p?skuId=788033", "https://www.als.com/orvis-flyrod-clearwater-outfit/p?skuId=788033")</f>
        <v/>
      </c>
      <c r="B170" s="2">
        <f>HYPERLINK("https://www.als.com/orvis-flyrod-clearwater-outfit/p", "https://www.als.com/orvis-flyrod-clearwater-outfit/p")</f>
        <v/>
      </c>
      <c r="C170" t="inlineStr">
        <is>
          <t>Orvis Clearwater Fly Rod Outfit</t>
        </is>
      </c>
      <c r="D170" t="inlineStr">
        <is>
          <t>Orvis Clearwater Fly Rod Outfit</t>
        </is>
      </c>
      <c r="E170" s="2">
        <f>HYPERLINK("https://www.amazon.com/Orvis-Clearwater-Fly-Rod-Outfit/dp/B07SQ48KWS/ref=sr_1_2?keywords=Orvis+Clearwater+Fly+Rod+Outfit&amp;qid=1695124421&amp;sr=8-2", "https://www.amazon.com/Orvis-Clearwater-Fly-Rod-Outfit/dp/B07SQ48KWS/ref=sr_1_2?keywords=Orvis+Clearwater+Fly+Rod+Outfit&amp;qid=1695124421&amp;sr=8-2")</f>
        <v/>
      </c>
      <c r="F170" t="inlineStr">
        <is>
          <t>B07SQ48KWS</t>
        </is>
      </c>
      <c r="G170">
        <f>IMAGE("https://alssports.vtexassets.com/arquivos/ids/1033871-800-auto?v=637837341403830000&amp;width=800&amp;height=auto&amp;aspect=true")</f>
        <v/>
      </c>
      <c r="H170">
        <f>IMAGE("https://m.media-amazon.com/images/I/5102ag2kHUL._AC_UL320_.jpg")</f>
        <v/>
      </c>
      <c r="I170" t="inlineStr">
        <is>
          <t>398.0</t>
        </is>
      </c>
      <c r="J170" t="n">
        <v>299</v>
      </c>
      <c r="K170" s="3" t="inlineStr">
        <is>
          <t>-24.87%</t>
        </is>
      </c>
      <c r="L170" t="n">
        <v>4.5</v>
      </c>
      <c r="M170" t="n">
        <v>51</v>
      </c>
      <c r="O170" t="inlineStr">
        <is>
          <t>InStock</t>
        </is>
      </c>
      <c r="P170" t="inlineStr">
        <is>
          <t>undefined</t>
        </is>
      </c>
      <c r="Q170" t="inlineStr">
        <is>
          <t>788033</t>
        </is>
      </c>
    </row>
    <row r="171">
      <c r="A171" s="2">
        <f>HYPERLINK("https://www.als.com/vans-shoe-classic-slip-on/p?skuId=226085", "https://www.als.com/vans-shoe-classic-slip-on/p?skuId=226085")</f>
        <v/>
      </c>
      <c r="B171" s="2">
        <f>HYPERLINK("https://www.als.com/vans-shoe-classic-slip-on/p", "https://www.als.com/vans-shoe-classic-slip-on/p")</f>
        <v/>
      </c>
      <c r="C171" t="inlineStr">
        <is>
          <t>Vans Classic Slip-On Shoe</t>
        </is>
      </c>
      <c r="D171" t="inlineStr">
        <is>
          <t>Vans Unisex-Child Classic Slip-on Checkerboard</t>
        </is>
      </c>
      <c r="E171" s="2">
        <f>HYPERLINK("https://www.amazon.com/Vans-Classic-Slip-Leopard-Little/dp/B08RXWBXNC/ref=sr_1_38?keywords=Vans+Classic+Slip-On+Shoe&amp;qid=1695124089&amp;sr=8-38", "https://www.amazon.com/Vans-Classic-Slip-Leopard-Little/dp/B08RXWBXNC/ref=sr_1_38?keywords=Vans+Classic+Slip-On+Shoe&amp;qid=1695124089&amp;sr=8-38")</f>
        <v/>
      </c>
      <c r="F171" t="inlineStr">
        <is>
          <t>B08RXWBXNC</t>
        </is>
      </c>
      <c r="G171">
        <f>IMAGE("https://alssports.vtexassets.com/arquivos/ids/1443076-800-auto?v=638292000890400000&amp;width=800&amp;height=auto&amp;aspect=true")</f>
        <v/>
      </c>
      <c r="H171">
        <f>IMAGE("https://m.media-amazon.com/images/I/61ik9RYoboL._AC_UL320_.jpg")</f>
        <v/>
      </c>
      <c r="I171" t="inlineStr">
        <is>
          <t>59.95</t>
        </is>
      </c>
      <c r="J171" t="n">
        <v>45</v>
      </c>
      <c r="K171" s="3" t="inlineStr">
        <is>
          <t>-24.94%</t>
        </is>
      </c>
      <c r="L171" t="n">
        <v>4.5</v>
      </c>
      <c r="M171" t="n">
        <v>998</v>
      </c>
      <c r="O171" t="inlineStr">
        <is>
          <t>InStock</t>
        </is>
      </c>
      <c r="P171" t="inlineStr">
        <is>
          <t>undefined</t>
        </is>
      </c>
      <c r="Q171" t="inlineStr">
        <is>
          <t>226085</t>
        </is>
      </c>
    </row>
    <row r="172">
      <c r="A172" s="2">
        <f>HYPERLINK("https://www.als.com/chaco-m-sandal-zcloud/p?skuId=932120", "https://www.als.com/chaco-m-sandal-zcloud/p?skuId=932120")</f>
        <v/>
      </c>
      <c r="B172" s="2">
        <f>HYPERLINK("https://www.als.com/chaco-m-sandal-zcloud/p", "https://www.als.com/chaco-m-sandal-zcloud/p")</f>
        <v/>
      </c>
      <c r="C172" t="inlineStr">
        <is>
          <t>Chaco Z/Cloud Sandal - Men's</t>
        </is>
      </c>
      <c r="D172" t="inlineStr">
        <is>
          <t>Chaco Men's Zvolv 2 Sandal</t>
        </is>
      </c>
      <c r="E172" s="2">
        <f>HYPERLINK("https://www.amazon.com/Chaco-Mens-Zvolv-Sandal-Black/dp/B00KXAEIGO/ref=sr_1_17?keywords=Chaco+Z%2FCloud+Sandal+-+Mens&amp;qid=1695124430&amp;sr=8-17", "https://www.amazon.com/Chaco-Mens-Zvolv-Sandal-Black/dp/B00KXAEIGO/ref=sr_1_17?keywords=Chaco+Z%2FCloud+Sandal+-+Mens&amp;qid=1695124430&amp;sr=8-17")</f>
        <v/>
      </c>
      <c r="F172" t="inlineStr">
        <is>
          <t>B00KXAEIGO</t>
        </is>
      </c>
      <c r="G172">
        <f>IMAGE("https://alssports.vtexassets.com/arquivos/ids/1082383-800-auto?v=637913737461500000&amp;width=800&amp;height=auto&amp;aspect=true")</f>
        <v/>
      </c>
      <c r="H172">
        <f>IMAGE("https://m.media-amazon.com/images/I/71ZkfOt8yxL._AC_UL320_.jpg")</f>
        <v/>
      </c>
      <c r="I172" t="inlineStr">
        <is>
          <t>104.95</t>
        </is>
      </c>
      <c r="J172" t="n">
        <v>78.72</v>
      </c>
      <c r="K172" s="3" t="inlineStr">
        <is>
          <t>-24.99%</t>
        </is>
      </c>
      <c r="L172" t="n">
        <v>4.5</v>
      </c>
      <c r="M172" t="n">
        <v>696</v>
      </c>
      <c r="O172" t="inlineStr">
        <is>
          <t>InStock</t>
        </is>
      </c>
      <c r="P172" t="inlineStr">
        <is>
          <t>undefined</t>
        </is>
      </c>
      <c r="Q172" t="inlineStr">
        <is>
          <t>932120</t>
        </is>
      </c>
    </row>
    <row r="173">
      <c r="A173" s="2">
        <f>HYPERLINK("https://www.als.com/asics-w-shoe-gel-kayano-29/p?skuId=1037742", "https://www.als.com/asics-w-shoe-gel-kayano-29/p?skuId=1037742")</f>
        <v/>
      </c>
      <c r="B173" s="2">
        <f>HYPERLINK("https://www.als.com/asics-w-shoe-gel-kayano-29/p", "https://www.als.com/asics-w-shoe-gel-kayano-29/p")</f>
        <v/>
      </c>
      <c r="C173" t="inlineStr">
        <is>
          <t>Asics Gel-Kayano 29 Running Shoe - Women's</t>
        </is>
      </c>
      <c r="D173" t="inlineStr">
        <is>
          <t>ASICS Women's Gel-Venture 6 Running-Shoes</t>
        </is>
      </c>
      <c r="E173" s="2">
        <f>HYPERLINK("https://www.amazon.com/ASICS-Womens-Gel-Venture-Seashell-Running/dp/B071P4NV55/ref=sr_1_33?keywords=Asics+Gel-Kayano+29+Running+Shoe+-+Women%27s&amp;qid=1695124114&amp;sr=8-33", "https://www.amazon.com/ASICS-Womens-Gel-Venture-Seashell-Running/dp/B071P4NV55/ref=sr_1_33?keywords=Asics+Gel-Kayano+29+Running+Shoe+-+Women%27s&amp;qid=1695124114&amp;sr=8-33")</f>
        <v/>
      </c>
      <c r="F173" t="inlineStr">
        <is>
          <t>B071P4NV55</t>
        </is>
      </c>
      <c r="G173">
        <f>IMAGE("https://alssports.vtexassets.com/arquivos/ids/1127320-800-auto?v=637980202666000000&amp;width=800&amp;height=auto&amp;aspect=true")</f>
        <v/>
      </c>
      <c r="H173">
        <f>IMAGE("https://m.media-amazon.com/images/I/81hTPSgMsFL._AC_UL320_.jpg")</f>
        <v/>
      </c>
      <c r="I173" t="inlineStr">
        <is>
          <t>63.98</t>
        </is>
      </c>
      <c r="J173" t="n">
        <v>47.95</v>
      </c>
      <c r="K173" s="3" t="inlineStr">
        <is>
          <t>-25.05%</t>
        </is>
      </c>
      <c r="L173" t="n">
        <v>4.5</v>
      </c>
      <c r="M173" t="n">
        <v>25083</v>
      </c>
      <c r="O173" t="inlineStr">
        <is>
          <t>InStock</t>
        </is>
      </c>
      <c r="P173" t="inlineStr">
        <is>
          <t>159.95</t>
        </is>
      </c>
      <c r="Q173" t="inlineStr">
        <is>
          <t>1037742</t>
        </is>
      </c>
    </row>
    <row r="174">
      <c r="A174" s="2">
        <f>HYPERLINK("https://www.als.com/pflueg-reel-supreme-xt-spinning/p?skuId=943388", "https://www.als.com/pflueg-reel-supreme-xt-spinning/p?skuId=943388")</f>
        <v/>
      </c>
      <c r="B174" s="2">
        <f>HYPERLINK("https://www.als.com/pflueg-reel-supreme-xt-spinning/p", "https://www.als.com/pflueg-reel-supreme-xt-spinning/p")</f>
        <v/>
      </c>
      <c r="C174" t="inlineStr">
        <is>
          <t>Pflueger Supreme XT Spinning Reel</t>
        </is>
      </c>
      <c r="D174" t="inlineStr">
        <is>
          <t>Pflueger Supreme XT Spinning Fishing Reel, 25</t>
        </is>
      </c>
      <c r="E174" s="2">
        <f>HYPERLINK("https://www.amazon.com/Pflueger-Supreme-Spinning-Fishing-Reel/dp/B096G6FCP5/ref=sr_1_1?keywords=Pflueger+Supreme+XT+Spinning+Reel&amp;qid=1695124336&amp;sr=8-1", "https://www.amazon.com/Pflueger-Supreme-Spinning-Fishing-Reel/dp/B096G6FCP5/ref=sr_1_1?keywords=Pflueger+Supreme+XT+Spinning+Reel&amp;qid=1695124336&amp;sr=8-1")</f>
        <v/>
      </c>
      <c r="F174" t="inlineStr">
        <is>
          <t>B096G6FCP5</t>
        </is>
      </c>
      <c r="G174">
        <f>IMAGE("https://alssports.vtexassets.com/arquivos/ids/1053300-800-auto?v=637867095703370000&amp;width=800&amp;height=auto&amp;aspect=true")</f>
        <v/>
      </c>
      <c r="H174">
        <f>IMAGE("https://m.media-amazon.com/images/I/81K5nH34mrL._AC_UY218_.jpg")</f>
        <v/>
      </c>
      <c r="I174" t="inlineStr">
        <is>
          <t>169.95</t>
        </is>
      </c>
      <c r="J174" t="n">
        <v>126.9</v>
      </c>
      <c r="K174" s="3" t="inlineStr">
        <is>
          <t>-25.33%</t>
        </is>
      </c>
      <c r="L174" t="n">
        <v>4.8</v>
      </c>
      <c r="M174" t="n">
        <v>15</v>
      </c>
      <c r="O174" t="inlineStr">
        <is>
          <t>InStock</t>
        </is>
      </c>
      <c r="P174" t="inlineStr">
        <is>
          <t>undefined</t>
        </is>
      </c>
      <c r="Q174" t="inlineStr">
        <is>
          <t>943388</t>
        </is>
      </c>
    </row>
    <row r="175">
      <c r="A175" s="2">
        <f>HYPERLINK("https://www.als.com/columbia-double-trouble-reversible-jacket-toddler-124814/p?skuId=1245039", "https://www.als.com/columbia-double-trouble-reversible-jacket-toddler-124814/p?skuId=1245039")</f>
        <v/>
      </c>
      <c r="B175" s="2">
        <f>HYPERLINK("https://www.als.com/columbia-double-trouble-reversible-jacket-toddler-124814/p", "https://www.als.com/columbia-double-trouble-reversible-jacket-toddler-124814/p")</f>
        <v/>
      </c>
      <c r="C175" t="inlineStr">
        <is>
          <t>Columbia Double Trouble Reversible Jacket - Toddler</t>
        </is>
      </c>
      <c r="D175" t="inlineStr">
        <is>
          <t>Columbia Baby Double Trouble Jacket, Collegiate Navy, 3/6</t>
        </is>
      </c>
      <c r="E175" s="2">
        <f>HYPERLINK("https://www.amazon.com/Columbia-Double-Trouble-Jacket-Collegiate/dp/B0814BN15P/ref=sr_1_3?keywords=Columbia+Double+Trouble+Reversible+Jacket+-+Toddler&amp;qid=1695124350&amp;sr=8-3", "https://www.amazon.com/Columbia-Double-Trouble-Jacket-Collegiate/dp/B0814BN15P/ref=sr_1_3?keywords=Columbia+Double+Trouble+Reversible+Jacket+-+Toddler&amp;qid=1695124350&amp;sr=8-3")</f>
        <v/>
      </c>
      <c r="F175" t="inlineStr">
        <is>
          <t>B0814BN15P</t>
        </is>
      </c>
      <c r="G175">
        <f>IMAGE("https://alssports.vtexassets.com/arquivos/ids/1182239-800-auto?v=638052779051930000&amp;width=800&amp;height=auto&amp;aspect=true")</f>
        <v/>
      </c>
      <c r="H175">
        <f>IMAGE("https://m.media-amazon.com/images/I/61B5Q4SgjJL._AC_UL320_.jpg")</f>
        <v/>
      </c>
      <c r="I175" t="inlineStr">
        <is>
          <t>56.0</t>
        </is>
      </c>
      <c r="J175" t="n">
        <v>41.76</v>
      </c>
      <c r="K175" s="3" t="inlineStr">
        <is>
          <t>-25.43%</t>
        </is>
      </c>
      <c r="L175" t="n">
        <v>5</v>
      </c>
      <c r="M175" t="n">
        <v>13</v>
      </c>
      <c r="O175" t="inlineStr">
        <is>
          <t>InStock</t>
        </is>
      </c>
      <c r="P175" t="inlineStr">
        <is>
          <t>80.0</t>
        </is>
      </c>
      <c r="Q175" t="inlineStr">
        <is>
          <t>1245039</t>
        </is>
      </c>
    </row>
    <row r="176">
      <c r="A176" s="2">
        <f>HYPERLINK("https://www.als.com/heydud-m-shoe-wally-braided/p?skuId=599445", "https://www.als.com/heydud-m-shoe-wally-braided/p?skuId=599445")</f>
        <v/>
      </c>
      <c r="B176" s="2">
        <f>HYPERLINK("https://www.als.com/heydud-m-shoe-wally-braided/p", "https://www.als.com/heydud-m-shoe-wally-braided/p")</f>
        <v/>
      </c>
      <c r="C176" t="inlineStr">
        <is>
          <t>Hey Dude Wally Braided Shoe - Men's</t>
        </is>
      </c>
      <c r="D176" t="inlineStr">
        <is>
          <t>Hey Dude mens Wally Braided Slip-on Casual Shoes</t>
        </is>
      </c>
      <c r="E176" s="2">
        <f>HYPERLINK("https://www.amazon.com/Hey-Dude-Braided-Comfortable-Light-Weight/dp/B0B9RVKLP1/ref=sr_1_2?keywords=Hey+Dude+Wally+Braided+Shoe+-+Mens&amp;qid=1695124451&amp;sr=8-2", "https://www.amazon.com/Hey-Dude-Braided-Comfortable-Light-Weight/dp/B0B9RVKLP1/ref=sr_1_2?keywords=Hey+Dude+Wally+Braided+Shoe+-+Mens&amp;qid=1695124451&amp;sr=8-2")</f>
        <v/>
      </c>
      <c r="F176" t="inlineStr">
        <is>
          <t>B0B9RVKLP1</t>
        </is>
      </c>
      <c r="G176">
        <f>IMAGE("https://alssports.vtexassets.com/arquivos/ids/1386107-800-auto?v=638254870959300000&amp;width=800&amp;height=auto&amp;aspect=true")</f>
        <v/>
      </c>
      <c r="H176">
        <f>IMAGE("https://m.media-amazon.com/images/I/61JD0plvneL._AC_UL320_.jpg")</f>
        <v/>
      </c>
      <c r="I176" t="inlineStr">
        <is>
          <t>64.95</t>
        </is>
      </c>
      <c r="J176" t="n">
        <v>48.09</v>
      </c>
      <c r="K176" s="3" t="inlineStr">
        <is>
          <t>-25.96%</t>
        </is>
      </c>
      <c r="L176" t="n">
        <v>4.7</v>
      </c>
      <c r="M176" t="n">
        <v>90</v>
      </c>
      <c r="O176" t="inlineStr">
        <is>
          <t>InStock</t>
        </is>
      </c>
      <c r="P176" t="inlineStr">
        <is>
          <t>undefined</t>
        </is>
      </c>
      <c r="Q176" t="inlineStr">
        <is>
          <t>599445</t>
        </is>
      </c>
    </row>
    <row r="177">
      <c r="A177" s="2">
        <f>HYPERLINK("https://www.als.com/heydud-w-shoe-wendy-rise-woven/p?skuId=1317686", "https://www.als.com/heydud-w-shoe-wendy-rise-woven/p?skuId=1317686")</f>
        <v/>
      </c>
      <c r="B177" s="2">
        <f>HYPERLINK("https://www.als.com/heydud-w-shoe-wendy-rise-woven/p", "https://www.als.com/heydud-w-shoe-wendy-rise-woven/p")</f>
        <v/>
      </c>
      <c r="C177" t="inlineStr">
        <is>
          <t>Hey Dude Wendy Rise Woven Shoe - Women's</t>
        </is>
      </c>
      <c r="D177" t="inlineStr">
        <is>
          <t>Hey Dude Women's Wendy Chambray | Women's Shoes | Women's Lace Up Loafers | Comfortable &amp; Light-Weight</t>
        </is>
      </c>
      <c r="E177" s="2">
        <f>HYPERLINK("https://www.amazon.com/Hey-Dude-Stretch-Comfortable-Light-Weight/dp/B0C1PK3QWH/ref=sr_1_38?keywords=Hey+Dude+Wendy+Rise+Woven+Shoe+-+Womens&amp;qid=1695124483&amp;sr=8-38", "https://www.amazon.com/Hey-Dude-Stretch-Comfortable-Light-Weight/dp/B0C1PK3QWH/ref=sr_1_38?keywords=Hey+Dude+Wendy+Rise+Woven+Shoe+-+Womens&amp;qid=1695124483&amp;sr=8-38")</f>
        <v/>
      </c>
      <c r="F177" t="inlineStr">
        <is>
          <t>B0C1PK3QWH</t>
        </is>
      </c>
      <c r="G177">
        <f>IMAGE("https://alssports.vtexassets.com/arquivos/ids/1387367-800-auto?v=638255482261930000&amp;width=800&amp;height=auto&amp;aspect=true")</f>
        <v/>
      </c>
      <c r="H177">
        <f>IMAGE("https://m.media-amazon.com/images/I/61z+F9hCysL._AC_UL320_.jpg")</f>
        <v/>
      </c>
      <c r="I177" t="inlineStr">
        <is>
          <t>64.95</t>
        </is>
      </c>
      <c r="J177" t="n">
        <v>47.96</v>
      </c>
      <c r="K177" s="3" t="inlineStr">
        <is>
          <t>-26.16%</t>
        </is>
      </c>
      <c r="L177" t="n">
        <v>4.7</v>
      </c>
      <c r="M177" t="n">
        <v>39184</v>
      </c>
      <c r="O177" t="inlineStr">
        <is>
          <t>InStock</t>
        </is>
      </c>
      <c r="P177" t="inlineStr">
        <is>
          <t>undefined</t>
        </is>
      </c>
      <c r="Q177" t="inlineStr">
        <is>
          <t>1317686</t>
        </is>
      </c>
    </row>
    <row r="178">
      <c r="A178" s="2">
        <f>HYPERLINK("https://www.als.com/heydud-w-shoe-wendy-rise-woven/p?skuId=1317686", "https://www.als.com/heydud-w-shoe-wendy-rise-woven/p?skuId=1317686")</f>
        <v/>
      </c>
      <c r="B178" s="2">
        <f>HYPERLINK("https://www.als.com/heydud-w-shoe-wendy-rise-woven/p", "https://www.als.com/heydud-w-shoe-wendy-rise-woven/p")</f>
        <v/>
      </c>
      <c r="C178" t="inlineStr">
        <is>
          <t>Hey Dude Wendy Rise Woven Shoe - Women's</t>
        </is>
      </c>
      <c r="D178" t="inlineStr">
        <is>
          <t>Hey Dude Women's Wendy Chambray | Women's Shoes | Women's Lace Up Loafers | Comfortable &amp; Light-Weight</t>
        </is>
      </c>
      <c r="E178" s="2">
        <f>HYPERLINK("https://www.amazon.com/Hey-Dude-Stretch-Comfortable-Light-Weight/dp/B0C1PSRZM1/ref=sr_1_27?keywords=Hey+Dude+Wendy+Rise+Woven+Shoe+-+Womens&amp;qid=1695124483&amp;sr=8-27", "https://www.amazon.com/Hey-Dude-Stretch-Comfortable-Light-Weight/dp/B0C1PSRZM1/ref=sr_1_27?keywords=Hey+Dude+Wendy+Rise+Woven+Shoe+-+Womens&amp;qid=1695124483&amp;sr=8-27")</f>
        <v/>
      </c>
      <c r="F178" t="inlineStr">
        <is>
          <t>B0C1PSRZM1</t>
        </is>
      </c>
      <c r="G178">
        <f>IMAGE("https://alssports.vtexassets.com/arquivos/ids/1387367-800-auto?v=638255482261930000&amp;width=800&amp;height=auto&amp;aspect=true")</f>
        <v/>
      </c>
      <c r="H178">
        <f>IMAGE("https://m.media-amazon.com/images/I/61z+F9hCysL._AC_UL320_.jpg")</f>
        <v/>
      </c>
      <c r="I178" t="inlineStr">
        <is>
          <t>64.95</t>
        </is>
      </c>
      <c r="J178" t="n">
        <v>47.96</v>
      </c>
      <c r="K178" s="3" t="inlineStr">
        <is>
          <t>-26.16%</t>
        </is>
      </c>
      <c r="L178" t="n">
        <v>4.7</v>
      </c>
      <c r="M178" t="n">
        <v>39175</v>
      </c>
      <c r="O178" t="inlineStr">
        <is>
          <t>InStock</t>
        </is>
      </c>
      <c r="P178" t="inlineStr">
        <is>
          <t>undefined</t>
        </is>
      </c>
      <c r="Q178" t="inlineStr">
        <is>
          <t>1317686</t>
        </is>
      </c>
    </row>
    <row r="179">
      <c r="A179" s="2">
        <f>HYPERLINK("https://www.als.com/racefa-pedal-chester-composite/p?skuId=572609", "https://www.als.com/racefa-pedal-chester-composite/p?skuId=572609")</f>
        <v/>
      </c>
      <c r="B179" s="2">
        <f>HYPERLINK("https://www.als.com/racefa-pedal-chester-composite/p", "https://www.als.com/racefa-pedal-chester-composite/p")</f>
        <v/>
      </c>
      <c r="C179" t="inlineStr">
        <is>
          <t>Race Face Chester Composite Bike Pedal</t>
        </is>
      </c>
      <c r="D179" t="inlineStr">
        <is>
          <t>RaceFace Chester Composite Bike Pedals Sz 9/16in</t>
        </is>
      </c>
      <c r="E179" s="2">
        <f>HYPERLINK("https://www.amazon.com/RaceFace-Chester-Composite-Bike-Pedals/dp/B01DFH8VTG/ref=sr_1_1?keywords=Race+Face+Chester+Composite+Bike+Pedal&amp;qid=1695124438&amp;sr=8-1", "https://www.amazon.com/RaceFace-Chester-Composite-Bike-Pedals/dp/B01DFH8VTG/ref=sr_1_1?keywords=Race+Face+Chester+Composite+Bike+Pedal&amp;qid=1695124438&amp;sr=8-1")</f>
        <v/>
      </c>
      <c r="F179" t="inlineStr">
        <is>
          <t>B01DFH8VTG</t>
        </is>
      </c>
      <c r="G179">
        <f>IMAGE("https://alssports.vtexassets.com/arquivos/ids/553606-800-auto?v=637515227766800000&amp;width=800&amp;height=auto&amp;aspect=true")</f>
        <v/>
      </c>
      <c r="H179">
        <f>IMAGE("https://m.media-amazon.com/images/I/716tjU1ZQEL._AC_UL320_.jpg")</f>
        <v/>
      </c>
      <c r="I179" t="inlineStr">
        <is>
          <t>59.99</t>
        </is>
      </c>
      <c r="J179" t="n">
        <v>44.17</v>
      </c>
      <c r="K179" s="3" t="inlineStr">
        <is>
          <t>-26.37%</t>
        </is>
      </c>
      <c r="L179" t="n">
        <v>4.8</v>
      </c>
      <c r="M179" t="n">
        <v>211</v>
      </c>
      <c r="O179" t="inlineStr">
        <is>
          <t>InStock</t>
        </is>
      </c>
      <c r="P179" t="inlineStr">
        <is>
          <t>undefined</t>
        </is>
      </c>
      <c r="Q179" t="inlineStr">
        <is>
          <t>572609</t>
        </is>
      </c>
    </row>
    <row r="180">
      <c r="A180" s="2">
        <f>HYPERLINK("https://www.als.com/sal-sh-w-shoe-speedcross-6/p?skuId=1067319", "https://www.als.com/sal-sh-w-shoe-speedcross-6/p?skuId=1067319")</f>
        <v/>
      </c>
      <c r="B180" s="2">
        <f>HYPERLINK("https://www.als.com/sal-sh-w-shoe-speedcross-6/p", "https://www.als.com/sal-sh-w-shoe-speedcross-6/p")</f>
        <v/>
      </c>
      <c r="C180" t="inlineStr">
        <is>
          <t>Salomon Speedcross 6 Trail Running Shoe - Women's</t>
        </is>
      </c>
      <c r="D180" t="inlineStr">
        <is>
          <t>Salomon Women's Trail Running Shoe</t>
        </is>
      </c>
      <c r="E180" s="2">
        <f>HYPERLINK("https://www.amazon.com/Salomon-L41103800-ALPHACROSS-Blast-Size/dp/B07Z5GZT72/ref=sr_1_21?keywords=Salomon+Speedcross+6+Trail+Running+Shoe+-+Women%27s&amp;qid=1695124385&amp;sr=8-21", "https://www.amazon.com/Salomon-L41103800-ALPHACROSS-Blast-Size/dp/B07Z5GZT72/ref=sr_1_21?keywords=Salomon+Speedcross+6+Trail+Running+Shoe+-+Women%27s&amp;qid=1695124385&amp;sr=8-21")</f>
        <v/>
      </c>
      <c r="F180" t="inlineStr">
        <is>
          <t>B07Z5GZT72</t>
        </is>
      </c>
      <c r="G180">
        <f>IMAGE("https://alssports.vtexassets.com/arquivos/ids/1278340-800-auto?v=638155526560000000&amp;width=800&amp;height=auto&amp;aspect=true")</f>
        <v/>
      </c>
      <c r="H180">
        <f>IMAGE("https://m.media-amazon.com/images/I/71CzVqecUmL._AC_UL320_.jpg")</f>
        <v/>
      </c>
      <c r="I180" t="inlineStr">
        <is>
          <t>83.97</t>
        </is>
      </c>
      <c r="J180" t="n">
        <v>61.19</v>
      </c>
      <c r="K180" s="3" t="inlineStr">
        <is>
          <t>-27.13%</t>
        </is>
      </c>
      <c r="L180" t="n">
        <v>4.5</v>
      </c>
      <c r="M180" t="n">
        <v>437</v>
      </c>
      <c r="O180" t="inlineStr">
        <is>
          <t>InStock</t>
        </is>
      </c>
      <c r="P180" t="inlineStr">
        <is>
          <t>139.95</t>
        </is>
      </c>
      <c r="Q180" t="inlineStr">
        <is>
          <t>1067319</t>
        </is>
      </c>
    </row>
    <row r="181">
      <c r="A181" s="2">
        <f>HYPERLINK("https://www.als.com/bigag-rapide-sl-insulated/p?skuId=981028", "https://www.als.com/bigag-rapide-sl-insulated/p?skuId=981028")</f>
        <v/>
      </c>
      <c r="B181" s="2">
        <f>HYPERLINK("https://www.als.com/bigag-rapide-sl-insulated/p", "https://www.als.com/bigag-rapide-sl-insulated/p")</f>
        <v/>
      </c>
      <c r="C181" t="inlineStr">
        <is>
          <t>Big Agnes Rapide SL Insulated Sleeping Pad</t>
        </is>
      </c>
      <c r="D181" t="inlineStr">
        <is>
          <t>Big Agnes Insulated Air Core Ultra Sleeping Pad, Orange, 20x72 (Regular)</t>
        </is>
      </c>
      <c r="E181" s="2">
        <f>HYPERLINK("https://www.amazon.com/Big-Agnes-Sleeping-Insulated-Regular/dp/B08174RN6Q/ref=sr_1_2?keywords=Big+Agnes+Rapide+SL+Insulated+Sleeping+Pad&amp;qid=1695124305&amp;sr=8-2", "https://www.amazon.com/Big-Agnes-Sleeping-Insulated-Regular/dp/B08174RN6Q/ref=sr_1_2?keywords=Big+Agnes+Rapide+SL+Insulated+Sleeping+Pad&amp;qid=1695124305&amp;sr=8-2")</f>
        <v/>
      </c>
      <c r="F181" t="inlineStr">
        <is>
          <t>B08174RN6Q</t>
        </is>
      </c>
      <c r="G181">
        <f>IMAGE("https://alssports.vtexassets.com/arquivos/ids/1257749-800-auto?v=638134857129500000&amp;width=800&amp;height=auto&amp;aspect=true")</f>
        <v/>
      </c>
      <c r="H181">
        <f>IMAGE("https://m.media-amazon.com/images/I/71V94gl0yjL._AC_UL320_.jpg")</f>
        <v/>
      </c>
      <c r="I181" t="inlineStr">
        <is>
          <t>149.95</t>
        </is>
      </c>
      <c r="J181" t="n">
        <v>108.84</v>
      </c>
      <c r="K181" s="3" t="inlineStr">
        <is>
          <t>-27.42%</t>
        </is>
      </c>
      <c r="L181" t="n">
        <v>4.7</v>
      </c>
      <c r="M181" t="n">
        <v>434</v>
      </c>
      <c r="O181" t="inlineStr">
        <is>
          <t>InStock</t>
        </is>
      </c>
      <c r="P181" t="inlineStr">
        <is>
          <t>undefined</t>
        </is>
      </c>
      <c r="Q181" t="inlineStr">
        <is>
          <t>981028</t>
        </is>
      </c>
    </row>
    <row r="182">
      <c r="A182" s="2">
        <f>HYPERLINK("https://www.als.com/coleha-m-shoe-grd-sprt-journeysnkr/p?skuId=1167213", "https://www.als.com/coleha-m-shoe-grd-sprt-journeysnkr/p?skuId=1167213")</f>
        <v/>
      </c>
      <c r="B182" s="2">
        <f>HYPERLINK("https://www.als.com/coleha-m-shoe-grd-sprt-journeysnkr/p", "https://www.als.com/coleha-m-shoe-grd-sprt-journeysnkr/p")</f>
        <v/>
      </c>
      <c r="C182" t="inlineStr">
        <is>
          <t>Cole Haan Grand Sports Journey Knit Sneaker - Men's</t>
        </is>
      </c>
      <c r="D182" t="inlineStr">
        <is>
          <t>Cole Haan Men's Grandsport Journey Knit Sneaker</t>
        </is>
      </c>
      <c r="E182" s="2">
        <f>HYPERLINK("https://www.amazon.com/Cole-Haan-Grandsport-Journey-Sneaker/dp/B08KNVQX6L/ref=sr_1_1?keywords=Cole+Haan+Grand+Sports+Journey+Knit+Sneaker+-+Mens&amp;qid=1695124313&amp;sr=8-1", "https://www.amazon.com/Cole-Haan-Grandsport-Journey-Sneaker/dp/B08KNVQX6L/ref=sr_1_1?keywords=Cole+Haan+Grand+Sports+Journey+Knit+Sneaker+-+Mens&amp;qid=1695124313&amp;sr=8-1")</f>
        <v/>
      </c>
      <c r="F182" t="inlineStr">
        <is>
          <t>B08KNVQX6L</t>
        </is>
      </c>
      <c r="G182">
        <f>IMAGE("https://alssports.vtexassets.com/arquivos/ids/1214886-800-auto?v=638097528133370000&amp;width=800&amp;height=auto&amp;aspect=true")</f>
        <v/>
      </c>
      <c r="H182">
        <f>IMAGE("https://m.media-amazon.com/images/I/81cb01ZUb3L._AC_UL320_.jpg")</f>
        <v/>
      </c>
      <c r="I182" t="inlineStr">
        <is>
          <t>99.95</t>
        </is>
      </c>
      <c r="J182" t="n">
        <v>72.51000000000001</v>
      </c>
      <c r="K182" s="3" t="inlineStr">
        <is>
          <t>-27.45%</t>
        </is>
      </c>
      <c r="L182" t="n">
        <v>4.5</v>
      </c>
      <c r="M182" t="n">
        <v>757</v>
      </c>
      <c r="O182" t="inlineStr">
        <is>
          <t>InStock</t>
        </is>
      </c>
      <c r="P182" t="inlineStr">
        <is>
          <t>194.95</t>
        </is>
      </c>
      <c r="Q182" t="inlineStr">
        <is>
          <t>1167213</t>
        </is>
      </c>
    </row>
    <row r="183">
      <c r="A183" s="2">
        <f>HYPERLINK("https://www.als.com/keen-w-koven/p?skuId=1240446", "https://www.als.com/keen-w-koven/p?skuId=1240446")</f>
        <v/>
      </c>
      <c r="B183" s="2">
        <f>HYPERLINK("https://www.als.com/keen-w-koven/p", "https://www.als.com/keen-w-koven/p")</f>
        <v/>
      </c>
      <c r="C183" t="inlineStr">
        <is>
          <t>KEEN Koven Hiking Shoe - Women's</t>
        </is>
      </c>
      <c r="D183" t="inlineStr">
        <is>
          <t>KEEN Women's Nxis Speed Low Height Vented Hiking Shoes</t>
        </is>
      </c>
      <c r="E183" s="2">
        <f>HYPERLINK("https://www.amazon.com/KEEN-Womens-Height-Vented-Hiking/dp/B0B2PQ4Y93/ref=sr_1_13?keywords=KEEN+Koven+Hiking+Shoe+-+Women%27s&amp;qid=1695124139&amp;sr=8-13", "https://www.amazon.com/KEEN-Womens-Height-Vented-Hiking/dp/B0B2PQ4Y93/ref=sr_1_13?keywords=KEEN+Koven+Hiking+Shoe+-+Women%27s&amp;qid=1695124139&amp;sr=8-13")</f>
        <v/>
      </c>
      <c r="F183" t="inlineStr">
        <is>
          <t>B0B2PQ4Y93</t>
        </is>
      </c>
      <c r="G183">
        <f>IMAGE("https://alssports.vtexassets.com/arquivos/ids/1211483-800-auto?v=638091747520730000&amp;width=800&amp;height=auto&amp;aspect=true")</f>
        <v/>
      </c>
      <c r="H183">
        <f>IMAGE("https://m.media-amazon.com/images/I/71TfsJUXfXL._AC_UL320_.jpg")</f>
        <v/>
      </c>
      <c r="I183" t="inlineStr">
        <is>
          <t>119.99</t>
        </is>
      </c>
      <c r="J183" t="n">
        <v>86.37</v>
      </c>
      <c r="K183" s="3" t="inlineStr">
        <is>
          <t>-28.02%</t>
        </is>
      </c>
      <c r="L183" t="n">
        <v>4.5</v>
      </c>
      <c r="M183" t="n">
        <v>225</v>
      </c>
      <c r="O183" t="inlineStr">
        <is>
          <t>InStock</t>
        </is>
      </c>
      <c r="P183" t="inlineStr">
        <is>
          <t>undefined</t>
        </is>
      </c>
      <c r="Q183" t="inlineStr">
        <is>
          <t>1240446</t>
        </is>
      </c>
    </row>
    <row r="184">
      <c r="A184" s="2">
        <f>HYPERLINK("https://www.als.com/adidas-m-shoe-lite-racer-adapt-50/p?skuId=1338101", "https://www.als.com/adidas-m-shoe-lite-racer-adapt-50/p?skuId=1338101")</f>
        <v/>
      </c>
      <c r="B184" s="2">
        <f>HYPERLINK("https://www.als.com/adidas-m-shoe-lite-racer-adapt-50/p", "https://www.als.com/adidas-m-shoe-lite-racer-adapt-50/p")</f>
        <v/>
      </c>
      <c r="C184" t="inlineStr">
        <is>
          <t>adidas Lite Racer Adapt 5.0 Shoe - Men's</t>
        </is>
      </c>
      <c r="D184" t="inlineStr">
        <is>
          <t>adidas Men's Lite Racer Adapt 4.0 Running Shoe</t>
        </is>
      </c>
      <c r="E184" s="2">
        <f>HYPERLINK("https://www.amazon.com/adidas-Racer-Adapt-Running-Shoes/dp/B08CZ58S92/ref=sr_1_3?keywords=adidas+Lite+Racer+Adapt+5.0+Shoe+-+Mens&amp;qid=1695124407&amp;sr=8-3", "https://www.amazon.com/adidas-Racer-Adapt-Running-Shoes/dp/B08CZ58S92/ref=sr_1_3?keywords=adidas+Lite+Racer+Adapt+5.0+Shoe+-+Mens&amp;qid=1695124407&amp;sr=8-3")</f>
        <v/>
      </c>
      <c r="F184" t="inlineStr">
        <is>
          <t>B08CZ58S92</t>
        </is>
      </c>
      <c r="G184">
        <f>IMAGE("https://alssports.vtexassets.com/arquivos/ids/1378546-800-auto?v=638248784142700000&amp;width=800&amp;height=auto&amp;aspect=true")</f>
        <v/>
      </c>
      <c r="H184">
        <f>IMAGE("https://m.media-amazon.com/images/I/81cuTtP+n6L._AC_UL320_.jpg")</f>
        <v/>
      </c>
      <c r="I184" t="inlineStr">
        <is>
          <t>69.95</t>
        </is>
      </c>
      <c r="J184" t="n">
        <v>50.26</v>
      </c>
      <c r="K184" s="3" t="inlineStr">
        <is>
          <t>-28.15%</t>
        </is>
      </c>
      <c r="L184" t="n">
        <v>4.5</v>
      </c>
      <c r="M184" t="n">
        <v>16289</v>
      </c>
      <c r="O184" t="inlineStr">
        <is>
          <t>InStock</t>
        </is>
      </c>
      <c r="P184" t="inlineStr">
        <is>
          <t>undefined</t>
        </is>
      </c>
      <c r="Q184" t="inlineStr">
        <is>
          <t>1338101</t>
        </is>
      </c>
    </row>
    <row r="185">
      <c r="A185" s="2">
        <f>HYPERLINK("https://www.als.com/adidas-m-shoe-lite-racer-adapt-50/p?skuId=1338101", "https://www.als.com/adidas-m-shoe-lite-racer-adapt-50/p?skuId=1338101")</f>
        <v/>
      </c>
      <c r="B185" s="2">
        <f>HYPERLINK("https://www.als.com/adidas-m-shoe-lite-racer-adapt-50/p", "https://www.als.com/adidas-m-shoe-lite-racer-adapt-50/p")</f>
        <v/>
      </c>
      <c r="C185" t="inlineStr">
        <is>
          <t>adidas Lite Racer Adapt 5.0 Shoe - Men's</t>
        </is>
      </c>
      <c r="D185" t="inlineStr">
        <is>
          <t>adidas Men's Lite Racer Adapt Running Shoe</t>
        </is>
      </c>
      <c r="E185" s="2">
        <f>HYPERLINK("https://www.amazon.com/adidas-Womens-Racer-Adapt-Running/dp/B07T82WXVX/ref=sr_1_6?keywords=adidas+Lite+Racer+Adapt+5.0+Shoe+-+Mens&amp;qid=1695124407&amp;sr=8-6", "https://www.amazon.com/adidas-Womens-Racer-Adapt-Running/dp/B07T82WXVX/ref=sr_1_6?keywords=adidas+Lite+Racer+Adapt+5.0+Shoe+-+Mens&amp;qid=1695124407&amp;sr=8-6")</f>
        <v/>
      </c>
      <c r="F185" t="inlineStr">
        <is>
          <t>B07T82WXVX</t>
        </is>
      </c>
      <c r="G185">
        <f>IMAGE("https://alssports.vtexassets.com/arquivos/ids/1378546-800-auto?v=638248784142700000&amp;width=800&amp;height=auto&amp;aspect=true")</f>
        <v/>
      </c>
      <c r="H185">
        <f>IMAGE("https://m.media-amazon.com/images/I/81HU9J-Pq7L._AC_UL320_.jpg")</f>
        <v/>
      </c>
      <c r="I185" t="inlineStr">
        <is>
          <t>69.95</t>
        </is>
      </c>
      <c r="J185" t="n">
        <v>50</v>
      </c>
      <c r="K185" s="3" t="inlineStr">
        <is>
          <t>-28.52%</t>
        </is>
      </c>
      <c r="L185" t="n">
        <v>4.5</v>
      </c>
      <c r="M185" t="n">
        <v>2038</v>
      </c>
      <c r="O185" t="inlineStr">
        <is>
          <t>InStock</t>
        </is>
      </c>
      <c r="P185" t="inlineStr">
        <is>
          <t>undefined</t>
        </is>
      </c>
      <c r="Q185" t="inlineStr">
        <is>
          <t>1338101</t>
        </is>
      </c>
    </row>
    <row r="186">
      <c r="A186" s="2">
        <f>HYPERLINK("https://www.als.com/pennf-battle-iii-spinning-reel/p?skuId=801488", "https://www.als.com/pennf-battle-iii-spinning-reel/p?skuId=801488")</f>
        <v/>
      </c>
      <c r="B186" s="2">
        <f>HYPERLINK("https://www.als.com/pennf-battle-iii-spinning-reel/p", "https://www.als.com/pennf-battle-iii-spinning-reel/p")</f>
        <v/>
      </c>
      <c r="C186" t="inlineStr">
        <is>
          <t>Penn Battle III Spinning Reel</t>
        </is>
      </c>
      <c r="D186" t="inlineStr">
        <is>
          <t>PENN Fierce III Spinning Inshore Fishing Reel, Size 2000, Right/Left Handle Position, 5 Bearings for Smooth Operation</t>
        </is>
      </c>
      <c r="E186" s="2">
        <f>HYPERLINK("https://www.amazon.com/Penn-Fierce-III-Reel/dp/B07TWMYDFK/ref=sr_1_8?keywords=Penn+Battle+III+Spinning+Reel&amp;qid=1695124356&amp;sr=8-8", "https://www.amazon.com/Penn-Fierce-III-Reel/dp/B07TWMYDFK/ref=sr_1_8?keywords=Penn+Battle+III+Spinning+Reel&amp;qid=1695124356&amp;sr=8-8")</f>
        <v/>
      </c>
      <c r="F186" t="inlineStr">
        <is>
          <t>B07TWMYDFK</t>
        </is>
      </c>
      <c r="G186">
        <f>IMAGE("https://alssports.vtexassets.com/arquivos/ids/970583-800-auto?v=637798562331900000&amp;width=800&amp;height=auto&amp;aspect=true")</f>
        <v/>
      </c>
      <c r="H186">
        <f>IMAGE("https://m.media-amazon.com/images/I/71a+FV1K-IL._AC_UY218_.jpg")</f>
        <v/>
      </c>
      <c r="I186" t="inlineStr">
        <is>
          <t>111.96</t>
        </is>
      </c>
      <c r="J186" t="n">
        <v>79.98999999999999</v>
      </c>
      <c r="K186" s="3" t="inlineStr">
        <is>
          <t>-28.55%</t>
        </is>
      </c>
      <c r="L186" t="n">
        <v>4.7</v>
      </c>
      <c r="M186" t="n">
        <v>1321</v>
      </c>
      <c r="O186" t="inlineStr">
        <is>
          <t>InStock</t>
        </is>
      </c>
      <c r="P186" t="inlineStr">
        <is>
          <t>129.95</t>
        </is>
      </c>
      <c r="Q186" t="inlineStr">
        <is>
          <t>801488</t>
        </is>
      </c>
    </row>
    <row r="187">
      <c r="A187" s="2">
        <f>HYPERLINK("https://www.als.com/asics-ws-shoe-gel-nimbus-24/p?skuId=1037727", "https://www.als.com/asics-ws-shoe-gel-nimbus-24/p?skuId=1037727")</f>
        <v/>
      </c>
      <c r="B187" s="2">
        <f>HYPERLINK("https://www.als.com/asics-ws-shoe-gel-nimbus-24/p", "https://www.als.com/asics-ws-shoe-gel-nimbus-24/p")</f>
        <v/>
      </c>
      <c r="C187" t="inlineStr">
        <is>
          <t>Asics GEL-NIMBUS 24 Running Shoe - Women's</t>
        </is>
      </c>
      <c r="D187" t="inlineStr">
        <is>
          <t>ASICS Women's Gel-Cumulus 24 LITE-Show Running Shoes</t>
        </is>
      </c>
      <c r="E187" s="2">
        <f>HYPERLINK("https://www.amazon.com/ASICS-Womens-Gel-Cumulus-LITE-Show-Running/dp/B09WCC9ZSY/ref=sr_1_15?keywords=Asics+GEL-NIMBUS+24+Running+Shoe+-+Womens&amp;qid=1695124093&amp;sr=8-15", "https://www.amazon.com/ASICS-Womens-Gel-Cumulus-LITE-Show-Running/dp/B09WCC9ZSY/ref=sr_1_15?keywords=Asics+GEL-NIMBUS+24+Running+Shoe+-+Womens&amp;qid=1695124093&amp;sr=8-15")</f>
        <v/>
      </c>
      <c r="F187" t="inlineStr">
        <is>
          <t>B09WCC9ZSY</t>
        </is>
      </c>
      <c r="G187">
        <f>IMAGE("https://alssports.vtexassets.com/arquivos/ids/1109551-800-auto?v=637950821539330000&amp;width=800&amp;height=auto&amp;aspect=true")</f>
        <v/>
      </c>
      <c r="H187">
        <f>IMAGE("https://m.media-amazon.com/images/I/61n3fmeLMDL._AC_UL320_.jpg")</f>
        <v/>
      </c>
      <c r="I187" t="inlineStr">
        <is>
          <t>111.96</t>
        </is>
      </c>
      <c r="J187" t="n">
        <v>79.95</v>
      </c>
      <c r="K187" s="3" t="inlineStr">
        <is>
          <t>-28.59%</t>
        </is>
      </c>
      <c r="L187" t="n">
        <v>4.8</v>
      </c>
      <c r="M187" t="n">
        <v>15</v>
      </c>
      <c r="O187" t="inlineStr">
        <is>
          <t>InStock</t>
        </is>
      </c>
      <c r="P187" t="inlineStr">
        <is>
          <t>159.95</t>
        </is>
      </c>
      <c r="Q187" t="inlineStr">
        <is>
          <t>1037727</t>
        </is>
      </c>
    </row>
    <row r="188">
      <c r="A188" s="2">
        <f>HYPERLINK("https://www.als.com/bogs-y--g-n-clssc-mshrms-bt/p?skuId=1239352", "https://www.als.com/bogs-y--g-n-clssc-mshrms-bt/p?skuId=1239352")</f>
        <v/>
      </c>
      <c r="B188" s="2">
        <f>HYPERLINK("https://www.als.com/bogs-y--g-n-clssc-mshrms-bt/p", "https://www.als.com/bogs-y--g-n-clssc-mshrms-bt/p")</f>
        <v/>
      </c>
      <c r="C188" t="inlineStr">
        <is>
          <t>Bogs Neo Classic Mushrooms Boot - Youth</t>
        </is>
      </c>
      <c r="D188" t="inlineStr">
        <is>
          <t>BOGS Unisex-Child Neo-Classic Rain Boot</t>
        </is>
      </c>
      <c r="E188" s="2">
        <f>HYPERLINK("https://www.amazon.com/BOGS-Kids-Neo-Classic-Rain-Dye-Navy/dp/B08911NR38/ref=sr_1_2?keywords=Bogs+Neo+Classic+Mushrooms+Boot+-+Youth&amp;qid=1695124392&amp;sr=8-2", "https://www.amazon.com/BOGS-Kids-Neo-Classic-Rain-Dye-Navy/dp/B08911NR38/ref=sr_1_2?keywords=Bogs+Neo+Classic+Mushrooms+Boot+-+Youth&amp;qid=1695124392&amp;sr=8-2")</f>
        <v/>
      </c>
      <c r="F188" t="inlineStr">
        <is>
          <t>B08911NR38</t>
        </is>
      </c>
      <c r="G188">
        <f>IMAGE("https://alssports.vtexassets.com/arquivos/ids/1202231-800-auto?v=638079510736030000&amp;width=800&amp;height=auto&amp;aspect=true")</f>
        <v/>
      </c>
      <c r="H188">
        <f>IMAGE("https://m.media-amazon.com/images/I/71rrlg95Q6L._AC_UL320_.jpg")</f>
        <v/>
      </c>
      <c r="I188" t="inlineStr">
        <is>
          <t>62.97</t>
        </is>
      </c>
      <c r="J188" t="n">
        <v>44.95</v>
      </c>
      <c r="K188" s="3" t="inlineStr">
        <is>
          <t>-28.62%</t>
        </is>
      </c>
      <c r="L188" t="n">
        <v>4.7</v>
      </c>
      <c r="M188" t="n">
        <v>91</v>
      </c>
      <c r="O188" t="inlineStr">
        <is>
          <t>InStock</t>
        </is>
      </c>
      <c r="P188" t="inlineStr">
        <is>
          <t>89.95</t>
        </is>
      </c>
      <c r="Q188" t="inlineStr">
        <is>
          <t>1239352</t>
        </is>
      </c>
    </row>
    <row r="189">
      <c r="A189" s="2">
        <f>HYPERLINK("https://www.als.com/under-m-charged-verssert-run-shoe/p?skuId=1204906", "https://www.als.com/under-m-charged-verssert-run-shoe/p?skuId=1204906")</f>
        <v/>
      </c>
      <c r="B189" s="2">
        <f>HYPERLINK("https://www.als.com/under-m-charged-verssert-run-shoe/p", "https://www.als.com/under-m-charged-verssert-run-shoe/p")</f>
        <v/>
      </c>
      <c r="C189" t="inlineStr">
        <is>
          <t>Under Armour Charged Verssert Running Shoe - Men's</t>
        </is>
      </c>
      <c r="D189" t="inlineStr">
        <is>
          <t>Under Armour Men's Charged Impulse 3 Running Shoe</t>
        </is>
      </c>
      <c r="E189" s="2">
        <f>HYPERLINK("https://www.amazon.com/Under-Armour-Charged-Impulse-Running/dp/B09LS72MTD/ref=sr_1_17?keywords=Under+Armour+Charged+Verssert+Running+Shoe+-+Mens&amp;qid=1695124491&amp;sr=8-17", "https://www.amazon.com/Under-Armour-Charged-Impulse-Running/dp/B09LS72MTD/ref=sr_1_17?keywords=Under+Armour+Charged+Verssert+Running+Shoe+-+Mens&amp;qid=1695124491&amp;sr=8-17")</f>
        <v/>
      </c>
      <c r="F189" t="inlineStr">
        <is>
          <t>B09LS72MTD</t>
        </is>
      </c>
      <c r="G189">
        <f>IMAGE("https://alssports.vtexassets.com/arquivos/ids/1282426-800-auto?v=638158001411130000&amp;width=800&amp;height=auto&amp;aspect=true")</f>
        <v/>
      </c>
      <c r="H189">
        <f>IMAGE("https://m.media-amazon.com/images/I/81Lf4MUycyL._AC_UL320_.jpg")</f>
        <v/>
      </c>
      <c r="I189" t="inlineStr">
        <is>
          <t>75.0</t>
        </is>
      </c>
      <c r="J189" t="n">
        <v>53.41</v>
      </c>
      <c r="K189" s="3" t="inlineStr">
        <is>
          <t>-28.79%</t>
        </is>
      </c>
      <c r="L189" t="n">
        <v>4.5</v>
      </c>
      <c r="M189" t="n">
        <v>332</v>
      </c>
      <c r="O189" t="inlineStr">
        <is>
          <t>InStock</t>
        </is>
      </c>
      <c r="P189" t="inlineStr">
        <is>
          <t>undefined</t>
        </is>
      </c>
      <c r="Q189" t="inlineStr">
        <is>
          <t>1204906</t>
        </is>
      </c>
    </row>
    <row r="190">
      <c r="A190" s="2">
        <f>HYPERLINK("https://www.als.com/under-m-charged-verssert-run-shoe/p?skuId=1204906", "https://www.als.com/under-m-charged-verssert-run-shoe/p?skuId=1204906")</f>
        <v/>
      </c>
      <c r="B190" s="2">
        <f>HYPERLINK("https://www.als.com/under-m-charged-verssert-run-shoe/p", "https://www.als.com/under-m-charged-verssert-run-shoe/p")</f>
        <v/>
      </c>
      <c r="C190" t="inlineStr">
        <is>
          <t>Under Armour Charged Verssert Running Shoe - Men's</t>
        </is>
      </c>
      <c r="D190" t="inlineStr">
        <is>
          <t>Under Armour Men's Charged Pursuit 3 Twist --Running Shoe</t>
        </is>
      </c>
      <c r="E190" s="2">
        <f>HYPERLINK("https://www.amazon.com/Under-Armour-Charged-Pursuit-Running/dp/B09LS9YBZL/ref=sr_1_18?keywords=Under+Armour+Charged+Verssert+Running+Shoe+-+Mens&amp;qid=1695124491&amp;sr=8-18", "https://www.amazon.com/Under-Armour-Charged-Pursuit-Running/dp/B09LS9YBZL/ref=sr_1_18?keywords=Under+Armour+Charged+Verssert+Running+Shoe+-+Mens&amp;qid=1695124491&amp;sr=8-18")</f>
        <v/>
      </c>
      <c r="F190" t="inlineStr">
        <is>
          <t>B09LS9YBZL</t>
        </is>
      </c>
      <c r="G190">
        <f>IMAGE("https://alssports.vtexassets.com/arquivos/ids/1282426-800-auto?v=638158001411130000&amp;width=800&amp;height=auto&amp;aspect=true")</f>
        <v/>
      </c>
      <c r="H190">
        <f>IMAGE("https://m.media-amazon.com/images/I/81brgHxX9fL._AC_UL320_.jpg")</f>
        <v/>
      </c>
      <c r="I190" t="inlineStr">
        <is>
          <t>75.0</t>
        </is>
      </c>
      <c r="J190" t="n">
        <v>53.31</v>
      </c>
      <c r="K190" s="3" t="inlineStr">
        <is>
          <t>-28.92%</t>
        </is>
      </c>
      <c r="L190" t="n">
        <v>4.5</v>
      </c>
      <c r="M190" t="n">
        <v>413</v>
      </c>
      <c r="O190" t="inlineStr">
        <is>
          <t>InStock</t>
        </is>
      </c>
      <c r="P190" t="inlineStr">
        <is>
          <t>undefined</t>
        </is>
      </c>
      <c r="Q190" t="inlineStr">
        <is>
          <t>1204906</t>
        </is>
      </c>
    </row>
    <row r="191">
      <c r="A191" s="2">
        <f>HYPERLINK("https://www.als.com/under-m-charged-verssert-run-shoe/p?skuId=1204906", "https://www.als.com/under-m-charged-verssert-run-shoe/p?skuId=1204906")</f>
        <v/>
      </c>
      <c r="B191" s="2">
        <f>HYPERLINK("https://www.als.com/under-m-charged-verssert-run-shoe/p", "https://www.als.com/under-m-charged-verssert-run-shoe/p")</f>
        <v/>
      </c>
      <c r="C191" t="inlineStr">
        <is>
          <t>Under Armour Charged Verssert Running Shoe - Men's</t>
        </is>
      </c>
      <c r="D191" t="inlineStr">
        <is>
          <t>Under Armour Men's Charged Escape 4 Running Shoe</t>
        </is>
      </c>
      <c r="E191" s="2">
        <f>HYPERLINK("https://www.amazon.com/Under-Armour-Charged-Escape-Running/dp/B09LS848RQ/ref=sr_1_9?keywords=Under+Armour+Charged+Verssert+Running+Shoe+-+Mens&amp;qid=1695124491&amp;sr=8-9", "https://www.amazon.com/Under-Armour-Charged-Escape-Running/dp/B09LS848RQ/ref=sr_1_9?keywords=Under+Armour+Charged+Verssert+Running+Shoe+-+Mens&amp;qid=1695124491&amp;sr=8-9")</f>
        <v/>
      </c>
      <c r="F191" t="inlineStr">
        <is>
          <t>B09LS848RQ</t>
        </is>
      </c>
      <c r="G191">
        <f>IMAGE("https://alssports.vtexassets.com/arquivos/ids/1282426-800-auto?v=638158001411130000&amp;width=800&amp;height=auto&amp;aspect=true")</f>
        <v/>
      </c>
      <c r="H191">
        <f>IMAGE("https://m.media-amazon.com/images/I/71SwE8VuwFL._AC_UL320_.jpg")</f>
        <v/>
      </c>
      <c r="I191" t="inlineStr">
        <is>
          <t>75.0</t>
        </is>
      </c>
      <c r="J191" t="n">
        <v>53.18</v>
      </c>
      <c r="K191" s="3" t="inlineStr">
        <is>
          <t>-29.09%</t>
        </is>
      </c>
      <c r="L191" t="n">
        <v>4.5</v>
      </c>
      <c r="M191" t="n">
        <v>856</v>
      </c>
      <c r="O191" t="inlineStr">
        <is>
          <t>InStock</t>
        </is>
      </c>
      <c r="P191" t="inlineStr">
        <is>
          <t>undefined</t>
        </is>
      </c>
      <c r="Q191" t="inlineStr">
        <is>
          <t>1204906</t>
        </is>
      </c>
    </row>
    <row r="192">
      <c r="A192" s="2">
        <f>HYPERLINK("https://www.als.com/heydud-m-shoe-wally-washed-canvas/p?skuId=1317816", "https://www.als.com/heydud-m-shoe-wally-washed-canvas/p?skuId=1317816")</f>
        <v/>
      </c>
      <c r="B192" s="2">
        <f>HYPERLINK("https://www.als.com/heydud-m-shoe-wally-washed-canvas/p", "https://www.als.com/heydud-m-shoe-wally-washed-canvas/p")</f>
        <v/>
      </c>
      <c r="C192" t="inlineStr">
        <is>
          <t>Hey Dude Wally Washed Canvas Shoe - Men's</t>
        </is>
      </c>
      <c r="D192" t="inlineStr">
        <is>
          <t>Hey Dude Men's Wally Chambray | Men's Loafers | Men's Slip On Shoes | Comfortable &amp; Light-Weight</t>
        </is>
      </c>
      <c r="E192" s="2">
        <f>HYPERLINK("https://www.amazon.com/Hey-Dude-Mens-Wally-Chambray/dp/B07VMYNWFN/ref=sr_1_31?keywords=Hey+Dude+Wally+Washed+Canvas+Shoe+-+Mens&amp;qid=1695124460&amp;sr=8-31", "https://www.amazon.com/Hey-Dude-Mens-Wally-Chambray/dp/B07VMYNWFN/ref=sr_1_31?keywords=Hey+Dude+Wally+Washed+Canvas+Shoe+-+Mens&amp;qid=1695124460&amp;sr=8-31")</f>
        <v/>
      </c>
      <c r="F192" t="inlineStr">
        <is>
          <t>B07VMYNWFN</t>
        </is>
      </c>
      <c r="G192">
        <f>IMAGE("https://alssports.vtexassets.com/arquivos/ids/1388214-800-auto?v=638255521966130000&amp;width=800&amp;height=auto&amp;aspect=true")</f>
        <v/>
      </c>
      <c r="H192">
        <f>IMAGE("https://m.media-amazon.com/images/I/51w6wZjo6+S._AC_UL320_.jpg")</f>
        <v/>
      </c>
      <c r="I192" t="inlineStr">
        <is>
          <t>64.95</t>
        </is>
      </c>
      <c r="J192" t="n">
        <v>45.9</v>
      </c>
      <c r="K192" s="3" t="inlineStr">
        <is>
          <t>-29.33%</t>
        </is>
      </c>
      <c r="L192" t="n">
        <v>4.8</v>
      </c>
      <c r="M192" t="n">
        <v>22761</v>
      </c>
      <c r="O192" t="inlineStr">
        <is>
          <t>InStock</t>
        </is>
      </c>
      <c r="P192" t="inlineStr">
        <is>
          <t>undefined</t>
        </is>
      </c>
      <c r="Q192" t="inlineStr">
        <is>
          <t>1317816</t>
        </is>
      </c>
    </row>
    <row r="193">
      <c r="A193" s="2">
        <f>HYPERLINK("https://www.als.com/under-m-charged-verssert-run-shoe/p?skuId=1204906", "https://www.als.com/under-m-charged-verssert-run-shoe/p?skuId=1204906")</f>
        <v/>
      </c>
      <c r="B193" s="2">
        <f>HYPERLINK("https://www.als.com/under-m-charged-verssert-run-shoe/p", "https://www.als.com/under-m-charged-verssert-run-shoe/p")</f>
        <v/>
      </c>
      <c r="C193" t="inlineStr">
        <is>
          <t>Under Armour Charged Verssert Running Shoe - Men's</t>
        </is>
      </c>
      <c r="D193" t="inlineStr">
        <is>
          <t>Under Armour Men's Charged Assert 9 Running Shoe</t>
        </is>
      </c>
      <c r="E193" s="2">
        <f>HYPERLINK("https://www.amazon.com/Under-Armour-Charged-Assert-Black/dp/B087TGZQRZ/ref=sr_1_1?keywords=Under+Armour+Charged+Verssert+Running+Shoe+-+Mens&amp;qid=1695124491&amp;sr=8-1", "https://www.amazon.com/Under-Armour-Charged-Assert-Black/dp/B087TGZQRZ/ref=sr_1_1?keywords=Under+Armour+Charged+Verssert+Running+Shoe+-+Mens&amp;qid=1695124491&amp;sr=8-1")</f>
        <v/>
      </c>
      <c r="F193" t="inlineStr">
        <is>
          <t>B087TGZQRZ</t>
        </is>
      </c>
      <c r="G193">
        <f>IMAGE("https://alssports.vtexassets.com/arquivos/ids/1282426-800-auto?v=638158001411130000&amp;width=800&amp;height=auto&amp;aspect=true")</f>
        <v/>
      </c>
      <c r="H193">
        <f>IMAGE("https://m.media-amazon.com/images/I/41l2imvuWJL._AC_UL320_.jpg")</f>
        <v/>
      </c>
      <c r="I193" t="inlineStr">
        <is>
          <t>75.0</t>
        </is>
      </c>
      <c r="J193" t="n">
        <v>52.95</v>
      </c>
      <c r="K193" s="3" t="inlineStr">
        <is>
          <t>-29.40%</t>
        </is>
      </c>
      <c r="L193" t="n">
        <v>4.6</v>
      </c>
      <c r="M193" t="n">
        <v>50897</v>
      </c>
      <c r="O193" t="inlineStr">
        <is>
          <t>InStock</t>
        </is>
      </c>
      <c r="P193" t="inlineStr">
        <is>
          <t>undefined</t>
        </is>
      </c>
      <c r="Q193" t="inlineStr">
        <is>
          <t>1204906</t>
        </is>
      </c>
    </row>
    <row r="194">
      <c r="A194" s="2">
        <f>HYPERLINK("https://www.als.com/asics-ws-shoe-gel-nimbus-24/p?skuId=1037727", "https://www.als.com/asics-ws-shoe-gel-nimbus-24/p?skuId=1037727")</f>
        <v/>
      </c>
      <c r="B194" s="2">
        <f>HYPERLINK("https://www.als.com/asics-ws-shoe-gel-nimbus-24/p", "https://www.als.com/asics-ws-shoe-gel-nimbus-24/p")</f>
        <v/>
      </c>
      <c r="C194" t="inlineStr">
        <is>
          <t>Asics GEL-NIMBUS 24 Running Shoe - Women's</t>
        </is>
      </c>
      <c r="D194" t="inlineStr">
        <is>
          <t>ASICS Women's Gel-Cumulus 24 Running Shoes</t>
        </is>
      </c>
      <c r="E194" s="2">
        <f>HYPERLINK("https://www.amazon.com/ASICS-Womens-Gel-Cumulus-Running-Safety/dp/B09WBSBTCH/ref=sr_1_17?keywords=Asics+GEL-NIMBUS+24+Running+Shoe+-+Womens&amp;qid=1695124093&amp;sr=8-17", "https://www.amazon.com/ASICS-Womens-Gel-Cumulus-Running-Safety/dp/B09WBSBTCH/ref=sr_1_17?keywords=Asics+GEL-NIMBUS+24+Running+Shoe+-+Womens&amp;qid=1695124093&amp;sr=8-17")</f>
        <v/>
      </c>
      <c r="F194" t="inlineStr">
        <is>
          <t>B09WBSBTCH</t>
        </is>
      </c>
      <c r="G194">
        <f>IMAGE("https://alssports.vtexassets.com/arquivos/ids/1109551-800-auto?v=637950821539330000&amp;width=800&amp;height=auto&amp;aspect=true")</f>
        <v/>
      </c>
      <c r="H194">
        <f>IMAGE("https://m.media-amazon.com/images/I/61Lx9UXLplL._AC_UL320_.jpg")</f>
        <v/>
      </c>
      <c r="I194" t="inlineStr">
        <is>
          <t>111.96</t>
        </is>
      </c>
      <c r="J194" t="n">
        <v>78.95999999999999</v>
      </c>
      <c r="K194" s="3" t="inlineStr">
        <is>
          <t>-29.47%</t>
        </is>
      </c>
      <c r="L194" t="n">
        <v>4.6</v>
      </c>
      <c r="M194" t="n">
        <v>1072</v>
      </c>
      <c r="O194" t="inlineStr">
        <is>
          <t>InStock</t>
        </is>
      </c>
      <c r="P194" t="inlineStr">
        <is>
          <t>159.95</t>
        </is>
      </c>
      <c r="Q194" t="inlineStr">
        <is>
          <t>1037727</t>
        </is>
      </c>
    </row>
    <row r="195">
      <c r="A195" s="2">
        <f>HYPERLINK("https://www.als.com/babola-m-shoe-jet-mach-3/p?skuId=599962", "https://www.als.com/babola-m-shoe-jet-mach-3/p?skuId=599962")</f>
        <v/>
      </c>
      <c r="B195" s="2">
        <f>HYPERLINK("https://www.als.com/babola-m-shoe-jet-mach-3/p", "https://www.als.com/babola-m-shoe-jet-mach-3/p")</f>
        <v/>
      </c>
      <c r="C195" t="inlineStr">
        <is>
          <t>Babolat Jet Mach 3 All Court Tennis Shoe - Men's</t>
        </is>
      </c>
      <c r="D195" t="inlineStr">
        <is>
          <t>Babolat Men's SFX3 All Court Tennis Shoes</t>
        </is>
      </c>
      <c r="E195" s="2">
        <f>HYPERLINK("https://www.amazon.com/Babolat-Court-Tennis-Shoes-Angel/dp/B0BQLWWX75/ref=sr_1_3?keywords=Babolat+Jet+Mach+3+All+Court+Tennis+Shoe+-+Mens&amp;qid=1695124489&amp;sr=8-3", "https://www.amazon.com/Babolat-Court-Tennis-Shoes-Angel/dp/B0BQLWWX75/ref=sr_1_3?keywords=Babolat+Jet+Mach+3+All+Court+Tennis+Shoe+-+Mens&amp;qid=1695124489&amp;sr=8-3")</f>
        <v/>
      </c>
      <c r="F195" t="inlineStr">
        <is>
          <t>B0BQLWWX75</t>
        </is>
      </c>
      <c r="G195">
        <f>IMAGE("https://alssports.vtexassets.com/arquivos/ids/1411604-800-auto?v=638270546404000000&amp;width=800&amp;height=auto&amp;aspect=true")</f>
        <v/>
      </c>
      <c r="H195">
        <f>IMAGE("https://m.media-amazon.com/images/I/81KjPEa6CWL._AC_UL320_.jpg")</f>
        <v/>
      </c>
      <c r="I195" t="inlineStr">
        <is>
          <t>148.95</t>
        </is>
      </c>
      <c r="J195" t="n">
        <v>104.6</v>
      </c>
      <c r="K195" s="3" t="inlineStr">
        <is>
          <t>-29.78%</t>
        </is>
      </c>
      <c r="L195" t="n">
        <v>4.5</v>
      </c>
      <c r="M195" t="n">
        <v>21</v>
      </c>
      <c r="O195" t="inlineStr">
        <is>
          <t>InStock</t>
        </is>
      </c>
      <c r="P195" t="inlineStr">
        <is>
          <t>undefined</t>
        </is>
      </c>
      <c r="Q195" t="inlineStr">
        <is>
          <t>599962</t>
        </is>
      </c>
    </row>
    <row r="196">
      <c r="A196" s="2">
        <f>HYPERLINK("https://www.als.com/keen-m-koven-mid-wp/p?skuId=1240445", "https://www.als.com/keen-m-koven-mid-wp/p?skuId=1240445")</f>
        <v/>
      </c>
      <c r="B196" s="2">
        <f>HYPERLINK("https://www.als.com/keen-m-koven-mid-wp/p", "https://www.als.com/keen-m-koven-mid-wp/p")</f>
        <v/>
      </c>
      <c r="C196" t="inlineStr">
        <is>
          <t>KEEN Koven Mid Waterproof Hiking Boot - Men's</t>
        </is>
      </c>
      <c r="D196" t="inlineStr">
        <is>
          <t>KEEN Men's Circadia Mid Height Comfortable Waterproof Hiking Boots</t>
        </is>
      </c>
      <c r="E196" s="2">
        <f>HYPERLINK("https://www.amazon.com/KEEN-Circadia-Comfortable-Waterproof-Potters/dp/B09NP8D33D/ref=sr_1_19?keywords=KEEN+Koven+Mid+Waterproof+Hiking+Boot+-+Men%27s&amp;qid=1695124140&amp;sr=8-19", "https://www.amazon.com/KEEN-Circadia-Comfortable-Waterproof-Potters/dp/B09NP8D33D/ref=sr_1_19?keywords=KEEN+Koven+Mid+Waterproof+Hiking+Boot+-+Men%27s&amp;qid=1695124140&amp;sr=8-19")</f>
        <v/>
      </c>
      <c r="F196" t="inlineStr">
        <is>
          <t>B09NP8D33D</t>
        </is>
      </c>
      <c r="G196">
        <f>IMAGE("https://alssports.vtexassets.com/arquivos/ids/1363221-800-auto?v=638236488805200000&amp;width=800&amp;height=auto&amp;aspect=true")</f>
        <v/>
      </c>
      <c r="H196">
        <f>IMAGE("https://m.media-amazon.com/images/I/81recZ2hUJL._AC_UL320_.jpg")</f>
        <v/>
      </c>
      <c r="I196" t="inlineStr">
        <is>
          <t>139.99</t>
        </is>
      </c>
      <c r="J196" t="n">
        <v>98.02</v>
      </c>
      <c r="K196" s="3" t="inlineStr">
        <is>
          <t>-29.98%</t>
        </is>
      </c>
      <c r="L196" t="n">
        <v>4.5</v>
      </c>
      <c r="M196" t="n">
        <v>46</v>
      </c>
      <c r="O196" t="inlineStr">
        <is>
          <t>InStock</t>
        </is>
      </c>
      <c r="P196" t="inlineStr">
        <is>
          <t>undefined</t>
        </is>
      </c>
      <c r="Q196" t="inlineStr">
        <is>
          <t>1240445</t>
        </is>
      </c>
    </row>
    <row r="197">
      <c r="A197" s="2">
        <f>HYPERLINK("https://www.als.com/adidas-w-shoe-4dfwd-2/p?skuId=1285989", "https://www.als.com/adidas-w-shoe-4dfwd-2/p?skuId=1285989")</f>
        <v/>
      </c>
      <c r="B197" s="2">
        <f>HYPERLINK("https://www.als.com/adidas-w-shoe-4dfwd-2/p", "https://www.als.com/adidas-w-shoe-4dfwd-2/p")</f>
        <v/>
      </c>
      <c r="C197" t="inlineStr">
        <is>
          <t>adidas 4DFWD 2 Shoe - Women's</t>
        </is>
      </c>
      <c r="D197" t="inlineStr">
        <is>
          <t>adidas Women's Eq21 Running Shoe</t>
        </is>
      </c>
      <c r="E197" s="2">
        <f>HYPERLINK("https://www.amazon.com/adidas-Womens-Running-Vapour-Ambient/dp/B08JMGDBBD/ref=sr_1_21?keywords=adidas+4DFWD+2+Shoe+-+Women%27s&amp;qid=1695124326&amp;sr=8-21", "https://www.amazon.com/adidas-Womens-Running-Vapour-Ambient/dp/B08JMGDBBD/ref=sr_1_21?keywords=adidas+4DFWD+2+Shoe+-+Women%27s&amp;qid=1695124326&amp;sr=8-21")</f>
        <v/>
      </c>
      <c r="F197" t="inlineStr">
        <is>
          <t>B08JMGDBBD</t>
        </is>
      </c>
      <c r="G197">
        <f>IMAGE("https://alssports.vtexassets.com/arquivos/ids/1396854-800-auto?v=638260048905170000&amp;width=800&amp;height=auto&amp;aspect=true")</f>
        <v/>
      </c>
      <c r="H197">
        <f>IMAGE("https://m.media-amazon.com/images/I/81UlbujxYGS._AC_UL320_.jpg")</f>
        <v/>
      </c>
      <c r="I197" t="inlineStr">
        <is>
          <t>79.98</t>
        </is>
      </c>
      <c r="J197" t="n">
        <v>56</v>
      </c>
      <c r="K197" s="3" t="inlineStr">
        <is>
          <t>-29.98%</t>
        </is>
      </c>
      <c r="L197" t="n">
        <v>4.5</v>
      </c>
      <c r="M197" t="n">
        <v>2589</v>
      </c>
      <c r="O197" t="inlineStr">
        <is>
          <t>InStock</t>
        </is>
      </c>
      <c r="P197" t="inlineStr">
        <is>
          <t>199.95</t>
        </is>
      </c>
      <c r="Q197" t="inlineStr">
        <is>
          <t>1285989</t>
        </is>
      </c>
    </row>
    <row r="198">
      <c r="A198" s="2">
        <f>HYPERLINK("https://www.als.com/mizuno-m-wave-sky-6/p?skuId=1249127", "https://www.als.com/mizuno-m-wave-sky-6/p?skuId=1249127")</f>
        <v/>
      </c>
      <c r="B198" s="2">
        <f>HYPERLINK("https://www.als.com/mizuno-m-wave-sky-6/p", "https://www.als.com/mizuno-m-wave-sky-6/p")</f>
        <v/>
      </c>
      <c r="C198" t="inlineStr">
        <is>
          <t>Mizuno Wave Sky 6 Wide Running Shoe - Men's</t>
        </is>
      </c>
      <c r="D198" t="inlineStr">
        <is>
          <t>Mizuno Men's Wave Sky 6 Running Shoe</t>
        </is>
      </c>
      <c r="E198" s="2">
        <f>HYPERLINK("https://www.amazon.com/Mizuno-Running-Water-Enamel-Blue-White/dp/B09Z7FV8HC/ref=sr_1_1?keywords=Mizuno+Wave+Sky+6+Wide+Running+Shoe+-+Mens&amp;qid=1695124408&amp;sr=8-1", "https://www.amazon.com/Mizuno-Running-Water-Enamel-Blue-White/dp/B09Z7FV8HC/ref=sr_1_1?keywords=Mizuno+Wave+Sky+6+Wide+Running+Shoe+-+Mens&amp;qid=1695124408&amp;sr=8-1")</f>
        <v/>
      </c>
      <c r="F198" t="inlineStr">
        <is>
          <t>B09Z7FV8HC</t>
        </is>
      </c>
      <c r="G198">
        <f>IMAGE("https://alssports.vtexassets.com/arquivos/ids/1277484-800-auto?v=638152954723900000&amp;width=800&amp;height=auto&amp;aspect=true")</f>
        <v/>
      </c>
      <c r="H198">
        <f>IMAGE("https://m.media-amazon.com/images/I/81nt3bvGpZL._AC_UL320_.jpg")</f>
        <v/>
      </c>
      <c r="I198" t="inlineStr">
        <is>
          <t>169.99</t>
        </is>
      </c>
      <c r="J198" t="n">
        <v>119</v>
      </c>
      <c r="K198" s="3" t="inlineStr">
        <is>
          <t>-30.00%</t>
        </is>
      </c>
      <c r="L198" t="n">
        <v>4.8</v>
      </c>
      <c r="M198" t="n">
        <v>43</v>
      </c>
      <c r="O198" t="inlineStr">
        <is>
          <t>InStock</t>
        </is>
      </c>
      <c r="P198" t="inlineStr">
        <is>
          <t>169.99</t>
        </is>
      </c>
      <c r="Q198" t="inlineStr">
        <is>
          <t>1249127</t>
        </is>
      </c>
    </row>
    <row r="199">
      <c r="A199" s="2">
        <f>HYPERLINK("https://www.als.com/coleha-m-shoe-grd-sprt-journeysnkr/p?skuId=1167213", "https://www.als.com/coleha-m-shoe-grd-sprt-journeysnkr/p?skuId=1167213")</f>
        <v/>
      </c>
      <c r="B199" s="2">
        <f>HYPERLINK("https://www.als.com/coleha-m-shoe-grd-sprt-journeysnkr/p", "https://www.als.com/coleha-m-shoe-grd-sprt-journeysnkr/p")</f>
        <v/>
      </c>
      <c r="C199" t="inlineStr">
        <is>
          <t>Cole Haan Grand Sports Journey Knit Sneaker - Men's</t>
        </is>
      </c>
      <c r="D199" t="inlineStr">
        <is>
          <t>Cole Haan Men's Original Grand Knit Wingtip II Sneaker</t>
        </is>
      </c>
      <c r="E199" s="2">
        <f>HYPERLINK("https://www.amazon.com/Cole-Haan-Original-Grand-Sneaker/dp/B07989JYTN/ref=sr_1_5?keywords=Cole+Haan+Grand+Sports+Journey+Knit+Sneaker+-+Mens&amp;qid=1695124313&amp;sr=8-5", "https://www.amazon.com/Cole-Haan-Original-Grand-Sneaker/dp/B07989JYTN/ref=sr_1_5?keywords=Cole+Haan+Grand+Sports+Journey+Knit+Sneaker+-+Mens&amp;qid=1695124313&amp;sr=8-5")</f>
        <v/>
      </c>
      <c r="F199" t="inlineStr">
        <is>
          <t>B07989JYTN</t>
        </is>
      </c>
      <c r="G199">
        <f>IMAGE("https://alssports.vtexassets.com/arquivos/ids/1214886-800-auto?v=638097528133370000&amp;width=800&amp;height=auto&amp;aspect=true")</f>
        <v/>
      </c>
      <c r="H199">
        <f>IMAGE("https://m.media-amazon.com/images/I/71GLAnzS9+L._AC_UL320_.jpg")</f>
        <v/>
      </c>
      <c r="I199" t="inlineStr">
        <is>
          <t>99.95</t>
        </is>
      </c>
      <c r="J199" t="n">
        <v>69.95</v>
      </c>
      <c r="K199" s="3" t="inlineStr">
        <is>
          <t>-30.02%</t>
        </is>
      </c>
      <c r="L199" t="n">
        <v>4.7</v>
      </c>
      <c r="M199" t="n">
        <v>3439</v>
      </c>
      <c r="O199" t="inlineStr">
        <is>
          <t>InStock</t>
        </is>
      </c>
      <c r="P199" t="inlineStr">
        <is>
          <t>194.95</t>
        </is>
      </c>
      <c r="Q199" t="inlineStr">
        <is>
          <t>1167213</t>
        </is>
      </c>
    </row>
    <row r="200">
      <c r="A200" s="2">
        <f>HYPERLINK("https://www.als.com/heydud-m-shoe-wally-washed-canvas/p?skuId=1317816", "https://www.als.com/heydud-m-shoe-wally-washed-canvas/p?skuId=1317816")</f>
        <v/>
      </c>
      <c r="B200" s="2">
        <f>HYPERLINK("https://www.als.com/heydud-m-shoe-wally-washed-canvas/p", "https://www.als.com/heydud-m-shoe-wally-washed-canvas/p")</f>
        <v/>
      </c>
      <c r="C200" t="inlineStr">
        <is>
          <t>Hey Dude Wally Washed Canvas Shoe - Men's</t>
        </is>
      </c>
      <c r="D200" t="inlineStr">
        <is>
          <t>Hey Dude Men's Wally Camo Size 12 | Men’s Shoes | Men's Lace Up Loafers | Comfortable &amp; Light-Weight</t>
        </is>
      </c>
      <c r="E200" s="2">
        <f>HYPERLINK("https://www.amazon.com/Hey-Dude-Mens-Wally-Camo/dp/B07YQRJX6F/ref=sr_1_38?keywords=Hey+Dude+Wally+Washed+Canvas+Shoe+-+Mens&amp;qid=1695124460&amp;sr=8-38", "https://www.amazon.com/Hey-Dude-Mens-Wally-Camo/dp/B07YQRJX6F/ref=sr_1_38?keywords=Hey+Dude+Wally+Washed+Canvas+Shoe+-+Mens&amp;qid=1695124460&amp;sr=8-38")</f>
        <v/>
      </c>
      <c r="F200" t="inlineStr">
        <is>
          <t>B07YQRJX6F</t>
        </is>
      </c>
      <c r="G200">
        <f>IMAGE("https://alssports.vtexassets.com/arquivos/ids/1388214-800-auto?v=638255521966130000&amp;width=800&amp;height=auto&amp;aspect=true")</f>
        <v/>
      </c>
      <c r="H200">
        <f>IMAGE("https://m.media-amazon.com/images/I/619avZIZHsL._AC_UL320_.jpg")</f>
        <v/>
      </c>
      <c r="I200" t="inlineStr">
        <is>
          <t>64.95</t>
        </is>
      </c>
      <c r="J200" t="n">
        <v>45.3</v>
      </c>
      <c r="K200" s="3" t="inlineStr">
        <is>
          <t>-30.25%</t>
        </is>
      </c>
      <c r="L200" t="n">
        <v>4.7</v>
      </c>
      <c r="M200" t="n">
        <v>858</v>
      </c>
      <c r="O200" t="inlineStr">
        <is>
          <t>InStock</t>
        </is>
      </c>
      <c r="P200" t="inlineStr">
        <is>
          <t>undefined</t>
        </is>
      </c>
      <c r="Q200" t="inlineStr">
        <is>
          <t>1317816</t>
        </is>
      </c>
    </row>
    <row r="201">
      <c r="A201" s="2">
        <f>HYPERLINK("https://www.als.com/reef-w-sandals-cushion-vista-hi/p?skuId=1280794", "https://www.als.com/reef-w-sandals-cushion-vista-hi/p?skuId=1280794")</f>
        <v/>
      </c>
      <c r="B201" s="2">
        <f>HYPERLINK("https://www.als.com/reef-w-sandals-cushion-vista-hi/p", "https://www.als.com/reef-w-sandals-cushion-vista-hi/p")</f>
        <v/>
      </c>
      <c r="C201" t="inlineStr">
        <is>
          <t>REEF Cushion Vista HI Slide - Women's</t>
        </is>
      </c>
      <c r="D201" t="inlineStr">
        <is>
          <t>Reef Women's Cushion Coast Sneaker</t>
        </is>
      </c>
      <c r="E201" s="2">
        <f>HYPERLINK("https://www.amazon.com/Reef-Womens-Cushion-Coast-Sneaker/dp/B09GMTWHHS/ref=sr_1_43?keywords=REEF+Cushion+Vista+HI+Slide+-+Women%27s&amp;qid=1695124489&amp;sr=8-43", "https://www.amazon.com/Reef-Womens-Cushion-Coast-Sneaker/dp/B09GMTWHHS/ref=sr_1_43?keywords=REEF+Cushion+Vista+HI+Slide+-+Women%27s&amp;qid=1695124489&amp;sr=8-43")</f>
        <v/>
      </c>
      <c r="F201" t="inlineStr">
        <is>
          <t>B09GMTWHHS</t>
        </is>
      </c>
      <c r="G201">
        <f>IMAGE("https://alssports.vtexassets.com/arquivos/ids/1252015-800-auto?v=638131199167330000&amp;width=800&amp;height=auto&amp;aspect=true")</f>
        <v/>
      </c>
      <c r="H201">
        <f>IMAGE("https://m.media-amazon.com/images/I/71mBLWnNRXL._AC_UL320_.jpg")</f>
        <v/>
      </c>
      <c r="I201" t="inlineStr">
        <is>
          <t>64.95</t>
        </is>
      </c>
      <c r="J201" t="n">
        <v>45.05</v>
      </c>
      <c r="K201" s="3" t="inlineStr">
        <is>
          <t>-30.64%</t>
        </is>
      </c>
      <c r="L201" t="n">
        <v>4.5</v>
      </c>
      <c r="M201" t="n">
        <v>421</v>
      </c>
      <c r="O201" t="inlineStr">
        <is>
          <t>InStock</t>
        </is>
      </c>
      <c r="P201" t="inlineStr">
        <is>
          <t>undefined</t>
        </is>
      </c>
      <c r="Q201" t="inlineStr">
        <is>
          <t>1280794</t>
        </is>
      </c>
    </row>
    <row r="202">
      <c r="A202" s="2">
        <f>HYPERLINK("https://www.als.com/heydud-m-shoe-wally-washed-canvas/p?skuId=1317816", "https://www.als.com/heydud-m-shoe-wally-washed-canvas/p?skuId=1317816")</f>
        <v/>
      </c>
      <c r="B202" s="2">
        <f>HYPERLINK("https://www.als.com/heydud-m-shoe-wally-washed-canvas/p", "https://www.als.com/heydud-m-shoe-wally-washed-canvas/p")</f>
        <v/>
      </c>
      <c r="C202" t="inlineStr">
        <is>
          <t>Hey Dude Wally Washed Canvas Shoe - Men's</t>
        </is>
      </c>
      <c r="D202" t="inlineStr">
        <is>
          <t>Hey Dude Men's Wally Sox Multiple Color &amp; Sizes | Men’s Shoes | Men's Lace Up Loafers | Comfortable &amp; Light-Weight</t>
        </is>
      </c>
      <c r="E202" s="2">
        <f>HYPERLINK("https://www.amazon.com/Hey-Dude-Loafers-Comfortable-Light-Weight/dp/B09HW128XM/ref=sr_1_25?keywords=Hey+Dude+Wally+Washed+Canvas+Shoe+-+Mens&amp;qid=1695124460&amp;sr=8-25", "https://www.amazon.com/Hey-Dude-Loafers-Comfortable-Light-Weight/dp/B09HW128XM/ref=sr_1_25?keywords=Hey+Dude+Wally+Washed+Canvas+Shoe+-+Mens&amp;qid=1695124460&amp;sr=8-25")</f>
        <v/>
      </c>
      <c r="F202" t="inlineStr">
        <is>
          <t>B09HW128XM</t>
        </is>
      </c>
      <c r="G202">
        <f>IMAGE("https://alssports.vtexassets.com/arquivos/ids/1388214-800-auto?v=638255521966130000&amp;width=800&amp;height=auto&amp;aspect=true")</f>
        <v/>
      </c>
      <c r="H202">
        <f>IMAGE("https://m.media-amazon.com/images/I/51HfkXIvULL._AC_UL320_.jpg")</f>
        <v/>
      </c>
      <c r="I202" t="inlineStr">
        <is>
          <t>64.95</t>
        </is>
      </c>
      <c r="J202" t="n">
        <v>44.99</v>
      </c>
      <c r="K202" s="3" t="inlineStr">
        <is>
          <t>-30.73%</t>
        </is>
      </c>
      <c r="L202" t="n">
        <v>4.8</v>
      </c>
      <c r="M202" t="n">
        <v>984</v>
      </c>
      <c r="O202" t="inlineStr">
        <is>
          <t>InStock</t>
        </is>
      </c>
      <c r="P202" t="inlineStr">
        <is>
          <t>undefined</t>
        </is>
      </c>
      <c r="Q202" t="inlineStr">
        <is>
          <t>1317816</t>
        </is>
      </c>
    </row>
    <row r="203">
      <c r="A203" s="2">
        <f>HYPERLINK("https://www.als.com/newbal-m-shoe-574v3/p?skuId=1094176", "https://www.als.com/newbal-m-shoe-574v3/p?skuId=1094176")</f>
        <v/>
      </c>
      <c r="B203" s="2">
        <f>HYPERLINK("https://www.als.com/newbal-m-shoe-574v3/p", "https://www.als.com/newbal-m-shoe-574v3/p")</f>
        <v/>
      </c>
      <c r="C203" t="inlineStr">
        <is>
          <t>New Balance 574 Core Shoe - Men's</t>
        </is>
      </c>
      <c r="D203" t="inlineStr">
        <is>
          <t>New Balance Men's 574 V2 Classic Sneaker</t>
        </is>
      </c>
      <c r="E203" s="2">
        <f>HYPERLINK("https://www.amazon.com/New-Balance-Sneaker-Incense-Mahogany/dp/B0817C32V8/ref=sr_1_7?keywords=New+Balance+574+Core+Shoe+-+Men%27s&amp;qid=1695124351&amp;sr=8-7", "https://www.amazon.com/New-Balance-Sneaker-Incense-Mahogany/dp/B0817C32V8/ref=sr_1_7?keywords=New+Balance+574+Core+Shoe+-+Men%27s&amp;qid=1695124351&amp;sr=8-7")</f>
        <v/>
      </c>
      <c r="F203" t="inlineStr">
        <is>
          <t>B0817C32V8</t>
        </is>
      </c>
      <c r="G203">
        <f>IMAGE("https://alssports.vtexassets.com/arquivos/ids/1118685-800-auto?v=637967832331470000&amp;width=800&amp;height=auto&amp;aspect=true")</f>
        <v/>
      </c>
      <c r="H203">
        <f>IMAGE("https://m.media-amazon.com/images/I/71B41KFOO2L._AC_UL320_.jpg")</f>
        <v/>
      </c>
      <c r="I203" t="inlineStr">
        <is>
          <t>59.46</t>
        </is>
      </c>
      <c r="J203" t="n">
        <v>41.18</v>
      </c>
      <c r="K203" s="3" t="inlineStr">
        <is>
          <t>-30.74%</t>
        </is>
      </c>
      <c r="L203" t="n">
        <v>4.6</v>
      </c>
      <c r="M203" t="n">
        <v>2912</v>
      </c>
      <c r="O203" t="inlineStr">
        <is>
          <t>InStock</t>
        </is>
      </c>
      <c r="P203" t="inlineStr">
        <is>
          <t>84.95</t>
        </is>
      </c>
      <c r="Q203" t="inlineStr">
        <is>
          <t>1094176</t>
        </is>
      </c>
    </row>
    <row r="204">
      <c r="A204" s="2">
        <f>HYPERLINK("https://www.als.com/chaco-m-sandal-zcloud/p?skuId=932120", "https://www.als.com/chaco-m-sandal-zcloud/p?skuId=932120")</f>
        <v/>
      </c>
      <c r="B204" s="2">
        <f>HYPERLINK("https://www.als.com/chaco-m-sandal-zcloud/p", "https://www.als.com/chaco-m-sandal-zcloud/p")</f>
        <v/>
      </c>
      <c r="C204" t="inlineStr">
        <is>
          <t>Chaco Z/Cloud Sandal - Men's</t>
        </is>
      </c>
      <c r="D204" t="inlineStr">
        <is>
          <t>Chaco Men's Zcloud 2 Sandal</t>
        </is>
      </c>
      <c r="E204" s="2">
        <f>HYPERLINK("https://www.amazon.com/Chaco-Cloud-Men-Solid-Black/dp/B07RRZD9B6/ref=sr_1_3?keywords=Chaco+Z%2FCloud+Sandal+-+Mens&amp;qid=1695124430&amp;sr=8-3", "https://www.amazon.com/Chaco-Cloud-Men-Solid-Black/dp/B07RRZD9B6/ref=sr_1_3?keywords=Chaco+Z%2FCloud+Sandal+-+Mens&amp;qid=1695124430&amp;sr=8-3")</f>
        <v/>
      </c>
      <c r="F204" t="inlineStr">
        <is>
          <t>B07RRZD9B6</t>
        </is>
      </c>
      <c r="G204">
        <f>IMAGE("https://alssports.vtexassets.com/arquivos/ids/1082383-800-auto?v=637913737461500000&amp;width=800&amp;height=auto&amp;aspect=true")</f>
        <v/>
      </c>
      <c r="H204">
        <f>IMAGE("https://m.media-amazon.com/images/I/71Gvns887ML._AC_UL320_.jpg")</f>
        <v/>
      </c>
      <c r="I204" t="inlineStr">
        <is>
          <t>104.95</t>
        </is>
      </c>
      <c r="J204" t="n">
        <v>72.29000000000001</v>
      </c>
      <c r="K204" s="3" t="inlineStr">
        <is>
          <t>-31.12%</t>
        </is>
      </c>
      <c r="L204" t="n">
        <v>4.5</v>
      </c>
      <c r="M204" t="n">
        <v>1299</v>
      </c>
      <c r="O204" t="inlineStr">
        <is>
          <t>InStock</t>
        </is>
      </c>
      <c r="P204" t="inlineStr">
        <is>
          <t>undefined</t>
        </is>
      </c>
      <c r="Q204" t="inlineStr">
        <is>
          <t>932120</t>
        </is>
      </c>
    </row>
    <row r="205">
      <c r="A205" s="2">
        <f>HYPERLINK("https://www.als.com/under-m-charged-verssert-run-shoe/p?skuId=1204906", "https://www.als.com/under-m-charged-verssert-run-shoe/p?skuId=1204906")</f>
        <v/>
      </c>
      <c r="B205" s="2">
        <f>HYPERLINK("https://www.als.com/under-m-charged-verssert-run-shoe/p", "https://www.als.com/under-m-charged-verssert-run-shoe/p")</f>
        <v/>
      </c>
      <c r="C205" t="inlineStr">
        <is>
          <t>Under Armour Charged Verssert Running Shoe - Men's</t>
        </is>
      </c>
      <c r="D205" t="inlineStr">
        <is>
          <t>Under Armour Men's Charged Rogue 2 Twist Running Shoe</t>
        </is>
      </c>
      <c r="E205" s="2">
        <f>HYPERLINK("https://www.amazon.com/Under-Armour-Charged-Rogue-Running/dp/B07Z79P6XX/ref=sr_1_27?keywords=Under+Armour+Charged+Verssert+Running+Shoe+-+Mens&amp;qid=1695124491&amp;sr=8-27", "https://www.amazon.com/Under-Armour-Charged-Rogue-Running/dp/B07Z79P6XX/ref=sr_1_27?keywords=Under+Armour+Charged+Verssert+Running+Shoe+-+Mens&amp;qid=1695124491&amp;sr=8-27")</f>
        <v/>
      </c>
      <c r="F205" t="inlineStr">
        <is>
          <t>B07Z79P6XX</t>
        </is>
      </c>
      <c r="G205">
        <f>IMAGE("https://alssports.vtexassets.com/arquivos/ids/1282426-800-auto?v=638158001411130000&amp;width=800&amp;height=auto&amp;aspect=true")</f>
        <v/>
      </c>
      <c r="H205">
        <f>IMAGE("https://m.media-amazon.com/images/I/61K3+xSyKQL._AC_UL320_.jpg")</f>
        <v/>
      </c>
      <c r="I205" t="inlineStr">
        <is>
          <t>75.0</t>
        </is>
      </c>
      <c r="J205" t="n">
        <v>51.58</v>
      </c>
      <c r="K205" s="3" t="inlineStr">
        <is>
          <t>-31.23%</t>
        </is>
      </c>
      <c r="L205" t="n">
        <v>4.6</v>
      </c>
      <c r="M205" t="n">
        <v>662</v>
      </c>
      <c r="O205" t="inlineStr">
        <is>
          <t>InStock</t>
        </is>
      </c>
      <c r="P205" t="inlineStr">
        <is>
          <t>undefined</t>
        </is>
      </c>
      <c r="Q205" t="inlineStr">
        <is>
          <t>1204906</t>
        </is>
      </c>
    </row>
    <row r="206">
      <c r="A206" s="2">
        <f>HYPERLINK("https://www.als.com/altra-w-shoe-timp-4/p?skuId=929220", "https://www.als.com/altra-w-shoe-timp-4/p?skuId=929220")</f>
        <v/>
      </c>
      <c r="B206" s="2">
        <f>HYPERLINK("https://www.als.com/altra-w-shoe-timp-4/p", "https://www.als.com/altra-w-shoe-timp-4/p")</f>
        <v/>
      </c>
      <c r="C206" t="inlineStr">
        <is>
          <t>Altra Timp 4 Running Shoe - Women's</t>
        </is>
      </c>
      <c r="D206" t="inlineStr">
        <is>
          <t>ALTRA Women's AL0A4VR4 Superior 4.5 Trail Running Shoe</t>
        </is>
      </c>
      <c r="E206" s="2">
        <f>HYPERLINK("https://www.amazon.com/ALTRA-Womens-AL0A4VR4-Superior-Running/dp/B082Q14L4H/ref=sr_1_30?keywords=Altra+Timp+4+Running+Shoe+-+Womens&amp;qid=1695124369&amp;sr=8-30", "https://www.amazon.com/ALTRA-Womens-AL0A4VR4-Superior-Running/dp/B082Q14L4H/ref=sr_1_30?keywords=Altra+Timp+4+Running+Shoe+-+Womens&amp;qid=1695124369&amp;sr=8-30")</f>
        <v/>
      </c>
      <c r="F206" t="inlineStr">
        <is>
          <t>B082Q14L4H</t>
        </is>
      </c>
      <c r="G206">
        <f>IMAGE("https://alssports.vtexassets.com/arquivos/ids/1112796-800-auto?v=637957454637830000&amp;width=800&amp;height=auto&amp;aspect=true")</f>
        <v/>
      </c>
      <c r="H206">
        <f>IMAGE("https://m.media-amazon.com/images/I/71eJCFnw6AL._AC_UL320_.jpg")</f>
        <v/>
      </c>
      <c r="I206" t="inlineStr">
        <is>
          <t>159.95</t>
        </is>
      </c>
      <c r="J206" t="n">
        <v>109.95</v>
      </c>
      <c r="K206" s="3" t="inlineStr">
        <is>
          <t>-31.26%</t>
        </is>
      </c>
      <c r="L206" t="n">
        <v>4.5</v>
      </c>
      <c r="M206" t="n">
        <v>716</v>
      </c>
      <c r="O206" t="inlineStr">
        <is>
          <t>InStock</t>
        </is>
      </c>
      <c r="P206" t="inlineStr">
        <is>
          <t>129.95</t>
        </is>
      </c>
      <c r="Q206" t="inlineStr">
        <is>
          <t>929220</t>
        </is>
      </c>
    </row>
    <row r="207">
      <c r="A207" s="2">
        <f>HYPERLINK("https://www.als.com/chaco-m-sandal-zcloud/p?skuId=932120", "https://www.als.com/chaco-m-sandal-zcloud/p?skuId=932120")</f>
        <v/>
      </c>
      <c r="B207" s="2">
        <f>HYPERLINK("https://www.als.com/chaco-m-sandal-zcloud/p", "https://www.als.com/chaco-m-sandal-zcloud/p")</f>
        <v/>
      </c>
      <c r="C207" t="inlineStr">
        <is>
          <t>Chaco Z/Cloud Sandal - Men's</t>
        </is>
      </c>
      <c r="D207" t="inlineStr">
        <is>
          <t>Chaco Men's Zcloud</t>
        </is>
      </c>
      <c r="E207" s="2">
        <f>HYPERLINK("https://www.amazon.com/Chaco-Zcloud-Athletic-Sandal-Acero/dp/B01H5RBS0G/ref=sr_1_29?keywords=Chaco+Z%2FCloud+Sandal+-+Mens&amp;qid=1695124430&amp;sr=8-29", "https://www.amazon.com/Chaco-Zcloud-Athletic-Sandal-Acero/dp/B01H5RBS0G/ref=sr_1_29?keywords=Chaco+Z%2FCloud+Sandal+-+Mens&amp;qid=1695124430&amp;sr=8-29")</f>
        <v/>
      </c>
      <c r="F207" t="inlineStr">
        <is>
          <t>B01H5RBS0G</t>
        </is>
      </c>
      <c r="G207">
        <f>IMAGE("https://alssports.vtexassets.com/arquivos/ids/1082383-800-auto?v=637913737461500000&amp;width=800&amp;height=auto&amp;aspect=true")</f>
        <v/>
      </c>
      <c r="H207">
        <f>IMAGE("https://m.media-amazon.com/images/I/71a7NY+MjtL._AC_UL320_.jpg")</f>
        <v/>
      </c>
      <c r="I207" t="inlineStr">
        <is>
          <t>104.95</t>
        </is>
      </c>
      <c r="J207" t="n">
        <v>71.56999999999999</v>
      </c>
      <c r="K207" s="3" t="inlineStr">
        <is>
          <t>-31.81%</t>
        </is>
      </c>
      <c r="L207" t="n">
        <v>4.7</v>
      </c>
      <c r="M207" t="n">
        <v>18</v>
      </c>
      <c r="O207" t="inlineStr">
        <is>
          <t>InStock</t>
        </is>
      </c>
      <c r="P207" t="inlineStr">
        <is>
          <t>undefined</t>
        </is>
      </c>
      <c r="Q207" t="inlineStr">
        <is>
          <t>932120</t>
        </is>
      </c>
    </row>
    <row r="208">
      <c r="A208" s="2">
        <f>HYPERLINK("https://www.als.com/pflueg-reel-supreme-xt-spinning/p?skuId=943388", "https://www.als.com/pflueg-reel-supreme-xt-spinning/p?skuId=943388")</f>
        <v/>
      </c>
      <c r="B208" s="2">
        <f>HYPERLINK("https://www.als.com/pflueg-reel-supreme-xt-spinning/p", "https://www.als.com/pflueg-reel-supreme-xt-spinning/p")</f>
        <v/>
      </c>
      <c r="C208" t="inlineStr">
        <is>
          <t>Pflueger Supreme XT Spinning Reel</t>
        </is>
      </c>
      <c r="D208" t="inlineStr">
        <is>
          <t>Pflueger Supreme Spinning Fishing Reel</t>
        </is>
      </c>
      <c r="E208" s="2">
        <f>HYPERLINK("https://www.amazon.com/Pflueger-Supreme-Spinning-Fishing-Reel/dp/B096GB968T/ref=sr_1_6?keywords=Pflueger+Supreme+XT+Spinning+Reel&amp;qid=1695124336&amp;sr=8-6", "https://www.amazon.com/Pflueger-Supreme-Spinning-Fishing-Reel/dp/B096GB968T/ref=sr_1_6?keywords=Pflueger+Supreme+XT+Spinning+Reel&amp;qid=1695124336&amp;sr=8-6")</f>
        <v/>
      </c>
      <c r="F208" t="inlineStr">
        <is>
          <t>B096GB968T</t>
        </is>
      </c>
      <c r="G208">
        <f>IMAGE("https://alssports.vtexassets.com/arquivos/ids/1053300-800-auto?v=637867095703370000&amp;width=800&amp;height=auto&amp;aspect=true")</f>
        <v/>
      </c>
      <c r="H208">
        <f>IMAGE("https://m.media-amazon.com/images/I/81ARLyEdS8L._AC_UY218_.jpg")</f>
        <v/>
      </c>
      <c r="I208" t="inlineStr">
        <is>
          <t>169.95</t>
        </is>
      </c>
      <c r="J208" t="n">
        <v>114.7</v>
      </c>
      <c r="K208" s="3" t="inlineStr">
        <is>
          <t>-32.51%</t>
        </is>
      </c>
      <c r="L208" t="n">
        <v>4.7</v>
      </c>
      <c r="M208" t="n">
        <v>380</v>
      </c>
      <c r="O208" t="inlineStr">
        <is>
          <t>InStock</t>
        </is>
      </c>
      <c r="P208" t="inlineStr">
        <is>
          <t>undefined</t>
        </is>
      </c>
      <c r="Q208" t="inlineStr">
        <is>
          <t>943388</t>
        </is>
      </c>
    </row>
    <row r="209">
      <c r="A209" s="2">
        <f>HYPERLINK("https://www.als.com/keen-w-koven/p?skuId=1240446", "https://www.als.com/keen-w-koven/p?skuId=1240446")</f>
        <v/>
      </c>
      <c r="B209" s="2">
        <f>HYPERLINK("https://www.als.com/keen-w-koven/p", "https://www.als.com/keen-w-koven/p")</f>
        <v/>
      </c>
      <c r="C209" t="inlineStr">
        <is>
          <t>KEEN Koven Hiking Shoe - Women's</t>
        </is>
      </c>
      <c r="D209" t="inlineStr">
        <is>
          <t>KEEN Women's Circadia Vent Low Height Breathable Hiking Shoes</t>
        </is>
      </c>
      <c r="E209" s="2">
        <f>HYPERLINK("https://www.amazon.com/KEEN-Womens-Circadia-Height-Breathable/dp/B09T782NT3/ref=sr_1_28?keywords=KEEN+Koven+Hiking+Shoe+-+Women%27s&amp;qid=1695124139&amp;sr=8-28", "https://www.amazon.com/KEEN-Womens-Circadia-Height-Breathable/dp/B09T782NT3/ref=sr_1_28?keywords=KEEN+Koven+Hiking+Shoe+-+Women%27s&amp;qid=1695124139&amp;sr=8-28")</f>
        <v/>
      </c>
      <c r="F209" t="inlineStr">
        <is>
          <t>B09T782NT3</t>
        </is>
      </c>
      <c r="G209">
        <f>IMAGE("https://alssports.vtexassets.com/arquivos/ids/1211483-800-auto?v=638091747520730000&amp;width=800&amp;height=auto&amp;aspect=true")</f>
        <v/>
      </c>
      <c r="H209">
        <f>IMAGE("https://m.media-amazon.com/images/I/71yw6CsXY4L._AC_UL320_.jpg")</f>
        <v/>
      </c>
      <c r="I209" t="inlineStr">
        <is>
          <t>119.99</t>
        </is>
      </c>
      <c r="J209" t="n">
        <v>80.51000000000001</v>
      </c>
      <c r="K209" s="3" t="inlineStr">
        <is>
          <t>-32.90%</t>
        </is>
      </c>
      <c r="L209" t="n">
        <v>4.5</v>
      </c>
      <c r="M209" t="n">
        <v>137</v>
      </c>
      <c r="O209" t="inlineStr">
        <is>
          <t>InStock</t>
        </is>
      </c>
      <c r="P209" t="inlineStr">
        <is>
          <t>undefined</t>
        </is>
      </c>
      <c r="Q209" t="inlineStr">
        <is>
          <t>1240446</t>
        </is>
      </c>
    </row>
    <row r="210">
      <c r="A210" s="2">
        <f>HYPERLINK("https://www.als.com/mizuno-w-wave-sky-6/p?skuId=1262559", "https://www.als.com/mizuno-w-wave-sky-6/p?skuId=1262559")</f>
        <v/>
      </c>
      <c r="B210" s="2">
        <f>HYPERLINK("https://www.als.com/mizuno-w-wave-sky-6/p", "https://www.als.com/mizuno-w-wave-sky-6/p")</f>
        <v/>
      </c>
      <c r="C210" t="inlineStr">
        <is>
          <t>Mizuno Wave Sky 6 Running Shoe - Women's</t>
        </is>
      </c>
      <c r="D210" t="inlineStr">
        <is>
          <t>Mizuno Women's Wave Horizon 5 Running Shoe</t>
        </is>
      </c>
      <c r="E210" s="2">
        <f>HYPERLINK("https://www.amazon.com/Mizuno-411305-7BBB-09-0800-Wave-Horizon-5/dp/B086FKJ3T6/ref=sr_1_16?keywords=Mizuno+Wave+Sky+6+Running+Shoe+-+Women%27s&amp;qid=1695124449&amp;sr=8-16", "https://www.amazon.com/Mizuno-411305-7BBB-09-0800-Wave-Horizon-5/dp/B086FKJ3T6/ref=sr_1_16?keywords=Mizuno+Wave+Sky+6+Running+Shoe+-+Women%27s&amp;qid=1695124449&amp;sr=8-16")</f>
        <v/>
      </c>
      <c r="F210" t="inlineStr">
        <is>
          <t>B086FKJ3T6</t>
        </is>
      </c>
      <c r="G210">
        <f>IMAGE("https://alssports.vtexassets.com/arquivos/ids/1277387-800-auto?v=638152938174200000&amp;width=800&amp;height=auto&amp;aspect=true")</f>
        <v/>
      </c>
      <c r="H210">
        <f>IMAGE("https://m.media-amazon.com/images/I/81SoZy0-atL._AC_UL320_.jpg")</f>
        <v/>
      </c>
      <c r="I210" t="inlineStr">
        <is>
          <t>169.99</t>
        </is>
      </c>
      <c r="J210" t="n">
        <v>113.97</v>
      </c>
      <c r="K210" s="3" t="inlineStr">
        <is>
          <t>-32.95%</t>
        </is>
      </c>
      <c r="L210" t="n">
        <v>4.6</v>
      </c>
      <c r="M210" t="n">
        <v>136</v>
      </c>
      <c r="O210" t="inlineStr">
        <is>
          <t>InStock</t>
        </is>
      </c>
      <c r="P210" t="inlineStr">
        <is>
          <t>170.0</t>
        </is>
      </c>
      <c r="Q210" t="inlineStr">
        <is>
          <t>1262559</t>
        </is>
      </c>
    </row>
    <row r="211">
      <c r="A211" s="2">
        <f>HYPERLINK("https://www.als.com/heydud-m-shoe-wally-washed-canvas/p?skuId=1317816", "https://www.als.com/heydud-m-shoe-wally-washed-canvas/p?skuId=1317816")</f>
        <v/>
      </c>
      <c r="B211" s="2">
        <f>HYPERLINK("https://www.als.com/heydud-m-shoe-wally-washed-canvas/p", "https://www.als.com/heydud-m-shoe-wally-washed-canvas/p")</f>
        <v/>
      </c>
      <c r="C211" t="inlineStr">
        <is>
          <t>Hey Dude Wally Washed Canvas Shoe - Men's</t>
        </is>
      </c>
      <c r="D211" t="inlineStr">
        <is>
          <t>Hey Dude Men's Wally Sox | Men's Loafers | Men's Slip On Shoes | Comfortable &amp; Light-Weight</t>
        </is>
      </c>
      <c r="E211" s="2">
        <f>HYPERLINK("https://www.amazon.com/Hey-Dude-Loafers-Comfortable-Light-Weight/dp/B0B9WNX4XP/ref=sr_1_23?keywords=Hey+Dude+Wally+Washed+Canvas+Shoe+-+Mens&amp;qid=1695124460&amp;sr=8-23", "https://www.amazon.com/Hey-Dude-Loafers-Comfortable-Light-Weight/dp/B0B9WNX4XP/ref=sr_1_23?keywords=Hey+Dude+Wally+Washed+Canvas+Shoe+-+Mens&amp;qid=1695124460&amp;sr=8-23")</f>
        <v/>
      </c>
      <c r="F211" t="inlineStr">
        <is>
          <t>B0B9WNX4XP</t>
        </is>
      </c>
      <c r="G211">
        <f>IMAGE("https://alssports.vtexassets.com/arquivos/ids/1388214-800-auto?v=638255521966130000&amp;width=800&amp;height=auto&amp;aspect=true")</f>
        <v/>
      </c>
      <c r="H211">
        <f>IMAGE("https://m.media-amazon.com/images/I/61h7jdSG4uL._AC_UL320_.jpg")</f>
        <v/>
      </c>
      <c r="I211" t="inlineStr">
        <is>
          <t>64.95</t>
        </is>
      </c>
      <c r="J211" t="n">
        <v>43.42</v>
      </c>
      <c r="K211" s="3" t="inlineStr">
        <is>
          <t>-33.15%</t>
        </is>
      </c>
      <c r="L211" t="n">
        <v>4.7</v>
      </c>
      <c r="M211" t="n">
        <v>239</v>
      </c>
      <c r="O211" t="inlineStr">
        <is>
          <t>InStock</t>
        </is>
      </c>
      <c r="P211" t="inlineStr">
        <is>
          <t>undefined</t>
        </is>
      </c>
      <c r="Q211" t="inlineStr">
        <is>
          <t>1317816</t>
        </is>
      </c>
    </row>
    <row r="212">
      <c r="A212" s="2">
        <f>HYPERLINK("https://www.als.com/smitho-goggle-skyline/p?skuId=1073396", "https://www.als.com/smitho-goggle-skyline/p?skuId=1073396")</f>
        <v/>
      </c>
      <c r="B212" s="2">
        <f>HYPERLINK("https://www.als.com/smitho-goggle-skyline/p", "https://www.als.com/smitho-goggle-skyline/p")</f>
        <v/>
      </c>
      <c r="C212" t="inlineStr">
        <is>
          <t>Smith Optics Skyline Snow Goggle</t>
        </is>
      </c>
      <c r="D212" t="inlineStr">
        <is>
          <t>Smith Optics Frontier Unisex Snow Winter Goggles</t>
        </is>
      </c>
      <c r="E212" s="2">
        <f>HYPERLINK("https://www.amazon.com/SMITH-Frontier-Snow-Goggle-French/dp/B097FDGXMM/ref=sr_1_25?keywords=Smith+Optics+Skyline+Snow+Goggle&amp;qid=1695124362&amp;sr=8-25", "https://www.amazon.com/SMITH-Frontier-Snow-Goggle-French/dp/B097FDGXMM/ref=sr_1_25?keywords=Smith+Optics+Skyline+Snow+Goggle&amp;qid=1695124362&amp;sr=8-25")</f>
        <v/>
      </c>
      <c r="F212" t="inlineStr">
        <is>
          <t>B097FDGXMM</t>
        </is>
      </c>
      <c r="G212">
        <f>IMAGE("https://alssports.vtexassets.com/arquivos/ids/1173752-800-auto?v=638042496618870000&amp;width=800&amp;height=auto&amp;aspect=true")</f>
        <v/>
      </c>
      <c r="H212">
        <f>IMAGE("https://m.media-amazon.com/images/I/71UONFt1E9L._AC_UL320_.jpg")</f>
        <v/>
      </c>
      <c r="I212" t="inlineStr">
        <is>
          <t>60.0</t>
        </is>
      </c>
      <c r="J212" t="n">
        <v>40</v>
      </c>
      <c r="K212" s="3" t="inlineStr">
        <is>
          <t>-33.33%</t>
        </is>
      </c>
      <c r="L212" t="n">
        <v>4.7</v>
      </c>
      <c r="M212" t="n">
        <v>383</v>
      </c>
      <c r="O212" t="inlineStr">
        <is>
          <t>InStock</t>
        </is>
      </c>
      <c r="P212" t="inlineStr">
        <is>
          <t>170.0</t>
        </is>
      </c>
      <c r="Q212" t="inlineStr">
        <is>
          <t>1073396</t>
        </is>
      </c>
    </row>
    <row r="213">
      <c r="A213" s="2">
        <f>HYPERLINK("https://www.als.com/under-m-charged-verssert-run-shoe/p?skuId=1204906", "https://www.als.com/under-m-charged-verssert-run-shoe/p?skuId=1204906")</f>
        <v/>
      </c>
      <c r="B213" s="2">
        <f>HYPERLINK("https://www.als.com/under-m-charged-verssert-run-shoe/p", "https://www.als.com/under-m-charged-verssert-run-shoe/p")</f>
        <v/>
      </c>
      <c r="C213" t="inlineStr">
        <is>
          <t>Under Armour Charged Verssert Running Shoe - Men's</t>
        </is>
      </c>
      <c r="D213" t="inlineStr">
        <is>
          <t>Under Armour Men's Charged Assert 9 Running Shoe</t>
        </is>
      </c>
      <c r="E213" s="2">
        <f>HYPERLINK("https://www.amazon.com/Under-Armour-Charged-Assert-Downpour/dp/B0BN1K1NXX/ref=sr_1_13?keywords=Under+Armour+Charged+Verssert+Running+Shoe+-+Mens&amp;qid=1695124491&amp;sr=8-13", "https://www.amazon.com/Under-Armour-Charged-Assert-Downpour/dp/B0BN1K1NXX/ref=sr_1_13?keywords=Under+Armour+Charged+Verssert+Running+Shoe+-+Mens&amp;qid=1695124491&amp;sr=8-13")</f>
        <v/>
      </c>
      <c r="F213" t="inlineStr">
        <is>
          <t>B0BN1K1NXX</t>
        </is>
      </c>
      <c r="G213">
        <f>IMAGE("https://alssports.vtexassets.com/arquivos/ids/1282426-800-auto?v=638158001411130000&amp;width=800&amp;height=auto&amp;aspect=true")</f>
        <v/>
      </c>
      <c r="H213">
        <f>IMAGE("https://m.media-amazon.com/images/I/815IxOvSBtL._AC_UL320_.jpg")</f>
        <v/>
      </c>
      <c r="I213" t="inlineStr">
        <is>
          <t>75.0</t>
        </is>
      </c>
      <c r="J213" t="n">
        <v>49.95</v>
      </c>
      <c r="K213" s="3" t="inlineStr">
        <is>
          <t>-33.40%</t>
        </is>
      </c>
      <c r="L213" t="n">
        <v>4.5</v>
      </c>
      <c r="M213" t="n">
        <v>216</v>
      </c>
      <c r="O213" t="inlineStr">
        <is>
          <t>InStock</t>
        </is>
      </c>
      <c r="P213" t="inlineStr">
        <is>
          <t>undefined</t>
        </is>
      </c>
      <c r="Q213" t="inlineStr">
        <is>
          <t>1204906</t>
        </is>
      </c>
    </row>
    <row r="214">
      <c r="A214" s="2">
        <f>HYPERLINK("https://www.als.com/conti-tire-grand-prix-5000-s-tr/p?skuId=971397", "https://www.als.com/conti-tire-grand-prix-5000-s-tr/p?skuId=971397")</f>
        <v/>
      </c>
      <c r="B214" s="2">
        <f>HYPERLINK("https://www.als.com/conti-tire-grand-prix-5000-s-tr/p", "https://www.als.com/conti-tire-grand-prix-5000-s-tr/p")</f>
        <v/>
      </c>
      <c r="C214" t="inlineStr">
        <is>
          <t>Continental Tires Continental Grand Prix 5000 S TR Tire</t>
        </is>
      </c>
      <c r="D214" t="inlineStr">
        <is>
          <t>Continental Grand Prix 5000 S TR Tubeless Tire</t>
        </is>
      </c>
      <c r="E214" s="2">
        <f>HYPERLINK("https://www.amazon.com/Continental-Grand-Prix-5000-Tire/dp/B09HS53FYS/ref=sr_1_2?keywords=Continental+Tires+Continental+Grand+Prix+5000+S+TR+Tire&amp;qid=1695124461&amp;sr=8-2", "https://www.amazon.com/Continental-Grand-Prix-5000-Tire/dp/B09HS53FYS/ref=sr_1_2?keywords=Continental+Tires+Continental+Grand+Prix+5000+S+TR+Tire&amp;qid=1695124461&amp;sr=8-2")</f>
        <v/>
      </c>
      <c r="F214" t="inlineStr">
        <is>
          <t>B09HS53FYS</t>
        </is>
      </c>
      <c r="G214">
        <f>IMAGE("https://alssports.vtexassets.com/arquivos/ids/1235281-800-auto?v=638114086611970000&amp;width=800&amp;height=auto&amp;aspect=true")</f>
        <v/>
      </c>
      <c r="H214">
        <f>IMAGE("https://m.media-amazon.com/images/I/81o0jt5deJL._AC_UL320_.jpg")</f>
        <v/>
      </c>
      <c r="I214" t="inlineStr">
        <is>
          <t>99.95</t>
        </is>
      </c>
      <c r="J214" t="n">
        <v>65.73</v>
      </c>
      <c r="K214" s="3" t="inlineStr">
        <is>
          <t>-34.24%</t>
        </is>
      </c>
      <c r="L214" t="n">
        <v>4.7</v>
      </c>
      <c r="M214" t="n">
        <v>319</v>
      </c>
      <c r="O214" t="inlineStr">
        <is>
          <t>InStock</t>
        </is>
      </c>
      <c r="P214" t="inlineStr">
        <is>
          <t>undefined</t>
        </is>
      </c>
      <c r="Q214" t="inlineStr">
        <is>
          <t>971397</t>
        </is>
      </c>
    </row>
    <row r="215">
      <c r="A215" s="2">
        <f>HYPERLINK("https://www.als.com/heydud-m-shoe-wally-washed-canvas/p?skuId=1317816", "https://www.als.com/heydud-m-shoe-wally-washed-canvas/p?skuId=1317816")</f>
        <v/>
      </c>
      <c r="B215" s="2">
        <f>HYPERLINK("https://www.als.com/heydud-m-shoe-wally-washed-canvas/p", "https://www.als.com/heydud-m-shoe-wally-washed-canvas/p")</f>
        <v/>
      </c>
      <c r="C215" t="inlineStr">
        <is>
          <t>Hey Dude Wally Washed Canvas Shoe - Men's</t>
        </is>
      </c>
      <c r="D215" t="inlineStr">
        <is>
          <t>Hey Dude Men's All Wally Styles | Men’s Shoes | Men's Lace Up Loafers | Comfortable &amp; Light-Weight</t>
        </is>
      </c>
      <c r="E215" s="2">
        <f>HYPERLINK("https://www.amazon.com/Hey-Dude-Mens-Wally-Camo/dp/B07YQRFQCW/ref=sr_1_15?keywords=Hey+Dude+Wally+Washed+Canvas+Shoe+-+Mens&amp;qid=1695124460&amp;sr=8-15", "https://www.amazon.com/Hey-Dude-Mens-Wally-Camo/dp/B07YQRFQCW/ref=sr_1_15?keywords=Hey+Dude+Wally+Washed+Canvas+Shoe+-+Mens&amp;qid=1695124460&amp;sr=8-15")</f>
        <v/>
      </c>
      <c r="F215" t="inlineStr">
        <is>
          <t>B07YQRFQCW</t>
        </is>
      </c>
      <c r="G215">
        <f>IMAGE("https://alssports.vtexassets.com/arquivos/ids/1388214-800-auto?v=638255521966130000&amp;width=800&amp;height=auto&amp;aspect=true")</f>
        <v/>
      </c>
      <c r="H215">
        <f>IMAGE("https://m.media-amazon.com/images/I/619avZIZHsL._AC_UL320_.jpg")</f>
        <v/>
      </c>
      <c r="I215" t="inlineStr">
        <is>
          <t>64.95</t>
        </is>
      </c>
      <c r="J215" t="n">
        <v>42.24</v>
      </c>
      <c r="K215" s="3" t="inlineStr">
        <is>
          <t>-34.97%</t>
        </is>
      </c>
      <c r="L215" t="n">
        <v>4.7</v>
      </c>
      <c r="M215" t="n">
        <v>26435</v>
      </c>
      <c r="O215" t="inlineStr">
        <is>
          <t>InStock</t>
        </is>
      </c>
      <c r="P215" t="inlineStr">
        <is>
          <t>undefined</t>
        </is>
      </c>
      <c r="Q215" t="inlineStr">
        <is>
          <t>1317816</t>
        </is>
      </c>
    </row>
    <row r="216">
      <c r="A216" s="2">
        <f>HYPERLINK("https://www.als.com/heydud-m-shoe-wally-washed-canvas/p?skuId=1317816", "https://www.als.com/heydud-m-shoe-wally-washed-canvas/p?skuId=1317816")</f>
        <v/>
      </c>
      <c r="B216" s="2">
        <f>HYPERLINK("https://www.als.com/heydud-m-shoe-wally-washed-canvas/p", "https://www.als.com/heydud-m-shoe-wally-washed-canvas/p")</f>
        <v/>
      </c>
      <c r="C216" t="inlineStr">
        <is>
          <t>Hey Dude Wally Washed Canvas Shoe - Men's</t>
        </is>
      </c>
      <c r="D216" t="inlineStr">
        <is>
          <t>Hey Dude Men's Wally H2O | Men's Loafers | Men's Slip On Shoes | Comfortable &amp; Light-Weight</t>
        </is>
      </c>
      <c r="E216" s="2">
        <f>HYPERLINK("https://www.amazon.com/Hey-Dude-Loafers-Comfortable-Light-Weight/dp/B0C1PWB26Y/ref=sr_1_11?keywords=Hey+Dude+Wally+Washed+Canvas+Shoe+-+Mens&amp;qid=1695124460&amp;sr=8-11", "https://www.amazon.com/Hey-Dude-Loafers-Comfortable-Light-Weight/dp/B0C1PWB26Y/ref=sr_1_11?keywords=Hey+Dude+Wally+Washed+Canvas+Shoe+-+Mens&amp;qid=1695124460&amp;sr=8-11")</f>
        <v/>
      </c>
      <c r="F216" t="inlineStr">
        <is>
          <t>B0C1PWB26Y</t>
        </is>
      </c>
      <c r="G216">
        <f>IMAGE("https://alssports.vtexassets.com/arquivos/ids/1388214-800-auto?v=638255521966130000&amp;width=800&amp;height=auto&amp;aspect=true")</f>
        <v/>
      </c>
      <c r="H216">
        <f>IMAGE("https://m.media-amazon.com/images/I/61CrcTckCuL._AC_UL320_.jpg")</f>
        <v/>
      </c>
      <c r="I216" t="inlineStr">
        <is>
          <t>64.95</t>
        </is>
      </c>
      <c r="J216" t="n">
        <v>42.24</v>
      </c>
      <c r="K216" s="3" t="inlineStr">
        <is>
          <t>-34.97%</t>
        </is>
      </c>
      <c r="L216" t="n">
        <v>4.8</v>
      </c>
      <c r="M216" t="n">
        <v>246</v>
      </c>
      <c r="O216" t="inlineStr">
        <is>
          <t>InStock</t>
        </is>
      </c>
      <c r="P216" t="inlineStr">
        <is>
          <t>undefined</t>
        </is>
      </c>
      <c r="Q216" t="inlineStr">
        <is>
          <t>1317816</t>
        </is>
      </c>
    </row>
    <row r="217">
      <c r="A217" s="2">
        <f>HYPERLINK("https://www.als.com/heydud-m-shoe-wally-braided/p?skuId=599445", "https://www.als.com/heydud-m-shoe-wally-braided/p?skuId=599445")</f>
        <v/>
      </c>
      <c r="B217" s="2">
        <f>HYPERLINK("https://www.als.com/heydud-m-shoe-wally-braided/p", "https://www.als.com/heydud-m-shoe-wally-braided/p")</f>
        <v/>
      </c>
      <c r="C217" t="inlineStr">
        <is>
          <t>Hey Dude Wally Braided Shoe - Men's</t>
        </is>
      </c>
      <c r="D217" t="inlineStr">
        <is>
          <t>Hey Dude Mens Wally Kite Shoes</t>
        </is>
      </c>
      <c r="E217" s="2">
        <f>HYPERLINK("https://www.amazon.com/Hey-Dude-Loafers-Comfortable-Light-Weight/dp/B0C1PWDK1P/ref=sr_1_12?keywords=Hey+Dude+Wally+Braided+Shoe+-+Mens&amp;qid=1695124451&amp;sr=8-12", "https://www.amazon.com/Hey-Dude-Loafers-Comfortable-Light-Weight/dp/B0C1PWDK1P/ref=sr_1_12?keywords=Hey+Dude+Wally+Braided+Shoe+-+Mens&amp;qid=1695124451&amp;sr=8-12")</f>
        <v/>
      </c>
      <c r="F217" t="inlineStr">
        <is>
          <t>B0C1PWDK1P</t>
        </is>
      </c>
      <c r="G217">
        <f>IMAGE("https://alssports.vtexassets.com/arquivos/ids/1386107-800-auto?v=638254870959300000&amp;width=800&amp;height=auto&amp;aspect=true")</f>
        <v/>
      </c>
      <c r="H217">
        <f>IMAGE("https://m.media-amazon.com/images/I/61glyUESgCL._AC_UL320_.jpg")</f>
        <v/>
      </c>
      <c r="I217" t="inlineStr">
        <is>
          <t>64.95</t>
        </is>
      </c>
      <c r="J217" t="n">
        <v>42.24</v>
      </c>
      <c r="K217" s="3" t="inlineStr">
        <is>
          <t>-34.97%</t>
        </is>
      </c>
      <c r="L217" t="n">
        <v>4.7</v>
      </c>
      <c r="M217" t="n">
        <v>2248</v>
      </c>
      <c r="O217" t="inlineStr">
        <is>
          <t>InStock</t>
        </is>
      </c>
      <c r="P217" t="inlineStr">
        <is>
          <t>undefined</t>
        </is>
      </c>
      <c r="Q217" t="inlineStr">
        <is>
          <t>599445</t>
        </is>
      </c>
    </row>
    <row r="218">
      <c r="A218" s="2">
        <f>HYPERLINK("https://www.als.com/heydud-m-shoe-wally-braided/p?skuId=599445", "https://www.als.com/heydud-m-shoe-wally-braided/p?skuId=599445")</f>
        <v/>
      </c>
      <c r="B218" s="2">
        <f>HYPERLINK("https://www.als.com/heydud-m-shoe-wally-braided/p", "https://www.als.com/heydud-m-shoe-wally-braided/p")</f>
        <v/>
      </c>
      <c r="C218" t="inlineStr">
        <is>
          <t>Hey Dude Wally Braided Shoe - Men's</t>
        </is>
      </c>
      <c r="D218" t="inlineStr">
        <is>
          <t>Hey Dude Men's Wally H2O | Men's Loafers | Men's Slip On Shoes | Comfortable &amp; Light-Weight</t>
        </is>
      </c>
      <c r="E218" s="2">
        <f>HYPERLINK("https://www.amazon.com/Hey-Dude-Loafers-Comfortable-Light-Weight/dp/B0C1QJQM22/ref=sr_1_7?keywords=Hey+Dude+Wally+Braided+Shoe+-+Mens&amp;qid=1695124451&amp;sr=8-7", "https://www.amazon.com/Hey-Dude-Loafers-Comfortable-Light-Weight/dp/B0C1QJQM22/ref=sr_1_7?keywords=Hey+Dude+Wally+Braided+Shoe+-+Mens&amp;qid=1695124451&amp;sr=8-7")</f>
        <v/>
      </c>
      <c r="F218" t="inlineStr">
        <is>
          <t>B0C1QJQM22</t>
        </is>
      </c>
      <c r="G218">
        <f>IMAGE("https://alssports.vtexassets.com/arquivos/ids/1386107-800-auto?v=638254870959300000&amp;width=800&amp;height=auto&amp;aspect=true")</f>
        <v/>
      </c>
      <c r="H218">
        <f>IMAGE("https://m.media-amazon.com/images/I/61CrcTckCuL._AC_UL320_.jpg")</f>
        <v/>
      </c>
      <c r="I218" t="inlineStr">
        <is>
          <t>64.95</t>
        </is>
      </c>
      <c r="J218" t="n">
        <v>42.24</v>
      </c>
      <c r="K218" s="3" t="inlineStr">
        <is>
          <t>-34.97%</t>
        </is>
      </c>
      <c r="L218" t="n">
        <v>4.8</v>
      </c>
      <c r="M218" t="n">
        <v>245</v>
      </c>
      <c r="O218" t="inlineStr">
        <is>
          <t>InStock</t>
        </is>
      </c>
      <c r="P218" t="inlineStr">
        <is>
          <t>undefined</t>
        </is>
      </c>
      <c r="Q218" t="inlineStr">
        <is>
          <t>599445</t>
        </is>
      </c>
    </row>
    <row r="219">
      <c r="A219" s="2">
        <f>HYPERLINK("https://www.als.com/sal-sh-m-shoe-speedcross-6/p?skuId=1067283", "https://www.als.com/sal-sh-m-shoe-speedcross-6/p?skuId=1067283")</f>
        <v/>
      </c>
      <c r="B219" s="2">
        <f>HYPERLINK("https://www.als.com/sal-sh-m-shoe-speedcross-6/p", "https://www.als.com/sal-sh-m-shoe-speedcross-6/p")</f>
        <v/>
      </c>
      <c r="C219" t="inlineStr">
        <is>
          <t>Salomon Speedcross 6 Trail Running Shoe - Men's</t>
        </is>
      </c>
      <c r="D219" t="inlineStr">
        <is>
          <t>Salomon Men's Speedcross 4 Trail Running Shoes</t>
        </is>
      </c>
      <c r="E219" s="2">
        <f>HYPERLINK("https://www.amazon.com/Salomon-Speedcross-Trail-Runner-Black/dp/B017SQX3M0/ref=sr_1_8?keywords=Salomon+Speedcross+6+Trail+Running+Shoe+-+Men%27s&amp;qid=1695124304&amp;sr=8-8", "https://www.amazon.com/Salomon-Speedcross-Trail-Runner-Black/dp/B017SQX3M0/ref=sr_1_8?keywords=Salomon+Speedcross+6+Trail+Running+Shoe+-+Men%27s&amp;qid=1695124304&amp;sr=8-8")</f>
        <v/>
      </c>
      <c r="F219" t="inlineStr">
        <is>
          <t>B017SQX3M0</t>
        </is>
      </c>
      <c r="G219">
        <f>IMAGE("https://alssports.vtexassets.com/arquivos/ids/1132465-800-auto?v=637986345574970000&amp;width=800&amp;height=auto&amp;aspect=true")</f>
        <v/>
      </c>
      <c r="H219">
        <f>IMAGE("https://m.media-amazon.com/images/I/71-h7s7wWlL._AC_UL320_.jpg")</f>
        <v/>
      </c>
      <c r="I219" t="inlineStr">
        <is>
          <t>144.95</t>
        </is>
      </c>
      <c r="J219" t="n">
        <v>93.75</v>
      </c>
      <c r="K219" s="3" t="inlineStr">
        <is>
          <t>-35.32%</t>
        </is>
      </c>
      <c r="L219" t="n">
        <v>4.6</v>
      </c>
      <c r="M219" t="n">
        <v>21483</v>
      </c>
      <c r="O219" t="inlineStr">
        <is>
          <t>InStock</t>
        </is>
      </c>
      <c r="P219" t="inlineStr">
        <is>
          <t>145.0</t>
        </is>
      </c>
      <c r="Q219" t="inlineStr">
        <is>
          <t>1067283</t>
        </is>
      </c>
    </row>
    <row r="220">
      <c r="A220" s="2">
        <f>HYPERLINK("https://www.als.com/brooks-m-shoe-hyperion/p?skuId=1327074", "https://www.als.com/brooks-m-shoe-hyperion/p?skuId=1327074")</f>
        <v/>
      </c>
      <c r="B220" s="2">
        <f>HYPERLINK("https://www.als.com/brooks-m-shoe-hyperion/p", "https://www.als.com/brooks-m-shoe-hyperion/p")</f>
        <v/>
      </c>
      <c r="C220" t="inlineStr">
        <is>
          <t>Brooks Hyperion Running Shoe - Men's</t>
        </is>
      </c>
      <c r="D220" t="inlineStr">
        <is>
          <t>Brooks Men's Catamount Trail Running Shoe</t>
        </is>
      </c>
      <c r="E220" s="2">
        <f>HYPERLINK("https://www.amazon.com/Brooks-Catamount-Grey-Nightlife-Black/dp/B08QV39MD9/ref=sr_1_14?keywords=Brooks+Hyperion+Running+Shoe+-+Men%27s&amp;qid=1695124104&amp;sr=8-14", "https://www.amazon.com/Brooks-Catamount-Grey-Nightlife-Black/dp/B08QV39MD9/ref=sr_1_14?keywords=Brooks+Hyperion+Running+Shoe+-+Men%27s&amp;qid=1695124104&amp;sr=8-14")</f>
        <v/>
      </c>
      <c r="F220" t="inlineStr">
        <is>
          <t>B08QV39MD9</t>
        </is>
      </c>
      <c r="G220">
        <f>IMAGE("https://alssports.vtexassets.com/arquivos/ids/1377944-800-auto?v=638248725248900000&amp;width=800&amp;height=auto&amp;aspect=true")</f>
        <v/>
      </c>
      <c r="H220">
        <f>IMAGE("https://m.media-amazon.com/images/I/81TBeJkoNWL._AC_UL320_.jpg")</f>
        <v/>
      </c>
      <c r="I220" t="inlineStr">
        <is>
          <t>139.95</t>
        </is>
      </c>
      <c r="J220" t="n">
        <v>89.95</v>
      </c>
      <c r="K220" s="3" t="inlineStr">
        <is>
          <t>-35.73%</t>
        </is>
      </c>
      <c r="L220" t="n">
        <v>4.5</v>
      </c>
      <c r="M220" t="n">
        <v>276</v>
      </c>
      <c r="O220" t="inlineStr">
        <is>
          <t>InStock</t>
        </is>
      </c>
      <c r="P220" t="inlineStr">
        <is>
          <t>undefined</t>
        </is>
      </c>
      <c r="Q220" t="inlineStr">
        <is>
          <t>1327074</t>
        </is>
      </c>
    </row>
    <row r="221">
      <c r="A221" s="2">
        <f>HYPERLINK("https://www.als.com/brooks-m-shoe-hyperion/p?skuId=1327074", "https://www.als.com/brooks-m-shoe-hyperion/p?skuId=1327074")</f>
        <v/>
      </c>
      <c r="B221" s="2">
        <f>HYPERLINK("https://www.als.com/brooks-m-shoe-hyperion/p", "https://www.als.com/brooks-m-shoe-hyperion/p")</f>
        <v/>
      </c>
      <c r="C221" t="inlineStr">
        <is>
          <t>Brooks Hyperion Running Shoe - Men's</t>
        </is>
      </c>
      <c r="D221" t="inlineStr">
        <is>
          <t>Brooks Men's Ghost 14 Neutral Running Shoe</t>
        </is>
      </c>
      <c r="E221" s="2">
        <f>HYPERLINK("https://www.amazon.com/Brooks-Ghost-Black-Blackened-Pearl/dp/B08QV4XHLL/ref=sr_1_16?keywords=Brooks+Hyperion+Running+Shoe+-+Men%27s&amp;qid=1695124104&amp;sr=8-16", "https://www.amazon.com/Brooks-Ghost-Black-Blackened-Pearl/dp/B08QV4XHLL/ref=sr_1_16?keywords=Brooks+Hyperion+Running+Shoe+-+Men%27s&amp;qid=1695124104&amp;sr=8-16")</f>
        <v/>
      </c>
      <c r="F221" t="inlineStr">
        <is>
          <t>B08QV4XHLL</t>
        </is>
      </c>
      <c r="G221">
        <f>IMAGE("https://alssports.vtexassets.com/arquivos/ids/1377944-800-auto?v=638248725248900000&amp;width=800&amp;height=auto&amp;aspect=true")</f>
        <v/>
      </c>
      <c r="H221">
        <f>IMAGE("https://m.media-amazon.com/images/I/8173xRAefBL._AC_UL320_.jpg")</f>
        <v/>
      </c>
      <c r="I221" t="inlineStr">
        <is>
          <t>139.95</t>
        </is>
      </c>
      <c r="J221" t="n">
        <v>89.95</v>
      </c>
      <c r="K221" s="3" t="inlineStr">
        <is>
          <t>-35.73%</t>
        </is>
      </c>
      <c r="L221" t="n">
        <v>4.7</v>
      </c>
      <c r="M221" t="n">
        <v>17658</v>
      </c>
      <c r="O221" t="inlineStr">
        <is>
          <t>InStock</t>
        </is>
      </c>
      <c r="P221" t="inlineStr">
        <is>
          <t>undefined</t>
        </is>
      </c>
      <c r="Q221" t="inlineStr">
        <is>
          <t>1327074</t>
        </is>
      </c>
    </row>
    <row r="222">
      <c r="A222" s="2">
        <f>HYPERLINK("https://www.als.com/mizuno-w-wave-sky-6/p?skuId=1262559", "https://www.als.com/mizuno-w-wave-sky-6/p?skuId=1262559")</f>
        <v/>
      </c>
      <c r="B222" s="2">
        <f>HYPERLINK("https://www.als.com/mizuno-w-wave-sky-6/p", "https://www.als.com/mizuno-w-wave-sky-6/p")</f>
        <v/>
      </c>
      <c r="C222" t="inlineStr">
        <is>
          <t>Mizuno Wave Sky 6 Running Shoe - Women's</t>
        </is>
      </c>
      <c r="D222" t="inlineStr">
        <is>
          <t>Mizuno Women's Wave Inspire 18 Running Shoe</t>
        </is>
      </c>
      <c r="E222" s="2">
        <f>HYPERLINK("https://www.amazon.com/Mizuno-Running-Womens-Inspire-Blue-White/dp/B091ZJRR7X/ref=sr_1_15?keywords=Mizuno+Wave+Sky+6+Running+Shoe+-+Women%27s&amp;qid=1695124449&amp;sr=8-15", "https://www.amazon.com/Mizuno-Running-Womens-Inspire-Blue-White/dp/B091ZJRR7X/ref=sr_1_15?keywords=Mizuno+Wave+Sky+6+Running+Shoe+-+Women%27s&amp;qid=1695124449&amp;sr=8-15")</f>
        <v/>
      </c>
      <c r="F222" t="inlineStr">
        <is>
          <t>B091ZJRR7X</t>
        </is>
      </c>
      <c r="G222">
        <f>IMAGE("https://alssports.vtexassets.com/arquivos/ids/1277387-800-auto?v=638152938174200000&amp;width=800&amp;height=auto&amp;aspect=true")</f>
        <v/>
      </c>
      <c r="H222">
        <f>IMAGE("https://m.media-amazon.com/images/I/81hye3AQiHL._AC_UL320_.jpg")</f>
        <v/>
      </c>
      <c r="I222" t="inlineStr">
        <is>
          <t>169.99</t>
        </is>
      </c>
      <c r="J222" t="n">
        <v>108.4</v>
      </c>
      <c r="K222" s="3" t="inlineStr">
        <is>
          <t>-36.23%</t>
        </is>
      </c>
      <c r="L222" t="n">
        <v>4.5</v>
      </c>
      <c r="M222" t="n">
        <v>446</v>
      </c>
      <c r="O222" t="inlineStr">
        <is>
          <t>InStock</t>
        </is>
      </c>
      <c r="P222" t="inlineStr">
        <is>
          <t>170.0</t>
        </is>
      </c>
      <c r="Q222" t="inlineStr">
        <is>
          <t>1262559</t>
        </is>
      </c>
    </row>
    <row r="223">
      <c r="A223" s="2">
        <f>HYPERLINK("https://www.als.com/asics-ws-shoe-gel-nimbus-24/p?skuId=1037727", "https://www.als.com/asics-ws-shoe-gel-nimbus-24/p?skuId=1037727")</f>
        <v/>
      </c>
      <c r="B223" s="2">
        <f>HYPERLINK("https://www.als.com/asics-ws-shoe-gel-nimbus-24/p", "https://www.als.com/asics-ws-shoe-gel-nimbus-24/p")</f>
        <v/>
      </c>
      <c r="C223" t="inlineStr">
        <is>
          <t>Asics GEL-NIMBUS 24 Running Shoe - Women's</t>
        </is>
      </c>
      <c r="D223" t="inlineStr">
        <is>
          <t>ASICS Women's Gel-Cumulus 24 Running Shoes</t>
        </is>
      </c>
      <c r="E223" s="2">
        <f>HYPERLINK("https://www.amazon.com/ASICS-Womens-Gel-Cumulus-Running-Shoes/dp/B09CLM92NX/ref=sr_1_13?keywords=Asics+GEL-NIMBUS+24+Running+Shoe+-+Womens&amp;qid=1695124093&amp;sr=8-13", "https://www.amazon.com/ASICS-Womens-Gel-Cumulus-Running-Shoes/dp/B09CLM92NX/ref=sr_1_13?keywords=Asics+GEL-NIMBUS+24+Running+Shoe+-+Womens&amp;qid=1695124093&amp;sr=8-13")</f>
        <v/>
      </c>
      <c r="F223" t="inlineStr">
        <is>
          <t>B09CLM92NX</t>
        </is>
      </c>
      <c r="G223">
        <f>IMAGE("https://alssports.vtexassets.com/arquivos/ids/1109551-800-auto?v=637950821539330000&amp;width=800&amp;height=auto&amp;aspect=true")</f>
        <v/>
      </c>
      <c r="H223">
        <f>IMAGE("https://m.media-amazon.com/images/I/61gfRTkrosL._AC_UL320_.jpg")</f>
        <v/>
      </c>
      <c r="I223" t="inlineStr">
        <is>
          <t>111.96</t>
        </is>
      </c>
      <c r="J223" t="n">
        <v>70.95999999999999</v>
      </c>
      <c r="K223" s="3" t="inlineStr">
        <is>
          <t>-36.62%</t>
        </is>
      </c>
      <c r="L223" t="n">
        <v>4.6</v>
      </c>
      <c r="M223" t="n">
        <v>1072</v>
      </c>
      <c r="O223" t="inlineStr">
        <is>
          <t>InStock</t>
        </is>
      </c>
      <c r="P223" t="inlineStr">
        <is>
          <t>159.95</t>
        </is>
      </c>
      <c r="Q223" t="inlineStr">
        <is>
          <t>1037727</t>
        </is>
      </c>
    </row>
    <row r="224">
      <c r="A224" s="2">
        <f>HYPERLINK("https://www.als.com/asics-ws-shoe-gel-nimbus-24/p?skuId=1037727", "https://www.als.com/asics-ws-shoe-gel-nimbus-24/p?skuId=1037727")</f>
        <v/>
      </c>
      <c r="B224" s="2">
        <f>HYPERLINK("https://www.als.com/asics-ws-shoe-gel-nimbus-24/p", "https://www.als.com/asics-ws-shoe-gel-nimbus-24/p")</f>
        <v/>
      </c>
      <c r="C224" t="inlineStr">
        <is>
          <t>Asics GEL-NIMBUS 24 Running Shoe - Women's</t>
        </is>
      </c>
      <c r="D224" t="inlineStr">
        <is>
          <t>ASICS Women's Gel-Cumulus 24 Running Shoes</t>
        </is>
      </c>
      <c r="E224" s="2">
        <f>HYPERLINK("https://www.amazon.com/ASICS-Womens-Gel-Cumulus-Running-Shoes/dp/B09CLMN5VD/ref=sr_1_7?keywords=Asics+GEL-NIMBUS+24+Running+Shoe+-+Womens&amp;qid=1695124093&amp;sr=8-7", "https://www.amazon.com/ASICS-Womens-Gel-Cumulus-Running-Shoes/dp/B09CLMN5VD/ref=sr_1_7?keywords=Asics+GEL-NIMBUS+24+Running+Shoe+-+Womens&amp;qid=1695124093&amp;sr=8-7")</f>
        <v/>
      </c>
      <c r="F224" t="inlineStr">
        <is>
          <t>B09CLMN5VD</t>
        </is>
      </c>
      <c r="G224">
        <f>IMAGE("https://alssports.vtexassets.com/arquivos/ids/1109551-800-auto?v=637950821539330000&amp;width=800&amp;height=auto&amp;aspect=true")</f>
        <v/>
      </c>
      <c r="H224">
        <f>IMAGE("https://m.media-amazon.com/images/I/61gfRTkrosL._AC_UL320_.jpg")</f>
        <v/>
      </c>
      <c r="I224" t="inlineStr">
        <is>
          <t>111.96</t>
        </is>
      </c>
      <c r="J224" t="n">
        <v>70.95999999999999</v>
      </c>
      <c r="K224" s="3" t="inlineStr">
        <is>
          <t>-36.62%</t>
        </is>
      </c>
      <c r="L224" t="n">
        <v>4.6</v>
      </c>
      <c r="M224" t="n">
        <v>1072</v>
      </c>
      <c r="O224" t="inlineStr">
        <is>
          <t>InStock</t>
        </is>
      </c>
      <c r="P224" t="inlineStr">
        <is>
          <t>159.95</t>
        </is>
      </c>
      <c r="Q224" t="inlineStr">
        <is>
          <t>1037727</t>
        </is>
      </c>
    </row>
    <row r="225">
      <c r="A225" s="2">
        <f>HYPERLINK("https://www.als.com/fox-helmet-proframe-rs/p?skuId=599903", "https://www.als.com/fox-helmet-proframe-rs/p?skuId=599903")</f>
        <v/>
      </c>
      <c r="B225" s="2">
        <f>HYPERLINK("https://www.als.com/fox-helmet-proframe-rs/p", "https://www.als.com/fox-helmet-proframe-rs/p")</f>
        <v/>
      </c>
      <c r="C225" t="inlineStr">
        <is>
          <t>Fox Racing Proframe RS Helmet</t>
        </is>
      </c>
      <c r="D225" t="inlineStr">
        <is>
          <t>Fox Racing Proframe Mountain Bike Helmet, Matte Black, Small</t>
        </is>
      </c>
      <c r="E225" s="2">
        <f>HYPERLINK("https://www.amazon.com/Fox-Racing-Proframe-Helmet-Matte/dp/B07F96Q429/ref=sr_1_14?keywords=Fox+Racing+Proframe+RS+Helmet&amp;qid=1695124415&amp;sr=8-14", "https://www.amazon.com/Fox-Racing-Proframe-Helmet-Matte/dp/B07F96Q429/ref=sr_1_14?keywords=Fox+Racing+Proframe+RS+Helmet&amp;qid=1695124415&amp;sr=8-14")</f>
        <v/>
      </c>
      <c r="F225" t="inlineStr">
        <is>
          <t>B07F96Q429</t>
        </is>
      </c>
      <c r="G225">
        <f>IMAGE("https://alssports.vtexassets.com/arquivos/ids/1279583-800-auto?v=638156298149200000&amp;width=800&amp;height=auto&amp;aspect=true")</f>
        <v/>
      </c>
      <c r="H225">
        <f>IMAGE("https://m.media-amazon.com/images/I/51IbA1RzrCL._AC_UL320_.jpg")</f>
        <v/>
      </c>
      <c r="I225" t="inlineStr">
        <is>
          <t>359.95</t>
        </is>
      </c>
      <c r="J225" t="n">
        <v>227.99</v>
      </c>
      <c r="K225" s="3" t="inlineStr">
        <is>
          <t>-36.66%</t>
        </is>
      </c>
      <c r="L225" t="n">
        <v>4.6</v>
      </c>
      <c r="M225" t="n">
        <v>33</v>
      </c>
      <c r="O225" t="inlineStr">
        <is>
          <t>InStock</t>
        </is>
      </c>
      <c r="P225" t="inlineStr">
        <is>
          <t>undefined</t>
        </is>
      </c>
      <c r="Q225" t="inlineStr">
        <is>
          <t>599903</t>
        </is>
      </c>
    </row>
    <row r="226">
      <c r="A226" s="2">
        <f>HYPERLINK("https://www.als.com/fox-helmet-proframe-rs/p?skuId=599903", "https://www.als.com/fox-helmet-proframe-rs/p?skuId=599903")</f>
        <v/>
      </c>
      <c r="B226" s="2">
        <f>HYPERLINK("https://www.als.com/fox-helmet-proframe-rs/p", "https://www.als.com/fox-helmet-proframe-rs/p")</f>
        <v/>
      </c>
      <c r="C226" t="inlineStr">
        <is>
          <t>Fox Racing Proframe RS Helmet</t>
        </is>
      </c>
      <c r="D226" t="inlineStr">
        <is>
          <t>Fox Racing Proframe Mountain Bike Helmet, Matte Black, X-Large</t>
        </is>
      </c>
      <c r="E226" s="2">
        <f>HYPERLINK("https://www.amazon.com/Fox-Racing-Proframe-Helmet-Matte/dp/B07FF15VWS/ref=sr_1_12?keywords=Fox+Racing+Proframe+RS+Helmet&amp;qid=1695124415&amp;sr=8-12", "https://www.amazon.com/Fox-Racing-Proframe-Helmet-Matte/dp/B07FF15VWS/ref=sr_1_12?keywords=Fox+Racing+Proframe+RS+Helmet&amp;qid=1695124415&amp;sr=8-12")</f>
        <v/>
      </c>
      <c r="F226" t="inlineStr">
        <is>
          <t>B07FF15VWS</t>
        </is>
      </c>
      <c r="G226">
        <f>IMAGE("https://alssports.vtexassets.com/arquivos/ids/1279583-800-auto?v=638156298149200000&amp;width=800&amp;height=auto&amp;aspect=true")</f>
        <v/>
      </c>
      <c r="H226">
        <f>IMAGE("https://m.media-amazon.com/images/I/61NqCmQ297L._AC_UL320_.jpg")</f>
        <v/>
      </c>
      <c r="I226" t="inlineStr">
        <is>
          <t>359.95</t>
        </is>
      </c>
      <c r="J226" t="n">
        <v>227.99</v>
      </c>
      <c r="K226" s="3" t="inlineStr">
        <is>
          <t>-36.66%</t>
        </is>
      </c>
      <c r="L226" t="n">
        <v>4.6</v>
      </c>
      <c r="M226" t="n">
        <v>60</v>
      </c>
      <c r="O226" t="inlineStr">
        <is>
          <t>InStock</t>
        </is>
      </c>
      <c r="P226" t="inlineStr">
        <is>
          <t>undefined</t>
        </is>
      </c>
      <c r="Q226" t="inlineStr">
        <is>
          <t>599903</t>
        </is>
      </c>
    </row>
    <row r="227">
      <c r="A227" s="2">
        <f>HYPERLINK("https://www.als.com/fox-helmet-proframe-rs/p?skuId=599903", "https://www.als.com/fox-helmet-proframe-rs/p?skuId=599903")</f>
        <v/>
      </c>
      <c r="B227" s="2">
        <f>HYPERLINK("https://www.als.com/fox-helmet-proframe-rs/p", "https://www.als.com/fox-helmet-proframe-rs/p")</f>
        <v/>
      </c>
      <c r="C227" t="inlineStr">
        <is>
          <t>Fox Racing Proframe RS Helmet</t>
        </is>
      </c>
      <c r="D227" t="inlineStr">
        <is>
          <t>Fox Racing Proframe Mountain Bike Helmet, Matte Black, X-Large</t>
        </is>
      </c>
      <c r="F227" t="inlineStr">
        <is>
          <t>B07FF15VWS</t>
        </is>
      </c>
      <c r="G227">
        <f>IMAGE("https://alssports.vtexassets.com/arquivos/ids/1279583-800-auto?v=638156298149200000&amp;width=800&amp;height=auto&amp;aspect=true")</f>
        <v/>
      </c>
      <c r="H227">
        <f>IMAGE("https://m.media-amazon.com/images/I/61NqCmQ297L._AC_UL320_.jpg")</f>
        <v/>
      </c>
      <c r="I227" t="inlineStr">
        <is>
          <t>359.95</t>
        </is>
      </c>
      <c r="J227" t="n">
        <v>227.99</v>
      </c>
      <c r="K227" s="3" t="inlineStr">
        <is>
          <t>-36.66%</t>
        </is>
      </c>
      <c r="L227" t="n">
        <v>4.6</v>
      </c>
      <c r="M227" t="n">
        <v>60</v>
      </c>
      <c r="O227" t="inlineStr">
        <is>
          <t>InStock</t>
        </is>
      </c>
      <c r="P227" t="inlineStr">
        <is>
          <t>undefined</t>
        </is>
      </c>
      <c r="Q227" t="inlineStr">
        <is>
          <t>599903</t>
        </is>
      </c>
    </row>
    <row r="228">
      <c r="A228" s="2">
        <f>HYPERLINK("https://www.als.com/fox-helmet-proframe-rs/p?skuId=599903", "https://www.als.com/fox-helmet-proframe-rs/p?skuId=599903")</f>
        <v/>
      </c>
      <c r="B228" s="2">
        <f>HYPERLINK("https://www.als.com/fox-helmet-proframe-rs/p", "https://www.als.com/fox-helmet-proframe-rs/p")</f>
        <v/>
      </c>
      <c r="C228" t="inlineStr">
        <is>
          <t>Fox Racing Proframe RS Helmet</t>
        </is>
      </c>
      <c r="D228" t="inlineStr">
        <is>
          <t>Fox Racing Proframe Mountain Bike Helmet, Matte Black, Medium</t>
        </is>
      </c>
      <c r="E228" s="2">
        <f>HYPERLINK("https://www.amazon.com/Fox-Racing-Proframe-Mountain-Helmet/dp/B07FDYBG32/ref=sr_1_9?keywords=Fox+Racing+Proframe+RS+Helmet&amp;qid=1695124415&amp;sr=8-9", "https://www.amazon.com/Fox-Racing-Proframe-Mountain-Helmet/dp/B07FDYBG32/ref=sr_1_9?keywords=Fox+Racing+Proframe+RS+Helmet&amp;qid=1695124415&amp;sr=8-9")</f>
        <v/>
      </c>
      <c r="F228" t="inlineStr">
        <is>
          <t>B07FDYBG32</t>
        </is>
      </c>
      <c r="G228">
        <f>IMAGE("https://alssports.vtexassets.com/arquivos/ids/1279583-800-auto?v=638156298149200000&amp;width=800&amp;height=auto&amp;aspect=true")</f>
        <v/>
      </c>
      <c r="H228">
        <f>IMAGE("https://m.media-amazon.com/images/I/51IbA1RzrCL._AC_UL320_.jpg")</f>
        <v/>
      </c>
      <c r="I228" t="inlineStr">
        <is>
          <t>359.95</t>
        </is>
      </c>
      <c r="J228" t="n">
        <v>227.99</v>
      </c>
      <c r="K228" s="3" t="inlineStr">
        <is>
          <t>-36.66%</t>
        </is>
      </c>
      <c r="L228" t="n">
        <v>4.5</v>
      </c>
      <c r="M228" t="n">
        <v>99</v>
      </c>
      <c r="O228" t="inlineStr">
        <is>
          <t>InStock</t>
        </is>
      </c>
      <c r="P228" t="inlineStr">
        <is>
          <t>undefined</t>
        </is>
      </c>
      <c r="Q228" t="inlineStr">
        <is>
          <t>599903</t>
        </is>
      </c>
    </row>
    <row r="229">
      <c r="A229" s="2">
        <f>HYPERLINK("https://www.als.com/shimab-pedal-pd-m9100-spd-cleat-pack/p?skuId=500218", "https://www.als.com/shimab-pedal-pd-m9100-spd-cleat-pack/p?skuId=500218")</f>
        <v/>
      </c>
      <c r="B229" s="2">
        <f>HYPERLINK("https://www.als.com/shimab-pedal-pd-m9100-spd-cleat-pack/p", "https://www.als.com/shimab-pedal-pd-m9100-spd-cleat-pack/p")</f>
        <v/>
      </c>
      <c r="C229" t="inlineStr">
        <is>
          <t>Shimano TR PD-M9100 Pedal</t>
        </is>
      </c>
      <c r="D229" t="inlineStr">
        <is>
          <t>SHIMANO PD-M8100 Cross Country Race SPD Bike Pedal</t>
        </is>
      </c>
      <c r="E229" s="2">
        <f>HYPERLINK("https://www.amazon.com/SHIMANO-DEORE-PD-M8100-Without-Reflector/dp/B07TTK7T8B/ref=sr_1_6?keywords=Shimano+TR+PD-M9100+Pedal&amp;qid=1695124455&amp;sr=8-6", "https://www.amazon.com/SHIMANO-DEORE-PD-M8100-Without-Reflector/dp/B07TTK7T8B/ref=sr_1_6?keywords=Shimano+TR+PD-M9100+Pedal&amp;qid=1695124455&amp;sr=8-6")</f>
        <v/>
      </c>
      <c r="F229" t="inlineStr">
        <is>
          <t>B07TTK7T8B</t>
        </is>
      </c>
      <c r="G229">
        <f>IMAGE("https://alssports.vtexassets.com/arquivos/ids/1120618-800-auto?v=637969747990030000&amp;width=800&amp;height=auto&amp;aspect=true")</f>
        <v/>
      </c>
      <c r="H229">
        <f>IMAGE("https://m.media-amazon.com/images/I/612NIMnHZVL._AC_UL320_.jpg")</f>
        <v/>
      </c>
      <c r="I229" t="inlineStr">
        <is>
          <t>179.99</t>
        </is>
      </c>
      <c r="J229" t="n">
        <v>114</v>
      </c>
      <c r="K229" s="3" t="inlineStr">
        <is>
          <t>-36.66%</t>
        </is>
      </c>
      <c r="L229" t="n">
        <v>4.8</v>
      </c>
      <c r="M229" t="n">
        <v>223</v>
      </c>
      <c r="O229" t="inlineStr">
        <is>
          <t>InStock</t>
        </is>
      </c>
      <c r="P229" t="inlineStr">
        <is>
          <t>undefined</t>
        </is>
      </c>
      <c r="Q229" t="inlineStr">
        <is>
          <t>500218</t>
        </is>
      </c>
    </row>
    <row r="230">
      <c r="A230" s="2">
        <f>HYPERLINK("https://www.als.com/heydud-m-shoe-wally-braided/p?skuId=599445", "https://www.als.com/heydud-m-shoe-wally-braided/p?skuId=599445")</f>
        <v/>
      </c>
      <c r="B230" s="2">
        <f>HYPERLINK("https://www.als.com/heydud-m-shoe-wally-braided/p", "https://www.als.com/heydud-m-shoe-wally-braided/p")</f>
        <v/>
      </c>
      <c r="C230" t="inlineStr">
        <is>
          <t>Hey Dude Wally Braided Shoe - Men's</t>
        </is>
      </c>
      <c r="D230" t="inlineStr">
        <is>
          <t>Hey Dude Men's Wally Stretch | Men’s Shoes | Men's Lace Up Loafers | Comfortable &amp; Light-Weight</t>
        </is>
      </c>
      <c r="E230" s="2">
        <f>HYPERLINK("https://www.amazon.com/Hey-Dude-Wally-Micro-Total/dp/B07H7SXKHX/ref=sr_1_9?keywords=Hey+Dude+Wally+Braided+Shoe+-+Mens&amp;qid=1695124451&amp;sr=8-9", "https://www.amazon.com/Hey-Dude-Wally-Micro-Total/dp/B07H7SXKHX/ref=sr_1_9?keywords=Hey+Dude+Wally+Braided+Shoe+-+Mens&amp;qid=1695124451&amp;sr=8-9")</f>
        <v/>
      </c>
      <c r="F230" t="inlineStr">
        <is>
          <t>B07H7SXKHX</t>
        </is>
      </c>
      <c r="G230">
        <f>IMAGE("https://alssports.vtexassets.com/arquivos/ids/1386107-800-auto?v=638254870959300000&amp;width=800&amp;height=auto&amp;aspect=true")</f>
        <v/>
      </c>
      <c r="H230">
        <f>IMAGE("https://m.media-amazon.com/images/I/81r6UvM0bnL._AC_UL320_.jpg")</f>
        <v/>
      </c>
      <c r="I230" t="inlineStr">
        <is>
          <t>64.95</t>
        </is>
      </c>
      <c r="J230" t="n">
        <v>40.72</v>
      </c>
      <c r="K230" s="3" t="inlineStr">
        <is>
          <t>-37.31%</t>
        </is>
      </c>
      <c r="L230" t="n">
        <v>4.8</v>
      </c>
      <c r="M230" t="n">
        <v>22761</v>
      </c>
      <c r="O230" t="inlineStr">
        <is>
          <t>InStock</t>
        </is>
      </c>
      <c r="P230" t="inlineStr">
        <is>
          <t>undefined</t>
        </is>
      </c>
      <c r="Q230" t="inlineStr">
        <is>
          <t>599445</t>
        </is>
      </c>
    </row>
    <row r="231">
      <c r="A231" s="2">
        <f>HYPERLINK("https://www.als.com/altra-w-shoe-timp-4/p?skuId=929220", "https://www.als.com/altra-w-shoe-timp-4/p?skuId=929220")</f>
        <v/>
      </c>
      <c r="B231" s="2">
        <f>HYPERLINK("https://www.als.com/altra-w-shoe-timp-4/p", "https://www.als.com/altra-w-shoe-timp-4/p")</f>
        <v/>
      </c>
      <c r="C231" t="inlineStr">
        <is>
          <t>Altra Timp 4 Running Shoe - Women's</t>
        </is>
      </c>
      <c r="D231" t="inlineStr">
        <is>
          <t>ALTRA Women's AL0A4VR7 Lone Peak 5 Trail Running Shoe</t>
        </is>
      </c>
      <c r="E231" s="2">
        <f>HYPERLINK("https://www.amazon.com/ALTRA-Womens-Lone-Numeric_6-Coral/dp/B096FGRYL3/ref=sr_1_28?keywords=Altra+Timp+4+Running+Shoe+-+Womens&amp;qid=1695124369&amp;sr=8-28", "https://www.amazon.com/ALTRA-Womens-Lone-Numeric_6-Coral/dp/B096FGRYL3/ref=sr_1_28?keywords=Altra+Timp+4+Running+Shoe+-+Womens&amp;qid=1695124369&amp;sr=8-28")</f>
        <v/>
      </c>
      <c r="F231" t="inlineStr">
        <is>
          <t>B096FGRYL3</t>
        </is>
      </c>
      <c r="G231">
        <f>IMAGE("https://alssports.vtexassets.com/arquivos/ids/1112796-800-auto?v=637957454637830000&amp;width=800&amp;height=auto&amp;aspect=true")</f>
        <v/>
      </c>
      <c r="H231">
        <f>IMAGE("https://m.media-amazon.com/images/I/71FFjgWkddL._AC_UL320_.jpg")</f>
        <v/>
      </c>
      <c r="I231" t="inlineStr">
        <is>
          <t>159.95</t>
        </is>
      </c>
      <c r="J231" t="n">
        <v>99.98999999999999</v>
      </c>
      <c r="K231" s="3" t="inlineStr">
        <is>
          <t>-37.49%</t>
        </is>
      </c>
      <c r="L231" t="n">
        <v>4.7</v>
      </c>
      <c r="M231" t="n">
        <v>1640</v>
      </c>
      <c r="O231" t="inlineStr">
        <is>
          <t>InStock</t>
        </is>
      </c>
      <c r="P231" t="inlineStr">
        <is>
          <t>129.95</t>
        </is>
      </c>
      <c r="Q231" t="inlineStr">
        <is>
          <t>929220</t>
        </is>
      </c>
    </row>
    <row r="232">
      <c r="A232" s="2">
        <f>HYPERLINK("https://www.als.com/shimab-pedal-pd-m9100-spd-cleat-pack/p?skuId=500218", "https://www.als.com/shimab-pedal-pd-m9100-spd-cleat-pack/p?skuId=500218")</f>
        <v/>
      </c>
      <c r="B232" s="2">
        <f>HYPERLINK("https://www.als.com/shimab-pedal-pd-m9100-spd-cleat-pack/p", "https://www.als.com/shimab-pedal-pd-m9100-spd-cleat-pack/p")</f>
        <v/>
      </c>
      <c r="C232" t="inlineStr">
        <is>
          <t>Shimano TR PD-M9100 Pedal</t>
        </is>
      </c>
      <c r="D232" t="inlineStr">
        <is>
          <t>SHIMANO XTR M9100 XC Pedal</t>
        </is>
      </c>
      <c r="E232" s="2">
        <f>HYPERLINK("https://www.amazon.com/SHIMANO-PDM9100-PD-M9100-Pedals-Black/dp/B07F2NWQ2H/ref=sr_1_1?keywords=Shimano+TR+PD-M9100+Pedal&amp;qid=1695124455&amp;sr=8-1", "https://www.amazon.com/SHIMANO-PDM9100-PD-M9100-Pedals-Black/dp/B07F2NWQ2H/ref=sr_1_1?keywords=Shimano+TR+PD-M9100+Pedal&amp;qid=1695124455&amp;sr=8-1")</f>
        <v/>
      </c>
      <c r="F232" t="inlineStr">
        <is>
          <t>B07F2NWQ2H</t>
        </is>
      </c>
      <c r="G232">
        <f>IMAGE("https://alssports.vtexassets.com/arquivos/ids/1120618-800-auto?v=637969747990030000&amp;width=800&amp;height=auto&amp;aspect=true")</f>
        <v/>
      </c>
      <c r="H232">
        <f>IMAGE("https://m.media-amazon.com/images/I/6154NINQhXL._AC_UL320_.jpg")</f>
        <v/>
      </c>
      <c r="I232" t="inlineStr">
        <is>
          <t>179.99</t>
        </is>
      </c>
      <c r="J232" t="n">
        <v>111.4</v>
      </c>
      <c r="K232" s="3" t="inlineStr">
        <is>
          <t>-38.11%</t>
        </is>
      </c>
      <c r="L232" t="n">
        <v>4.7</v>
      </c>
      <c r="M232" t="n">
        <v>439</v>
      </c>
      <c r="O232" t="inlineStr">
        <is>
          <t>InStock</t>
        </is>
      </c>
      <c r="P232" t="inlineStr">
        <is>
          <t>undefined</t>
        </is>
      </c>
      <c r="Q232" t="inlineStr">
        <is>
          <t>500218</t>
        </is>
      </c>
    </row>
    <row r="233">
      <c r="A233" s="2">
        <f>HYPERLINK("https://www.als.com/heydud-w-shoe-wendy-rise-woven/p?skuId=1317686", "https://www.als.com/heydud-w-shoe-wendy-rise-woven/p?skuId=1317686")</f>
        <v/>
      </c>
      <c r="B233" s="2">
        <f>HYPERLINK("https://www.als.com/heydud-w-shoe-wendy-rise-woven/p", "https://www.als.com/heydud-w-shoe-wendy-rise-woven/p")</f>
        <v/>
      </c>
      <c r="C233" t="inlineStr">
        <is>
          <t>Hey Dude Wendy Rise Woven Shoe - Women's</t>
        </is>
      </c>
      <c r="D233" t="inlineStr">
        <is>
          <t>Hey Dude Women's Wendy Rise Lace Up Loafers</t>
        </is>
      </c>
      <c r="E233" s="2">
        <f>HYPERLINK("https://www.amazon.com/Hey-Dude-Womens-Wendy-Black/dp/B08KTRQ23B/ref=sr_1_1?keywords=Hey+Dude+Wendy+Rise+Woven+Shoe+-+Womens&amp;qid=1695124483&amp;sr=8-1", "https://www.amazon.com/Hey-Dude-Womens-Wendy-Black/dp/B08KTRQ23B/ref=sr_1_1?keywords=Hey+Dude+Wendy+Rise+Woven+Shoe+-+Womens&amp;qid=1695124483&amp;sr=8-1")</f>
        <v/>
      </c>
      <c r="F233" t="inlineStr">
        <is>
          <t>B08KTRQ23B</t>
        </is>
      </c>
      <c r="G233">
        <f>IMAGE("https://alssports.vtexassets.com/arquivos/ids/1387367-800-auto?v=638255482261930000&amp;width=800&amp;height=auto&amp;aspect=true")</f>
        <v/>
      </c>
      <c r="H233">
        <f>IMAGE("https://m.media-amazon.com/images/I/51Mfv9tmxJS._AC_UL320_.jpg")</f>
        <v/>
      </c>
      <c r="I233" t="inlineStr">
        <is>
          <t>64.95</t>
        </is>
      </c>
      <c r="J233" t="n">
        <v>40.15</v>
      </c>
      <c r="K233" s="3" t="inlineStr">
        <is>
          <t>-38.18%</t>
        </is>
      </c>
      <c r="L233" t="n">
        <v>4.7</v>
      </c>
      <c r="M233" t="n">
        <v>3946</v>
      </c>
      <c r="O233" t="inlineStr">
        <is>
          <t>InStock</t>
        </is>
      </c>
      <c r="P233" t="inlineStr">
        <is>
          <t>undefined</t>
        </is>
      </c>
      <c r="Q233" t="inlineStr">
        <is>
          <t>1317686</t>
        </is>
      </c>
    </row>
    <row r="234">
      <c r="A234" s="2">
        <f>HYPERLINK("https://www.als.com/mizuno-w-wave-sky-6/p?skuId=1262559", "https://www.als.com/mizuno-w-wave-sky-6/p?skuId=1262559")</f>
        <v/>
      </c>
      <c r="B234" s="2">
        <f>HYPERLINK("https://www.als.com/mizuno-w-wave-sky-6/p", "https://www.als.com/mizuno-w-wave-sky-6/p")</f>
        <v/>
      </c>
      <c r="C234" t="inlineStr">
        <is>
          <t>Mizuno Wave Sky 6 Running Shoe - Women's</t>
        </is>
      </c>
      <c r="D234" t="inlineStr">
        <is>
          <t>Mizuno Women's Wave Rider 26 Running Shoe</t>
        </is>
      </c>
      <c r="E234" s="2">
        <f>HYPERLINK("https://www.amazon.com/Mizuno-Running-Womens-Odyssey-Grey-Quiksilver/dp/B09KP2WP4Y/ref=sr_1_17?keywords=Mizuno+Wave+Sky+6+Running+Shoe+-+Women%27s&amp;qid=1695124449&amp;sr=8-17", "https://www.amazon.com/Mizuno-Running-Womens-Odyssey-Grey-Quiksilver/dp/B09KP2WP4Y/ref=sr_1_17?keywords=Mizuno+Wave+Sky+6+Running+Shoe+-+Women%27s&amp;qid=1695124449&amp;sr=8-17")</f>
        <v/>
      </c>
      <c r="F234" t="inlineStr">
        <is>
          <t>B09KP2WP4Y</t>
        </is>
      </c>
      <c r="G234">
        <f>IMAGE("https://alssports.vtexassets.com/arquivos/ids/1277387-800-auto?v=638152938174200000&amp;width=800&amp;height=auto&amp;aspect=true")</f>
        <v/>
      </c>
      <c r="H234">
        <f>IMAGE("https://m.media-amazon.com/images/I/81q5Bp2YmtL._AC_UL320_.jpg")</f>
        <v/>
      </c>
      <c r="I234" t="inlineStr">
        <is>
          <t>169.99</t>
        </is>
      </c>
      <c r="J234" t="n">
        <v>105</v>
      </c>
      <c r="K234" s="3" t="inlineStr">
        <is>
          <t>-38.23%</t>
        </is>
      </c>
      <c r="L234" t="n">
        <v>4.5</v>
      </c>
      <c r="M234" t="n">
        <v>159</v>
      </c>
      <c r="O234" t="inlineStr">
        <is>
          <t>InStock</t>
        </is>
      </c>
      <c r="P234" t="inlineStr">
        <is>
          <t>170.0</t>
        </is>
      </c>
      <c r="Q234" t="inlineStr">
        <is>
          <t>1262559</t>
        </is>
      </c>
    </row>
    <row r="235">
      <c r="A235" s="2">
        <f>HYPERLINK("https://www.als.com/keen-w-koven/p?skuId=1240446", "https://www.als.com/keen-w-koven/p?skuId=1240446")</f>
        <v/>
      </c>
      <c r="B235" s="2">
        <f>HYPERLINK("https://www.als.com/keen-w-koven/p", "https://www.als.com/keen-w-koven/p")</f>
        <v/>
      </c>
      <c r="C235" t="inlineStr">
        <is>
          <t>KEEN Koven Hiking Shoe - Women's</t>
        </is>
      </c>
      <c r="D235" t="inlineStr">
        <is>
          <t>KEEN Women's Voyageur Low Height Breathable Hiking Shoes</t>
        </is>
      </c>
      <c r="E235" s="2">
        <f>HYPERLINK("https://www.amazon.com/KEEN-Womens-Voyageur-Brindle-Alaskan/dp/B00HGAGBKA/ref=sr_1_16?keywords=KEEN+Koven+Hiking+Shoe+-+Women%27s&amp;qid=1695124139&amp;sr=8-16", "https://www.amazon.com/KEEN-Womens-Voyageur-Brindle-Alaskan/dp/B00HGAGBKA/ref=sr_1_16?keywords=KEEN+Koven+Hiking+Shoe+-+Women%27s&amp;qid=1695124139&amp;sr=8-16")</f>
        <v/>
      </c>
      <c r="F235" t="inlineStr">
        <is>
          <t>B00HGAGBKA</t>
        </is>
      </c>
      <c r="G235">
        <f>IMAGE("https://alssports.vtexassets.com/arquivos/ids/1211483-800-auto?v=638091747520730000&amp;width=800&amp;height=auto&amp;aspect=true")</f>
        <v/>
      </c>
      <c r="H235">
        <f>IMAGE("https://m.media-amazon.com/images/I/81-lYTJU19L._AC_UL320_.jpg")</f>
        <v/>
      </c>
      <c r="I235" t="inlineStr">
        <is>
          <t>119.99</t>
        </is>
      </c>
      <c r="J235" t="n">
        <v>73.95</v>
      </c>
      <c r="K235" s="3" t="inlineStr">
        <is>
          <t>-38.37%</t>
        </is>
      </c>
      <c r="L235" t="n">
        <v>4.5</v>
      </c>
      <c r="M235" t="n">
        <v>2360</v>
      </c>
      <c r="O235" t="inlineStr">
        <is>
          <t>InStock</t>
        </is>
      </c>
      <c r="P235" t="inlineStr">
        <is>
          <t>undefined</t>
        </is>
      </c>
      <c r="Q235" t="inlineStr">
        <is>
          <t>1240446</t>
        </is>
      </c>
    </row>
    <row r="236">
      <c r="A236" s="2">
        <f>HYPERLINK("https://www.als.com/shimab-pedal-pd-m9100-spd-cleat-pack/p?skuId=500218", "https://www.als.com/shimab-pedal-pd-m9100-spd-cleat-pack/p?skuId=500218")</f>
        <v/>
      </c>
      <c r="B236" s="2">
        <f>HYPERLINK("https://www.als.com/shimab-pedal-pd-m9100-spd-cleat-pack/p", "https://www.als.com/shimab-pedal-pd-m9100-spd-cleat-pack/p")</f>
        <v/>
      </c>
      <c r="C236" t="inlineStr">
        <is>
          <t>Shimano TR PD-M9100 Pedal</t>
        </is>
      </c>
      <c r="D236" t="inlineStr">
        <is>
          <t>SHIMANO PD-M8120 Trail and Enduro SPD Pedal</t>
        </is>
      </c>
      <c r="E236" s="2">
        <f>HYPERLINK("https://www.amazon.com/SHIMANO-DEORE-PD-M8120-Without-Reflector/dp/B07TXRNVBR/ref=sr_1_9?keywords=Shimano+TR+PD-M9100+Pedal&amp;qid=1695124455&amp;sr=8-9", "https://www.amazon.com/SHIMANO-DEORE-PD-M8120-Without-Reflector/dp/B07TXRNVBR/ref=sr_1_9?keywords=Shimano+TR+PD-M9100+Pedal&amp;qid=1695124455&amp;sr=8-9")</f>
        <v/>
      </c>
      <c r="F236" t="inlineStr">
        <is>
          <t>B07TXRNVBR</t>
        </is>
      </c>
      <c r="G236">
        <f>IMAGE("https://alssports.vtexassets.com/arquivos/ids/1120618-800-auto?v=637969747990030000&amp;width=800&amp;height=auto&amp;aspect=true")</f>
        <v/>
      </c>
      <c r="H236">
        <f>IMAGE("https://m.media-amazon.com/images/I/6197EAsDtsL._AC_UL320_.jpg")</f>
        <v/>
      </c>
      <c r="I236" t="inlineStr">
        <is>
          <t>179.99</t>
        </is>
      </c>
      <c r="J236" t="n">
        <v>110.9</v>
      </c>
      <c r="K236" s="3" t="inlineStr">
        <is>
          <t>-38.39%</t>
        </is>
      </c>
      <c r="L236" t="n">
        <v>4.8</v>
      </c>
      <c r="M236" t="n">
        <v>299</v>
      </c>
      <c r="O236" t="inlineStr">
        <is>
          <t>InStock</t>
        </is>
      </c>
      <c r="P236" t="inlineStr">
        <is>
          <t>undefined</t>
        </is>
      </c>
      <c r="Q236" t="inlineStr">
        <is>
          <t>500218</t>
        </is>
      </c>
    </row>
    <row r="237">
      <c r="A237" s="2">
        <f>HYPERLINK("https://www.als.com/altra-w-shoe-timp-4/p?skuId=929220", "https://www.als.com/altra-w-shoe-timp-4/p?skuId=929220")</f>
        <v/>
      </c>
      <c r="B237" s="2">
        <f>HYPERLINK("https://www.als.com/altra-w-shoe-timp-4/p", "https://www.als.com/altra-w-shoe-timp-4/p")</f>
        <v/>
      </c>
      <c r="C237" t="inlineStr">
        <is>
          <t>Altra Timp 4 Running Shoe - Women's</t>
        </is>
      </c>
      <c r="D237" t="inlineStr">
        <is>
          <t>ALTRA Women's AL0A548E Lone Peak 6 Trail Running Shoe</t>
        </is>
      </c>
      <c r="E237" s="2">
        <f>HYPERLINK("https://www.amazon.com/ALTRA-Womens-AL0A548E-Trail-Running/dp/B09MYZPCF6/ref=sr_1_4?keywords=Altra+Timp+4+Running+Shoe+-+Womens&amp;qid=1695124369&amp;sr=8-4", "https://www.amazon.com/ALTRA-Womens-AL0A548E-Trail-Running/dp/B09MYZPCF6/ref=sr_1_4?keywords=Altra+Timp+4+Running+Shoe+-+Womens&amp;qid=1695124369&amp;sr=8-4")</f>
        <v/>
      </c>
      <c r="F237" t="inlineStr">
        <is>
          <t>B09MYZPCF6</t>
        </is>
      </c>
      <c r="G237">
        <f>IMAGE("https://alssports.vtexassets.com/arquivos/ids/1112796-800-auto?v=637957454637830000&amp;width=800&amp;height=auto&amp;aspect=true")</f>
        <v/>
      </c>
      <c r="H237">
        <f>IMAGE("https://m.media-amazon.com/images/I/711d0wmxX2L._AC_UL320_.jpg")</f>
        <v/>
      </c>
      <c r="I237" t="inlineStr">
        <is>
          <t>159.95</t>
        </is>
      </c>
      <c r="J237" t="n">
        <v>97.97</v>
      </c>
      <c r="K237" s="3" t="inlineStr">
        <is>
          <t>-38.75%</t>
        </is>
      </c>
      <c r="L237" t="n">
        <v>4.5</v>
      </c>
      <c r="M237" t="n">
        <v>1937</v>
      </c>
      <c r="O237" t="inlineStr">
        <is>
          <t>InStock</t>
        </is>
      </c>
      <c r="P237" t="inlineStr">
        <is>
          <t>129.95</t>
        </is>
      </c>
      <c r="Q237" t="inlineStr">
        <is>
          <t>929220</t>
        </is>
      </c>
    </row>
    <row r="238">
      <c r="A238" s="2">
        <f>HYPERLINK("https://www.als.com/under-m-charged-verssert-run-shoe/p?skuId=1204906", "https://www.als.com/under-m-charged-verssert-run-shoe/p?skuId=1204906")</f>
        <v/>
      </c>
      <c r="B238" s="2">
        <f>HYPERLINK("https://www.als.com/under-m-charged-verssert-run-shoe/p", "https://www.als.com/under-m-charged-verssert-run-shoe/p")</f>
        <v/>
      </c>
      <c r="C238" t="inlineStr">
        <is>
          <t>Under Armour Charged Verssert Running Shoe - Men's</t>
        </is>
      </c>
      <c r="D238" t="inlineStr">
        <is>
          <t>Under Armour Men's Charged Pursuit 2 Running Shoe</t>
        </is>
      </c>
      <c r="E238" s="2">
        <f>HYPERLINK("https://www.amazon.com/Under-Armour-Charged-Pursuit-X-Wide/dp/B07Z76MG13/ref=sr_1_28?keywords=Under+Armour+Charged+Verssert+Running+Shoe+-+Mens&amp;qid=1695124491&amp;sr=8-28", "https://www.amazon.com/Under-Armour-Charged-Pursuit-X-Wide/dp/B07Z76MG13/ref=sr_1_28?keywords=Under+Armour+Charged+Verssert+Running+Shoe+-+Mens&amp;qid=1695124491&amp;sr=8-28")</f>
        <v/>
      </c>
      <c r="F238" t="inlineStr">
        <is>
          <t>B07Z76MG13</t>
        </is>
      </c>
      <c r="G238">
        <f>IMAGE("https://alssports.vtexassets.com/arquivos/ids/1282426-800-auto?v=638158001411130000&amp;width=800&amp;height=auto&amp;aspect=true")</f>
        <v/>
      </c>
      <c r="H238">
        <f>IMAGE("https://m.media-amazon.com/images/I/81umGoUbrGL._AC_UL320_.jpg")</f>
        <v/>
      </c>
      <c r="I238" t="inlineStr">
        <is>
          <t>75.0</t>
        </is>
      </c>
      <c r="J238" t="n">
        <v>45.74</v>
      </c>
      <c r="K238" s="3" t="inlineStr">
        <is>
          <t>-39.01%</t>
        </is>
      </c>
      <c r="L238" t="n">
        <v>4.7</v>
      </c>
      <c r="M238" t="n">
        <v>2746</v>
      </c>
      <c r="O238" t="inlineStr">
        <is>
          <t>InStock</t>
        </is>
      </c>
      <c r="P238" t="inlineStr">
        <is>
          <t>undefined</t>
        </is>
      </c>
      <c r="Q238" t="inlineStr">
        <is>
          <t>1204906</t>
        </is>
      </c>
    </row>
    <row r="239">
      <c r="A239" s="2">
        <f>HYPERLINK("https://www.als.com/altra-w-shoe-timp-4/p?skuId=929220", "https://www.als.com/altra-w-shoe-timp-4/p?skuId=929220")</f>
        <v/>
      </c>
      <c r="B239" s="2">
        <f>HYPERLINK("https://www.als.com/altra-w-shoe-timp-4/p", "https://www.als.com/altra-w-shoe-timp-4/p")</f>
        <v/>
      </c>
      <c r="C239" t="inlineStr">
        <is>
          <t>Altra Timp 4 Running Shoe - Women's</t>
        </is>
      </c>
      <c r="D239" t="inlineStr">
        <is>
          <t>ALTRA Women's AL0A7R7G Lone Peak 7 Trail Running Shoe</t>
        </is>
      </c>
      <c r="E239" s="2">
        <f>HYPERLINK("https://www.amazon.com/ALTRA-AL0A7R7G-Lone-Peak-Running/dp/B09Y68R9ZY/ref=sr_1_6?keywords=Altra+Timp+4+Running+Shoe+-+Womens&amp;qid=1695124369&amp;sr=8-6", "https://www.amazon.com/ALTRA-AL0A7R7G-Lone-Peak-Running/dp/B09Y68R9ZY/ref=sr_1_6?keywords=Altra+Timp+4+Running+Shoe+-+Womens&amp;qid=1695124369&amp;sr=8-6")</f>
        <v/>
      </c>
      <c r="F239" t="inlineStr">
        <is>
          <t>B09Y68R9ZY</t>
        </is>
      </c>
      <c r="G239">
        <f>IMAGE("https://alssports.vtexassets.com/arquivos/ids/1112796-800-auto?v=637957454637830000&amp;width=800&amp;height=auto&amp;aspect=true")</f>
        <v/>
      </c>
      <c r="H239">
        <f>IMAGE("https://m.media-amazon.com/images/I/61Odaje3HXL._AC_UL320_.jpg")</f>
        <v/>
      </c>
      <c r="I239" t="inlineStr">
        <is>
          <t>159.95</t>
        </is>
      </c>
      <c r="J239" t="n">
        <v>97.38</v>
      </c>
      <c r="K239" s="3" t="inlineStr">
        <is>
          <t>-39.12%</t>
        </is>
      </c>
      <c r="L239" t="n">
        <v>4.5</v>
      </c>
      <c r="M239" t="n">
        <v>75</v>
      </c>
      <c r="O239" t="inlineStr">
        <is>
          <t>InStock</t>
        </is>
      </c>
      <c r="P239" t="inlineStr">
        <is>
          <t>129.95</t>
        </is>
      </c>
      <c r="Q239" t="inlineStr">
        <is>
          <t>929220</t>
        </is>
      </c>
    </row>
    <row r="240">
      <c r="A240" s="2">
        <f>HYPERLINK("https://www.als.com/brooks-m-shoe-hyperion/p?skuId=1327074", "https://www.als.com/brooks-m-shoe-hyperion/p?skuId=1327074")</f>
        <v/>
      </c>
      <c r="B240" s="2">
        <f>HYPERLINK("https://www.als.com/brooks-m-shoe-hyperion/p", "https://www.als.com/brooks-m-shoe-hyperion/p")</f>
        <v/>
      </c>
      <c r="C240" t="inlineStr">
        <is>
          <t>Brooks Hyperion Running Shoe - Men's</t>
        </is>
      </c>
      <c r="D240" t="inlineStr">
        <is>
          <t>Brooks Men's Hyperion Tempo Road Running Shoe</t>
        </is>
      </c>
      <c r="E240" s="2">
        <f>HYPERLINK("https://www.amazon.com/Brooks-Mens-Hyperion-Tempo-Running/dp/B094MK9KBV/ref=sr_1_1?keywords=Brooks+Hyperion+Running+Shoe+-+Men%27s&amp;qid=1695124104&amp;sr=8-1", "https://www.amazon.com/Brooks-Mens-Hyperion-Tempo-Running/dp/B094MK9KBV/ref=sr_1_1?keywords=Brooks+Hyperion+Running+Shoe+-+Men%27s&amp;qid=1695124104&amp;sr=8-1")</f>
        <v/>
      </c>
      <c r="F240" t="inlineStr">
        <is>
          <t>B094MK9KBV</t>
        </is>
      </c>
      <c r="G240">
        <f>IMAGE("https://alssports.vtexassets.com/arquivos/ids/1377944-800-auto?v=638248725248900000&amp;width=800&amp;height=auto&amp;aspect=true")</f>
        <v/>
      </c>
      <c r="H240">
        <f>IMAGE("https://m.media-amazon.com/images/I/81Q6M0x7sSL._AC_UL320_.jpg")</f>
        <v/>
      </c>
      <c r="I240" t="inlineStr">
        <is>
          <t>139.95</t>
        </is>
      </c>
      <c r="J240" t="n">
        <v>84.95</v>
      </c>
      <c r="K240" s="3" t="inlineStr">
        <is>
          <t>-39.30%</t>
        </is>
      </c>
      <c r="L240" t="n">
        <v>4.6</v>
      </c>
      <c r="M240" t="n">
        <v>950</v>
      </c>
      <c r="O240" t="inlineStr">
        <is>
          <t>InStock</t>
        </is>
      </c>
      <c r="P240" t="inlineStr">
        <is>
          <t>undefined</t>
        </is>
      </c>
      <c r="Q240" t="inlineStr">
        <is>
          <t>1327074</t>
        </is>
      </c>
    </row>
    <row r="241">
      <c r="A241" s="2">
        <f>HYPERLINK("https://www.als.com/smitho-helmet-wilder-jr-mips/p?skuId=1277864", "https://www.als.com/smitho-helmet-wilder-jr-mips/p?skuId=1277864")</f>
        <v/>
      </c>
      <c r="B241" s="2">
        <f>HYPERLINK("https://www.als.com/smitho-helmet-wilder-jr-mips/p", "https://www.als.com/smitho-helmet-wilder-jr-mips/p")</f>
        <v/>
      </c>
      <c r="C241" t="inlineStr">
        <is>
          <t>Smith Optics Wilder Jr. Helmet w/ MIPS - Youth</t>
        </is>
      </c>
      <c r="D241" t="inlineStr">
        <is>
          <t>Smith Wilder Jr MIPS Helmet - Kids'</t>
        </is>
      </c>
      <c r="E241" s="2">
        <f>HYPERLINK("https://www.amazon.com/Smith-Wilder-Mountain-Helmet-Youth/dp/B096YLQ15F/ref=sr_1_2?keywords=Smith+Optics+Wilder+Jr.+Helmet+w%2F+MIPS+-+Youth&amp;qid=1695124108&amp;sr=8-2", "https://www.amazon.com/Smith-Wilder-Mountain-Helmet-Youth/dp/B096YLQ15F/ref=sr_1_2?keywords=Smith+Optics+Wilder+Jr.+Helmet+w%2F+MIPS+-+Youth&amp;qid=1695124108&amp;sr=8-2")</f>
        <v/>
      </c>
      <c r="F241" t="inlineStr">
        <is>
          <t>B096YLQ15F</t>
        </is>
      </c>
      <c r="G241">
        <f>IMAGE("https://alssports.vtexassets.com/arquivos/ids/1210653-800-auto?v=638090917714800000&amp;width=800&amp;height=auto&amp;aspect=true")</f>
        <v/>
      </c>
      <c r="H241">
        <f>IMAGE("https://m.media-amazon.com/images/I/611e74uV3SL._AC_UL320_.jpg")</f>
        <v/>
      </c>
      <c r="I241" t="inlineStr">
        <is>
          <t>75.0</t>
        </is>
      </c>
      <c r="J241" t="n">
        <v>44.99</v>
      </c>
      <c r="K241" s="3" t="inlineStr">
        <is>
          <t>-40.01%</t>
        </is>
      </c>
      <c r="L241" t="n">
        <v>4.9</v>
      </c>
      <c r="M241" t="n">
        <v>16</v>
      </c>
      <c r="O241" t="inlineStr">
        <is>
          <t>InStock</t>
        </is>
      </c>
      <c r="P241" t="inlineStr">
        <is>
          <t>undefined</t>
        </is>
      </c>
      <c r="Q241" t="inlineStr">
        <is>
          <t>1277864</t>
        </is>
      </c>
    </row>
    <row r="242">
      <c r="A242" s="2">
        <f>HYPERLINK("https://www.als.com/columbia-bugaboo-ii-fleece-interchange-jacket-girls-24034/p?skuId=1130725", "https://www.als.com/columbia-bugaboo-ii-fleece-interchange-jacket-girls-24034/p?skuId=1130725")</f>
        <v/>
      </c>
      <c r="B242" s="2">
        <f>HYPERLINK("https://www.als.com/columbia-bugaboo-ii-fleece-interchange-jacket-girls-24034/p", "https://www.als.com/columbia-bugaboo-ii-fleece-interchange-jacket-girls-24034/p")</f>
        <v/>
      </c>
      <c r="C242" t="inlineStr">
        <is>
          <t>Columbia Bugaboo II Fleece Interchange Jacket - Girls'</t>
        </is>
      </c>
      <c r="D242" t="inlineStr">
        <is>
          <t>Columbia Girls' Whirlibird Ii Interchange Jacket</t>
        </is>
      </c>
      <c r="E242" s="2">
        <f>HYPERLINK("https://www.amazon.com/Columbia-Whirlbird-Interchange-Waterproof-Breathable/dp/B0814BTYG4/ref=sr_1_5?keywords=Columbia+Bugaboo+II+Fleece+Interchange+Jacket+-+Girls%27&amp;qid=1695124426&amp;sr=8-5", "https://www.amazon.com/Columbia-Whirlbird-Interchange-Waterproof-Breathable/dp/B0814BTYG4/ref=sr_1_5?keywords=Columbia+Bugaboo+II+Fleece+Interchange+Jacket+-+Girls%27&amp;qid=1695124426&amp;sr=8-5")</f>
        <v/>
      </c>
      <c r="F242" t="inlineStr">
        <is>
          <t>B0814BTYG4</t>
        </is>
      </c>
      <c r="G242">
        <f>IMAGE("https://alssports.vtexassets.com/arquivos/ids/1329160-800-auto?v=638206235640600000&amp;width=800&amp;height=auto&amp;aspect=true")</f>
        <v/>
      </c>
      <c r="H242">
        <f>IMAGE("https://m.media-amazon.com/images/I/61xB3J1-ixL._AC_UL320_.jpg")</f>
        <v/>
      </c>
      <c r="I242" t="inlineStr">
        <is>
          <t>84.0</t>
        </is>
      </c>
      <c r="J242" t="n">
        <v>50.28</v>
      </c>
      <c r="K242" s="3" t="inlineStr">
        <is>
          <t>-40.14%</t>
        </is>
      </c>
      <c r="L242" t="n">
        <v>4.6</v>
      </c>
      <c r="M242" t="n">
        <v>55</v>
      </c>
      <c r="O242" t="inlineStr">
        <is>
          <t>InStock</t>
        </is>
      </c>
      <c r="P242" t="inlineStr">
        <is>
          <t>120.0</t>
        </is>
      </c>
      <c r="Q242" t="inlineStr">
        <is>
          <t>1130725</t>
        </is>
      </c>
    </row>
    <row r="243">
      <c r="A243" s="2">
        <f>HYPERLINK("https://www.als.com/shimab-pedal-pd-m9100-spd-cleat-pack/p?skuId=500218", "https://www.als.com/shimab-pedal-pd-m9100-spd-cleat-pack/p?skuId=500218")</f>
        <v/>
      </c>
      <c r="B243" s="2">
        <f>HYPERLINK("https://www.als.com/shimab-pedal-pd-m9100-spd-cleat-pack/p", "https://www.als.com/shimab-pedal-pd-m9100-spd-cleat-pack/p")</f>
        <v/>
      </c>
      <c r="C243" t="inlineStr">
        <is>
          <t>Shimano TR PD-M9100 Pedal</t>
        </is>
      </c>
      <c r="D243" t="inlineStr">
        <is>
          <t>Shimano Deore XT PD-T8000 Pedal Trekking, Black, One Size</t>
        </is>
      </c>
      <c r="E243" s="2">
        <f>HYPERLINK("https://www.amazon.com/Shimano-PD-T8000-Trekking-Bicycle-Clipless/dp/B01HI6M1KU/ref=sr_1_20?keywords=Shimano+TR+PD-M9100+Pedal&amp;qid=1695124455&amp;sr=8-20", "https://www.amazon.com/Shimano-PD-T8000-Trekking-Bicycle-Clipless/dp/B01HI6M1KU/ref=sr_1_20?keywords=Shimano+TR+PD-M9100+Pedal&amp;qid=1695124455&amp;sr=8-20")</f>
        <v/>
      </c>
      <c r="F243" t="inlineStr">
        <is>
          <t>B01HI6M1KU</t>
        </is>
      </c>
      <c r="G243">
        <f>IMAGE("https://alssports.vtexassets.com/arquivos/ids/1120618-800-auto?v=637969747990030000&amp;width=800&amp;height=auto&amp;aspect=true")</f>
        <v/>
      </c>
      <c r="H243">
        <f>IMAGE("https://m.media-amazon.com/images/I/61adB0yN2NL._AC_UL320_.jpg")</f>
        <v/>
      </c>
      <c r="I243" t="inlineStr">
        <is>
          <t>179.99</t>
        </is>
      </c>
      <c r="J243" t="n">
        <v>106.74</v>
      </c>
      <c r="K243" s="3" t="inlineStr">
        <is>
          <t>-40.70%</t>
        </is>
      </c>
      <c r="L243" t="n">
        <v>4.7</v>
      </c>
      <c r="M243" t="n">
        <v>1017</v>
      </c>
      <c r="O243" t="inlineStr">
        <is>
          <t>InStock</t>
        </is>
      </c>
      <c r="P243" t="inlineStr">
        <is>
          <t>undefined</t>
        </is>
      </c>
      <c r="Q243" t="inlineStr">
        <is>
          <t>500218</t>
        </is>
      </c>
    </row>
    <row r="244">
      <c r="A244" s="2">
        <f>HYPERLINK("https://www.als.com/pflueg-reel-supreme-xt-spinning/p?skuId=943388", "https://www.als.com/pflueg-reel-supreme-xt-spinning/p?skuId=943388")</f>
        <v/>
      </c>
      <c r="B244" s="2">
        <f>HYPERLINK("https://www.als.com/pflueg-reel-supreme-xt-spinning/p", "https://www.als.com/pflueg-reel-supreme-xt-spinning/p")</f>
        <v/>
      </c>
      <c r="C244" t="inlineStr">
        <is>
          <t>Pflueger Supreme XT Spinning Reel</t>
        </is>
      </c>
      <c r="D244" t="inlineStr">
        <is>
          <t>Pflueger PRESXTSP40X President XT Spinning Lightweight Reel w/ 10 Ball Bearings and Braid Ready Spool for Freshwater or Saltwater Fishing, Size 40</t>
        </is>
      </c>
      <c r="E244" s="2">
        <f>HYPERLINK("https://www.amazon.com/Pflueger-PRESXTSP40X-PFL-PRESXT-1383425/dp/B07636GCB7/ref=sr_1_11?keywords=Pflueger+Supreme+XT+Spinning+Reel&amp;qid=1695124336&amp;sr=8-11", "https://www.amazon.com/Pflueger-PRESXTSP40X-PFL-PRESXT-1383425/dp/B07636GCB7/ref=sr_1_11?keywords=Pflueger+Supreme+XT+Spinning+Reel&amp;qid=1695124336&amp;sr=8-11")</f>
        <v/>
      </c>
      <c r="F244" t="inlineStr">
        <is>
          <t>B07636GCB7</t>
        </is>
      </c>
      <c r="G244">
        <f>IMAGE("https://alssports.vtexassets.com/arquivos/ids/1053300-800-auto?v=637867095703370000&amp;width=800&amp;height=auto&amp;aspect=true")</f>
        <v/>
      </c>
      <c r="H244">
        <f>IMAGE("https://m.media-amazon.com/images/I/61aSUi8AS7L._AC_UY218_.jpg")</f>
        <v/>
      </c>
      <c r="I244" t="inlineStr">
        <is>
          <t>169.95</t>
        </is>
      </c>
      <c r="J244" t="n">
        <v>99.95</v>
      </c>
      <c r="K244" s="3" t="inlineStr">
        <is>
          <t>-41.19%</t>
        </is>
      </c>
      <c r="L244" t="n">
        <v>4.9</v>
      </c>
      <c r="M244" t="n">
        <v>52</v>
      </c>
      <c r="O244" t="inlineStr">
        <is>
          <t>InStock</t>
        </is>
      </c>
      <c r="P244" t="inlineStr">
        <is>
          <t>undefined</t>
        </is>
      </c>
      <c r="Q244" t="inlineStr">
        <is>
          <t>943388</t>
        </is>
      </c>
    </row>
    <row r="245">
      <c r="A245" s="2">
        <f>HYPERLINK("https://www.als.com/frogg-wader-canyon-ii-breathable/p?skuId=801564", "https://www.als.com/frogg-wader-canyon-ii-breathable/p?skuId=801564")</f>
        <v/>
      </c>
      <c r="B245" s="2">
        <f>HYPERLINK("https://www.als.com/frogg-wader-canyon-ii-breathable/p", "https://www.als.com/frogg-wader-canyon-ii-breathable/p")</f>
        <v/>
      </c>
      <c r="C245" t="inlineStr">
        <is>
          <t>frogg toggs Canyon II Stockingfoot Wader - Men's</t>
        </is>
      </c>
      <c r="D245" t="inlineStr">
        <is>
          <t>FROGG TOGGS Men's Rana II PVC Bootfoot Hip Wader</t>
        </is>
      </c>
      <c r="E245" s="2">
        <f>HYPERLINK("https://www.amazon.com/Frogg-Toggs-Bootfoot-Wader-Outsole/dp/B01N1FJ9GJ/ref=sr_1_14?keywords=frogg+toggs+Canyon+II+Stockingfoot+Wader+-+Mens&amp;qid=1695124321&amp;sr=8-14", "https://www.amazon.com/Frogg-Toggs-Bootfoot-Wader-Outsole/dp/B01N1FJ9GJ/ref=sr_1_14?keywords=frogg+toggs+Canyon+II+Stockingfoot+Wader+-+Mens&amp;qid=1695124321&amp;sr=8-14")</f>
        <v/>
      </c>
      <c r="F245" t="inlineStr">
        <is>
          <t>B01N1FJ9GJ</t>
        </is>
      </c>
      <c r="G245">
        <f>IMAGE("https://alssports.vtexassets.com/arquivos/ids/671502-800-auto?v=637562972890570000&amp;width=800&amp;height=auto&amp;aspect=true")</f>
        <v/>
      </c>
      <c r="H245">
        <f>IMAGE("https://m.media-amazon.com/images/I/61hd5Xil9oL._AC_UL320_.jpg")</f>
        <v/>
      </c>
      <c r="I245" t="inlineStr">
        <is>
          <t>79.99</t>
        </is>
      </c>
      <c r="J245" t="n">
        <v>46.76</v>
      </c>
      <c r="K245" s="3" t="inlineStr">
        <is>
          <t>-41.54%</t>
        </is>
      </c>
      <c r="L245" t="n">
        <v>4.5</v>
      </c>
      <c r="M245" t="n">
        <v>3919</v>
      </c>
      <c r="O245" t="inlineStr">
        <is>
          <t>InStock</t>
        </is>
      </c>
      <c r="P245" t="inlineStr">
        <is>
          <t>139.99</t>
        </is>
      </c>
      <c r="Q245" t="inlineStr">
        <is>
          <t>801564</t>
        </is>
      </c>
    </row>
    <row r="246">
      <c r="A246" s="2">
        <f>HYPERLINK("https://www.als.com/birken-ws-sandal-arizona-soft-ftbed/p?skuId=254551", "https://www.als.com/birken-ws-sandal-arizona-soft-ftbed/p?skuId=254551")</f>
        <v/>
      </c>
      <c r="B246" s="2">
        <f>HYPERLINK("https://www.als.com/birken-ws-sandal-arizona-soft-ftbed/p", "https://www.als.com/birken-ws-sandal-arizona-soft-ftbed/p")</f>
        <v/>
      </c>
      <c r="C246" t="inlineStr">
        <is>
          <t>Birkenstock Arizona Soft Footbed Sandal</t>
        </is>
      </c>
      <c r="D246" t="inlineStr">
        <is>
          <t>Birkenstock Men's Amalfi Leather Soft Footbed Arizona Sandals</t>
        </is>
      </c>
      <c r="E246" s="2">
        <f>HYPERLINK("https://www.amazon.com/Birkenstock-Unisex-Arizona-Black-Sandals/dp/B00APYOB9W/ref=sr_1_1?keywords=Birkenstock+Arizona+Soft+Footbed+Sandal&amp;qid=1695124328&amp;sr=8-1", "https://www.amazon.com/Birkenstock-Unisex-Arizona-Black-Sandals/dp/B00APYOB9W/ref=sr_1_1?keywords=Birkenstock+Arizona+Soft+Footbed+Sandal&amp;qid=1695124328&amp;sr=8-1")</f>
        <v/>
      </c>
      <c r="F246" t="inlineStr">
        <is>
          <t>B00APYOB9W</t>
        </is>
      </c>
      <c r="G246">
        <f>IMAGE("https://alssports.vtexassets.com/arquivos/ids/1316883-800-auto?v=638198562145970000&amp;width=800&amp;height=auto&amp;aspect=true")</f>
        <v/>
      </c>
      <c r="H246">
        <f>IMAGE("https://m.media-amazon.com/images/I/61wpr8TYUyL._AC_UL320_.jpg")</f>
        <v/>
      </c>
      <c r="I246" t="inlineStr">
        <is>
          <t>135.0</t>
        </is>
      </c>
      <c r="J246" t="n">
        <v>78</v>
      </c>
      <c r="K246" s="3" t="inlineStr">
        <is>
          <t>-42.22%</t>
        </is>
      </c>
      <c r="L246" t="n">
        <v>4.5</v>
      </c>
      <c r="M246" t="n">
        <v>27924</v>
      </c>
      <c r="O246" t="inlineStr">
        <is>
          <t>InStock</t>
        </is>
      </c>
      <c r="P246" t="inlineStr">
        <is>
          <t>undefined</t>
        </is>
      </c>
      <c r="Q246" t="inlineStr">
        <is>
          <t>254551</t>
        </is>
      </c>
    </row>
    <row r="247">
      <c r="A247" s="2">
        <f>HYPERLINK("https://www.als.com/mizuno-m-wave-sky-6/p?skuId=1249127", "https://www.als.com/mizuno-m-wave-sky-6/p?skuId=1249127")</f>
        <v/>
      </c>
      <c r="B247" s="2">
        <f>HYPERLINK("https://www.als.com/mizuno-m-wave-sky-6/p", "https://www.als.com/mizuno-m-wave-sky-6/p")</f>
        <v/>
      </c>
      <c r="C247" t="inlineStr">
        <is>
          <t>Mizuno Wave Sky 6 Wide Running Shoe - Men's</t>
        </is>
      </c>
      <c r="D247" t="inlineStr">
        <is>
          <t>Mizuno Men's Wave Inspire 16 Running Shoe Road</t>
        </is>
      </c>
      <c r="E247" s="2">
        <f>HYPERLINK("https://www.amazon.com/Mizuno-Wave-Inspire-17-WAVEKNIT/dp/B086FKJHXR/ref=sr_1_21?keywords=Mizuno+Wave+Sky+6+Wide+Running+Shoe+-+Mens&amp;qid=1695124408&amp;sr=8-21", "https://www.amazon.com/Mizuno-Wave-Inspire-17-WAVEKNIT/dp/B086FKJHXR/ref=sr_1_21?keywords=Mizuno+Wave+Sky+6+Wide+Running+Shoe+-+Mens&amp;qid=1695124408&amp;sr=8-21")</f>
        <v/>
      </c>
      <c r="F247" t="inlineStr">
        <is>
          <t>B086FKJHXR</t>
        </is>
      </c>
      <c r="G247">
        <f>IMAGE("https://alssports.vtexassets.com/arquivos/ids/1277484-800-auto?v=638152954723900000&amp;width=800&amp;height=auto&amp;aspect=true")</f>
        <v/>
      </c>
      <c r="H247">
        <f>IMAGE("https://m.media-amazon.com/images/I/610XtRF13tL._AC_UL320_.jpg")</f>
        <v/>
      </c>
      <c r="I247" t="inlineStr">
        <is>
          <t>169.99</t>
        </is>
      </c>
      <c r="J247" t="n">
        <v>97.97</v>
      </c>
      <c r="K247" s="3" t="inlineStr">
        <is>
          <t>-42.37%</t>
        </is>
      </c>
      <c r="L247" t="n">
        <v>4.6</v>
      </c>
      <c r="M247" t="n">
        <v>2163</v>
      </c>
      <c r="O247" t="inlineStr">
        <is>
          <t>InStock</t>
        </is>
      </c>
      <c r="P247" t="inlineStr">
        <is>
          <t>169.99</t>
        </is>
      </c>
      <c r="Q247" t="inlineStr">
        <is>
          <t>1249127</t>
        </is>
      </c>
    </row>
    <row r="248">
      <c r="A248" s="2">
        <f>HYPERLINK("https://www.als.com/mizuno-w-wave-sky-6/p?skuId=1262559", "https://www.als.com/mizuno-w-wave-sky-6/p?skuId=1262559")</f>
        <v/>
      </c>
      <c r="B248" s="2">
        <f>HYPERLINK("https://www.als.com/mizuno-w-wave-sky-6/p", "https://www.als.com/mizuno-w-wave-sky-6/p")</f>
        <v/>
      </c>
      <c r="C248" t="inlineStr">
        <is>
          <t>Mizuno Wave Sky 6 Running Shoe - Women's</t>
        </is>
      </c>
      <c r="D248" t="inlineStr">
        <is>
          <t>Mizuno Women's Wave Inspire 17 Running Shoe</t>
        </is>
      </c>
      <c r="E248" s="2">
        <f>HYPERLINK("https://www.amazon.com/Mizuno-Wave-Inspire-17-WAVEKNIT/dp/B086FKJHZC/ref=sr_1_31?keywords=Mizuno+Wave+Sky+6+Running+Shoe+-+Women%27s&amp;qid=1695124449&amp;sr=8-31", "https://www.amazon.com/Mizuno-Wave-Inspire-17-WAVEKNIT/dp/B086FKJHZC/ref=sr_1_31?keywords=Mizuno+Wave+Sky+6+Running+Shoe+-+Women%27s&amp;qid=1695124449&amp;sr=8-31")</f>
        <v/>
      </c>
      <c r="F248" t="inlineStr">
        <is>
          <t>B086FKJHZC</t>
        </is>
      </c>
      <c r="G248">
        <f>IMAGE("https://alssports.vtexassets.com/arquivos/ids/1277387-800-auto?v=638152938174200000&amp;width=800&amp;height=auto&amp;aspect=true")</f>
        <v/>
      </c>
      <c r="H248">
        <f>IMAGE("https://m.media-amazon.com/images/I/81vDwwtBsuL._AC_UL320_.jpg")</f>
        <v/>
      </c>
      <c r="I248" t="inlineStr">
        <is>
          <t>169.99</t>
        </is>
      </c>
      <c r="J248" t="n">
        <v>97.97</v>
      </c>
      <c r="K248" s="3" t="inlineStr">
        <is>
          <t>-42.37%</t>
        </is>
      </c>
      <c r="L248" t="n">
        <v>4.5</v>
      </c>
      <c r="M248" t="n">
        <v>1277</v>
      </c>
      <c r="O248" t="inlineStr">
        <is>
          <t>InStock</t>
        </is>
      </c>
      <c r="P248" t="inlineStr">
        <is>
          <t>170.0</t>
        </is>
      </c>
      <c r="Q248" t="inlineStr">
        <is>
          <t>1262559</t>
        </is>
      </c>
    </row>
    <row r="249">
      <c r="A249" s="2">
        <f>HYPERLINK("https://www.als.com/sitka-m-pant-mountain-optifade/p?skuId=90738", "https://www.als.com/sitka-m-pant-mountain-optifade/p?skuId=90738")</f>
        <v/>
      </c>
      <c r="B249" s="2">
        <f>HYPERLINK("https://www.als.com/sitka-m-pant-mountain-optifade/p", "https://www.als.com/sitka-m-pant-mountain-optifade/p")</f>
        <v/>
      </c>
      <c r="C249" t="inlineStr">
        <is>
          <t>Sitka Mountain Pant - Men's</t>
        </is>
      </c>
      <c r="D249" t="inlineStr">
        <is>
          <t>SITKA Gear Men's Hunting Traverse Pants</t>
        </is>
      </c>
      <c r="E249" s="2">
        <f>HYPERLINK("https://www.amazon.com/SITKA-Gear-Hunting-Traverse-Pants/dp/B0BJ6K9LFB/ref=sr_1_2?keywords=Sitka+Mountain+Pant+-+Mens&amp;qid=1695124392&amp;sr=8-2", "https://www.amazon.com/SITKA-Gear-Hunting-Traverse-Pants/dp/B0BJ6K9LFB/ref=sr_1_2?keywords=Sitka+Mountain+Pant+-+Mens&amp;qid=1695124392&amp;sr=8-2")</f>
        <v/>
      </c>
      <c r="F249" t="inlineStr">
        <is>
          <t>B0BJ6K9LFB</t>
        </is>
      </c>
      <c r="G249">
        <f>IMAGE("https://alssports.vtexassets.com/arquivos/ids/1369099-800-auto?v=638242004529500000&amp;width=800&amp;height=auto&amp;aspect=true")</f>
        <v/>
      </c>
      <c r="H249">
        <f>IMAGE("https://m.media-amazon.com/images/I/51BKcb5UExL._AC_UL320_.jpg")</f>
        <v/>
      </c>
      <c r="I249" t="inlineStr">
        <is>
          <t>209.0</t>
        </is>
      </c>
      <c r="J249" t="n">
        <v>118.49</v>
      </c>
      <c r="K249" s="3" t="inlineStr">
        <is>
          <t>-43.31%</t>
        </is>
      </c>
      <c r="L249" t="n">
        <v>4.7</v>
      </c>
      <c r="M249" t="n">
        <v>25</v>
      </c>
      <c r="O249" t="inlineStr">
        <is>
          <t>InStock</t>
        </is>
      </c>
      <c r="P249" t="inlineStr">
        <is>
          <t>undefined</t>
        </is>
      </c>
      <c r="Q249" t="inlineStr">
        <is>
          <t>90738</t>
        </is>
      </c>
    </row>
    <row r="250">
      <c r="A250" s="2">
        <f>HYPERLINK("https://www.als.com/chaco-m-sandal-zcloud/p?skuId=932120", "https://www.als.com/chaco-m-sandal-zcloud/p?skuId=932120")</f>
        <v/>
      </c>
      <c r="B250" s="2">
        <f>HYPERLINK("https://www.als.com/chaco-m-sandal-zcloud/p", "https://www.als.com/chaco-m-sandal-zcloud/p")</f>
        <v/>
      </c>
      <c r="C250" t="inlineStr">
        <is>
          <t>Chaco Z/Cloud Sandal - Men's</t>
        </is>
      </c>
      <c r="D250" t="inlineStr">
        <is>
          <t>Chaco Men's Zvolv Sandal</t>
        </is>
      </c>
      <c r="E250" s="2">
        <f>HYPERLINK("https://www.amazon.com/Chaco-J106591-Sport-Sandal-Solid/dp/B07R11RM27/ref=sr_1_20?keywords=Chaco+Z%2FCloud+Sandal+-+Mens&amp;qid=1695124430&amp;sr=8-20", "https://www.amazon.com/Chaco-J106591-Sport-Sandal-Solid/dp/B07R11RM27/ref=sr_1_20?keywords=Chaco+Z%2FCloud+Sandal+-+Mens&amp;qid=1695124430&amp;sr=8-20")</f>
        <v/>
      </c>
      <c r="F250" t="inlineStr">
        <is>
          <t>B07R11RM27</t>
        </is>
      </c>
      <c r="G250">
        <f>IMAGE("https://alssports.vtexassets.com/arquivos/ids/1082383-800-auto?v=637913737461500000&amp;width=800&amp;height=auto&amp;aspect=true")</f>
        <v/>
      </c>
      <c r="H250">
        <f>IMAGE("https://m.media-amazon.com/images/I/71Fo1daLkZL._AC_UL320_.jpg")</f>
        <v/>
      </c>
      <c r="I250" t="inlineStr">
        <is>
          <t>104.95</t>
        </is>
      </c>
      <c r="J250" t="n">
        <v>57.91</v>
      </c>
      <c r="K250" s="3" t="inlineStr">
        <is>
          <t>-44.82%</t>
        </is>
      </c>
      <c r="L250" t="n">
        <v>4.6</v>
      </c>
      <c r="M250" t="n">
        <v>337</v>
      </c>
      <c r="O250" t="inlineStr">
        <is>
          <t>InStock</t>
        </is>
      </c>
      <c r="P250" t="inlineStr">
        <is>
          <t>undefined</t>
        </is>
      </c>
      <c r="Q250" t="inlineStr">
        <is>
          <t>932120</t>
        </is>
      </c>
    </row>
    <row r="251">
      <c r="A251" s="2">
        <f>HYPERLINK("https://www.als.com/under-m-charged-verssert-run-shoe/p?skuId=1204906", "https://www.als.com/under-m-charged-verssert-run-shoe/p?skuId=1204906")</f>
        <v/>
      </c>
      <c r="B251" s="2">
        <f>HYPERLINK("https://www.als.com/under-m-charged-verssert-run-shoe/p", "https://www.als.com/under-m-charged-verssert-run-shoe/p")</f>
        <v/>
      </c>
      <c r="C251" t="inlineStr">
        <is>
          <t>Under Armour Charged Verssert Running Shoe - Men's</t>
        </is>
      </c>
      <c r="D251" t="inlineStr">
        <is>
          <t>Under Armour Men's Charged Rogue 2 Running Shoe</t>
        </is>
      </c>
      <c r="E251" s="2">
        <f>HYPERLINK("https://www.amazon.com/Under-Armour-Charged-Running-X-Wide/dp/B07RL623RG/ref=sr_1_25?keywords=Under+Armour+Charged+Verssert+Running+Shoe+-+Mens&amp;qid=1695124491&amp;sr=8-25", "https://www.amazon.com/Under-Armour-Charged-Running-X-Wide/dp/B07RL623RG/ref=sr_1_25?keywords=Under+Armour+Charged+Verssert+Running+Shoe+-+Mens&amp;qid=1695124491&amp;sr=8-25")</f>
        <v/>
      </c>
      <c r="F251" t="inlineStr">
        <is>
          <t>B07RL623RG</t>
        </is>
      </c>
      <c r="G251">
        <f>IMAGE("https://alssports.vtexassets.com/arquivos/ids/1282426-800-auto?v=638158001411130000&amp;width=800&amp;height=auto&amp;aspect=true")</f>
        <v/>
      </c>
      <c r="H251">
        <f>IMAGE("https://m.media-amazon.com/images/I/81FM0Al9zhL._AC_UL320_.jpg")</f>
        <v/>
      </c>
      <c r="I251" t="inlineStr">
        <is>
          <t>75.0</t>
        </is>
      </c>
      <c r="J251" t="n">
        <v>41.25</v>
      </c>
      <c r="K251" s="3" t="inlineStr">
        <is>
          <t>-45.00%</t>
        </is>
      </c>
      <c r="L251" t="n">
        <v>4.6</v>
      </c>
      <c r="M251" t="n">
        <v>3189</v>
      </c>
      <c r="O251" t="inlineStr">
        <is>
          <t>InStock</t>
        </is>
      </c>
      <c r="P251" t="inlineStr">
        <is>
          <t>undefined</t>
        </is>
      </c>
      <c r="Q251" t="inlineStr">
        <is>
          <t>1204906</t>
        </is>
      </c>
    </row>
    <row r="252">
      <c r="A252" s="2">
        <f>HYPERLINK("https://www.als.com/columbia-powder-lite-novelty-hooded-jacket-girls-125482/p?skuId=1139868", "https://www.als.com/columbia-powder-lite-novelty-hooded-jacket-girls-125482/p?skuId=1139868")</f>
        <v/>
      </c>
      <c r="B252" s="2">
        <f>HYPERLINK("https://www.als.com/columbia-powder-lite-novelty-hooded-jacket-girls-125482/p", "https://www.als.com/columbia-powder-lite-novelty-hooded-jacket-girls-125482/p")</f>
        <v/>
      </c>
      <c r="C252" t="inlineStr">
        <is>
          <t>Columbia Powder Lite Novelty Hooded Jacket - Girls'</t>
        </is>
      </c>
      <c r="D252" t="inlineStr">
        <is>
          <t>Columbia Girls' and Toddlers' Powder Lite Jacket</t>
        </is>
      </c>
      <c r="E252" s="2">
        <f>HYPERLINK("https://www.amazon.com/Columbia-GirlS-Powder-Jacket-Repellant/dp/B0814C2RMY/ref=sr_1_4?keywords=Columbia+Powder+Lite+Novelty+Hooded+Jacket+-+Girls&amp;qid=1695124483&amp;sr=8-4", "https://www.amazon.com/Columbia-GirlS-Powder-Jacket-Repellant/dp/B0814C2RMY/ref=sr_1_4?keywords=Columbia+Powder+Lite+Novelty+Hooded+Jacket+-+Girls&amp;qid=1695124483&amp;sr=8-4")</f>
        <v/>
      </c>
      <c r="F252" t="inlineStr">
        <is>
          <t>B0814C2RMY</t>
        </is>
      </c>
      <c r="G252">
        <f>IMAGE("https://alssports.vtexassets.com/arquivos/ids/1180419-800-auto?v=638050834194370000&amp;width=800&amp;height=auto&amp;aspect=true")</f>
        <v/>
      </c>
      <c r="H252">
        <f>IMAGE("https://m.media-amazon.com/images/I/61-2k3j0mOS._AC_UL320_.jpg")</f>
        <v/>
      </c>
      <c r="I252" t="inlineStr">
        <is>
          <t>84.0</t>
        </is>
      </c>
      <c r="J252" t="n">
        <v>45.96</v>
      </c>
      <c r="K252" s="3" t="inlineStr">
        <is>
          <t>-45.29%</t>
        </is>
      </c>
      <c r="L252" t="n">
        <v>4.8</v>
      </c>
      <c r="M252" t="n">
        <v>90</v>
      </c>
      <c r="O252" t="inlineStr">
        <is>
          <t>InStock</t>
        </is>
      </c>
      <c r="P252" t="inlineStr">
        <is>
          <t>120.0</t>
        </is>
      </c>
      <c r="Q252" t="inlineStr">
        <is>
          <t>1139868</t>
        </is>
      </c>
    </row>
    <row r="253">
      <c r="A253" s="2">
        <f>HYPERLINK("https://www.als.com/conti-tire-grand-prix-5000-s-tr/p?skuId=971397", "https://www.als.com/conti-tire-grand-prix-5000-s-tr/p?skuId=971397")</f>
        <v/>
      </c>
      <c r="B253" s="2">
        <f>HYPERLINK("https://www.als.com/conti-tire-grand-prix-5000-s-tr/p", "https://www.als.com/conti-tire-grand-prix-5000-s-tr/p")</f>
        <v/>
      </c>
      <c r="C253" t="inlineStr">
        <is>
          <t>Continental Tires Continental Grand Prix 5000 S TR Tire</t>
        </is>
      </c>
      <c r="D253" t="inlineStr">
        <is>
          <t>Continental Grand Prix 4 Season Black Edition Road Bike Tire - Vectran Puncture Protection, DuraSkin Sidewall Protection, Folding Bike Tire (700x23, 700x25, 700x28, 700x32)</t>
        </is>
      </c>
      <c r="E253" s="2">
        <f>HYPERLINK("https://www.amazon.com/Continental-Grand-Season-Black-700cm/dp/B01N41H62V/ref=sr_1_46?keywords=Continental+Tires+Continental+Grand+Prix+5000+S+TR+Tire&amp;qid=1695124461&amp;sr=8-46", "https://www.amazon.com/Continental-Grand-Season-Black-700cm/dp/B01N41H62V/ref=sr_1_46?keywords=Continental+Tires+Continental+Grand+Prix+5000+S+TR+Tire&amp;qid=1695124461&amp;sr=8-46")</f>
        <v/>
      </c>
      <c r="F253" t="inlineStr">
        <is>
          <t>B01N41H62V</t>
        </is>
      </c>
      <c r="G253">
        <f>IMAGE("https://alssports.vtexassets.com/arquivos/ids/1235281-800-auto?v=638114086611970000&amp;width=800&amp;height=auto&amp;aspect=true")</f>
        <v/>
      </c>
      <c r="H253">
        <f>IMAGE("https://m.media-amazon.com/images/I/71Ecnak8VBL._AC_UL320_.jpg")</f>
        <v/>
      </c>
      <c r="I253" t="inlineStr">
        <is>
          <t>99.95</t>
        </is>
      </c>
      <c r="J253" t="n">
        <v>53.99</v>
      </c>
      <c r="K253" s="3" t="inlineStr">
        <is>
          <t>-45.98%</t>
        </is>
      </c>
      <c r="L253" t="n">
        <v>4.7</v>
      </c>
      <c r="M253" t="n">
        <v>701</v>
      </c>
      <c r="O253" t="inlineStr">
        <is>
          <t>InStock</t>
        </is>
      </c>
      <c r="P253" t="inlineStr">
        <is>
          <t>undefined</t>
        </is>
      </c>
      <c r="Q253" t="inlineStr">
        <is>
          <t>971397</t>
        </is>
      </c>
    </row>
    <row r="254">
      <c r="A254" s="2">
        <f>HYPERLINK("https://www.als.com/sal-sh-m-shoe-speedcross-6/p?skuId=1067283", "https://www.als.com/sal-sh-m-shoe-speedcross-6/p?skuId=1067283")</f>
        <v/>
      </c>
      <c r="B254" s="2">
        <f>HYPERLINK("https://www.als.com/sal-sh-m-shoe-speedcross-6/p", "https://www.als.com/sal-sh-m-shoe-speedcross-6/p")</f>
        <v/>
      </c>
      <c r="C254" t="inlineStr">
        <is>
          <t>Salomon Speedcross 6 Trail Running Shoe - Men's</t>
        </is>
      </c>
      <c r="D254" t="inlineStr">
        <is>
          <t>Salomon Men's Alphacross 4 Gore-tex Trail Running Shoe</t>
        </is>
      </c>
      <c r="E254" s="2">
        <f>HYPERLINK("https://www.amazon.com/Salomon-ALPHACROSS-Gore-TEX-Trail-Running/dp/B0B5JVB86N/ref=sr_1_13?keywords=Salomon+Speedcross+6+Trail+Running+Shoe+-+Men%27s&amp;qid=1695124304&amp;sr=8-13", "https://www.amazon.com/Salomon-ALPHACROSS-Gore-TEX-Trail-Running/dp/B0B5JVB86N/ref=sr_1_13?keywords=Salomon+Speedcross+6+Trail+Running+Shoe+-+Men%27s&amp;qid=1695124304&amp;sr=8-13")</f>
        <v/>
      </c>
      <c r="F254" t="inlineStr">
        <is>
          <t>B0B5JVB86N</t>
        </is>
      </c>
      <c r="G254">
        <f>IMAGE("https://alssports.vtexassets.com/arquivos/ids/1132465-800-auto?v=637986345574970000&amp;width=800&amp;height=auto&amp;aspect=true")</f>
        <v/>
      </c>
      <c r="H254">
        <f>IMAGE("https://m.media-amazon.com/images/I/81YJm-7NiSL._AC_UL320_.jpg")</f>
        <v/>
      </c>
      <c r="I254" t="inlineStr">
        <is>
          <t>144.95</t>
        </is>
      </c>
      <c r="J254" t="n">
        <v>78.16</v>
      </c>
      <c r="K254" s="3" t="inlineStr">
        <is>
          <t>-46.08%</t>
        </is>
      </c>
      <c r="L254" t="n">
        <v>4.5</v>
      </c>
      <c r="M254" t="n">
        <v>31</v>
      </c>
      <c r="O254" t="inlineStr">
        <is>
          <t>InStock</t>
        </is>
      </c>
      <c r="P254" t="inlineStr">
        <is>
          <t>145.0</t>
        </is>
      </c>
      <c r="Q254" t="inlineStr">
        <is>
          <t>1067283</t>
        </is>
      </c>
    </row>
    <row r="255">
      <c r="A255" s="2">
        <f>HYPERLINK("https://www.als.com/asics-ws-shoe-gel-nimbus-24/p?skuId=1037727", "https://www.als.com/asics-ws-shoe-gel-nimbus-24/p?skuId=1037727")</f>
        <v/>
      </c>
      <c r="B255" s="2">
        <f>HYPERLINK("https://www.als.com/asics-ws-shoe-gel-nimbus-24/p", "https://www.als.com/asics-ws-shoe-gel-nimbus-24/p")</f>
        <v/>
      </c>
      <c r="C255" t="inlineStr">
        <is>
          <t>Asics GEL-NIMBUS 24 Running Shoe - Women's</t>
        </is>
      </c>
      <c r="D255" t="inlineStr">
        <is>
          <t>ASICS Women's Gel-Excite 9 Running Shoes</t>
        </is>
      </c>
      <c r="E255" s="2">
        <f>HYPERLINK("https://www.amazon.com/ASICS-Womens-Gel-Excite-Running-Shoes/dp/B09MZ2D7TT/ref=sr_1_42?keywords=Asics+GEL-NIMBUS+24+Running+Shoe+-+Womens&amp;qid=1695124093&amp;sr=8-42", "https://www.amazon.com/ASICS-Womens-Gel-Excite-Running-Shoes/dp/B09MZ2D7TT/ref=sr_1_42?keywords=Asics+GEL-NIMBUS+24+Running+Shoe+-+Womens&amp;qid=1695124093&amp;sr=8-42")</f>
        <v/>
      </c>
      <c r="F255" t="inlineStr">
        <is>
          <t>B09MZ2D7TT</t>
        </is>
      </c>
      <c r="G255">
        <f>IMAGE("https://alssports.vtexassets.com/arquivos/ids/1109551-800-auto?v=637950821539330000&amp;width=800&amp;height=auto&amp;aspect=true")</f>
        <v/>
      </c>
      <c r="H255">
        <f>IMAGE("https://m.media-amazon.com/images/I/61xZnRAGLGL._AC_UL320_.jpg")</f>
        <v/>
      </c>
      <c r="I255" t="inlineStr">
        <is>
          <t>111.96</t>
        </is>
      </c>
      <c r="J255" t="n">
        <v>58.95</v>
      </c>
      <c r="K255" s="3" t="inlineStr">
        <is>
          <t>-47.35%</t>
        </is>
      </c>
      <c r="L255" t="n">
        <v>4.5</v>
      </c>
      <c r="M255" t="n">
        <v>5404</v>
      </c>
      <c r="O255" t="inlineStr">
        <is>
          <t>InStock</t>
        </is>
      </c>
      <c r="P255" t="inlineStr">
        <is>
          <t>159.95</t>
        </is>
      </c>
      <c r="Q255" t="inlineStr">
        <is>
          <t>1037727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2023-09-21T17:28:21Z</dcterms:created>
  <dcterms:modified xsi:type="dcterms:W3CDTF">2023-09-21T17:28:22Z</dcterms:modified>
</cp:coreProperties>
</file>