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owett\Desktop\projects\products-filter\input\"/>
    </mc:Choice>
  </mc:AlternateContent>
  <xr:revisionPtr revIDLastSave="0" documentId="8_{1BD8329D-9347-4556-9108-912371B8237B}" xr6:coauthVersionLast="47" xr6:coauthVersionMax="47" xr10:uidLastSave="{00000000-0000-0000-0000-000000000000}"/>
  <bookViews>
    <workbookView xWindow="-120" yWindow="-120" windowWidth="24240" windowHeight="13140" xr2:uid="{00000000-000D-0000-FFFF-FFFF00000000}"/>
  </bookViews>
  <sheets>
    <sheet name="Sheet" sheetId="1" r:id="rId1"/>
  </sheets>
  <calcPr calcId="181029"/>
  <fileRecoveryPr repairLoad="1"/>
</workbook>
</file>

<file path=xl/calcChain.xml><?xml version="1.0" encoding="utf-8"?>
<calcChain xmlns="http://schemas.openxmlformats.org/spreadsheetml/2006/main">
  <c r="H959" i="1" l="1"/>
  <c r="G959" i="1"/>
  <c r="E959" i="1"/>
  <c r="B959" i="1"/>
  <c r="A959" i="1"/>
  <c r="H958" i="1"/>
  <c r="G958" i="1"/>
  <c r="E958" i="1"/>
  <c r="B958" i="1"/>
  <c r="A958" i="1"/>
  <c r="H957" i="1"/>
  <c r="G957" i="1"/>
  <c r="E957" i="1"/>
  <c r="B957" i="1"/>
  <c r="A957" i="1"/>
  <c r="H956" i="1"/>
  <c r="G956" i="1"/>
  <c r="E956" i="1"/>
  <c r="B956" i="1"/>
  <c r="A956" i="1"/>
  <c r="H955" i="1"/>
  <c r="G955" i="1"/>
  <c r="E955" i="1"/>
  <c r="B955" i="1"/>
  <c r="A955" i="1"/>
  <c r="H954" i="1"/>
  <c r="G954" i="1"/>
  <c r="E954" i="1"/>
  <c r="B954" i="1"/>
  <c r="A954" i="1"/>
  <c r="H953" i="1"/>
  <c r="G953" i="1"/>
  <c r="E953" i="1"/>
  <c r="B953" i="1"/>
  <c r="A953" i="1"/>
  <c r="H952" i="1"/>
  <c r="G952" i="1"/>
  <c r="E952" i="1"/>
  <c r="B952" i="1"/>
  <c r="A952" i="1"/>
  <c r="H951" i="1"/>
  <c r="G951" i="1"/>
  <c r="E951" i="1"/>
  <c r="B951" i="1"/>
  <c r="A951" i="1"/>
  <c r="H950" i="1"/>
  <c r="G950" i="1"/>
  <c r="E950" i="1"/>
  <c r="B950" i="1"/>
  <c r="A950" i="1"/>
  <c r="H949" i="1"/>
  <c r="G949" i="1"/>
  <c r="E949" i="1"/>
  <c r="B949" i="1"/>
  <c r="A949" i="1"/>
  <c r="H948" i="1"/>
  <c r="G948" i="1"/>
  <c r="E948" i="1"/>
  <c r="B948" i="1"/>
  <c r="A948" i="1"/>
  <c r="H947" i="1"/>
  <c r="G947" i="1"/>
  <c r="E947" i="1"/>
  <c r="B947" i="1"/>
  <c r="A947" i="1"/>
  <c r="H946" i="1"/>
  <c r="G946" i="1"/>
  <c r="E946" i="1"/>
  <c r="B946" i="1"/>
  <c r="A946" i="1"/>
  <c r="H945" i="1"/>
  <c r="G945" i="1"/>
  <c r="E945" i="1"/>
  <c r="B945" i="1"/>
  <c r="A945" i="1"/>
  <c r="H944" i="1"/>
  <c r="G944" i="1"/>
  <c r="E944" i="1"/>
  <c r="B944" i="1"/>
  <c r="A944" i="1"/>
  <c r="H943" i="1"/>
  <c r="G943" i="1"/>
  <c r="E943" i="1"/>
  <c r="B943" i="1"/>
  <c r="A943" i="1"/>
  <c r="H942" i="1"/>
  <c r="G942" i="1"/>
  <c r="E942" i="1"/>
  <c r="B942" i="1"/>
  <c r="A942" i="1"/>
  <c r="H941" i="1"/>
  <c r="G941" i="1"/>
  <c r="E941" i="1"/>
  <c r="B941" i="1"/>
  <c r="A941" i="1"/>
  <c r="H940" i="1"/>
  <c r="G940" i="1"/>
  <c r="E940" i="1"/>
  <c r="B940" i="1"/>
  <c r="A940" i="1"/>
  <c r="H939" i="1"/>
  <c r="G939" i="1"/>
  <c r="E939" i="1"/>
  <c r="B939" i="1"/>
  <c r="A939" i="1"/>
  <c r="H938" i="1"/>
  <c r="G938" i="1"/>
  <c r="E938" i="1"/>
  <c r="B938" i="1"/>
  <c r="A938" i="1"/>
  <c r="H937" i="1"/>
  <c r="G937" i="1"/>
  <c r="E937" i="1"/>
  <c r="B937" i="1"/>
  <c r="A937" i="1"/>
  <c r="H936" i="1"/>
  <c r="G936" i="1"/>
  <c r="E936" i="1"/>
  <c r="B936" i="1"/>
  <c r="A936" i="1"/>
  <c r="H935" i="1"/>
  <c r="G935" i="1"/>
  <c r="E935" i="1"/>
  <c r="B935" i="1"/>
  <c r="A935" i="1"/>
  <c r="H934" i="1"/>
  <c r="G934" i="1"/>
  <c r="E934" i="1"/>
  <c r="B934" i="1"/>
  <c r="A934" i="1"/>
  <c r="H933" i="1"/>
  <c r="G933" i="1"/>
  <c r="E933" i="1"/>
  <c r="B933" i="1"/>
  <c r="A933" i="1"/>
  <c r="H932" i="1"/>
  <c r="G932" i="1"/>
  <c r="E932" i="1"/>
  <c r="B932" i="1"/>
  <c r="A932" i="1"/>
  <c r="H931" i="1"/>
  <c r="G931" i="1"/>
  <c r="E931" i="1"/>
  <c r="B931" i="1"/>
  <c r="A931" i="1"/>
  <c r="H930" i="1"/>
  <c r="G930" i="1"/>
  <c r="E930" i="1"/>
  <c r="B930" i="1"/>
  <c r="A930" i="1"/>
  <c r="H929" i="1"/>
  <c r="G929" i="1"/>
  <c r="E929" i="1"/>
  <c r="B929" i="1"/>
  <c r="A929" i="1"/>
  <c r="H928" i="1"/>
  <c r="G928" i="1"/>
  <c r="E928" i="1"/>
  <c r="B928" i="1"/>
  <c r="A928" i="1"/>
  <c r="H927" i="1"/>
  <c r="G927" i="1"/>
  <c r="E927" i="1"/>
  <c r="B927" i="1"/>
  <c r="A927" i="1"/>
  <c r="H926" i="1"/>
  <c r="G926" i="1"/>
  <c r="E926" i="1"/>
  <c r="B926" i="1"/>
  <c r="A926" i="1"/>
  <c r="H925" i="1"/>
  <c r="G925" i="1"/>
  <c r="E925" i="1"/>
  <c r="B925" i="1"/>
  <c r="A925" i="1"/>
  <c r="H924" i="1"/>
  <c r="G924" i="1"/>
  <c r="E924" i="1"/>
  <c r="B924" i="1"/>
  <c r="A924" i="1"/>
  <c r="H923" i="1"/>
  <c r="G923" i="1"/>
  <c r="E923" i="1"/>
  <c r="B923" i="1"/>
  <c r="A923" i="1"/>
  <c r="H922" i="1"/>
  <c r="G922" i="1"/>
  <c r="E922" i="1"/>
  <c r="B922" i="1"/>
  <c r="A922" i="1"/>
  <c r="H921" i="1"/>
  <c r="G921" i="1"/>
  <c r="E921" i="1"/>
  <c r="B921" i="1"/>
  <c r="A921" i="1"/>
  <c r="H920" i="1"/>
  <c r="G920" i="1"/>
  <c r="E920" i="1"/>
  <c r="B920" i="1"/>
  <c r="A920" i="1"/>
  <c r="H919" i="1"/>
  <c r="G919" i="1"/>
  <c r="E919" i="1"/>
  <c r="B919" i="1"/>
  <c r="A919" i="1"/>
  <c r="H918" i="1"/>
  <c r="G918" i="1"/>
  <c r="E918" i="1"/>
  <c r="B918" i="1"/>
  <c r="A918" i="1"/>
  <c r="H917" i="1"/>
  <c r="G917" i="1"/>
  <c r="E917" i="1"/>
  <c r="B917" i="1"/>
  <c r="A917" i="1"/>
  <c r="H916" i="1"/>
  <c r="G916" i="1"/>
  <c r="E916" i="1"/>
  <c r="B916" i="1"/>
  <c r="A916" i="1"/>
  <c r="H915" i="1"/>
  <c r="G915" i="1"/>
  <c r="E915" i="1"/>
  <c r="B915" i="1"/>
  <c r="A915" i="1"/>
  <c r="H914" i="1"/>
  <c r="G914" i="1"/>
  <c r="E914" i="1"/>
  <c r="B914" i="1"/>
  <c r="A914" i="1"/>
  <c r="H913" i="1"/>
  <c r="G913" i="1"/>
  <c r="E913" i="1"/>
  <c r="B913" i="1"/>
  <c r="A913" i="1"/>
  <c r="H912" i="1"/>
  <c r="G912" i="1"/>
  <c r="E912" i="1"/>
  <c r="B912" i="1"/>
  <c r="A912" i="1"/>
  <c r="H911" i="1"/>
  <c r="G911" i="1"/>
  <c r="E911" i="1"/>
  <c r="B911" i="1"/>
  <c r="A911" i="1"/>
  <c r="H910" i="1"/>
  <c r="G910" i="1"/>
  <c r="E910" i="1"/>
  <c r="B910" i="1"/>
  <c r="A910" i="1"/>
  <c r="H909" i="1"/>
  <c r="G909" i="1"/>
  <c r="E909" i="1"/>
  <c r="B909" i="1"/>
  <c r="A909" i="1"/>
  <c r="H908" i="1"/>
  <c r="G908" i="1"/>
  <c r="E908" i="1"/>
  <c r="B908" i="1"/>
  <c r="A908" i="1"/>
  <c r="H907" i="1"/>
  <c r="G907" i="1"/>
  <c r="E907" i="1"/>
  <c r="B907" i="1"/>
  <c r="A907" i="1"/>
  <c r="H906" i="1"/>
  <c r="G906" i="1"/>
  <c r="E906" i="1"/>
  <c r="B906" i="1"/>
  <c r="A906" i="1"/>
  <c r="H905" i="1"/>
  <c r="G905" i="1"/>
  <c r="E905" i="1"/>
  <c r="B905" i="1"/>
  <c r="A905" i="1"/>
  <c r="H904" i="1"/>
  <c r="G904" i="1"/>
  <c r="E904" i="1"/>
  <c r="B904" i="1"/>
  <c r="A904" i="1"/>
  <c r="H903" i="1"/>
  <c r="G903" i="1"/>
  <c r="E903" i="1"/>
  <c r="B903" i="1"/>
  <c r="A903" i="1"/>
  <c r="H902" i="1"/>
  <c r="G902" i="1"/>
  <c r="E902" i="1"/>
  <c r="B902" i="1"/>
  <c r="A902" i="1"/>
  <c r="H901" i="1"/>
  <c r="G901" i="1"/>
  <c r="E901" i="1"/>
  <c r="B901" i="1"/>
  <c r="A901" i="1"/>
  <c r="H900" i="1"/>
  <c r="G900" i="1"/>
  <c r="E900" i="1"/>
  <c r="B900" i="1"/>
  <c r="A900" i="1"/>
  <c r="H899" i="1"/>
  <c r="G899" i="1"/>
  <c r="E899" i="1"/>
  <c r="B899" i="1"/>
  <c r="A899" i="1"/>
  <c r="H898" i="1"/>
  <c r="G898" i="1"/>
  <c r="E898" i="1"/>
  <c r="B898" i="1"/>
  <c r="A898" i="1"/>
  <c r="H897" i="1"/>
  <c r="G897" i="1"/>
  <c r="E897" i="1"/>
  <c r="B897" i="1"/>
  <c r="A897" i="1"/>
  <c r="H896" i="1"/>
  <c r="G896" i="1"/>
  <c r="E896" i="1"/>
  <c r="B896" i="1"/>
  <c r="A896" i="1"/>
  <c r="H895" i="1"/>
  <c r="G895" i="1"/>
  <c r="E895" i="1"/>
  <c r="B895" i="1"/>
  <c r="A895" i="1"/>
  <c r="H894" i="1"/>
  <c r="G894" i="1"/>
  <c r="E894" i="1"/>
  <c r="B894" i="1"/>
  <c r="A894" i="1"/>
  <c r="H893" i="1"/>
  <c r="G893" i="1"/>
  <c r="E893" i="1"/>
  <c r="B893" i="1"/>
  <c r="A893" i="1"/>
  <c r="H892" i="1"/>
  <c r="G892" i="1"/>
  <c r="E892" i="1"/>
  <c r="B892" i="1"/>
  <c r="A892" i="1"/>
  <c r="H891" i="1"/>
  <c r="G891" i="1"/>
  <c r="E891" i="1"/>
  <c r="B891" i="1"/>
  <c r="A891" i="1"/>
  <c r="H890" i="1"/>
  <c r="G890" i="1"/>
  <c r="E890" i="1"/>
  <c r="B890" i="1"/>
  <c r="A890" i="1"/>
  <c r="H889" i="1"/>
  <c r="G889" i="1"/>
  <c r="E889" i="1"/>
  <c r="B889" i="1"/>
  <c r="A889" i="1"/>
  <c r="H888" i="1"/>
  <c r="G888" i="1"/>
  <c r="E888" i="1"/>
  <c r="B888" i="1"/>
  <c r="A888" i="1"/>
  <c r="H887" i="1"/>
  <c r="G887" i="1"/>
  <c r="E887" i="1"/>
  <c r="B887" i="1"/>
  <c r="A887" i="1"/>
  <c r="H886" i="1"/>
  <c r="G886" i="1"/>
  <c r="E886" i="1"/>
  <c r="B886" i="1"/>
  <c r="A886" i="1"/>
  <c r="H885" i="1"/>
  <c r="G885" i="1"/>
  <c r="E885" i="1"/>
  <c r="B885" i="1"/>
  <c r="A885" i="1"/>
  <c r="H884" i="1"/>
  <c r="G884" i="1"/>
  <c r="E884" i="1"/>
  <c r="B884" i="1"/>
  <c r="A884" i="1"/>
  <c r="H883" i="1"/>
  <c r="G883" i="1"/>
  <c r="E883" i="1"/>
  <c r="B883" i="1"/>
  <c r="A883" i="1"/>
  <c r="H882" i="1"/>
  <c r="G882" i="1"/>
  <c r="E882" i="1"/>
  <c r="B882" i="1"/>
  <c r="A882" i="1"/>
  <c r="H881" i="1"/>
  <c r="G881" i="1"/>
  <c r="E881" i="1"/>
  <c r="B881" i="1"/>
  <c r="A881" i="1"/>
  <c r="H880" i="1"/>
  <c r="G880" i="1"/>
  <c r="E880" i="1"/>
  <c r="B880" i="1"/>
  <c r="A880" i="1"/>
  <c r="H879" i="1"/>
  <c r="G879" i="1"/>
  <c r="E879" i="1"/>
  <c r="B879" i="1"/>
  <c r="A879" i="1"/>
  <c r="H878" i="1"/>
  <c r="G878" i="1"/>
  <c r="E878" i="1"/>
  <c r="B878" i="1"/>
  <c r="A878" i="1"/>
  <c r="H877" i="1"/>
  <c r="G877" i="1"/>
  <c r="E877" i="1"/>
  <c r="B877" i="1"/>
  <c r="A877" i="1"/>
  <c r="H876" i="1"/>
  <c r="G876" i="1"/>
  <c r="E876" i="1"/>
  <c r="B876" i="1"/>
  <c r="A876" i="1"/>
  <c r="H875" i="1"/>
  <c r="G875" i="1"/>
  <c r="E875" i="1"/>
  <c r="B875" i="1"/>
  <c r="A875" i="1"/>
  <c r="H874" i="1"/>
  <c r="G874" i="1"/>
  <c r="E874" i="1"/>
  <c r="B874" i="1"/>
  <c r="A874" i="1"/>
  <c r="H873" i="1"/>
  <c r="G873" i="1"/>
  <c r="E873" i="1"/>
  <c r="B873" i="1"/>
  <c r="A873" i="1"/>
  <c r="H872" i="1"/>
  <c r="G872" i="1"/>
  <c r="E872" i="1"/>
  <c r="B872" i="1"/>
  <c r="A872" i="1"/>
  <c r="H871" i="1"/>
  <c r="G871" i="1"/>
  <c r="E871" i="1"/>
  <c r="B871" i="1"/>
  <c r="A871" i="1"/>
  <c r="H870" i="1"/>
  <c r="G870" i="1"/>
  <c r="E870" i="1"/>
  <c r="B870" i="1"/>
  <c r="A870" i="1"/>
  <c r="H869" i="1"/>
  <c r="G869" i="1"/>
  <c r="E869" i="1"/>
  <c r="B869" i="1"/>
  <c r="A869" i="1"/>
  <c r="H868" i="1"/>
  <c r="G868" i="1"/>
  <c r="E868" i="1"/>
  <c r="B868" i="1"/>
  <c r="A868" i="1"/>
  <c r="H867" i="1"/>
  <c r="G867" i="1"/>
  <c r="E867" i="1"/>
  <c r="B867" i="1"/>
  <c r="A867" i="1"/>
  <c r="H866" i="1"/>
  <c r="G866" i="1"/>
  <c r="E866" i="1"/>
  <c r="B866" i="1"/>
  <c r="A866" i="1"/>
  <c r="H865" i="1"/>
  <c r="G865" i="1"/>
  <c r="E865" i="1"/>
  <c r="B865" i="1"/>
  <c r="A865" i="1"/>
  <c r="H864" i="1"/>
  <c r="G864" i="1"/>
  <c r="E864" i="1"/>
  <c r="B864" i="1"/>
  <c r="A864" i="1"/>
  <c r="H863" i="1"/>
  <c r="G863" i="1"/>
  <c r="E863" i="1"/>
  <c r="B863" i="1"/>
  <c r="A863" i="1"/>
  <c r="H862" i="1"/>
  <c r="G862" i="1"/>
  <c r="E862" i="1"/>
  <c r="B862" i="1"/>
  <c r="A862" i="1"/>
  <c r="H861" i="1"/>
  <c r="G861" i="1"/>
  <c r="E861" i="1"/>
  <c r="B861" i="1"/>
  <c r="A861" i="1"/>
  <c r="H860" i="1"/>
  <c r="G860" i="1"/>
  <c r="E860" i="1"/>
  <c r="B860" i="1"/>
  <c r="A860" i="1"/>
  <c r="H859" i="1"/>
  <c r="G859" i="1"/>
  <c r="E859" i="1"/>
  <c r="B859" i="1"/>
  <c r="A859" i="1"/>
  <c r="H858" i="1"/>
  <c r="G858" i="1"/>
  <c r="E858" i="1"/>
  <c r="B858" i="1"/>
  <c r="A858" i="1"/>
  <c r="H857" i="1"/>
  <c r="G857" i="1"/>
  <c r="E857" i="1"/>
  <c r="B857" i="1"/>
  <c r="A857" i="1"/>
  <c r="H856" i="1"/>
  <c r="G856" i="1"/>
  <c r="E856" i="1"/>
  <c r="B856" i="1"/>
  <c r="A856" i="1"/>
  <c r="H855" i="1"/>
  <c r="G855" i="1"/>
  <c r="E855" i="1"/>
  <c r="B855" i="1"/>
  <c r="A855" i="1"/>
  <c r="H854" i="1"/>
  <c r="G854" i="1"/>
  <c r="E854" i="1"/>
  <c r="B854" i="1"/>
  <c r="A854" i="1"/>
  <c r="H853" i="1"/>
  <c r="G853" i="1"/>
  <c r="E853" i="1"/>
  <c r="B853" i="1"/>
  <c r="A853" i="1"/>
  <c r="H852" i="1"/>
  <c r="G852" i="1"/>
  <c r="E852" i="1"/>
  <c r="B852" i="1"/>
  <c r="A852" i="1"/>
  <c r="H851" i="1"/>
  <c r="G851" i="1"/>
  <c r="E851" i="1"/>
  <c r="B851" i="1"/>
  <c r="A851" i="1"/>
  <c r="H850" i="1"/>
  <c r="G850" i="1"/>
  <c r="E850" i="1"/>
  <c r="B850" i="1"/>
  <c r="A850" i="1"/>
  <c r="H849" i="1"/>
  <c r="G849" i="1"/>
  <c r="E849" i="1"/>
  <c r="B849" i="1"/>
  <c r="A849" i="1"/>
  <c r="H848" i="1"/>
  <c r="G848" i="1"/>
  <c r="E848" i="1"/>
  <c r="B848" i="1"/>
  <c r="A848" i="1"/>
  <c r="H847" i="1"/>
  <c r="G847" i="1"/>
  <c r="E847" i="1"/>
  <c r="B847" i="1"/>
  <c r="A847" i="1"/>
  <c r="H846" i="1"/>
  <c r="G846" i="1"/>
  <c r="E846" i="1"/>
  <c r="B846" i="1"/>
  <c r="A846" i="1"/>
  <c r="H845" i="1"/>
  <c r="G845" i="1"/>
  <c r="E845" i="1"/>
  <c r="B845" i="1"/>
  <c r="A845" i="1"/>
  <c r="H844" i="1"/>
  <c r="G844" i="1"/>
  <c r="E844" i="1"/>
  <c r="B844" i="1"/>
  <c r="A844" i="1"/>
  <c r="H843" i="1"/>
  <c r="G843" i="1"/>
  <c r="E843" i="1"/>
  <c r="B843" i="1"/>
  <c r="A843" i="1"/>
  <c r="H842" i="1"/>
  <c r="G842" i="1"/>
  <c r="E842" i="1"/>
  <c r="B842" i="1"/>
  <c r="A842" i="1"/>
  <c r="H841" i="1"/>
  <c r="G841" i="1"/>
  <c r="E841" i="1"/>
  <c r="B841" i="1"/>
  <c r="A841" i="1"/>
  <c r="H840" i="1"/>
  <c r="G840" i="1"/>
  <c r="E840" i="1"/>
  <c r="B840" i="1"/>
  <c r="A840" i="1"/>
  <c r="H839" i="1"/>
  <c r="G839" i="1"/>
  <c r="E839" i="1"/>
  <c r="B839" i="1"/>
  <c r="A839" i="1"/>
  <c r="H838" i="1"/>
  <c r="G838" i="1"/>
  <c r="E838" i="1"/>
  <c r="B838" i="1"/>
  <c r="A838" i="1"/>
  <c r="H837" i="1"/>
  <c r="G837" i="1"/>
  <c r="E837" i="1"/>
  <c r="B837" i="1"/>
  <c r="A837" i="1"/>
  <c r="H836" i="1"/>
  <c r="G836" i="1"/>
  <c r="E836" i="1"/>
  <c r="B836" i="1"/>
  <c r="A836" i="1"/>
  <c r="H835" i="1"/>
  <c r="G835" i="1"/>
  <c r="E835" i="1"/>
  <c r="B835" i="1"/>
  <c r="A835" i="1"/>
  <c r="H834" i="1"/>
  <c r="G834" i="1"/>
  <c r="E834" i="1"/>
  <c r="B834" i="1"/>
  <c r="A834" i="1"/>
  <c r="H833" i="1"/>
  <c r="G833" i="1"/>
  <c r="E833" i="1"/>
  <c r="B833" i="1"/>
  <c r="A833" i="1"/>
  <c r="H832" i="1"/>
  <c r="G832" i="1"/>
  <c r="E832" i="1"/>
  <c r="B832" i="1"/>
  <c r="A832" i="1"/>
  <c r="H831" i="1"/>
  <c r="G831" i="1"/>
  <c r="E831" i="1"/>
  <c r="B831" i="1"/>
  <c r="A831" i="1"/>
  <c r="H830" i="1"/>
  <c r="G830" i="1"/>
  <c r="E830" i="1"/>
  <c r="B830" i="1"/>
  <c r="A830" i="1"/>
  <c r="H829" i="1"/>
  <c r="G829" i="1"/>
  <c r="E829" i="1"/>
  <c r="B829" i="1"/>
  <c r="A829" i="1"/>
  <c r="H828" i="1"/>
  <c r="G828" i="1"/>
  <c r="E828" i="1"/>
  <c r="B828" i="1"/>
  <c r="A828" i="1"/>
  <c r="H827" i="1"/>
  <c r="G827" i="1"/>
  <c r="E827" i="1"/>
  <c r="B827" i="1"/>
  <c r="A827" i="1"/>
  <c r="H826" i="1"/>
  <c r="G826" i="1"/>
  <c r="E826" i="1"/>
  <c r="B826" i="1"/>
  <c r="A826" i="1"/>
  <c r="H825" i="1"/>
  <c r="G825" i="1"/>
  <c r="E825" i="1"/>
  <c r="B825" i="1"/>
  <c r="A825" i="1"/>
  <c r="H824" i="1"/>
  <c r="G824" i="1"/>
  <c r="E824" i="1"/>
  <c r="B824" i="1"/>
  <c r="A824" i="1"/>
  <c r="H823" i="1"/>
  <c r="G823" i="1"/>
  <c r="E823" i="1"/>
  <c r="B823" i="1"/>
  <c r="A823" i="1"/>
  <c r="H822" i="1"/>
  <c r="G822" i="1"/>
  <c r="E822" i="1"/>
  <c r="B822" i="1"/>
  <c r="A822" i="1"/>
  <c r="H821" i="1"/>
  <c r="G821" i="1"/>
  <c r="E821" i="1"/>
  <c r="B821" i="1"/>
  <c r="A821" i="1"/>
  <c r="H820" i="1"/>
  <c r="G820" i="1"/>
  <c r="E820" i="1"/>
  <c r="B820" i="1"/>
  <c r="A820" i="1"/>
  <c r="H819" i="1"/>
  <c r="G819" i="1"/>
  <c r="E819" i="1"/>
  <c r="B819" i="1"/>
  <c r="A819" i="1"/>
  <c r="H818" i="1"/>
  <c r="G818" i="1"/>
  <c r="E818" i="1"/>
  <c r="B818" i="1"/>
  <c r="A818" i="1"/>
  <c r="H817" i="1"/>
  <c r="G817" i="1"/>
  <c r="E817" i="1"/>
  <c r="B817" i="1"/>
  <c r="A817" i="1"/>
  <c r="H816" i="1"/>
  <c r="G816" i="1"/>
  <c r="E816" i="1"/>
  <c r="B816" i="1"/>
  <c r="A816" i="1"/>
  <c r="H815" i="1"/>
  <c r="G815" i="1"/>
  <c r="E815" i="1"/>
  <c r="B815" i="1"/>
  <c r="A815" i="1"/>
  <c r="H814" i="1"/>
  <c r="G814" i="1"/>
  <c r="E814" i="1"/>
  <c r="B814" i="1"/>
  <c r="A814" i="1"/>
  <c r="H813" i="1"/>
  <c r="G813" i="1"/>
  <c r="E813" i="1"/>
  <c r="B813" i="1"/>
  <c r="A813" i="1"/>
  <c r="H812" i="1"/>
  <c r="G812" i="1"/>
  <c r="E812" i="1"/>
  <c r="B812" i="1"/>
  <c r="A812" i="1"/>
  <c r="H811" i="1"/>
  <c r="G811" i="1"/>
  <c r="E811" i="1"/>
  <c r="B811" i="1"/>
  <c r="A811" i="1"/>
  <c r="H810" i="1"/>
  <c r="G810" i="1"/>
  <c r="E810" i="1"/>
  <c r="B810" i="1"/>
  <c r="A810" i="1"/>
  <c r="H809" i="1"/>
  <c r="G809" i="1"/>
  <c r="E809" i="1"/>
  <c r="B809" i="1"/>
  <c r="A809" i="1"/>
  <c r="H808" i="1"/>
  <c r="G808" i="1"/>
  <c r="E808" i="1"/>
  <c r="B808" i="1"/>
  <c r="A808" i="1"/>
  <c r="H807" i="1"/>
  <c r="G807" i="1"/>
  <c r="E807" i="1"/>
  <c r="B807" i="1"/>
  <c r="A807" i="1"/>
  <c r="H806" i="1"/>
  <c r="G806" i="1"/>
  <c r="E806" i="1"/>
  <c r="B806" i="1"/>
  <c r="A806" i="1"/>
  <c r="H805" i="1"/>
  <c r="G805" i="1"/>
  <c r="E805" i="1"/>
  <c r="B805" i="1"/>
  <c r="A805" i="1"/>
  <c r="H804" i="1"/>
  <c r="G804" i="1"/>
  <c r="E804" i="1"/>
  <c r="B804" i="1"/>
  <c r="A804" i="1"/>
  <c r="H803" i="1"/>
  <c r="G803" i="1"/>
  <c r="E803" i="1"/>
  <c r="B803" i="1"/>
  <c r="A803" i="1"/>
  <c r="H802" i="1"/>
  <c r="G802" i="1"/>
  <c r="E802" i="1"/>
  <c r="B802" i="1"/>
  <c r="A802" i="1"/>
  <c r="H801" i="1"/>
  <c r="G801" i="1"/>
  <c r="E801" i="1"/>
  <c r="B801" i="1"/>
  <c r="A801" i="1"/>
  <c r="H800" i="1"/>
  <c r="G800" i="1"/>
  <c r="E800" i="1"/>
  <c r="B800" i="1"/>
  <c r="A800" i="1"/>
  <c r="H799" i="1"/>
  <c r="G799" i="1"/>
  <c r="E799" i="1"/>
  <c r="B799" i="1"/>
  <c r="A799" i="1"/>
  <c r="H798" i="1"/>
  <c r="G798" i="1"/>
  <c r="E798" i="1"/>
  <c r="B798" i="1"/>
  <c r="A798" i="1"/>
  <c r="H797" i="1"/>
  <c r="G797" i="1"/>
  <c r="E797" i="1"/>
  <c r="B797" i="1"/>
  <c r="A797" i="1"/>
  <c r="H796" i="1"/>
  <c r="G796" i="1"/>
  <c r="E796" i="1"/>
  <c r="B796" i="1"/>
  <c r="A796" i="1"/>
  <c r="H795" i="1"/>
  <c r="G795" i="1"/>
  <c r="E795" i="1"/>
  <c r="B795" i="1"/>
  <c r="A795" i="1"/>
  <c r="H794" i="1"/>
  <c r="G794" i="1"/>
  <c r="E794" i="1"/>
  <c r="B794" i="1"/>
  <c r="A794" i="1"/>
  <c r="H793" i="1"/>
  <c r="G793" i="1"/>
  <c r="E793" i="1"/>
  <c r="B793" i="1"/>
  <c r="A793" i="1"/>
  <c r="H792" i="1"/>
  <c r="G792" i="1"/>
  <c r="E792" i="1"/>
  <c r="B792" i="1"/>
  <c r="A792" i="1"/>
  <c r="H791" i="1"/>
  <c r="G791" i="1"/>
  <c r="E791" i="1"/>
  <c r="B791" i="1"/>
  <c r="A791" i="1"/>
  <c r="H790" i="1"/>
  <c r="G790" i="1"/>
  <c r="E790" i="1"/>
  <c r="B790" i="1"/>
  <c r="A790" i="1"/>
  <c r="H789" i="1"/>
  <c r="G789" i="1"/>
  <c r="E789" i="1"/>
  <c r="B789" i="1"/>
  <c r="A789" i="1"/>
  <c r="H788" i="1"/>
  <c r="G788" i="1"/>
  <c r="E788" i="1"/>
  <c r="B788" i="1"/>
  <c r="A788" i="1"/>
  <c r="H787" i="1"/>
  <c r="G787" i="1"/>
  <c r="E787" i="1"/>
  <c r="B787" i="1"/>
  <c r="A787" i="1"/>
  <c r="H786" i="1"/>
  <c r="G786" i="1"/>
  <c r="E786" i="1"/>
  <c r="B786" i="1"/>
  <c r="A786" i="1"/>
  <c r="H785" i="1"/>
  <c r="G785" i="1"/>
  <c r="E785" i="1"/>
  <c r="B785" i="1"/>
  <c r="A785" i="1"/>
  <c r="H784" i="1"/>
  <c r="G784" i="1"/>
  <c r="E784" i="1"/>
  <c r="B784" i="1"/>
  <c r="A784" i="1"/>
  <c r="H783" i="1"/>
  <c r="G783" i="1"/>
  <c r="E783" i="1"/>
  <c r="B783" i="1"/>
  <c r="A783" i="1"/>
  <c r="H782" i="1"/>
  <c r="G782" i="1"/>
  <c r="E782" i="1"/>
  <c r="B782" i="1"/>
  <c r="A782" i="1"/>
  <c r="H781" i="1"/>
  <c r="G781" i="1"/>
  <c r="E781" i="1"/>
  <c r="B781" i="1"/>
  <c r="A781" i="1"/>
  <c r="H780" i="1"/>
  <c r="G780" i="1"/>
  <c r="E780" i="1"/>
  <c r="B780" i="1"/>
  <c r="A780" i="1"/>
  <c r="H779" i="1"/>
  <c r="G779" i="1"/>
  <c r="E779" i="1"/>
  <c r="B779" i="1"/>
  <c r="A779" i="1"/>
  <c r="H778" i="1"/>
  <c r="G778" i="1"/>
  <c r="E778" i="1"/>
  <c r="B778" i="1"/>
  <c r="A778" i="1"/>
  <c r="H777" i="1"/>
  <c r="G777" i="1"/>
  <c r="E777" i="1"/>
  <c r="B777" i="1"/>
  <c r="A777" i="1"/>
  <c r="H776" i="1"/>
  <c r="G776" i="1"/>
  <c r="E776" i="1"/>
  <c r="B776" i="1"/>
  <c r="A776" i="1"/>
  <c r="H775" i="1"/>
  <c r="G775" i="1"/>
  <c r="E775" i="1"/>
  <c r="B775" i="1"/>
  <c r="A775" i="1"/>
  <c r="H774" i="1"/>
  <c r="G774" i="1"/>
  <c r="E774" i="1"/>
  <c r="B774" i="1"/>
  <c r="A774" i="1"/>
  <c r="H773" i="1"/>
  <c r="G773" i="1"/>
  <c r="E773" i="1"/>
  <c r="B773" i="1"/>
  <c r="A773" i="1"/>
  <c r="H772" i="1"/>
  <c r="G772" i="1"/>
  <c r="E772" i="1"/>
  <c r="B772" i="1"/>
  <c r="A772" i="1"/>
  <c r="H771" i="1"/>
  <c r="G771" i="1"/>
  <c r="E771" i="1"/>
  <c r="B771" i="1"/>
  <c r="A771" i="1"/>
  <c r="H770" i="1"/>
  <c r="G770" i="1"/>
  <c r="E770" i="1"/>
  <c r="B770" i="1"/>
  <c r="A770" i="1"/>
  <c r="H769" i="1"/>
  <c r="G769" i="1"/>
  <c r="E769" i="1"/>
  <c r="B769" i="1"/>
  <c r="A769" i="1"/>
  <c r="H768" i="1"/>
  <c r="G768" i="1"/>
  <c r="E768" i="1"/>
  <c r="B768" i="1"/>
  <c r="A768" i="1"/>
  <c r="H767" i="1"/>
  <c r="G767" i="1"/>
  <c r="E767" i="1"/>
  <c r="B767" i="1"/>
  <c r="A767" i="1"/>
  <c r="H766" i="1"/>
  <c r="G766" i="1"/>
  <c r="E766" i="1"/>
  <c r="B766" i="1"/>
  <c r="A766" i="1"/>
  <c r="H765" i="1"/>
  <c r="G765" i="1"/>
  <c r="E765" i="1"/>
  <c r="B765" i="1"/>
  <c r="A765" i="1"/>
  <c r="H764" i="1"/>
  <c r="G764" i="1"/>
  <c r="E764" i="1"/>
  <c r="B764" i="1"/>
  <c r="A764" i="1"/>
  <c r="H763" i="1"/>
  <c r="G763" i="1"/>
  <c r="E763" i="1"/>
  <c r="B763" i="1"/>
  <c r="A763" i="1"/>
  <c r="H762" i="1"/>
  <c r="G762" i="1"/>
  <c r="E762" i="1"/>
  <c r="B762" i="1"/>
  <c r="A762" i="1"/>
  <c r="H761" i="1"/>
  <c r="G761" i="1"/>
  <c r="E761" i="1"/>
  <c r="B761" i="1"/>
  <c r="A761" i="1"/>
  <c r="H760" i="1"/>
  <c r="G760" i="1"/>
  <c r="E760" i="1"/>
  <c r="B760" i="1"/>
  <c r="A760" i="1"/>
  <c r="H759" i="1"/>
  <c r="G759" i="1"/>
  <c r="E759" i="1"/>
  <c r="B759" i="1"/>
  <c r="A759" i="1"/>
  <c r="H758" i="1"/>
  <c r="G758" i="1"/>
  <c r="E758" i="1"/>
  <c r="B758" i="1"/>
  <c r="A758" i="1"/>
  <c r="H757" i="1"/>
  <c r="G757" i="1"/>
  <c r="E757" i="1"/>
  <c r="B757" i="1"/>
  <c r="A757" i="1"/>
  <c r="H756" i="1"/>
  <c r="G756" i="1"/>
  <c r="E756" i="1"/>
  <c r="B756" i="1"/>
  <c r="A756" i="1"/>
  <c r="H755" i="1"/>
  <c r="G755" i="1"/>
  <c r="E755" i="1"/>
  <c r="B755" i="1"/>
  <c r="A755" i="1"/>
  <c r="H754" i="1"/>
  <c r="G754" i="1"/>
  <c r="E754" i="1"/>
  <c r="B754" i="1"/>
  <c r="A754" i="1"/>
  <c r="H753" i="1"/>
  <c r="G753" i="1"/>
  <c r="E753" i="1"/>
  <c r="B753" i="1"/>
  <c r="A753" i="1"/>
  <c r="H752" i="1"/>
  <c r="G752" i="1"/>
  <c r="E752" i="1"/>
  <c r="B752" i="1"/>
  <c r="A752" i="1"/>
  <c r="H751" i="1"/>
  <c r="G751" i="1"/>
  <c r="E751" i="1"/>
  <c r="B751" i="1"/>
  <c r="A751" i="1"/>
  <c r="H750" i="1"/>
  <c r="G750" i="1"/>
  <c r="E750" i="1"/>
  <c r="B750" i="1"/>
  <c r="A750" i="1"/>
  <c r="H749" i="1"/>
  <c r="G749" i="1"/>
  <c r="E749" i="1"/>
  <c r="B749" i="1"/>
  <c r="A749" i="1"/>
  <c r="H748" i="1"/>
  <c r="G748" i="1"/>
  <c r="E748" i="1"/>
  <c r="B748" i="1"/>
  <c r="A748" i="1"/>
  <c r="H747" i="1"/>
  <c r="G747" i="1"/>
  <c r="E747" i="1"/>
  <c r="B747" i="1"/>
  <c r="A747" i="1"/>
  <c r="H746" i="1"/>
  <c r="G746" i="1"/>
  <c r="E746" i="1"/>
  <c r="B746" i="1"/>
  <c r="A746" i="1"/>
  <c r="H745" i="1"/>
  <c r="G745" i="1"/>
  <c r="E745" i="1"/>
  <c r="B745" i="1"/>
  <c r="A745" i="1"/>
  <c r="H744" i="1"/>
  <c r="G744" i="1"/>
  <c r="E744" i="1"/>
  <c r="B744" i="1"/>
  <c r="A744" i="1"/>
  <c r="H743" i="1"/>
  <c r="G743" i="1"/>
  <c r="E743" i="1"/>
  <c r="B743" i="1"/>
  <c r="A743" i="1"/>
  <c r="H742" i="1"/>
  <c r="G742" i="1"/>
  <c r="E742" i="1"/>
  <c r="B742" i="1"/>
  <c r="A742" i="1"/>
  <c r="H741" i="1"/>
  <c r="G741" i="1"/>
  <c r="E741" i="1"/>
  <c r="B741" i="1"/>
  <c r="A741" i="1"/>
  <c r="H740" i="1"/>
  <c r="G740" i="1"/>
  <c r="E740" i="1"/>
  <c r="B740" i="1"/>
  <c r="A740" i="1"/>
  <c r="H739" i="1"/>
  <c r="G739" i="1"/>
  <c r="E739" i="1"/>
  <c r="B739" i="1"/>
  <c r="A739" i="1"/>
  <c r="H738" i="1"/>
  <c r="G738" i="1"/>
  <c r="E738" i="1"/>
  <c r="B738" i="1"/>
  <c r="A738" i="1"/>
  <c r="H737" i="1"/>
  <c r="G737" i="1"/>
  <c r="E737" i="1"/>
  <c r="B737" i="1"/>
  <c r="A737" i="1"/>
  <c r="H736" i="1"/>
  <c r="G736" i="1"/>
  <c r="E736" i="1"/>
  <c r="B736" i="1"/>
  <c r="A736" i="1"/>
  <c r="H735" i="1"/>
  <c r="G735" i="1"/>
  <c r="E735" i="1"/>
  <c r="B735" i="1"/>
  <c r="A735" i="1"/>
  <c r="H734" i="1"/>
  <c r="G734" i="1"/>
  <c r="E734" i="1"/>
  <c r="B734" i="1"/>
  <c r="A734" i="1"/>
  <c r="H733" i="1"/>
  <c r="G733" i="1"/>
  <c r="E733" i="1"/>
  <c r="B733" i="1"/>
  <c r="A733" i="1"/>
  <c r="H732" i="1"/>
  <c r="G732" i="1"/>
  <c r="E732" i="1"/>
  <c r="B732" i="1"/>
  <c r="A732" i="1"/>
  <c r="H731" i="1"/>
  <c r="G731" i="1"/>
  <c r="E731" i="1"/>
  <c r="B731" i="1"/>
  <c r="A731" i="1"/>
  <c r="H730" i="1"/>
  <c r="G730" i="1"/>
  <c r="E730" i="1"/>
  <c r="B730" i="1"/>
  <c r="A730" i="1"/>
  <c r="H729" i="1"/>
  <c r="G729" i="1"/>
  <c r="E729" i="1"/>
  <c r="B729" i="1"/>
  <c r="A729" i="1"/>
  <c r="H728" i="1"/>
  <c r="G728" i="1"/>
  <c r="E728" i="1"/>
  <c r="B728" i="1"/>
  <c r="A728" i="1"/>
  <c r="H727" i="1"/>
  <c r="G727" i="1"/>
  <c r="B727" i="1"/>
  <c r="A727" i="1"/>
  <c r="H726" i="1"/>
  <c r="G726" i="1"/>
  <c r="E726" i="1"/>
  <c r="B726" i="1"/>
  <c r="A726" i="1"/>
  <c r="H725" i="1"/>
  <c r="G725" i="1"/>
  <c r="B725" i="1"/>
  <c r="A725" i="1"/>
  <c r="H724" i="1"/>
  <c r="G724" i="1"/>
  <c r="E724" i="1"/>
  <c r="B724" i="1"/>
  <c r="A724" i="1"/>
  <c r="H723" i="1"/>
  <c r="G723" i="1"/>
  <c r="E723" i="1"/>
  <c r="B723" i="1"/>
  <c r="A723" i="1"/>
  <c r="H722" i="1"/>
  <c r="G722" i="1"/>
  <c r="E722" i="1"/>
  <c r="B722" i="1"/>
  <c r="A722" i="1"/>
  <c r="H721" i="1"/>
  <c r="G721" i="1"/>
  <c r="E721" i="1"/>
  <c r="B721" i="1"/>
  <c r="A721" i="1"/>
  <c r="H720" i="1"/>
  <c r="G720" i="1"/>
  <c r="E720" i="1"/>
  <c r="B720" i="1"/>
  <c r="A720" i="1"/>
  <c r="H719" i="1"/>
  <c r="G719" i="1"/>
  <c r="E719" i="1"/>
  <c r="B719" i="1"/>
  <c r="A719" i="1"/>
  <c r="H718" i="1"/>
  <c r="G718" i="1"/>
  <c r="E718" i="1"/>
  <c r="B718" i="1"/>
  <c r="A718" i="1"/>
  <c r="H717" i="1"/>
  <c r="G717" i="1"/>
  <c r="E717" i="1"/>
  <c r="B717" i="1"/>
  <c r="A717" i="1"/>
  <c r="H716" i="1"/>
  <c r="G716" i="1"/>
  <c r="E716" i="1"/>
  <c r="B716" i="1"/>
  <c r="A716" i="1"/>
  <c r="H715" i="1"/>
  <c r="G715" i="1"/>
  <c r="E715" i="1"/>
  <c r="B715" i="1"/>
  <c r="A715" i="1"/>
  <c r="H714" i="1"/>
  <c r="G714" i="1"/>
  <c r="E714" i="1"/>
  <c r="B714" i="1"/>
  <c r="A714" i="1"/>
  <c r="H713" i="1"/>
  <c r="G713" i="1"/>
  <c r="E713" i="1"/>
  <c r="B713" i="1"/>
  <c r="A713" i="1"/>
  <c r="H712" i="1"/>
  <c r="G712" i="1"/>
  <c r="E712" i="1"/>
  <c r="B712" i="1"/>
  <c r="A712" i="1"/>
  <c r="H711" i="1"/>
  <c r="G711" i="1"/>
  <c r="E711" i="1"/>
  <c r="B711" i="1"/>
  <c r="A711" i="1"/>
  <c r="H710" i="1"/>
  <c r="G710" i="1"/>
  <c r="E710" i="1"/>
  <c r="B710" i="1"/>
  <c r="A710" i="1"/>
  <c r="H709" i="1"/>
  <c r="G709" i="1"/>
  <c r="E709" i="1"/>
  <c r="B709" i="1"/>
  <c r="A709" i="1"/>
  <c r="H708" i="1"/>
  <c r="G708" i="1"/>
  <c r="E708" i="1"/>
  <c r="B708" i="1"/>
  <c r="A708" i="1"/>
  <c r="H707" i="1"/>
  <c r="G707" i="1"/>
  <c r="E707" i="1"/>
  <c r="B707" i="1"/>
  <c r="A707" i="1"/>
  <c r="H706" i="1"/>
  <c r="G706" i="1"/>
  <c r="E706" i="1"/>
  <c r="B706" i="1"/>
  <c r="A706" i="1"/>
  <c r="H705" i="1"/>
  <c r="G705" i="1"/>
  <c r="E705" i="1"/>
  <c r="B705" i="1"/>
  <c r="A705" i="1"/>
  <c r="H704" i="1"/>
  <c r="G704" i="1"/>
  <c r="E704" i="1"/>
  <c r="B704" i="1"/>
  <c r="A704" i="1"/>
  <c r="H703" i="1"/>
  <c r="G703" i="1"/>
  <c r="E703" i="1"/>
  <c r="B703" i="1"/>
  <c r="A703" i="1"/>
  <c r="H702" i="1"/>
  <c r="G702" i="1"/>
  <c r="E702" i="1"/>
  <c r="B702" i="1"/>
  <c r="A702" i="1"/>
  <c r="H701" i="1"/>
  <c r="G701" i="1"/>
  <c r="E701" i="1"/>
  <c r="B701" i="1"/>
  <c r="A701" i="1"/>
  <c r="H700" i="1"/>
  <c r="G700" i="1"/>
  <c r="E700" i="1"/>
  <c r="B700" i="1"/>
  <c r="A700" i="1"/>
  <c r="H699" i="1"/>
  <c r="G699" i="1"/>
  <c r="E699" i="1"/>
  <c r="B699" i="1"/>
  <c r="A699" i="1"/>
  <c r="H698" i="1"/>
  <c r="G698" i="1"/>
  <c r="E698" i="1"/>
  <c r="B698" i="1"/>
  <c r="A698" i="1"/>
  <c r="H697" i="1"/>
  <c r="G697" i="1"/>
  <c r="E697" i="1"/>
  <c r="B697" i="1"/>
  <c r="A697" i="1"/>
  <c r="H696" i="1"/>
  <c r="G696" i="1"/>
  <c r="E696" i="1"/>
  <c r="B696" i="1"/>
  <c r="A696" i="1"/>
  <c r="H695" i="1"/>
  <c r="G695" i="1"/>
  <c r="E695" i="1"/>
  <c r="B695" i="1"/>
  <c r="A695" i="1"/>
  <c r="H694" i="1"/>
  <c r="G694" i="1"/>
  <c r="E694" i="1"/>
  <c r="B694" i="1"/>
  <c r="A694" i="1"/>
  <c r="H693" i="1"/>
  <c r="G693" i="1"/>
  <c r="E693" i="1"/>
  <c r="B693" i="1"/>
  <c r="A693" i="1"/>
  <c r="H692" i="1"/>
  <c r="G692" i="1"/>
  <c r="E692" i="1"/>
  <c r="B692" i="1"/>
  <c r="A692" i="1"/>
  <c r="H691" i="1"/>
  <c r="G691" i="1"/>
  <c r="E691" i="1"/>
  <c r="B691" i="1"/>
  <c r="A691" i="1"/>
  <c r="H690" i="1"/>
  <c r="G690" i="1"/>
  <c r="E690" i="1"/>
  <c r="B690" i="1"/>
  <c r="A690" i="1"/>
  <c r="H689" i="1"/>
  <c r="G689" i="1"/>
  <c r="E689" i="1"/>
  <c r="B689" i="1"/>
  <c r="A689" i="1"/>
  <c r="H688" i="1"/>
  <c r="G688" i="1"/>
  <c r="E688" i="1"/>
  <c r="B688" i="1"/>
  <c r="A688" i="1"/>
  <c r="H687" i="1"/>
  <c r="G687" i="1"/>
  <c r="E687" i="1"/>
  <c r="B687" i="1"/>
  <c r="A687" i="1"/>
  <c r="H686" i="1"/>
  <c r="G686" i="1"/>
  <c r="E686" i="1"/>
  <c r="B686" i="1"/>
  <c r="A686" i="1"/>
  <c r="H685" i="1"/>
  <c r="G685" i="1"/>
  <c r="E685" i="1"/>
  <c r="B685" i="1"/>
  <c r="A685" i="1"/>
  <c r="H684" i="1"/>
  <c r="G684" i="1"/>
  <c r="E684" i="1"/>
  <c r="B684" i="1"/>
  <c r="A684" i="1"/>
  <c r="H683" i="1"/>
  <c r="G683" i="1"/>
  <c r="E683" i="1"/>
  <c r="B683" i="1"/>
  <c r="A683" i="1"/>
  <c r="H682" i="1"/>
  <c r="G682" i="1"/>
  <c r="E682" i="1"/>
  <c r="B682" i="1"/>
  <c r="A682" i="1"/>
  <c r="H681" i="1"/>
  <c r="G681" i="1"/>
  <c r="E681" i="1"/>
  <c r="B681" i="1"/>
  <c r="A681" i="1"/>
  <c r="H680" i="1"/>
  <c r="G680" i="1"/>
  <c r="E680" i="1"/>
  <c r="B680" i="1"/>
  <c r="A680" i="1"/>
  <c r="H679" i="1"/>
  <c r="G679" i="1"/>
  <c r="E679" i="1"/>
  <c r="B679" i="1"/>
  <c r="A679" i="1"/>
  <c r="H678" i="1"/>
  <c r="G678" i="1"/>
  <c r="E678" i="1"/>
  <c r="B678" i="1"/>
  <c r="A678" i="1"/>
  <c r="H677" i="1"/>
  <c r="G677" i="1"/>
  <c r="E677" i="1"/>
  <c r="B677" i="1"/>
  <c r="A677" i="1"/>
  <c r="H676" i="1"/>
  <c r="G676" i="1"/>
  <c r="E676" i="1"/>
  <c r="B676" i="1"/>
  <c r="A676" i="1"/>
  <c r="H675" i="1"/>
  <c r="G675" i="1"/>
  <c r="E675" i="1"/>
  <c r="B675" i="1"/>
  <c r="A675" i="1"/>
  <c r="H674" i="1"/>
  <c r="G674" i="1"/>
  <c r="E674" i="1"/>
  <c r="B674" i="1"/>
  <c r="A674" i="1"/>
  <c r="H673" i="1"/>
  <c r="G673" i="1"/>
  <c r="E673" i="1"/>
  <c r="B673" i="1"/>
  <c r="A673" i="1"/>
  <c r="H672" i="1"/>
  <c r="G672" i="1"/>
  <c r="E672" i="1"/>
  <c r="B672" i="1"/>
  <c r="A672" i="1"/>
  <c r="H671" i="1"/>
  <c r="G671" i="1"/>
  <c r="E671" i="1"/>
  <c r="B671" i="1"/>
  <c r="A671" i="1"/>
  <c r="H670" i="1"/>
  <c r="G670" i="1"/>
  <c r="E670" i="1"/>
  <c r="B670" i="1"/>
  <c r="A670" i="1"/>
  <c r="H669" i="1"/>
  <c r="G669" i="1"/>
  <c r="E669" i="1"/>
  <c r="B669" i="1"/>
  <c r="A669" i="1"/>
  <c r="H668" i="1"/>
  <c r="G668" i="1"/>
  <c r="E668" i="1"/>
  <c r="B668" i="1"/>
  <c r="A668" i="1"/>
  <c r="H667" i="1"/>
  <c r="G667" i="1"/>
  <c r="E667" i="1"/>
  <c r="B667" i="1"/>
  <c r="A667" i="1"/>
  <c r="H666" i="1"/>
  <c r="G666" i="1"/>
  <c r="E666" i="1"/>
  <c r="B666" i="1"/>
  <c r="A666" i="1"/>
  <c r="H665" i="1"/>
  <c r="G665" i="1"/>
  <c r="E665" i="1"/>
  <c r="B665" i="1"/>
  <c r="A665" i="1"/>
  <c r="H664" i="1"/>
  <c r="G664" i="1"/>
  <c r="E664" i="1"/>
  <c r="B664" i="1"/>
  <c r="A664" i="1"/>
  <c r="H663" i="1"/>
  <c r="G663" i="1"/>
  <c r="E663" i="1"/>
  <c r="B663" i="1"/>
  <c r="A663" i="1"/>
  <c r="H662" i="1"/>
  <c r="G662" i="1"/>
  <c r="E662" i="1"/>
  <c r="B662" i="1"/>
  <c r="A662" i="1"/>
  <c r="H661" i="1"/>
  <c r="G661" i="1"/>
  <c r="E661" i="1"/>
  <c r="B661" i="1"/>
  <c r="A661" i="1"/>
  <c r="H660" i="1"/>
  <c r="G660" i="1"/>
  <c r="E660" i="1"/>
  <c r="B660" i="1"/>
  <c r="A660" i="1"/>
  <c r="H659" i="1"/>
  <c r="G659" i="1"/>
  <c r="E659" i="1"/>
  <c r="B659" i="1"/>
  <c r="A659" i="1"/>
  <c r="H658" i="1"/>
  <c r="G658" i="1"/>
  <c r="E658" i="1"/>
  <c r="B658" i="1"/>
  <c r="A658" i="1"/>
  <c r="H657" i="1"/>
  <c r="G657" i="1"/>
  <c r="E657" i="1"/>
  <c r="B657" i="1"/>
  <c r="A657" i="1"/>
  <c r="H656" i="1"/>
  <c r="G656" i="1"/>
  <c r="E656" i="1"/>
  <c r="B656" i="1"/>
  <c r="A656" i="1"/>
  <c r="H655" i="1"/>
  <c r="G655" i="1"/>
  <c r="E655" i="1"/>
  <c r="B655" i="1"/>
  <c r="A655" i="1"/>
  <c r="H654" i="1"/>
  <c r="G654" i="1"/>
  <c r="E654" i="1"/>
  <c r="B654" i="1"/>
  <c r="A654" i="1"/>
  <c r="H653" i="1"/>
  <c r="G653" i="1"/>
  <c r="E653" i="1"/>
  <c r="B653" i="1"/>
  <c r="A653" i="1"/>
  <c r="H652" i="1"/>
  <c r="G652" i="1"/>
  <c r="E652" i="1"/>
  <c r="B652" i="1"/>
  <c r="A652" i="1"/>
  <c r="H651" i="1"/>
  <c r="G651" i="1"/>
  <c r="E651" i="1"/>
  <c r="B651" i="1"/>
  <c r="A651" i="1"/>
  <c r="H650" i="1"/>
  <c r="G650" i="1"/>
  <c r="E650" i="1"/>
  <c r="B650" i="1"/>
  <c r="A650" i="1"/>
  <c r="H649" i="1"/>
  <c r="G649" i="1"/>
  <c r="E649" i="1"/>
  <c r="B649" i="1"/>
  <c r="A649" i="1"/>
  <c r="H648" i="1"/>
  <c r="G648" i="1"/>
  <c r="E648" i="1"/>
  <c r="B648" i="1"/>
  <c r="A648" i="1"/>
  <c r="H647" i="1"/>
  <c r="G647" i="1"/>
  <c r="E647" i="1"/>
  <c r="B647" i="1"/>
  <c r="A647" i="1"/>
  <c r="H646" i="1"/>
  <c r="G646" i="1"/>
  <c r="E646" i="1"/>
  <c r="B646" i="1"/>
  <c r="A646" i="1"/>
  <c r="H645" i="1"/>
  <c r="G645" i="1"/>
  <c r="E645" i="1"/>
  <c r="B645" i="1"/>
  <c r="A645" i="1"/>
  <c r="H644" i="1"/>
  <c r="G644" i="1"/>
  <c r="E644" i="1"/>
  <c r="B644" i="1"/>
  <c r="A644" i="1"/>
  <c r="H643" i="1"/>
  <c r="G643" i="1"/>
  <c r="E643" i="1"/>
  <c r="B643" i="1"/>
  <c r="A643" i="1"/>
  <c r="H642" i="1"/>
  <c r="G642" i="1"/>
  <c r="E642" i="1"/>
  <c r="B642" i="1"/>
  <c r="A642" i="1"/>
  <c r="H641" i="1"/>
  <c r="G641" i="1"/>
  <c r="E641" i="1"/>
  <c r="B641" i="1"/>
  <c r="A641" i="1"/>
  <c r="H640" i="1"/>
  <c r="G640" i="1"/>
  <c r="E640" i="1"/>
  <c r="B640" i="1"/>
  <c r="A640" i="1"/>
  <c r="H639" i="1"/>
  <c r="G639" i="1"/>
  <c r="E639" i="1"/>
  <c r="B639" i="1"/>
  <c r="A639" i="1"/>
  <c r="H638" i="1"/>
  <c r="G638" i="1"/>
  <c r="E638" i="1"/>
  <c r="B638" i="1"/>
  <c r="A638" i="1"/>
  <c r="H637" i="1"/>
  <c r="G637" i="1"/>
  <c r="E637" i="1"/>
  <c r="B637" i="1"/>
  <c r="A637" i="1"/>
  <c r="H636" i="1"/>
  <c r="G636" i="1"/>
  <c r="E636" i="1"/>
  <c r="B636" i="1"/>
  <c r="A636" i="1"/>
  <c r="H635" i="1"/>
  <c r="G635" i="1"/>
  <c r="E635" i="1"/>
  <c r="B635" i="1"/>
  <c r="A635" i="1"/>
  <c r="H634" i="1"/>
  <c r="G634" i="1"/>
  <c r="E634" i="1"/>
  <c r="B634" i="1"/>
  <c r="A634" i="1"/>
  <c r="H633" i="1"/>
  <c r="G633" i="1"/>
  <c r="E633" i="1"/>
  <c r="B633" i="1"/>
  <c r="A633" i="1"/>
  <c r="H632" i="1"/>
  <c r="G632" i="1"/>
  <c r="E632" i="1"/>
  <c r="B632" i="1"/>
  <c r="A632" i="1"/>
  <c r="H631" i="1"/>
  <c r="G631" i="1"/>
  <c r="E631" i="1"/>
  <c r="B631" i="1"/>
  <c r="A631" i="1"/>
  <c r="H630" i="1"/>
  <c r="G630" i="1"/>
  <c r="E630" i="1"/>
  <c r="B630" i="1"/>
  <c r="A630" i="1"/>
  <c r="H629" i="1"/>
  <c r="G629" i="1"/>
  <c r="E629" i="1"/>
  <c r="B629" i="1"/>
  <c r="A629" i="1"/>
  <c r="H628" i="1"/>
  <c r="G628" i="1"/>
  <c r="E628" i="1"/>
  <c r="B628" i="1"/>
  <c r="A628" i="1"/>
  <c r="H627" i="1"/>
  <c r="G627" i="1"/>
  <c r="E627" i="1"/>
  <c r="B627" i="1"/>
  <c r="A627" i="1"/>
  <c r="H626" i="1"/>
  <c r="G626" i="1"/>
  <c r="E626" i="1"/>
  <c r="B626" i="1"/>
  <c r="A626" i="1"/>
  <c r="H625" i="1"/>
  <c r="G625" i="1"/>
  <c r="E625" i="1"/>
  <c r="B625" i="1"/>
  <c r="A625" i="1"/>
  <c r="H624" i="1"/>
  <c r="G624" i="1"/>
  <c r="E624" i="1"/>
  <c r="B624" i="1"/>
  <c r="A624" i="1"/>
  <c r="H623" i="1"/>
  <c r="G623" i="1"/>
  <c r="E623" i="1"/>
  <c r="B623" i="1"/>
  <c r="A623" i="1"/>
  <c r="H622" i="1"/>
  <c r="G622" i="1"/>
  <c r="E622" i="1"/>
  <c r="B622" i="1"/>
  <c r="A622" i="1"/>
  <c r="H621" i="1"/>
  <c r="G621" i="1"/>
  <c r="E621" i="1"/>
  <c r="B621" i="1"/>
  <c r="A621" i="1"/>
  <c r="H620" i="1"/>
  <c r="G620" i="1"/>
  <c r="E620" i="1"/>
  <c r="B620" i="1"/>
  <c r="A620" i="1"/>
  <c r="H619" i="1"/>
  <c r="G619" i="1"/>
  <c r="E619" i="1"/>
  <c r="B619" i="1"/>
  <c r="A619" i="1"/>
  <c r="H618" i="1"/>
  <c r="G618" i="1"/>
  <c r="E618" i="1"/>
  <c r="B618" i="1"/>
  <c r="A618" i="1"/>
  <c r="H617" i="1"/>
  <c r="G617" i="1"/>
  <c r="E617" i="1"/>
  <c r="B617" i="1"/>
  <c r="A617" i="1"/>
  <c r="H616" i="1"/>
  <c r="G616" i="1"/>
  <c r="E616" i="1"/>
  <c r="B616" i="1"/>
  <c r="A616" i="1"/>
  <c r="H615" i="1"/>
  <c r="G615" i="1"/>
  <c r="E615" i="1"/>
  <c r="B615" i="1"/>
  <c r="A615" i="1"/>
  <c r="H614" i="1"/>
  <c r="G614" i="1"/>
  <c r="E614" i="1"/>
  <c r="B614" i="1"/>
  <c r="A614" i="1"/>
  <c r="H613" i="1"/>
  <c r="G613" i="1"/>
  <c r="E613" i="1"/>
  <c r="B613" i="1"/>
  <c r="A613" i="1"/>
  <c r="H612" i="1"/>
  <c r="G612" i="1"/>
  <c r="E612" i="1"/>
  <c r="B612" i="1"/>
  <c r="A612" i="1"/>
  <c r="H611" i="1"/>
  <c r="G611" i="1"/>
  <c r="E611" i="1"/>
  <c r="B611" i="1"/>
  <c r="A611" i="1"/>
  <c r="H610" i="1"/>
  <c r="G610" i="1"/>
  <c r="E610" i="1"/>
  <c r="B610" i="1"/>
  <c r="A610" i="1"/>
  <c r="H609" i="1"/>
  <c r="G609" i="1"/>
  <c r="E609" i="1"/>
  <c r="B609" i="1"/>
  <c r="A609" i="1"/>
  <c r="H608" i="1"/>
  <c r="G608" i="1"/>
  <c r="E608" i="1"/>
  <c r="B608" i="1"/>
  <c r="A608" i="1"/>
  <c r="H607" i="1"/>
  <c r="G607" i="1"/>
  <c r="E607" i="1"/>
  <c r="B607" i="1"/>
  <c r="A607" i="1"/>
  <c r="H606" i="1"/>
  <c r="G606" i="1"/>
  <c r="E606" i="1"/>
  <c r="B606" i="1"/>
  <c r="A606" i="1"/>
  <c r="H605" i="1"/>
  <c r="G605" i="1"/>
  <c r="E605" i="1"/>
  <c r="B605" i="1"/>
  <c r="A605" i="1"/>
  <c r="H604" i="1"/>
  <c r="G604" i="1"/>
  <c r="E604" i="1"/>
  <c r="B604" i="1"/>
  <c r="A604" i="1"/>
  <c r="H603" i="1"/>
  <c r="G603" i="1"/>
  <c r="E603" i="1"/>
  <c r="B603" i="1"/>
  <c r="A603" i="1"/>
  <c r="H602" i="1"/>
  <c r="G602" i="1"/>
  <c r="E602" i="1"/>
  <c r="B602" i="1"/>
  <c r="A602" i="1"/>
  <c r="H601" i="1"/>
  <c r="G601" i="1"/>
  <c r="E601" i="1"/>
  <c r="B601" i="1"/>
  <c r="A601" i="1"/>
  <c r="H600" i="1"/>
  <c r="G600" i="1"/>
  <c r="E600" i="1"/>
  <c r="B600" i="1"/>
  <c r="A600" i="1"/>
  <c r="H599" i="1"/>
  <c r="G599" i="1"/>
  <c r="E599" i="1"/>
  <c r="B599" i="1"/>
  <c r="A599" i="1"/>
  <c r="H598" i="1"/>
  <c r="G598" i="1"/>
  <c r="E598" i="1"/>
  <c r="B598" i="1"/>
  <c r="A598" i="1"/>
  <c r="H597" i="1"/>
  <c r="G597" i="1"/>
  <c r="E597" i="1"/>
  <c r="B597" i="1"/>
  <c r="A597" i="1"/>
  <c r="H596" i="1"/>
  <c r="G596" i="1"/>
  <c r="E596" i="1"/>
  <c r="B596" i="1"/>
  <c r="A596" i="1"/>
  <c r="H595" i="1"/>
  <c r="G595" i="1"/>
  <c r="E595" i="1"/>
  <c r="B595" i="1"/>
  <c r="A595" i="1"/>
  <c r="H594" i="1"/>
  <c r="G594" i="1"/>
  <c r="E594" i="1"/>
  <c r="B594" i="1"/>
  <c r="A594" i="1"/>
  <c r="H593" i="1"/>
  <c r="G593" i="1"/>
  <c r="E593" i="1"/>
  <c r="B593" i="1"/>
  <c r="A593" i="1"/>
  <c r="H592" i="1"/>
  <c r="G592" i="1"/>
  <c r="E592" i="1"/>
  <c r="B592" i="1"/>
  <c r="A592" i="1"/>
  <c r="H591" i="1"/>
  <c r="G591" i="1"/>
  <c r="E591" i="1"/>
  <c r="B591" i="1"/>
  <c r="A591" i="1"/>
  <c r="H590" i="1"/>
  <c r="G590" i="1"/>
  <c r="E590" i="1"/>
  <c r="B590" i="1"/>
  <c r="A590" i="1"/>
  <c r="H589" i="1"/>
  <c r="G589" i="1"/>
  <c r="E589" i="1"/>
  <c r="B589" i="1"/>
  <c r="A589" i="1"/>
  <c r="H588" i="1"/>
  <c r="G588" i="1"/>
  <c r="E588" i="1"/>
  <c r="B588" i="1"/>
  <c r="A588" i="1"/>
  <c r="H587" i="1"/>
  <c r="G587" i="1"/>
  <c r="E587" i="1"/>
  <c r="B587" i="1"/>
  <c r="A587" i="1"/>
  <c r="H586" i="1"/>
  <c r="G586" i="1"/>
  <c r="E586" i="1"/>
  <c r="B586" i="1"/>
  <c r="A586" i="1"/>
  <c r="H585" i="1"/>
  <c r="G585" i="1"/>
  <c r="E585" i="1"/>
  <c r="B585" i="1"/>
  <c r="A585" i="1"/>
  <c r="H584" i="1"/>
  <c r="G584" i="1"/>
  <c r="E584" i="1"/>
  <c r="B584" i="1"/>
  <c r="A584" i="1"/>
  <c r="H583" i="1"/>
  <c r="G583" i="1"/>
  <c r="E583" i="1"/>
  <c r="B583" i="1"/>
  <c r="A583" i="1"/>
  <c r="H582" i="1"/>
  <c r="G582" i="1"/>
  <c r="E582" i="1"/>
  <c r="B582" i="1"/>
  <c r="A582" i="1"/>
  <c r="H581" i="1"/>
  <c r="G581" i="1"/>
  <c r="E581" i="1"/>
  <c r="B581" i="1"/>
  <c r="A581" i="1"/>
  <c r="H580" i="1"/>
  <c r="G580" i="1"/>
  <c r="E580" i="1"/>
  <c r="B580" i="1"/>
  <c r="A580" i="1"/>
  <c r="H579" i="1"/>
  <c r="G579" i="1"/>
  <c r="E579" i="1"/>
  <c r="B579" i="1"/>
  <c r="A579" i="1"/>
  <c r="H578" i="1"/>
  <c r="G578" i="1"/>
  <c r="E578" i="1"/>
  <c r="B578" i="1"/>
  <c r="A578" i="1"/>
  <c r="H577" i="1"/>
  <c r="G577" i="1"/>
  <c r="E577" i="1"/>
  <c r="B577" i="1"/>
  <c r="A577" i="1"/>
  <c r="H576" i="1"/>
  <c r="G576" i="1"/>
  <c r="E576" i="1"/>
  <c r="B576" i="1"/>
  <c r="A576" i="1"/>
  <c r="H575" i="1"/>
  <c r="G575" i="1"/>
  <c r="E575" i="1"/>
  <c r="B575" i="1"/>
  <c r="A575" i="1"/>
  <c r="H574" i="1"/>
  <c r="G574" i="1"/>
  <c r="E574" i="1"/>
  <c r="B574" i="1"/>
  <c r="A574" i="1"/>
  <c r="H573" i="1"/>
  <c r="G573" i="1"/>
  <c r="E573" i="1"/>
  <c r="B573" i="1"/>
  <c r="A573" i="1"/>
  <c r="H572" i="1"/>
  <c r="G572" i="1"/>
  <c r="E572" i="1"/>
  <c r="B572" i="1"/>
  <c r="A572" i="1"/>
  <c r="H571" i="1"/>
  <c r="G571" i="1"/>
  <c r="E571" i="1"/>
  <c r="B571" i="1"/>
  <c r="A571" i="1"/>
  <c r="H570" i="1"/>
  <c r="G570" i="1"/>
  <c r="E570" i="1"/>
  <c r="B570" i="1"/>
  <c r="A570" i="1"/>
  <c r="H569" i="1"/>
  <c r="G569" i="1"/>
  <c r="E569" i="1"/>
  <c r="B569" i="1"/>
  <c r="A569" i="1"/>
  <c r="H568" i="1"/>
  <c r="G568" i="1"/>
  <c r="E568" i="1"/>
  <c r="B568" i="1"/>
  <c r="A568" i="1"/>
  <c r="H567" i="1"/>
  <c r="G567" i="1"/>
  <c r="E567" i="1"/>
  <c r="B567" i="1"/>
  <c r="A567" i="1"/>
  <c r="H566" i="1"/>
  <c r="G566" i="1"/>
  <c r="E566" i="1"/>
  <c r="B566" i="1"/>
  <c r="A566" i="1"/>
  <c r="H565" i="1"/>
  <c r="G565" i="1"/>
  <c r="B565" i="1"/>
  <c r="A565" i="1"/>
  <c r="H564" i="1"/>
  <c r="G564" i="1"/>
  <c r="E564" i="1"/>
  <c r="B564" i="1"/>
  <c r="A564" i="1"/>
  <c r="H563" i="1"/>
  <c r="G563" i="1"/>
  <c r="E563" i="1"/>
  <c r="B563" i="1"/>
  <c r="A563" i="1"/>
  <c r="H562" i="1"/>
  <c r="G562" i="1"/>
  <c r="E562" i="1"/>
  <c r="B562" i="1"/>
  <c r="A562" i="1"/>
  <c r="H561" i="1"/>
  <c r="G561" i="1"/>
  <c r="E561" i="1"/>
  <c r="B561" i="1"/>
  <c r="A561" i="1"/>
  <c r="H560" i="1"/>
  <c r="G560" i="1"/>
  <c r="E560" i="1"/>
  <c r="B560" i="1"/>
  <c r="A560" i="1"/>
  <c r="H559" i="1"/>
  <c r="G559" i="1"/>
  <c r="E559" i="1"/>
  <c r="B559" i="1"/>
  <c r="A559" i="1"/>
  <c r="H558" i="1"/>
  <c r="G558" i="1"/>
  <c r="E558" i="1"/>
  <c r="B558" i="1"/>
  <c r="A558" i="1"/>
  <c r="H557" i="1"/>
  <c r="G557" i="1"/>
  <c r="E557" i="1"/>
  <c r="B557" i="1"/>
  <c r="A557" i="1"/>
  <c r="H556" i="1"/>
  <c r="G556" i="1"/>
  <c r="E556" i="1"/>
  <c r="B556" i="1"/>
  <c r="A556" i="1"/>
  <c r="H555" i="1"/>
  <c r="G555" i="1"/>
  <c r="E555" i="1"/>
  <c r="B555" i="1"/>
  <c r="A555" i="1"/>
  <c r="H554" i="1"/>
  <c r="G554" i="1"/>
  <c r="E554" i="1"/>
  <c r="B554" i="1"/>
  <c r="A554" i="1"/>
  <c r="H553" i="1"/>
  <c r="G553" i="1"/>
  <c r="E553" i="1"/>
  <c r="B553" i="1"/>
  <c r="A553" i="1"/>
  <c r="H552" i="1"/>
  <c r="G552" i="1"/>
  <c r="E552" i="1"/>
  <c r="B552" i="1"/>
  <c r="A552" i="1"/>
  <c r="H551" i="1"/>
  <c r="G551" i="1"/>
  <c r="E551" i="1"/>
  <c r="B551" i="1"/>
  <c r="A551" i="1"/>
  <c r="H550" i="1"/>
  <c r="G550" i="1"/>
  <c r="E550" i="1"/>
  <c r="B550" i="1"/>
  <c r="A550" i="1"/>
  <c r="H549" i="1"/>
  <c r="G549" i="1"/>
  <c r="E549" i="1"/>
  <c r="B549" i="1"/>
  <c r="A549" i="1"/>
  <c r="H548" i="1"/>
  <c r="G548" i="1"/>
  <c r="E548" i="1"/>
  <c r="B548" i="1"/>
  <c r="A548" i="1"/>
  <c r="H547" i="1"/>
  <c r="G547" i="1"/>
  <c r="E547" i="1"/>
  <c r="B547" i="1"/>
  <c r="A547" i="1"/>
  <c r="H546" i="1"/>
  <c r="G546" i="1"/>
  <c r="E546" i="1"/>
  <c r="B546" i="1"/>
  <c r="A546" i="1"/>
  <c r="H545" i="1"/>
  <c r="G545" i="1"/>
  <c r="E545" i="1"/>
  <c r="B545" i="1"/>
  <c r="A545" i="1"/>
  <c r="H544" i="1"/>
  <c r="G544" i="1"/>
  <c r="E544" i="1"/>
  <c r="B544" i="1"/>
  <c r="A544" i="1"/>
  <c r="H543" i="1"/>
  <c r="G543" i="1"/>
  <c r="E543" i="1"/>
  <c r="B543" i="1"/>
  <c r="A543" i="1"/>
  <c r="H542" i="1"/>
  <c r="G542" i="1"/>
  <c r="E542" i="1"/>
  <c r="B542" i="1"/>
  <c r="A542" i="1"/>
  <c r="H541" i="1"/>
  <c r="G541" i="1"/>
  <c r="E541" i="1"/>
  <c r="B541" i="1"/>
  <c r="A541" i="1"/>
  <c r="H540" i="1"/>
  <c r="G540" i="1"/>
  <c r="E540" i="1"/>
  <c r="B540" i="1"/>
  <c r="A540" i="1"/>
  <c r="H539" i="1"/>
  <c r="G539" i="1"/>
  <c r="E539" i="1"/>
  <c r="B539" i="1"/>
  <c r="A539" i="1"/>
  <c r="H538" i="1"/>
  <c r="G538" i="1"/>
  <c r="E538" i="1"/>
  <c r="B538" i="1"/>
  <c r="A538" i="1"/>
  <c r="H537" i="1"/>
  <c r="G537" i="1"/>
  <c r="E537" i="1"/>
  <c r="B537" i="1"/>
  <c r="A537" i="1"/>
  <c r="H536" i="1"/>
  <c r="G536" i="1"/>
  <c r="E536" i="1"/>
  <c r="B536" i="1"/>
  <c r="A536" i="1"/>
  <c r="H535" i="1"/>
  <c r="G535" i="1"/>
  <c r="E535" i="1"/>
  <c r="B535" i="1"/>
  <c r="A535" i="1"/>
  <c r="H534" i="1"/>
  <c r="G534" i="1"/>
  <c r="E534" i="1"/>
  <c r="B534" i="1"/>
  <c r="A534" i="1"/>
  <c r="H533" i="1"/>
  <c r="G533" i="1"/>
  <c r="E533" i="1"/>
  <c r="B533" i="1"/>
  <c r="A533" i="1"/>
  <c r="H532" i="1"/>
  <c r="G532" i="1"/>
  <c r="E532" i="1"/>
  <c r="B532" i="1"/>
  <c r="A532" i="1"/>
  <c r="H531" i="1"/>
  <c r="G531" i="1"/>
  <c r="E531" i="1"/>
  <c r="B531" i="1"/>
  <c r="A531" i="1"/>
  <c r="H530" i="1"/>
  <c r="G530" i="1"/>
  <c r="E530" i="1"/>
  <c r="B530" i="1"/>
  <c r="A530" i="1"/>
  <c r="H529" i="1"/>
  <c r="G529" i="1"/>
  <c r="E529" i="1"/>
  <c r="B529" i="1"/>
  <c r="A529" i="1"/>
  <c r="H528" i="1"/>
  <c r="G528" i="1"/>
  <c r="E528" i="1"/>
  <c r="B528" i="1"/>
  <c r="A528" i="1"/>
  <c r="H527" i="1"/>
  <c r="G527" i="1"/>
  <c r="E527" i="1"/>
  <c r="B527" i="1"/>
  <c r="A527" i="1"/>
  <c r="H526" i="1"/>
  <c r="G526" i="1"/>
  <c r="E526" i="1"/>
  <c r="B526" i="1"/>
  <c r="A526" i="1"/>
  <c r="H525" i="1"/>
  <c r="G525" i="1"/>
  <c r="E525" i="1"/>
  <c r="B525" i="1"/>
  <c r="A525" i="1"/>
  <c r="H524" i="1"/>
  <c r="G524" i="1"/>
  <c r="E524" i="1"/>
  <c r="B524" i="1"/>
  <c r="A524" i="1"/>
  <c r="H523" i="1"/>
  <c r="G523" i="1"/>
  <c r="E523" i="1"/>
  <c r="B523" i="1"/>
  <c r="A523" i="1"/>
  <c r="H522" i="1"/>
  <c r="G522" i="1"/>
  <c r="E522" i="1"/>
  <c r="B522" i="1"/>
  <c r="A522" i="1"/>
  <c r="H521" i="1"/>
  <c r="G521" i="1"/>
  <c r="E521" i="1"/>
  <c r="B521" i="1"/>
  <c r="A521" i="1"/>
  <c r="H520" i="1"/>
  <c r="G520" i="1"/>
  <c r="E520" i="1"/>
  <c r="B520" i="1"/>
  <c r="A520" i="1"/>
  <c r="H519" i="1"/>
  <c r="G519" i="1"/>
  <c r="E519" i="1"/>
  <c r="B519" i="1"/>
  <c r="A519" i="1"/>
  <c r="H518" i="1"/>
  <c r="G518" i="1"/>
  <c r="E518" i="1"/>
  <c r="B518" i="1"/>
  <c r="A518" i="1"/>
  <c r="H517" i="1"/>
  <c r="G517" i="1"/>
  <c r="E517" i="1"/>
  <c r="B517" i="1"/>
  <c r="A517" i="1"/>
  <c r="H516" i="1"/>
  <c r="G516" i="1"/>
  <c r="E516" i="1"/>
  <c r="B516" i="1"/>
  <c r="A516" i="1"/>
  <c r="H515" i="1"/>
  <c r="G515" i="1"/>
  <c r="E515" i="1"/>
  <c r="B515" i="1"/>
  <c r="A515" i="1"/>
  <c r="H514" i="1"/>
  <c r="G514" i="1"/>
  <c r="E514" i="1"/>
  <c r="B514" i="1"/>
  <c r="A514" i="1"/>
  <c r="H513" i="1"/>
  <c r="G513" i="1"/>
  <c r="E513" i="1"/>
  <c r="B513" i="1"/>
  <c r="A513" i="1"/>
  <c r="H512" i="1"/>
  <c r="G512" i="1"/>
  <c r="E512" i="1"/>
  <c r="B512" i="1"/>
  <c r="A512" i="1"/>
  <c r="H511" i="1"/>
  <c r="G511" i="1"/>
  <c r="E511" i="1"/>
  <c r="B511" i="1"/>
  <c r="A511" i="1"/>
  <c r="H510" i="1"/>
  <c r="G510" i="1"/>
  <c r="E510" i="1"/>
  <c r="B510" i="1"/>
  <c r="A510" i="1"/>
  <c r="H509" i="1"/>
  <c r="G509" i="1"/>
  <c r="E509" i="1"/>
  <c r="B509" i="1"/>
  <c r="A509" i="1"/>
  <c r="H508" i="1"/>
  <c r="G508" i="1"/>
  <c r="E508" i="1"/>
  <c r="B508" i="1"/>
  <c r="A508" i="1"/>
  <c r="H507" i="1"/>
  <c r="G507" i="1"/>
  <c r="E507" i="1"/>
  <c r="B507" i="1"/>
  <c r="A507" i="1"/>
  <c r="H506" i="1"/>
  <c r="G506" i="1"/>
  <c r="E506" i="1"/>
  <c r="B506" i="1"/>
  <c r="A506" i="1"/>
  <c r="H505" i="1"/>
  <c r="G505" i="1"/>
  <c r="E505" i="1"/>
  <c r="B505" i="1"/>
  <c r="A505" i="1"/>
  <c r="H504" i="1"/>
  <c r="G504" i="1"/>
  <c r="E504" i="1"/>
  <c r="B504" i="1"/>
  <c r="A504" i="1"/>
  <c r="H503" i="1"/>
  <c r="G503" i="1"/>
  <c r="E503" i="1"/>
  <c r="B503" i="1"/>
  <c r="A503" i="1"/>
  <c r="H502" i="1"/>
  <c r="G502" i="1"/>
  <c r="E502" i="1"/>
  <c r="B502" i="1"/>
  <c r="A502" i="1"/>
  <c r="H501" i="1"/>
  <c r="G501" i="1"/>
  <c r="E501" i="1"/>
  <c r="B501" i="1"/>
  <c r="A501" i="1"/>
  <c r="H500" i="1"/>
  <c r="G500" i="1"/>
  <c r="E500" i="1"/>
  <c r="B500" i="1"/>
  <c r="A500" i="1"/>
  <c r="H499" i="1"/>
  <c r="G499" i="1"/>
  <c r="E499" i="1"/>
  <c r="B499" i="1"/>
  <c r="A499" i="1"/>
  <c r="H498" i="1"/>
  <c r="G498" i="1"/>
  <c r="E498" i="1"/>
  <c r="B498" i="1"/>
  <c r="A498" i="1"/>
  <c r="H497" i="1"/>
  <c r="G497" i="1"/>
  <c r="E497" i="1"/>
  <c r="B497" i="1"/>
  <c r="A497" i="1"/>
  <c r="H496" i="1"/>
  <c r="G496" i="1"/>
  <c r="E496" i="1"/>
  <c r="B496" i="1"/>
  <c r="A496" i="1"/>
  <c r="H495" i="1"/>
  <c r="G495" i="1"/>
  <c r="E495" i="1"/>
  <c r="B495" i="1"/>
  <c r="A495" i="1"/>
  <c r="H494" i="1"/>
  <c r="G494" i="1"/>
  <c r="E494" i="1"/>
  <c r="B494" i="1"/>
  <c r="A494" i="1"/>
  <c r="H493" i="1"/>
  <c r="G493" i="1"/>
  <c r="E493" i="1"/>
  <c r="B493" i="1"/>
  <c r="A493" i="1"/>
  <c r="H492" i="1"/>
  <c r="G492" i="1"/>
  <c r="E492" i="1"/>
  <c r="B492" i="1"/>
  <c r="A492" i="1"/>
  <c r="H491" i="1"/>
  <c r="G491" i="1"/>
  <c r="E491" i="1"/>
  <c r="B491" i="1"/>
  <c r="A491" i="1"/>
  <c r="H490" i="1"/>
  <c r="G490" i="1"/>
  <c r="E490" i="1"/>
  <c r="B490" i="1"/>
  <c r="A490" i="1"/>
  <c r="H489" i="1"/>
  <c r="G489" i="1"/>
  <c r="E489" i="1"/>
  <c r="B489" i="1"/>
  <c r="A489" i="1"/>
  <c r="H488" i="1"/>
  <c r="G488" i="1"/>
  <c r="E488" i="1"/>
  <c r="B488" i="1"/>
  <c r="A488" i="1"/>
  <c r="H487" i="1"/>
  <c r="G487" i="1"/>
  <c r="E487" i="1"/>
  <c r="B487" i="1"/>
  <c r="A487" i="1"/>
  <c r="H486" i="1"/>
  <c r="G486" i="1"/>
  <c r="E486" i="1"/>
  <c r="B486" i="1"/>
  <c r="A486" i="1"/>
  <c r="H485" i="1"/>
  <c r="G485" i="1"/>
  <c r="E485" i="1"/>
  <c r="B485" i="1"/>
  <c r="A485" i="1"/>
  <c r="H484" i="1"/>
  <c r="G484" i="1"/>
  <c r="E484" i="1"/>
  <c r="B484" i="1"/>
  <c r="A484" i="1"/>
  <c r="H483" i="1"/>
  <c r="G483" i="1"/>
  <c r="E483" i="1"/>
  <c r="B483" i="1"/>
  <c r="A483" i="1"/>
  <c r="H482" i="1"/>
  <c r="G482" i="1"/>
  <c r="E482" i="1"/>
  <c r="B482" i="1"/>
  <c r="A482" i="1"/>
  <c r="H481" i="1"/>
  <c r="G481" i="1"/>
  <c r="E481" i="1"/>
  <c r="B481" i="1"/>
  <c r="A481" i="1"/>
  <c r="H480" i="1"/>
  <c r="G480" i="1"/>
  <c r="E480" i="1"/>
  <c r="B480" i="1"/>
  <c r="A480" i="1"/>
  <c r="H479" i="1"/>
  <c r="G479" i="1"/>
  <c r="E479" i="1"/>
  <c r="B479" i="1"/>
  <c r="A479" i="1"/>
  <c r="H478" i="1"/>
  <c r="G478" i="1"/>
  <c r="E478" i="1"/>
  <c r="B478" i="1"/>
  <c r="A478" i="1"/>
  <c r="H477" i="1"/>
  <c r="G477" i="1"/>
  <c r="E477" i="1"/>
  <c r="B477" i="1"/>
  <c r="A477" i="1"/>
  <c r="H476" i="1"/>
  <c r="G476" i="1"/>
  <c r="E476" i="1"/>
  <c r="B476" i="1"/>
  <c r="A476" i="1"/>
  <c r="H475" i="1"/>
  <c r="G475" i="1"/>
  <c r="E475" i="1"/>
  <c r="B475" i="1"/>
  <c r="A475" i="1"/>
  <c r="H474" i="1"/>
  <c r="G474" i="1"/>
  <c r="E474" i="1"/>
  <c r="B474" i="1"/>
  <c r="A474" i="1"/>
  <c r="H473" i="1"/>
  <c r="G473" i="1"/>
  <c r="E473" i="1"/>
  <c r="B473" i="1"/>
  <c r="A473" i="1"/>
  <c r="H472" i="1"/>
  <c r="G472" i="1"/>
  <c r="E472" i="1"/>
  <c r="B472" i="1"/>
  <c r="A472" i="1"/>
  <c r="H471" i="1"/>
  <c r="G471" i="1"/>
  <c r="E471" i="1"/>
  <c r="B471" i="1"/>
  <c r="A471" i="1"/>
  <c r="H470" i="1"/>
  <c r="G470" i="1"/>
  <c r="E470" i="1"/>
  <c r="B470" i="1"/>
  <c r="A470" i="1"/>
  <c r="H469" i="1"/>
  <c r="G469" i="1"/>
  <c r="E469" i="1"/>
  <c r="B469" i="1"/>
  <c r="A469" i="1"/>
  <c r="H468" i="1"/>
  <c r="G468" i="1"/>
  <c r="E468" i="1"/>
  <c r="B468" i="1"/>
  <c r="A468" i="1"/>
  <c r="H467" i="1"/>
  <c r="G467" i="1"/>
  <c r="E467" i="1"/>
  <c r="B467" i="1"/>
  <c r="A467" i="1"/>
  <c r="H466" i="1"/>
  <c r="G466" i="1"/>
  <c r="E466" i="1"/>
  <c r="B466" i="1"/>
  <c r="A466" i="1"/>
  <c r="H465" i="1"/>
  <c r="G465" i="1"/>
  <c r="E465" i="1"/>
  <c r="B465" i="1"/>
  <c r="A465" i="1"/>
  <c r="H464" i="1"/>
  <c r="G464" i="1"/>
  <c r="E464" i="1"/>
  <c r="B464" i="1"/>
  <c r="A464" i="1"/>
  <c r="H463" i="1"/>
  <c r="G463" i="1"/>
  <c r="E463" i="1"/>
  <c r="B463" i="1"/>
  <c r="A463" i="1"/>
  <c r="H462" i="1"/>
  <c r="G462" i="1"/>
  <c r="E462" i="1"/>
  <c r="B462" i="1"/>
  <c r="A462" i="1"/>
  <c r="H461" i="1"/>
  <c r="G461" i="1"/>
  <c r="E461" i="1"/>
  <c r="B461" i="1"/>
  <c r="A461" i="1"/>
  <c r="H460" i="1"/>
  <c r="G460" i="1"/>
  <c r="E460" i="1"/>
  <c r="B460" i="1"/>
  <c r="A460" i="1"/>
  <c r="H459" i="1"/>
  <c r="G459" i="1"/>
  <c r="E459" i="1"/>
  <c r="B459" i="1"/>
  <c r="A459" i="1"/>
  <c r="H458" i="1"/>
  <c r="G458" i="1"/>
  <c r="E458" i="1"/>
  <c r="B458" i="1"/>
  <c r="A458" i="1"/>
  <c r="H457" i="1"/>
  <c r="G457" i="1"/>
  <c r="E457" i="1"/>
  <c r="B457" i="1"/>
  <c r="A457" i="1"/>
  <c r="H456" i="1"/>
  <c r="G456" i="1"/>
  <c r="E456" i="1"/>
  <c r="B456" i="1"/>
  <c r="A456" i="1"/>
  <c r="H455" i="1"/>
  <c r="G455" i="1"/>
  <c r="E455" i="1"/>
  <c r="B455" i="1"/>
  <c r="A455" i="1"/>
  <c r="H454" i="1"/>
  <c r="G454" i="1"/>
  <c r="E454" i="1"/>
  <c r="B454" i="1"/>
  <c r="A454" i="1"/>
  <c r="H453" i="1"/>
  <c r="G453" i="1"/>
  <c r="E453" i="1"/>
  <c r="B453" i="1"/>
  <c r="A453" i="1"/>
  <c r="H452" i="1"/>
  <c r="G452" i="1"/>
  <c r="E452" i="1"/>
  <c r="B452" i="1"/>
  <c r="A452" i="1"/>
  <c r="H451" i="1"/>
  <c r="G451" i="1"/>
  <c r="E451" i="1"/>
  <c r="B451" i="1"/>
  <c r="A451" i="1"/>
  <c r="H450" i="1"/>
  <c r="G450" i="1"/>
  <c r="E450" i="1"/>
  <c r="B450" i="1"/>
  <c r="A450" i="1"/>
  <c r="H449" i="1"/>
  <c r="G449" i="1"/>
  <c r="E449" i="1"/>
  <c r="B449" i="1"/>
  <c r="A449" i="1"/>
  <c r="H448" i="1"/>
  <c r="G448" i="1"/>
  <c r="E448" i="1"/>
  <c r="B448" i="1"/>
  <c r="A448" i="1"/>
  <c r="H447" i="1"/>
  <c r="G447" i="1"/>
  <c r="E447" i="1"/>
  <c r="B447" i="1"/>
  <c r="A447" i="1"/>
  <c r="H446" i="1"/>
  <c r="G446" i="1"/>
  <c r="E446" i="1"/>
  <c r="B446" i="1"/>
  <c r="A446" i="1"/>
  <c r="H445" i="1"/>
  <c r="G445" i="1"/>
  <c r="E445" i="1"/>
  <c r="B445" i="1"/>
  <c r="A445" i="1"/>
  <c r="H444" i="1"/>
  <c r="G444" i="1"/>
  <c r="E444" i="1"/>
  <c r="B444" i="1"/>
  <c r="A444" i="1"/>
  <c r="H443" i="1"/>
  <c r="G443" i="1"/>
  <c r="E443" i="1"/>
  <c r="B443" i="1"/>
  <c r="A443" i="1"/>
  <c r="H442" i="1"/>
  <c r="G442" i="1"/>
  <c r="E442" i="1"/>
  <c r="B442" i="1"/>
  <c r="A442" i="1"/>
  <c r="H441" i="1"/>
  <c r="G441" i="1"/>
  <c r="E441" i="1"/>
  <c r="B441" i="1"/>
  <c r="A441" i="1"/>
  <c r="H440" i="1"/>
  <c r="G440" i="1"/>
  <c r="E440" i="1"/>
  <c r="B440" i="1"/>
  <c r="A440" i="1"/>
  <c r="H439" i="1"/>
  <c r="G439" i="1"/>
  <c r="E439" i="1"/>
  <c r="B439" i="1"/>
  <c r="A439" i="1"/>
  <c r="H438" i="1"/>
  <c r="G438" i="1"/>
  <c r="E438" i="1"/>
  <c r="B438" i="1"/>
  <c r="A438" i="1"/>
  <c r="H437" i="1"/>
  <c r="G437" i="1"/>
  <c r="E437" i="1"/>
  <c r="B437" i="1"/>
  <c r="A437" i="1"/>
  <c r="H436" i="1"/>
  <c r="G436" i="1"/>
  <c r="E436" i="1"/>
  <c r="B436" i="1"/>
  <c r="A436" i="1"/>
  <c r="H435" i="1"/>
  <c r="G435" i="1"/>
  <c r="E435" i="1"/>
  <c r="B435" i="1"/>
  <c r="A435" i="1"/>
  <c r="H434" i="1"/>
  <c r="G434" i="1"/>
  <c r="E434" i="1"/>
  <c r="B434" i="1"/>
  <c r="A434" i="1"/>
  <c r="H433" i="1"/>
  <c r="G433" i="1"/>
  <c r="E433" i="1"/>
  <c r="B433" i="1"/>
  <c r="A433" i="1"/>
  <c r="H432" i="1"/>
  <c r="G432" i="1"/>
  <c r="E432" i="1"/>
  <c r="B432" i="1"/>
  <c r="A432" i="1"/>
  <c r="H431" i="1"/>
  <c r="G431" i="1"/>
  <c r="E431" i="1"/>
  <c r="B431" i="1"/>
  <c r="A431" i="1"/>
  <c r="H430" i="1"/>
  <c r="G430" i="1"/>
  <c r="E430" i="1"/>
  <c r="B430" i="1"/>
  <c r="A430" i="1"/>
  <c r="H429" i="1"/>
  <c r="G429" i="1"/>
  <c r="E429" i="1"/>
  <c r="B429" i="1"/>
  <c r="A429" i="1"/>
  <c r="H428" i="1"/>
  <c r="G428" i="1"/>
  <c r="E428" i="1"/>
  <c r="B428" i="1"/>
  <c r="A428" i="1"/>
  <c r="H427" i="1"/>
  <c r="G427" i="1"/>
  <c r="E427" i="1"/>
  <c r="B427" i="1"/>
  <c r="A427" i="1"/>
  <c r="H426" i="1"/>
  <c r="G426" i="1"/>
  <c r="E426" i="1"/>
  <c r="B426" i="1"/>
  <c r="A426" i="1"/>
  <c r="H425" i="1"/>
  <c r="G425" i="1"/>
  <c r="E425" i="1"/>
  <c r="B425" i="1"/>
  <c r="A425" i="1"/>
  <c r="H424" i="1"/>
  <c r="G424" i="1"/>
  <c r="E424" i="1"/>
  <c r="B424" i="1"/>
  <c r="A424" i="1"/>
  <c r="H423" i="1"/>
  <c r="G423" i="1"/>
  <c r="E423" i="1"/>
  <c r="B423" i="1"/>
  <c r="A423" i="1"/>
  <c r="H422" i="1"/>
  <c r="G422" i="1"/>
  <c r="E422" i="1"/>
  <c r="B422" i="1"/>
  <c r="A422" i="1"/>
  <c r="H421" i="1"/>
  <c r="G421" i="1"/>
  <c r="E421" i="1"/>
  <c r="B421" i="1"/>
  <c r="A421" i="1"/>
  <c r="H420" i="1"/>
  <c r="G420" i="1"/>
  <c r="E420" i="1"/>
  <c r="B420" i="1"/>
  <c r="A420" i="1"/>
  <c r="H419" i="1"/>
  <c r="G419" i="1"/>
  <c r="E419" i="1"/>
  <c r="B419" i="1"/>
  <c r="A419" i="1"/>
  <c r="H418" i="1"/>
  <c r="G418" i="1"/>
  <c r="E418" i="1"/>
  <c r="B418" i="1"/>
  <c r="A418" i="1"/>
  <c r="H417" i="1"/>
  <c r="G417" i="1"/>
  <c r="E417" i="1"/>
  <c r="B417" i="1"/>
  <c r="A417" i="1"/>
  <c r="H416" i="1"/>
  <c r="G416" i="1"/>
  <c r="E416" i="1"/>
  <c r="B416" i="1"/>
  <c r="A416" i="1"/>
  <c r="H415" i="1"/>
  <c r="G415" i="1"/>
  <c r="E415" i="1"/>
  <c r="B415" i="1"/>
  <c r="A415" i="1"/>
  <c r="H414" i="1"/>
  <c r="G414" i="1"/>
  <c r="E414" i="1"/>
  <c r="B414" i="1"/>
  <c r="A414" i="1"/>
  <c r="H413" i="1"/>
  <c r="G413" i="1"/>
  <c r="E413" i="1"/>
  <c r="B413" i="1"/>
  <c r="A413" i="1"/>
  <c r="H412" i="1"/>
  <c r="G412" i="1"/>
  <c r="E412" i="1"/>
  <c r="B412" i="1"/>
  <c r="A412" i="1"/>
  <c r="H411" i="1"/>
  <c r="G411" i="1"/>
  <c r="E411" i="1"/>
  <c r="B411" i="1"/>
  <c r="A411" i="1"/>
  <c r="H410" i="1"/>
  <c r="G410" i="1"/>
  <c r="E410" i="1"/>
  <c r="B410" i="1"/>
  <c r="A410" i="1"/>
  <c r="H409" i="1"/>
  <c r="G409" i="1"/>
  <c r="E409" i="1"/>
  <c r="B409" i="1"/>
  <c r="A409" i="1"/>
  <c r="H408" i="1"/>
  <c r="G408" i="1"/>
  <c r="E408" i="1"/>
  <c r="B408" i="1"/>
  <c r="A408" i="1"/>
  <c r="H407" i="1"/>
  <c r="G407" i="1"/>
  <c r="E407" i="1"/>
  <c r="B407" i="1"/>
  <c r="A407" i="1"/>
  <c r="H406" i="1"/>
  <c r="G406" i="1"/>
  <c r="E406" i="1"/>
  <c r="B406" i="1"/>
  <c r="A406" i="1"/>
  <c r="H405" i="1"/>
  <c r="G405" i="1"/>
  <c r="E405" i="1"/>
  <c r="B405" i="1"/>
  <c r="A405" i="1"/>
  <c r="H404" i="1"/>
  <c r="G404" i="1"/>
  <c r="E404" i="1"/>
  <c r="B404" i="1"/>
  <c r="A404" i="1"/>
  <c r="H403" i="1"/>
  <c r="G403" i="1"/>
  <c r="E403" i="1"/>
  <c r="B403" i="1"/>
  <c r="A403" i="1"/>
  <c r="H402" i="1"/>
  <c r="G402" i="1"/>
  <c r="E402" i="1"/>
  <c r="B402" i="1"/>
  <c r="A402" i="1"/>
  <c r="H401" i="1"/>
  <c r="G401" i="1"/>
  <c r="E401" i="1"/>
  <c r="B401" i="1"/>
  <c r="A401" i="1"/>
  <c r="H400" i="1"/>
  <c r="G400" i="1"/>
  <c r="E400" i="1"/>
  <c r="B400" i="1"/>
  <c r="A400" i="1"/>
  <c r="H399" i="1"/>
  <c r="G399" i="1"/>
  <c r="E399" i="1"/>
  <c r="B399" i="1"/>
  <c r="A399" i="1"/>
  <c r="H398" i="1"/>
  <c r="G398" i="1"/>
  <c r="E398" i="1"/>
  <c r="B398" i="1"/>
  <c r="A398" i="1"/>
  <c r="H397" i="1"/>
  <c r="G397" i="1"/>
  <c r="E397" i="1"/>
  <c r="B397" i="1"/>
  <c r="A397" i="1"/>
  <c r="H396" i="1"/>
  <c r="G396" i="1"/>
  <c r="E396" i="1"/>
  <c r="B396" i="1"/>
  <c r="A396" i="1"/>
  <c r="H395" i="1"/>
  <c r="G395" i="1"/>
  <c r="E395" i="1"/>
  <c r="B395" i="1"/>
  <c r="A395" i="1"/>
  <c r="H394" i="1"/>
  <c r="G394" i="1"/>
  <c r="E394" i="1"/>
  <c r="B394" i="1"/>
  <c r="A394" i="1"/>
  <c r="H393" i="1"/>
  <c r="G393" i="1"/>
  <c r="E393" i="1"/>
  <c r="B393" i="1"/>
  <c r="A393" i="1"/>
  <c r="H392" i="1"/>
  <c r="G392" i="1"/>
  <c r="E392" i="1"/>
  <c r="B392" i="1"/>
  <c r="A392" i="1"/>
  <c r="H391" i="1"/>
  <c r="G391" i="1"/>
  <c r="E391" i="1"/>
  <c r="B391" i="1"/>
  <c r="A391" i="1"/>
  <c r="H390" i="1"/>
  <c r="G390" i="1"/>
  <c r="E390" i="1"/>
  <c r="B390" i="1"/>
  <c r="A390" i="1"/>
  <c r="H389" i="1"/>
  <c r="G389" i="1"/>
  <c r="E389" i="1"/>
  <c r="B389" i="1"/>
  <c r="A389" i="1"/>
  <c r="H388" i="1"/>
  <c r="G388" i="1"/>
  <c r="E388" i="1"/>
  <c r="B388" i="1"/>
  <c r="A388" i="1"/>
  <c r="H387" i="1"/>
  <c r="G387" i="1"/>
  <c r="E387" i="1"/>
  <c r="B387" i="1"/>
  <c r="A387" i="1"/>
  <c r="H386" i="1"/>
  <c r="G386" i="1"/>
  <c r="E386" i="1"/>
  <c r="B386" i="1"/>
  <c r="A386" i="1"/>
  <c r="H385" i="1"/>
  <c r="G385" i="1"/>
  <c r="E385" i="1"/>
  <c r="B385" i="1"/>
  <c r="A385" i="1"/>
  <c r="H384" i="1"/>
  <c r="G384" i="1"/>
  <c r="E384" i="1"/>
  <c r="B384" i="1"/>
  <c r="A384" i="1"/>
  <c r="H383" i="1"/>
  <c r="G383" i="1"/>
  <c r="E383" i="1"/>
  <c r="B383" i="1"/>
  <c r="A383" i="1"/>
  <c r="H382" i="1"/>
  <c r="G382" i="1"/>
  <c r="E382" i="1"/>
  <c r="B382" i="1"/>
  <c r="A382" i="1"/>
  <c r="H381" i="1"/>
  <c r="G381" i="1"/>
  <c r="E381" i="1"/>
  <c r="B381" i="1"/>
  <c r="A381" i="1"/>
  <c r="H380" i="1"/>
  <c r="G380" i="1"/>
  <c r="E380" i="1"/>
  <c r="B380" i="1"/>
  <c r="A380" i="1"/>
  <c r="H379" i="1"/>
  <c r="G379" i="1"/>
  <c r="E379" i="1"/>
  <c r="B379" i="1"/>
  <c r="A379" i="1"/>
  <c r="H378" i="1"/>
  <c r="G378" i="1"/>
  <c r="E378" i="1"/>
  <c r="B378" i="1"/>
  <c r="A378" i="1"/>
  <c r="H377" i="1"/>
  <c r="G377" i="1"/>
  <c r="E377" i="1"/>
  <c r="B377" i="1"/>
  <c r="A377" i="1"/>
  <c r="H376" i="1"/>
  <c r="G376" i="1"/>
  <c r="E376" i="1"/>
  <c r="B376" i="1"/>
  <c r="A376" i="1"/>
  <c r="H375" i="1"/>
  <c r="G375" i="1"/>
  <c r="E375" i="1"/>
  <c r="B375" i="1"/>
  <c r="A375" i="1"/>
  <c r="H374" i="1"/>
  <c r="G374" i="1"/>
  <c r="E374" i="1"/>
  <c r="B374" i="1"/>
  <c r="A374" i="1"/>
  <c r="H373" i="1"/>
  <c r="G373" i="1"/>
  <c r="E373" i="1"/>
  <c r="B373" i="1"/>
  <c r="A373" i="1"/>
  <c r="H372" i="1"/>
  <c r="G372" i="1"/>
  <c r="E372" i="1"/>
  <c r="B372" i="1"/>
  <c r="A372" i="1"/>
  <c r="H371" i="1"/>
  <c r="G371" i="1"/>
  <c r="E371" i="1"/>
  <c r="B371" i="1"/>
  <c r="A371" i="1"/>
  <c r="H370" i="1"/>
  <c r="G370" i="1"/>
  <c r="E370" i="1"/>
  <c r="B370" i="1"/>
  <c r="A370" i="1"/>
  <c r="H369" i="1"/>
  <c r="G369" i="1"/>
  <c r="E369" i="1"/>
  <c r="B369" i="1"/>
  <c r="A369" i="1"/>
  <c r="H368" i="1"/>
  <c r="G368" i="1"/>
  <c r="E368" i="1"/>
  <c r="B368" i="1"/>
  <c r="A368" i="1"/>
  <c r="H367" i="1"/>
  <c r="G367" i="1"/>
  <c r="E367" i="1"/>
  <c r="B367" i="1"/>
  <c r="A367" i="1"/>
  <c r="H366" i="1"/>
  <c r="G366" i="1"/>
  <c r="E366" i="1"/>
  <c r="B366" i="1"/>
  <c r="A366" i="1"/>
  <c r="H365" i="1"/>
  <c r="G365" i="1"/>
  <c r="E365" i="1"/>
  <c r="B365" i="1"/>
  <c r="A365" i="1"/>
  <c r="H364" i="1"/>
  <c r="G364" i="1"/>
  <c r="E364" i="1"/>
  <c r="B364" i="1"/>
  <c r="A364" i="1"/>
  <c r="H363" i="1"/>
  <c r="G363" i="1"/>
  <c r="E363" i="1"/>
  <c r="B363" i="1"/>
  <c r="A363" i="1"/>
  <c r="H362" i="1"/>
  <c r="G362" i="1"/>
  <c r="E362" i="1"/>
  <c r="B362" i="1"/>
  <c r="A362" i="1"/>
  <c r="H361" i="1"/>
  <c r="G361" i="1"/>
  <c r="E361" i="1"/>
  <c r="B361" i="1"/>
  <c r="A361" i="1"/>
  <c r="H360" i="1"/>
  <c r="G360" i="1"/>
  <c r="E360" i="1"/>
  <c r="B360" i="1"/>
  <c r="A360" i="1"/>
  <c r="H359" i="1"/>
  <c r="G359" i="1"/>
  <c r="E359" i="1"/>
  <c r="B359" i="1"/>
  <c r="A359" i="1"/>
  <c r="H358" i="1"/>
  <c r="G358" i="1"/>
  <c r="E358" i="1"/>
  <c r="B358" i="1"/>
  <c r="A358" i="1"/>
  <c r="H357" i="1"/>
  <c r="G357" i="1"/>
  <c r="E357" i="1"/>
  <c r="B357" i="1"/>
  <c r="A357" i="1"/>
  <c r="H356" i="1"/>
  <c r="G356" i="1"/>
  <c r="E356" i="1"/>
  <c r="B356" i="1"/>
  <c r="A356" i="1"/>
  <c r="H355" i="1"/>
  <c r="G355" i="1"/>
  <c r="E355" i="1"/>
  <c r="B355" i="1"/>
  <c r="A355" i="1"/>
  <c r="H354" i="1"/>
  <c r="G354" i="1"/>
  <c r="E354" i="1"/>
  <c r="B354" i="1"/>
  <c r="A354" i="1"/>
  <c r="H353" i="1"/>
  <c r="G353" i="1"/>
  <c r="E353" i="1"/>
  <c r="B353" i="1"/>
  <c r="A353" i="1"/>
  <c r="H352" i="1"/>
  <c r="G352" i="1"/>
  <c r="E352" i="1"/>
  <c r="B352" i="1"/>
  <c r="A352" i="1"/>
  <c r="H351" i="1"/>
  <c r="G351" i="1"/>
  <c r="E351" i="1"/>
  <c r="B351" i="1"/>
  <c r="A351" i="1"/>
  <c r="H350" i="1"/>
  <c r="G350" i="1"/>
  <c r="E350" i="1"/>
  <c r="B350" i="1"/>
  <c r="A350" i="1"/>
  <c r="H349" i="1"/>
  <c r="G349" i="1"/>
  <c r="E349" i="1"/>
  <c r="B349" i="1"/>
  <c r="A349" i="1"/>
  <c r="H348" i="1"/>
  <c r="G348" i="1"/>
  <c r="E348" i="1"/>
  <c r="B348" i="1"/>
  <c r="A348" i="1"/>
  <c r="H347" i="1"/>
  <c r="G347" i="1"/>
  <c r="E347" i="1"/>
  <c r="B347" i="1"/>
  <c r="A347" i="1"/>
  <c r="H346" i="1"/>
  <c r="G346" i="1"/>
  <c r="E346" i="1"/>
  <c r="B346" i="1"/>
  <c r="A346" i="1"/>
  <c r="H345" i="1"/>
  <c r="G345" i="1"/>
  <c r="E345" i="1"/>
  <c r="B345" i="1"/>
  <c r="A345" i="1"/>
  <c r="H344" i="1"/>
  <c r="G344" i="1"/>
  <c r="E344" i="1"/>
  <c r="B344" i="1"/>
  <c r="A344" i="1"/>
  <c r="H343" i="1"/>
  <c r="G343" i="1"/>
  <c r="E343" i="1"/>
  <c r="B343" i="1"/>
  <c r="A343" i="1"/>
  <c r="H342" i="1"/>
  <c r="G342" i="1"/>
  <c r="E342" i="1"/>
  <c r="B342" i="1"/>
  <c r="A342" i="1"/>
  <c r="H341" i="1"/>
  <c r="G341" i="1"/>
  <c r="E341" i="1"/>
  <c r="B341" i="1"/>
  <c r="A341" i="1"/>
  <c r="H340" i="1"/>
  <c r="G340" i="1"/>
  <c r="E340" i="1"/>
  <c r="B340" i="1"/>
  <c r="A340" i="1"/>
  <c r="H339" i="1"/>
  <c r="G339" i="1"/>
  <c r="E339" i="1"/>
  <c r="B339" i="1"/>
  <c r="A339" i="1"/>
  <c r="H338" i="1"/>
  <c r="G338" i="1"/>
  <c r="E338" i="1"/>
  <c r="B338" i="1"/>
  <c r="A338" i="1"/>
  <c r="H337" i="1"/>
  <c r="G337" i="1"/>
  <c r="E337" i="1"/>
  <c r="B337" i="1"/>
  <c r="A337" i="1"/>
  <c r="H336" i="1"/>
  <c r="G336" i="1"/>
  <c r="E336" i="1"/>
  <c r="B336" i="1"/>
  <c r="A336" i="1"/>
  <c r="H335" i="1"/>
  <c r="G335" i="1"/>
  <c r="E335" i="1"/>
  <c r="B335" i="1"/>
  <c r="A335" i="1"/>
  <c r="H334" i="1"/>
  <c r="G334" i="1"/>
  <c r="E334" i="1"/>
  <c r="B334" i="1"/>
  <c r="A334" i="1"/>
  <c r="H333" i="1"/>
  <c r="G333" i="1"/>
  <c r="E333" i="1"/>
  <c r="B333" i="1"/>
  <c r="A333" i="1"/>
  <c r="H332" i="1"/>
  <c r="G332" i="1"/>
  <c r="E332" i="1"/>
  <c r="B332" i="1"/>
  <c r="A332" i="1"/>
  <c r="H331" i="1"/>
  <c r="G331" i="1"/>
  <c r="E331" i="1"/>
  <c r="B331" i="1"/>
  <c r="A331" i="1"/>
  <c r="H330" i="1"/>
  <c r="G330" i="1"/>
  <c r="E330" i="1"/>
  <c r="B330" i="1"/>
  <c r="A330" i="1"/>
  <c r="H329" i="1"/>
  <c r="G329" i="1"/>
  <c r="E329" i="1"/>
  <c r="B329" i="1"/>
  <c r="A329" i="1"/>
  <c r="H328" i="1"/>
  <c r="G328" i="1"/>
  <c r="E328" i="1"/>
  <c r="B328" i="1"/>
  <c r="A328" i="1"/>
  <c r="H327" i="1"/>
  <c r="G327" i="1"/>
  <c r="E327" i="1"/>
  <c r="B327" i="1"/>
  <c r="A327" i="1"/>
  <c r="H326" i="1"/>
  <c r="G326" i="1"/>
  <c r="E326" i="1"/>
  <c r="B326" i="1"/>
  <c r="A326" i="1"/>
  <c r="H325" i="1"/>
  <c r="G325" i="1"/>
  <c r="E325" i="1"/>
  <c r="B325" i="1"/>
  <c r="A325" i="1"/>
  <c r="H324" i="1"/>
  <c r="G324" i="1"/>
  <c r="E324" i="1"/>
  <c r="B324" i="1"/>
  <c r="A324" i="1"/>
  <c r="H323" i="1"/>
  <c r="G323" i="1"/>
  <c r="E323" i="1"/>
  <c r="B323" i="1"/>
  <c r="A323" i="1"/>
  <c r="H322" i="1"/>
  <c r="G322" i="1"/>
  <c r="E322" i="1"/>
  <c r="B322" i="1"/>
  <c r="A322" i="1"/>
  <c r="H321" i="1"/>
  <c r="G321" i="1"/>
  <c r="E321" i="1"/>
  <c r="B321" i="1"/>
  <c r="A321" i="1"/>
  <c r="H320" i="1"/>
  <c r="G320" i="1"/>
  <c r="E320" i="1"/>
  <c r="B320" i="1"/>
  <c r="A320" i="1"/>
  <c r="H319" i="1"/>
  <c r="G319" i="1"/>
  <c r="E319" i="1"/>
  <c r="B319" i="1"/>
  <c r="A319" i="1"/>
  <c r="H318" i="1"/>
  <c r="G318" i="1"/>
  <c r="E318" i="1"/>
  <c r="B318" i="1"/>
  <c r="A318" i="1"/>
  <c r="H317" i="1"/>
  <c r="G317" i="1"/>
  <c r="B317" i="1"/>
  <c r="A317" i="1"/>
  <c r="H316" i="1"/>
  <c r="G316" i="1"/>
  <c r="E316" i="1"/>
  <c r="B316" i="1"/>
  <c r="A316" i="1"/>
  <c r="H315" i="1"/>
  <c r="G315" i="1"/>
  <c r="E315" i="1"/>
  <c r="B315" i="1"/>
  <c r="A315" i="1"/>
  <c r="H314" i="1"/>
  <c r="G314" i="1"/>
  <c r="E314" i="1"/>
  <c r="B314" i="1"/>
  <c r="A314" i="1"/>
  <c r="H313" i="1"/>
  <c r="G313" i="1"/>
  <c r="E313" i="1"/>
  <c r="B313" i="1"/>
  <c r="A313" i="1"/>
  <c r="H312" i="1"/>
  <c r="G312" i="1"/>
  <c r="E312" i="1"/>
  <c r="B312" i="1"/>
  <c r="A312" i="1"/>
  <c r="H311" i="1"/>
  <c r="G311" i="1"/>
  <c r="E311" i="1"/>
  <c r="B311" i="1"/>
  <c r="A311" i="1"/>
  <c r="H310" i="1"/>
  <c r="G310" i="1"/>
  <c r="E310" i="1"/>
  <c r="B310" i="1"/>
  <c r="A310" i="1"/>
  <c r="H309" i="1"/>
  <c r="G309" i="1"/>
  <c r="E309" i="1"/>
  <c r="B309" i="1"/>
  <c r="A309" i="1"/>
  <c r="H308" i="1"/>
  <c r="G308" i="1"/>
  <c r="E308" i="1"/>
  <c r="B308" i="1"/>
  <c r="A308" i="1"/>
  <c r="H307" i="1"/>
  <c r="G307" i="1"/>
  <c r="E307" i="1"/>
  <c r="B307" i="1"/>
  <c r="A307" i="1"/>
  <c r="H306" i="1"/>
  <c r="G306" i="1"/>
  <c r="E306" i="1"/>
  <c r="B306" i="1"/>
  <c r="A306" i="1"/>
  <c r="H305" i="1"/>
  <c r="G305" i="1"/>
  <c r="E305" i="1"/>
  <c r="B305" i="1"/>
  <c r="A305" i="1"/>
  <c r="H304" i="1"/>
  <c r="G304" i="1"/>
  <c r="E304" i="1"/>
  <c r="B304" i="1"/>
  <c r="A304" i="1"/>
  <c r="H303" i="1"/>
  <c r="G303" i="1"/>
  <c r="E303" i="1"/>
  <c r="B303" i="1"/>
  <c r="A303" i="1"/>
  <c r="H302" i="1"/>
  <c r="G302" i="1"/>
  <c r="E302" i="1"/>
  <c r="B302" i="1"/>
  <c r="A302" i="1"/>
  <c r="H301" i="1"/>
  <c r="G301" i="1"/>
  <c r="E301" i="1"/>
  <c r="B301" i="1"/>
  <c r="A301" i="1"/>
  <c r="H300" i="1"/>
  <c r="G300" i="1"/>
  <c r="E300" i="1"/>
  <c r="B300" i="1"/>
  <c r="A300" i="1"/>
  <c r="H299" i="1"/>
  <c r="G299" i="1"/>
  <c r="E299" i="1"/>
  <c r="B299" i="1"/>
  <c r="A299" i="1"/>
  <c r="H298" i="1"/>
  <c r="G298" i="1"/>
  <c r="E298" i="1"/>
  <c r="B298" i="1"/>
  <c r="A298" i="1"/>
  <c r="H297" i="1"/>
  <c r="G297" i="1"/>
  <c r="E297" i="1"/>
  <c r="B297" i="1"/>
  <c r="A297" i="1"/>
  <c r="H296" i="1"/>
  <c r="G296" i="1"/>
  <c r="E296" i="1"/>
  <c r="B296" i="1"/>
  <c r="A296" i="1"/>
  <c r="H295" i="1"/>
  <c r="G295" i="1"/>
  <c r="E295" i="1"/>
  <c r="B295" i="1"/>
  <c r="A295" i="1"/>
  <c r="H294" i="1"/>
  <c r="G294" i="1"/>
  <c r="E294" i="1"/>
  <c r="B294" i="1"/>
  <c r="A294" i="1"/>
  <c r="H293" i="1"/>
  <c r="G293" i="1"/>
  <c r="E293" i="1"/>
  <c r="B293" i="1"/>
  <c r="A293" i="1"/>
  <c r="H292" i="1"/>
  <c r="G292" i="1"/>
  <c r="E292" i="1"/>
  <c r="B292" i="1"/>
  <c r="A292" i="1"/>
  <c r="H291" i="1"/>
  <c r="G291" i="1"/>
  <c r="E291" i="1"/>
  <c r="B291" i="1"/>
  <c r="A291" i="1"/>
  <c r="H290" i="1"/>
  <c r="G290" i="1"/>
  <c r="E290" i="1"/>
  <c r="B290" i="1"/>
  <c r="A290" i="1"/>
  <c r="H289" i="1"/>
  <c r="G289" i="1"/>
  <c r="E289" i="1"/>
  <c r="B289" i="1"/>
  <c r="A289" i="1"/>
  <c r="H288" i="1"/>
  <c r="G288" i="1"/>
  <c r="E288" i="1"/>
  <c r="B288" i="1"/>
  <c r="A288" i="1"/>
  <c r="H287" i="1"/>
  <c r="G287" i="1"/>
  <c r="E287" i="1"/>
  <c r="B287" i="1"/>
  <c r="A287" i="1"/>
  <c r="H286" i="1"/>
  <c r="G286" i="1"/>
  <c r="E286" i="1"/>
  <c r="B286" i="1"/>
  <c r="A286" i="1"/>
  <c r="H285" i="1"/>
  <c r="G285" i="1"/>
  <c r="E285" i="1"/>
  <c r="B285" i="1"/>
  <c r="A285" i="1"/>
  <c r="H284" i="1"/>
  <c r="G284" i="1"/>
  <c r="E284" i="1"/>
  <c r="B284" i="1"/>
  <c r="A284" i="1"/>
  <c r="H283" i="1"/>
  <c r="G283" i="1"/>
  <c r="E283" i="1"/>
  <c r="B283" i="1"/>
  <c r="A283" i="1"/>
  <c r="H282" i="1"/>
  <c r="G282" i="1"/>
  <c r="E282" i="1"/>
  <c r="B282" i="1"/>
  <c r="A282" i="1"/>
  <c r="H281" i="1"/>
  <c r="G281" i="1"/>
  <c r="E281" i="1"/>
  <c r="B281" i="1"/>
  <c r="A281" i="1"/>
  <c r="H280" i="1"/>
  <c r="G280" i="1"/>
  <c r="E280" i="1"/>
  <c r="B280" i="1"/>
  <c r="A280" i="1"/>
  <c r="H279" i="1"/>
  <c r="G279" i="1"/>
  <c r="E279" i="1"/>
  <c r="B279" i="1"/>
  <c r="A279" i="1"/>
  <c r="H278" i="1"/>
  <c r="G278" i="1"/>
  <c r="E278" i="1"/>
  <c r="B278" i="1"/>
  <c r="A278" i="1"/>
  <c r="H277" i="1"/>
  <c r="G277" i="1"/>
  <c r="E277" i="1"/>
  <c r="B277" i="1"/>
  <c r="A277" i="1"/>
  <c r="H276" i="1"/>
  <c r="G276" i="1"/>
  <c r="E276" i="1"/>
  <c r="B276" i="1"/>
  <c r="A276" i="1"/>
  <c r="H275" i="1"/>
  <c r="G275" i="1"/>
  <c r="E275" i="1"/>
  <c r="B275" i="1"/>
  <c r="A275" i="1"/>
  <c r="H274" i="1"/>
  <c r="G274" i="1"/>
  <c r="E274" i="1"/>
  <c r="B274" i="1"/>
  <c r="A274" i="1"/>
  <c r="H273" i="1"/>
  <c r="G273" i="1"/>
  <c r="E273" i="1"/>
  <c r="B273" i="1"/>
  <c r="A273" i="1"/>
  <c r="H272" i="1"/>
  <c r="G272" i="1"/>
  <c r="E272" i="1"/>
  <c r="B272" i="1"/>
  <c r="A272" i="1"/>
  <c r="H271" i="1"/>
  <c r="G271" i="1"/>
  <c r="B271" i="1"/>
  <c r="A271" i="1"/>
  <c r="H270" i="1"/>
  <c r="G270" i="1"/>
  <c r="E270" i="1"/>
  <c r="B270" i="1"/>
  <c r="A270" i="1"/>
  <c r="H269" i="1"/>
  <c r="G269" i="1"/>
  <c r="E269" i="1"/>
  <c r="B269" i="1"/>
  <c r="A269" i="1"/>
  <c r="H268" i="1"/>
  <c r="G268" i="1"/>
  <c r="E268" i="1"/>
  <c r="B268" i="1"/>
  <c r="A268" i="1"/>
  <c r="H267" i="1"/>
  <c r="G267" i="1"/>
  <c r="E267" i="1"/>
  <c r="B267" i="1"/>
  <c r="A267" i="1"/>
  <c r="H266" i="1"/>
  <c r="G266" i="1"/>
  <c r="E266" i="1"/>
  <c r="B266" i="1"/>
  <c r="A266" i="1"/>
  <c r="H265" i="1"/>
  <c r="G265" i="1"/>
  <c r="E265" i="1"/>
  <c r="B265" i="1"/>
  <c r="A265" i="1"/>
  <c r="H264" i="1"/>
  <c r="G264" i="1"/>
  <c r="E264" i="1"/>
  <c r="B264" i="1"/>
  <c r="A264" i="1"/>
  <c r="H263" i="1"/>
  <c r="G263" i="1"/>
  <c r="E263" i="1"/>
  <c r="B263" i="1"/>
  <c r="A263" i="1"/>
  <c r="H262" i="1"/>
  <c r="G262" i="1"/>
  <c r="E262" i="1"/>
  <c r="B262" i="1"/>
  <c r="A262" i="1"/>
  <c r="H261" i="1"/>
  <c r="G261" i="1"/>
  <c r="E261" i="1"/>
  <c r="B261" i="1"/>
  <c r="A261" i="1"/>
  <c r="H260" i="1"/>
  <c r="G260" i="1"/>
  <c r="E260" i="1"/>
  <c r="B260" i="1"/>
  <c r="A260" i="1"/>
  <c r="H259" i="1"/>
  <c r="G259" i="1"/>
  <c r="E259" i="1"/>
  <c r="B259" i="1"/>
  <c r="A259" i="1"/>
  <c r="H258" i="1"/>
  <c r="G258" i="1"/>
  <c r="E258" i="1"/>
  <c r="B258" i="1"/>
  <c r="A258" i="1"/>
  <c r="H257" i="1"/>
  <c r="G257" i="1"/>
  <c r="E257" i="1"/>
  <c r="B257" i="1"/>
  <c r="A257" i="1"/>
  <c r="H256" i="1"/>
  <c r="G256" i="1"/>
  <c r="E256" i="1"/>
  <c r="B256" i="1"/>
  <c r="A256" i="1"/>
  <c r="H255" i="1"/>
  <c r="G255" i="1"/>
  <c r="E255" i="1"/>
  <c r="B255" i="1"/>
  <c r="A255" i="1"/>
  <c r="H254" i="1"/>
  <c r="G254" i="1"/>
  <c r="E254" i="1"/>
  <c r="B254" i="1"/>
  <c r="A254" i="1"/>
  <c r="H253" i="1"/>
  <c r="G253" i="1"/>
  <c r="E253" i="1"/>
  <c r="B253" i="1"/>
  <c r="A253" i="1"/>
  <c r="H252" i="1"/>
  <c r="G252" i="1"/>
  <c r="E252" i="1"/>
  <c r="B252" i="1"/>
  <c r="A252" i="1"/>
  <c r="H251" i="1"/>
  <c r="G251" i="1"/>
  <c r="E251" i="1"/>
  <c r="B251" i="1"/>
  <c r="A251" i="1"/>
  <c r="H250" i="1"/>
  <c r="G250" i="1"/>
  <c r="E250" i="1"/>
  <c r="B250" i="1"/>
  <c r="A250" i="1"/>
  <c r="H249" i="1"/>
  <c r="G249" i="1"/>
  <c r="E249" i="1"/>
  <c r="B249" i="1"/>
  <c r="A249" i="1"/>
  <c r="H248" i="1"/>
  <c r="G248" i="1"/>
  <c r="E248" i="1"/>
  <c r="B248" i="1"/>
  <c r="A248" i="1"/>
  <c r="H247" i="1"/>
  <c r="G247" i="1"/>
  <c r="E247" i="1"/>
  <c r="B247" i="1"/>
  <c r="A247" i="1"/>
  <c r="H246" i="1"/>
  <c r="G246" i="1"/>
  <c r="E246" i="1"/>
  <c r="B246" i="1"/>
  <c r="A246" i="1"/>
  <c r="H245" i="1"/>
  <c r="G245" i="1"/>
  <c r="E245" i="1"/>
  <c r="B245" i="1"/>
  <c r="A245" i="1"/>
  <c r="H244" i="1"/>
  <c r="G244" i="1"/>
  <c r="E244" i="1"/>
  <c r="B244" i="1"/>
  <c r="A244" i="1"/>
  <c r="H243" i="1"/>
  <c r="G243" i="1"/>
  <c r="E243" i="1"/>
  <c r="B243" i="1"/>
  <c r="A243" i="1"/>
  <c r="H242" i="1"/>
  <c r="G242" i="1"/>
  <c r="E242" i="1"/>
  <c r="B242" i="1"/>
  <c r="A242" i="1"/>
  <c r="H241" i="1"/>
  <c r="G241" i="1"/>
  <c r="E241" i="1"/>
  <c r="B241" i="1"/>
  <c r="A241" i="1"/>
  <c r="H240" i="1"/>
  <c r="G240" i="1"/>
  <c r="E240" i="1"/>
  <c r="B240" i="1"/>
  <c r="A240" i="1"/>
  <c r="H239" i="1"/>
  <c r="G239" i="1"/>
  <c r="E239" i="1"/>
  <c r="B239" i="1"/>
  <c r="A239" i="1"/>
  <c r="H238" i="1"/>
  <c r="G238" i="1"/>
  <c r="E238" i="1"/>
  <c r="B238" i="1"/>
  <c r="A238" i="1"/>
  <c r="H237" i="1"/>
  <c r="G237" i="1"/>
  <c r="E237" i="1"/>
  <c r="B237" i="1"/>
  <c r="A237" i="1"/>
  <c r="H236" i="1"/>
  <c r="G236" i="1"/>
  <c r="E236" i="1"/>
  <c r="B236" i="1"/>
  <c r="A236" i="1"/>
  <c r="H235" i="1"/>
  <c r="G235" i="1"/>
  <c r="E235" i="1"/>
  <c r="B235" i="1"/>
  <c r="A235" i="1"/>
  <c r="H234" i="1"/>
  <c r="G234" i="1"/>
  <c r="E234" i="1"/>
  <c r="B234" i="1"/>
  <c r="A234" i="1"/>
  <c r="H233" i="1"/>
  <c r="G233" i="1"/>
  <c r="E233" i="1"/>
  <c r="B233" i="1"/>
  <c r="A233" i="1"/>
  <c r="H232" i="1"/>
  <c r="G232" i="1"/>
  <c r="E232" i="1"/>
  <c r="B232" i="1"/>
  <c r="A232" i="1"/>
  <c r="H231" i="1"/>
  <c r="G231" i="1"/>
  <c r="E231" i="1"/>
  <c r="B231" i="1"/>
  <c r="A231" i="1"/>
  <c r="H230" i="1"/>
  <c r="G230" i="1"/>
  <c r="E230" i="1"/>
  <c r="B230" i="1"/>
  <c r="A230" i="1"/>
  <c r="H229" i="1"/>
  <c r="G229" i="1"/>
  <c r="E229" i="1"/>
  <c r="B229" i="1"/>
  <c r="A229" i="1"/>
  <c r="H228" i="1"/>
  <c r="G228" i="1"/>
  <c r="E228" i="1"/>
  <c r="B228" i="1"/>
  <c r="A228" i="1"/>
  <c r="H227" i="1"/>
  <c r="G227" i="1"/>
  <c r="E227" i="1"/>
  <c r="B227" i="1"/>
  <c r="A227" i="1"/>
  <c r="H226" i="1"/>
  <c r="G226" i="1"/>
  <c r="E226" i="1"/>
  <c r="B226" i="1"/>
  <c r="A226" i="1"/>
  <c r="H225" i="1"/>
  <c r="G225" i="1"/>
  <c r="E225" i="1"/>
  <c r="B225" i="1"/>
  <c r="A225" i="1"/>
  <c r="H224" i="1"/>
  <c r="G224" i="1"/>
  <c r="E224" i="1"/>
  <c r="B224" i="1"/>
  <c r="A224" i="1"/>
  <c r="H223" i="1"/>
  <c r="G223" i="1"/>
  <c r="E223" i="1"/>
  <c r="B223" i="1"/>
  <c r="A223" i="1"/>
  <c r="H222" i="1"/>
  <c r="G222" i="1"/>
  <c r="E222" i="1"/>
  <c r="B222" i="1"/>
  <c r="A222" i="1"/>
  <c r="H221" i="1"/>
  <c r="G221" i="1"/>
  <c r="E221" i="1"/>
  <c r="B221" i="1"/>
  <c r="A221" i="1"/>
  <c r="H220" i="1"/>
  <c r="G220" i="1"/>
  <c r="E220" i="1"/>
  <c r="B220" i="1"/>
  <c r="A220" i="1"/>
  <c r="H219" i="1"/>
  <c r="G219" i="1"/>
  <c r="E219" i="1"/>
  <c r="B219" i="1"/>
  <c r="A219" i="1"/>
  <c r="H218" i="1"/>
  <c r="G218" i="1"/>
  <c r="E218" i="1"/>
  <c r="B218" i="1"/>
  <c r="A218" i="1"/>
  <c r="H217" i="1"/>
  <c r="G217" i="1"/>
  <c r="E217" i="1"/>
  <c r="B217" i="1"/>
  <c r="A217" i="1"/>
  <c r="H216" i="1"/>
  <c r="G216" i="1"/>
  <c r="E216" i="1"/>
  <c r="B216" i="1"/>
  <c r="A216" i="1"/>
  <c r="H215" i="1"/>
  <c r="G215" i="1"/>
  <c r="E215" i="1"/>
  <c r="B215" i="1"/>
  <c r="A215" i="1"/>
  <c r="H214" i="1"/>
  <c r="G214" i="1"/>
  <c r="E214" i="1"/>
  <c r="B214" i="1"/>
  <c r="A214" i="1"/>
  <c r="H213" i="1"/>
  <c r="G213" i="1"/>
  <c r="E213" i="1"/>
  <c r="B213" i="1"/>
  <c r="A213" i="1"/>
  <c r="H212" i="1"/>
  <c r="G212" i="1"/>
  <c r="E212" i="1"/>
  <c r="B212" i="1"/>
  <c r="A212" i="1"/>
  <c r="H211" i="1"/>
  <c r="G211" i="1"/>
  <c r="E211" i="1"/>
  <c r="B211" i="1"/>
  <c r="A211" i="1"/>
  <c r="H210" i="1"/>
  <c r="G210" i="1"/>
  <c r="E210" i="1"/>
  <c r="B210" i="1"/>
  <c r="A210" i="1"/>
  <c r="H209" i="1"/>
  <c r="G209" i="1"/>
  <c r="E209" i="1"/>
  <c r="B209" i="1"/>
  <c r="A209" i="1"/>
  <c r="H208" i="1"/>
  <c r="G208" i="1"/>
  <c r="E208" i="1"/>
  <c r="B208" i="1"/>
  <c r="A208" i="1"/>
  <c r="H207" i="1"/>
  <c r="G207" i="1"/>
  <c r="E207" i="1"/>
  <c r="B207" i="1"/>
  <c r="A207" i="1"/>
  <c r="H206" i="1"/>
  <c r="G206" i="1"/>
  <c r="E206" i="1"/>
  <c r="B206" i="1"/>
  <c r="A206" i="1"/>
  <c r="H205" i="1"/>
  <c r="G205" i="1"/>
  <c r="E205" i="1"/>
  <c r="B205" i="1"/>
  <c r="A205" i="1"/>
  <c r="H204" i="1"/>
  <c r="G204" i="1"/>
  <c r="E204" i="1"/>
  <c r="B204" i="1"/>
  <c r="A204" i="1"/>
  <c r="H203" i="1"/>
  <c r="G203" i="1"/>
  <c r="E203" i="1"/>
  <c r="B203" i="1"/>
  <c r="A203" i="1"/>
  <c r="H202" i="1"/>
  <c r="G202" i="1"/>
  <c r="E202" i="1"/>
  <c r="B202" i="1"/>
  <c r="A202" i="1"/>
  <c r="H201" i="1"/>
  <c r="G201" i="1"/>
  <c r="E201" i="1"/>
  <c r="B201" i="1"/>
  <c r="A201" i="1"/>
  <c r="H200" i="1"/>
  <c r="G200" i="1"/>
  <c r="E200" i="1"/>
  <c r="B200" i="1"/>
  <c r="A200" i="1"/>
  <c r="H199" i="1"/>
  <c r="G199" i="1"/>
  <c r="E199" i="1"/>
  <c r="B199" i="1"/>
  <c r="A199" i="1"/>
  <c r="H198" i="1"/>
  <c r="G198" i="1"/>
  <c r="B198" i="1"/>
  <c r="A198" i="1"/>
  <c r="H197" i="1"/>
  <c r="G197" i="1"/>
  <c r="E197" i="1"/>
  <c r="B197" i="1"/>
  <c r="A197" i="1"/>
  <c r="H196" i="1"/>
  <c r="G196" i="1"/>
  <c r="E196" i="1"/>
  <c r="B196" i="1"/>
  <c r="A196" i="1"/>
  <c r="H195" i="1"/>
  <c r="G195" i="1"/>
  <c r="E195" i="1"/>
  <c r="B195" i="1"/>
  <c r="A195" i="1"/>
  <c r="H194" i="1"/>
  <c r="G194" i="1"/>
  <c r="E194" i="1"/>
  <c r="B194" i="1"/>
  <c r="A194" i="1"/>
  <c r="H193" i="1"/>
  <c r="G193" i="1"/>
  <c r="E193" i="1"/>
  <c r="B193" i="1"/>
  <c r="A193" i="1"/>
  <c r="H192" i="1"/>
  <c r="G192" i="1"/>
  <c r="E192" i="1"/>
  <c r="B192" i="1"/>
  <c r="A192" i="1"/>
  <c r="H191" i="1"/>
  <c r="G191" i="1"/>
  <c r="E191" i="1"/>
  <c r="B191" i="1"/>
  <c r="A191" i="1"/>
  <c r="H190" i="1"/>
  <c r="G190" i="1"/>
  <c r="E190" i="1"/>
  <c r="B190" i="1"/>
  <c r="A190" i="1"/>
  <c r="H189" i="1"/>
  <c r="G189" i="1"/>
  <c r="E189" i="1"/>
  <c r="B189" i="1"/>
  <c r="A189" i="1"/>
  <c r="H188" i="1"/>
  <c r="G188" i="1"/>
  <c r="E188" i="1"/>
  <c r="B188" i="1"/>
  <c r="A188" i="1"/>
  <c r="H187" i="1"/>
  <c r="G187" i="1"/>
  <c r="E187" i="1"/>
  <c r="B187" i="1"/>
  <c r="A187" i="1"/>
  <c r="H186" i="1"/>
  <c r="G186" i="1"/>
  <c r="E186" i="1"/>
  <c r="B186" i="1"/>
  <c r="A186" i="1"/>
  <c r="H185" i="1"/>
  <c r="G185" i="1"/>
  <c r="E185" i="1"/>
  <c r="B185" i="1"/>
  <c r="A185" i="1"/>
  <c r="H184" i="1"/>
  <c r="G184" i="1"/>
  <c r="E184" i="1"/>
  <c r="B184" i="1"/>
  <c r="A184" i="1"/>
  <c r="H183" i="1"/>
  <c r="G183" i="1"/>
  <c r="E183" i="1"/>
  <c r="B183" i="1"/>
  <c r="A183" i="1"/>
  <c r="H182" i="1"/>
  <c r="G182" i="1"/>
  <c r="E182" i="1"/>
  <c r="B182" i="1"/>
  <c r="A182" i="1"/>
  <c r="H181" i="1"/>
  <c r="G181" i="1"/>
  <c r="E181" i="1"/>
  <c r="B181" i="1"/>
  <c r="A181" i="1"/>
  <c r="H180" i="1"/>
  <c r="G180" i="1"/>
  <c r="E180" i="1"/>
  <c r="B180" i="1"/>
  <c r="A180" i="1"/>
  <c r="H179" i="1"/>
  <c r="G179" i="1"/>
  <c r="E179" i="1"/>
  <c r="B179" i="1"/>
  <c r="A179" i="1"/>
  <c r="H178" i="1"/>
  <c r="G178" i="1"/>
  <c r="E178" i="1"/>
  <c r="B178" i="1"/>
  <c r="A178" i="1"/>
  <c r="H177" i="1"/>
  <c r="G177" i="1"/>
  <c r="E177" i="1"/>
  <c r="B177" i="1"/>
  <c r="A177" i="1"/>
  <c r="H176" i="1"/>
  <c r="G176" i="1"/>
  <c r="E176" i="1"/>
  <c r="B176" i="1"/>
  <c r="A176" i="1"/>
  <c r="H175" i="1"/>
  <c r="G175" i="1"/>
  <c r="E175" i="1"/>
  <c r="B175" i="1"/>
  <c r="A175" i="1"/>
  <c r="H174" i="1"/>
  <c r="G174" i="1"/>
  <c r="E174" i="1"/>
  <c r="B174" i="1"/>
  <c r="A174" i="1"/>
  <c r="H173" i="1"/>
  <c r="G173" i="1"/>
  <c r="E173" i="1"/>
  <c r="B173" i="1"/>
  <c r="A173" i="1"/>
  <c r="H172" i="1"/>
  <c r="G172" i="1"/>
  <c r="E172" i="1"/>
  <c r="B172" i="1"/>
  <c r="A172" i="1"/>
  <c r="H171" i="1"/>
  <c r="G171" i="1"/>
  <c r="E171" i="1"/>
  <c r="B171" i="1"/>
  <c r="A171" i="1"/>
  <c r="H170" i="1"/>
  <c r="G170" i="1"/>
  <c r="E170" i="1"/>
  <c r="B170" i="1"/>
  <c r="A170" i="1"/>
  <c r="H169" i="1"/>
  <c r="G169" i="1"/>
  <c r="E169" i="1"/>
  <c r="B169" i="1"/>
  <c r="A169" i="1"/>
  <c r="H168" i="1"/>
  <c r="G168" i="1"/>
  <c r="E168" i="1"/>
  <c r="B168" i="1"/>
  <c r="A168" i="1"/>
  <c r="H167" i="1"/>
  <c r="G167" i="1"/>
  <c r="E167" i="1"/>
  <c r="B167" i="1"/>
  <c r="A167" i="1"/>
  <c r="H166" i="1"/>
  <c r="G166" i="1"/>
  <c r="E166" i="1"/>
  <c r="B166" i="1"/>
  <c r="A166" i="1"/>
  <c r="H165" i="1"/>
  <c r="G165" i="1"/>
  <c r="E165" i="1"/>
  <c r="B165" i="1"/>
  <c r="A165" i="1"/>
  <c r="H164" i="1"/>
  <c r="G164" i="1"/>
  <c r="E164" i="1"/>
  <c r="B164" i="1"/>
  <c r="A164" i="1"/>
  <c r="H163" i="1"/>
  <c r="G163" i="1"/>
  <c r="E163" i="1"/>
  <c r="B163" i="1"/>
  <c r="A163" i="1"/>
  <c r="H162" i="1"/>
  <c r="G162" i="1"/>
  <c r="E162" i="1"/>
  <c r="B162" i="1"/>
  <c r="A162" i="1"/>
  <c r="H161" i="1"/>
  <c r="G161" i="1"/>
  <c r="E161" i="1"/>
  <c r="B161" i="1"/>
  <c r="A161" i="1"/>
  <c r="H160" i="1"/>
  <c r="G160" i="1"/>
  <c r="E160" i="1"/>
  <c r="B160" i="1"/>
  <c r="A160" i="1"/>
  <c r="H159" i="1"/>
  <c r="G159" i="1"/>
  <c r="E159" i="1"/>
  <c r="B159" i="1"/>
  <c r="A159" i="1"/>
  <c r="H158" i="1"/>
  <c r="G158" i="1"/>
  <c r="E158" i="1"/>
  <c r="B158" i="1"/>
  <c r="A158" i="1"/>
  <c r="H157" i="1"/>
  <c r="G157" i="1"/>
  <c r="E157" i="1"/>
  <c r="B157" i="1"/>
  <c r="A157" i="1"/>
  <c r="H156" i="1"/>
  <c r="G156" i="1"/>
  <c r="E156" i="1"/>
  <c r="B156" i="1"/>
  <c r="A156" i="1"/>
  <c r="H155" i="1"/>
  <c r="G155" i="1"/>
  <c r="E155" i="1"/>
  <c r="B155" i="1"/>
  <c r="A155" i="1"/>
  <c r="H154" i="1"/>
  <c r="G154" i="1"/>
  <c r="E154" i="1"/>
  <c r="B154" i="1"/>
  <c r="A154" i="1"/>
  <c r="H153" i="1"/>
  <c r="G153" i="1"/>
  <c r="E153" i="1"/>
  <c r="B153" i="1"/>
  <c r="A153" i="1"/>
  <c r="H152" i="1"/>
  <c r="G152" i="1"/>
  <c r="E152" i="1"/>
  <c r="B152" i="1"/>
  <c r="A152" i="1"/>
  <c r="H151" i="1"/>
  <c r="G151" i="1"/>
  <c r="E151" i="1"/>
  <c r="B151" i="1"/>
  <c r="A151" i="1"/>
  <c r="H150" i="1"/>
  <c r="G150" i="1"/>
  <c r="E150" i="1"/>
  <c r="B150" i="1"/>
  <c r="A150" i="1"/>
  <c r="H149" i="1"/>
  <c r="G149" i="1"/>
  <c r="E149" i="1"/>
  <c r="B149" i="1"/>
  <c r="A149" i="1"/>
  <c r="H148" i="1"/>
  <c r="G148" i="1"/>
  <c r="E148" i="1"/>
  <c r="B148" i="1"/>
  <c r="A148" i="1"/>
  <c r="H147" i="1"/>
  <c r="G147" i="1"/>
  <c r="E147" i="1"/>
  <c r="B147" i="1"/>
  <c r="A147" i="1"/>
  <c r="H146" i="1"/>
  <c r="G146" i="1"/>
  <c r="E146" i="1"/>
  <c r="B146" i="1"/>
  <c r="A146" i="1"/>
  <c r="H145" i="1"/>
  <c r="G145" i="1"/>
  <c r="E145" i="1"/>
  <c r="B145" i="1"/>
  <c r="A145" i="1"/>
  <c r="H144" i="1"/>
  <c r="G144" i="1"/>
  <c r="E144" i="1"/>
  <c r="B144" i="1"/>
  <c r="A144" i="1"/>
  <c r="H143" i="1"/>
  <c r="G143" i="1"/>
  <c r="E143" i="1"/>
  <c r="B143" i="1"/>
  <c r="A143" i="1"/>
  <c r="H142" i="1"/>
  <c r="G142" i="1"/>
  <c r="E142" i="1"/>
  <c r="B142" i="1"/>
  <c r="A142" i="1"/>
  <c r="H141" i="1"/>
  <c r="G141" i="1"/>
  <c r="E141" i="1"/>
  <c r="B141" i="1"/>
  <c r="A141" i="1"/>
  <c r="H140" i="1"/>
  <c r="G140" i="1"/>
  <c r="E140" i="1"/>
  <c r="B140" i="1"/>
  <c r="A140" i="1"/>
  <c r="H139" i="1"/>
  <c r="G139" i="1"/>
  <c r="E139" i="1"/>
  <c r="B139" i="1"/>
  <c r="A139" i="1"/>
  <c r="H138" i="1"/>
  <c r="G138" i="1"/>
  <c r="E138" i="1"/>
  <c r="B138" i="1"/>
  <c r="A138" i="1"/>
  <c r="H137" i="1"/>
  <c r="G137" i="1"/>
  <c r="E137" i="1"/>
  <c r="B137" i="1"/>
  <c r="A137" i="1"/>
  <c r="H136" i="1"/>
  <c r="G136" i="1"/>
  <c r="E136" i="1"/>
  <c r="B136" i="1"/>
  <c r="A136" i="1"/>
  <c r="H135" i="1"/>
  <c r="G135" i="1"/>
  <c r="E135" i="1"/>
  <c r="B135" i="1"/>
  <c r="A135" i="1"/>
  <c r="H134" i="1"/>
  <c r="G134" i="1"/>
  <c r="E134" i="1"/>
  <c r="B134" i="1"/>
  <c r="A134" i="1"/>
  <c r="H133" i="1"/>
  <c r="G133" i="1"/>
  <c r="E133" i="1"/>
  <c r="B133" i="1"/>
  <c r="A133" i="1"/>
  <c r="H132" i="1"/>
  <c r="G132" i="1"/>
  <c r="E132" i="1"/>
  <c r="B132" i="1"/>
  <c r="A132" i="1"/>
  <c r="H131" i="1"/>
  <c r="G131" i="1"/>
  <c r="E131" i="1"/>
  <c r="B131" i="1"/>
  <c r="A131" i="1"/>
  <c r="H130" i="1"/>
  <c r="G130" i="1"/>
  <c r="E130" i="1"/>
  <c r="B130" i="1"/>
  <c r="A130" i="1"/>
  <c r="H129" i="1"/>
  <c r="G129" i="1"/>
  <c r="E129" i="1"/>
  <c r="B129" i="1"/>
  <c r="A129" i="1"/>
  <c r="H128" i="1"/>
  <c r="G128" i="1"/>
  <c r="E128" i="1"/>
  <c r="B128" i="1"/>
  <c r="A128" i="1"/>
  <c r="H127" i="1"/>
  <c r="G127" i="1"/>
  <c r="E127" i="1"/>
  <c r="B127" i="1"/>
  <c r="A127" i="1"/>
  <c r="H126" i="1"/>
  <c r="G126" i="1"/>
  <c r="E126" i="1"/>
  <c r="B126" i="1"/>
  <c r="A126" i="1"/>
  <c r="H125" i="1"/>
  <c r="G125" i="1"/>
  <c r="E125" i="1"/>
  <c r="B125" i="1"/>
  <c r="A125" i="1"/>
  <c r="H124" i="1"/>
  <c r="G124" i="1"/>
  <c r="E124" i="1"/>
  <c r="B124" i="1"/>
  <c r="A124" i="1"/>
  <c r="H123" i="1"/>
  <c r="G123" i="1"/>
  <c r="E123" i="1"/>
  <c r="B123" i="1"/>
  <c r="A123" i="1"/>
  <c r="H122" i="1"/>
  <c r="G122" i="1"/>
  <c r="E122" i="1"/>
  <c r="B122" i="1"/>
  <c r="A122" i="1"/>
  <c r="H121" i="1"/>
  <c r="G121" i="1"/>
  <c r="E121" i="1"/>
  <c r="B121" i="1"/>
  <c r="A121" i="1"/>
  <c r="H120" i="1"/>
  <c r="G120" i="1"/>
  <c r="E120" i="1"/>
  <c r="B120" i="1"/>
  <c r="A120" i="1"/>
  <c r="H119" i="1"/>
  <c r="G119" i="1"/>
  <c r="E119" i="1"/>
  <c r="B119" i="1"/>
  <c r="A119" i="1"/>
  <c r="H118" i="1"/>
  <c r="G118" i="1"/>
  <c r="E118" i="1"/>
  <c r="B118" i="1"/>
  <c r="A118" i="1"/>
  <c r="H117" i="1"/>
  <c r="G117" i="1"/>
  <c r="E117" i="1"/>
  <c r="B117" i="1"/>
  <c r="A117" i="1"/>
  <c r="H116" i="1"/>
  <c r="G116" i="1"/>
  <c r="E116" i="1"/>
  <c r="B116" i="1"/>
  <c r="A116" i="1"/>
  <c r="H115" i="1"/>
  <c r="G115" i="1"/>
  <c r="E115" i="1"/>
  <c r="B115" i="1"/>
  <c r="A115" i="1"/>
  <c r="H114" i="1"/>
  <c r="G114" i="1"/>
  <c r="E114" i="1"/>
  <c r="B114" i="1"/>
  <c r="A114" i="1"/>
  <c r="H113" i="1"/>
  <c r="G113" i="1"/>
  <c r="E113" i="1"/>
  <c r="B113" i="1"/>
  <c r="A113" i="1"/>
  <c r="H112" i="1"/>
  <c r="G112" i="1"/>
  <c r="E112" i="1"/>
  <c r="B112" i="1"/>
  <c r="A112" i="1"/>
  <c r="H111" i="1"/>
  <c r="G111" i="1"/>
  <c r="E111" i="1"/>
  <c r="B111" i="1"/>
  <c r="A111" i="1"/>
  <c r="H110" i="1"/>
  <c r="G110" i="1"/>
  <c r="E110" i="1"/>
  <c r="B110" i="1"/>
  <c r="A110" i="1"/>
  <c r="H109" i="1"/>
  <c r="G109" i="1"/>
  <c r="E109" i="1"/>
  <c r="B109" i="1"/>
  <c r="A109" i="1"/>
  <c r="H108" i="1"/>
  <c r="G108" i="1"/>
  <c r="E108" i="1"/>
  <c r="B108" i="1"/>
  <c r="A108" i="1"/>
  <c r="H107" i="1"/>
  <c r="G107" i="1"/>
  <c r="E107" i="1"/>
  <c r="B107" i="1"/>
  <c r="A107" i="1"/>
  <c r="H106" i="1"/>
  <c r="G106" i="1"/>
  <c r="E106" i="1"/>
  <c r="B106" i="1"/>
  <c r="A106" i="1"/>
  <c r="H105" i="1"/>
  <c r="G105" i="1"/>
  <c r="E105" i="1"/>
  <c r="B105" i="1"/>
  <c r="A105" i="1"/>
  <c r="H104" i="1"/>
  <c r="G104" i="1"/>
  <c r="E104" i="1"/>
  <c r="B104" i="1"/>
  <c r="A104" i="1"/>
  <c r="H103" i="1"/>
  <c r="G103" i="1"/>
  <c r="E103" i="1"/>
  <c r="B103" i="1"/>
  <c r="A103" i="1"/>
  <c r="H102" i="1"/>
  <c r="G102" i="1"/>
  <c r="E102" i="1"/>
  <c r="B102" i="1"/>
  <c r="A102" i="1"/>
  <c r="H101" i="1"/>
  <c r="G101" i="1"/>
  <c r="E101" i="1"/>
  <c r="B101" i="1"/>
  <c r="A101" i="1"/>
  <c r="H100" i="1"/>
  <c r="G100" i="1"/>
  <c r="E100" i="1"/>
  <c r="B100" i="1"/>
  <c r="A100" i="1"/>
  <c r="H99" i="1"/>
  <c r="G99" i="1"/>
  <c r="E99" i="1"/>
  <c r="B99" i="1"/>
  <c r="A99" i="1"/>
  <c r="H98" i="1"/>
  <c r="G98" i="1"/>
  <c r="E98" i="1"/>
  <c r="B98" i="1"/>
  <c r="A98" i="1"/>
  <c r="H97" i="1"/>
  <c r="G97" i="1"/>
  <c r="E97" i="1"/>
  <c r="B97" i="1"/>
  <c r="A97" i="1"/>
  <c r="H96" i="1"/>
  <c r="G96" i="1"/>
  <c r="E96" i="1"/>
  <c r="B96" i="1"/>
  <c r="A96" i="1"/>
  <c r="H95" i="1"/>
  <c r="G95" i="1"/>
  <c r="E95" i="1"/>
  <c r="B95" i="1"/>
  <c r="A95" i="1"/>
  <c r="H94" i="1"/>
  <c r="G94" i="1"/>
  <c r="E94" i="1"/>
  <c r="B94" i="1"/>
  <c r="A94" i="1"/>
  <c r="H93" i="1"/>
  <c r="G93" i="1"/>
  <c r="E93" i="1"/>
  <c r="B93" i="1"/>
  <c r="A93" i="1"/>
  <c r="H92" i="1"/>
  <c r="G92" i="1"/>
  <c r="E92" i="1"/>
  <c r="B92" i="1"/>
  <c r="A92" i="1"/>
  <c r="H91" i="1"/>
  <c r="G91" i="1"/>
  <c r="E91" i="1"/>
  <c r="B91" i="1"/>
  <c r="A91" i="1"/>
  <c r="H90" i="1"/>
  <c r="G90" i="1"/>
  <c r="E90" i="1"/>
  <c r="B90" i="1"/>
  <c r="A90" i="1"/>
  <c r="H89" i="1"/>
  <c r="G89" i="1"/>
  <c r="E89" i="1"/>
  <c r="B89" i="1"/>
  <c r="A89" i="1"/>
  <c r="H88" i="1"/>
  <c r="G88" i="1"/>
  <c r="E88" i="1"/>
  <c r="B88" i="1"/>
  <c r="A88" i="1"/>
  <c r="H87" i="1"/>
  <c r="G87" i="1"/>
  <c r="E87" i="1"/>
  <c r="B87" i="1"/>
  <c r="A87" i="1"/>
  <c r="H86" i="1"/>
  <c r="G86" i="1"/>
  <c r="E86" i="1"/>
  <c r="B86" i="1"/>
  <c r="A86" i="1"/>
  <c r="H85" i="1"/>
  <c r="G85" i="1"/>
  <c r="E85" i="1"/>
  <c r="B85" i="1"/>
  <c r="A85" i="1"/>
  <c r="H84" i="1"/>
  <c r="G84" i="1"/>
  <c r="E84" i="1"/>
  <c r="B84" i="1"/>
  <c r="A84" i="1"/>
  <c r="H83" i="1"/>
  <c r="G83" i="1"/>
  <c r="E83" i="1"/>
  <c r="B83" i="1"/>
  <c r="A83" i="1"/>
  <c r="H82" i="1"/>
  <c r="G82" i="1"/>
  <c r="E82" i="1"/>
  <c r="B82" i="1"/>
  <c r="A82" i="1"/>
  <c r="H81" i="1"/>
  <c r="G81" i="1"/>
  <c r="E81" i="1"/>
  <c r="B81" i="1"/>
  <c r="A81" i="1"/>
  <c r="H80" i="1"/>
  <c r="G80" i="1"/>
  <c r="E80" i="1"/>
  <c r="B80" i="1"/>
  <c r="A80" i="1"/>
  <c r="H79" i="1"/>
  <c r="G79" i="1"/>
  <c r="E79" i="1"/>
  <c r="B79" i="1"/>
  <c r="A79" i="1"/>
  <c r="H78" i="1"/>
  <c r="G78" i="1"/>
  <c r="E78" i="1"/>
  <c r="B78" i="1"/>
  <c r="A78" i="1"/>
  <c r="H77" i="1"/>
  <c r="G77" i="1"/>
  <c r="E77" i="1"/>
  <c r="B77" i="1"/>
  <c r="A77" i="1"/>
  <c r="H76" i="1"/>
  <c r="G76" i="1"/>
  <c r="E76" i="1"/>
  <c r="B76" i="1"/>
  <c r="A76" i="1"/>
  <c r="H75" i="1"/>
  <c r="G75" i="1"/>
  <c r="E75" i="1"/>
  <c r="B75" i="1"/>
  <c r="A75" i="1"/>
  <c r="H74" i="1"/>
  <c r="G74" i="1"/>
  <c r="E74" i="1"/>
  <c r="B74" i="1"/>
  <c r="A74" i="1"/>
  <c r="H73" i="1"/>
  <c r="G73" i="1"/>
  <c r="E73" i="1"/>
  <c r="B73" i="1"/>
  <c r="A73" i="1"/>
  <c r="H72" i="1"/>
  <c r="G72" i="1"/>
  <c r="E72" i="1"/>
  <c r="B72" i="1"/>
  <c r="A72" i="1"/>
  <c r="H71" i="1"/>
  <c r="G71" i="1"/>
  <c r="E71" i="1"/>
  <c r="B71" i="1"/>
  <c r="A71" i="1"/>
  <c r="H70" i="1"/>
  <c r="G70" i="1"/>
  <c r="E70" i="1"/>
  <c r="B70" i="1"/>
  <c r="A70" i="1"/>
  <c r="H69" i="1"/>
  <c r="G69" i="1"/>
  <c r="E69" i="1"/>
  <c r="B69" i="1"/>
  <c r="A69" i="1"/>
  <c r="H68" i="1"/>
  <c r="G68" i="1"/>
  <c r="E68" i="1"/>
  <c r="B68" i="1"/>
  <c r="A68" i="1"/>
  <c r="H67" i="1"/>
  <c r="G67" i="1"/>
  <c r="E67" i="1"/>
  <c r="B67" i="1"/>
  <c r="A67" i="1"/>
  <c r="H66" i="1"/>
  <c r="G66" i="1"/>
  <c r="E66" i="1"/>
  <c r="B66" i="1"/>
  <c r="A66" i="1"/>
  <c r="H65" i="1"/>
  <c r="G65" i="1"/>
  <c r="E65" i="1"/>
  <c r="B65" i="1"/>
  <c r="A65" i="1"/>
  <c r="H64" i="1"/>
  <c r="G64" i="1"/>
  <c r="E64" i="1"/>
  <c r="B64" i="1"/>
  <c r="A64" i="1"/>
  <c r="H63" i="1"/>
  <c r="G63" i="1"/>
  <c r="E63" i="1"/>
  <c r="B63" i="1"/>
  <c r="A63" i="1"/>
  <c r="H62" i="1"/>
  <c r="G62" i="1"/>
  <c r="E62" i="1"/>
  <c r="B62" i="1"/>
  <c r="A62" i="1"/>
  <c r="H61" i="1"/>
  <c r="G61" i="1"/>
  <c r="E61" i="1"/>
  <c r="B61" i="1"/>
  <c r="A61" i="1"/>
  <c r="H60" i="1"/>
  <c r="G60" i="1"/>
  <c r="E60" i="1"/>
  <c r="B60" i="1"/>
  <c r="A60" i="1"/>
  <c r="H59" i="1"/>
  <c r="G59" i="1"/>
  <c r="E59" i="1"/>
  <c r="B59" i="1"/>
  <c r="A59" i="1"/>
  <c r="H58" i="1"/>
  <c r="G58" i="1"/>
  <c r="E58" i="1"/>
  <c r="B58" i="1"/>
  <c r="A58" i="1"/>
  <c r="H57" i="1"/>
  <c r="G57" i="1"/>
  <c r="E57" i="1"/>
  <c r="B57" i="1"/>
  <c r="A57" i="1"/>
  <c r="H56" i="1"/>
  <c r="G56" i="1"/>
  <c r="E56" i="1"/>
  <c r="B56" i="1"/>
  <c r="A56" i="1"/>
  <c r="H55" i="1"/>
  <c r="G55" i="1"/>
  <c r="E55" i="1"/>
  <c r="B55" i="1"/>
  <c r="A55" i="1"/>
  <c r="H54" i="1"/>
  <c r="G54" i="1"/>
  <c r="E54" i="1"/>
  <c r="B54" i="1"/>
  <c r="A54" i="1"/>
  <c r="H53" i="1"/>
  <c r="G53" i="1"/>
  <c r="E53" i="1"/>
  <c r="B53" i="1"/>
  <c r="A53" i="1"/>
  <c r="H52" i="1"/>
  <c r="G52" i="1"/>
  <c r="E52" i="1"/>
  <c r="B52" i="1"/>
  <c r="A52" i="1"/>
  <c r="H51" i="1"/>
  <c r="G51" i="1"/>
  <c r="E51" i="1"/>
  <c r="B51" i="1"/>
  <c r="A51" i="1"/>
  <c r="H50" i="1"/>
  <c r="G50" i="1"/>
  <c r="E50" i="1"/>
  <c r="B50" i="1"/>
  <c r="A50" i="1"/>
  <c r="H49" i="1"/>
  <c r="G49" i="1"/>
  <c r="E49" i="1"/>
  <c r="B49" i="1"/>
  <c r="A49" i="1"/>
  <c r="H48" i="1"/>
  <c r="G48" i="1"/>
  <c r="E48" i="1"/>
  <c r="B48" i="1"/>
  <c r="A48" i="1"/>
  <c r="H47" i="1"/>
  <c r="G47" i="1"/>
  <c r="E47" i="1"/>
  <c r="B47" i="1"/>
  <c r="A47" i="1"/>
  <c r="H46" i="1"/>
  <c r="G46" i="1"/>
  <c r="E46" i="1"/>
  <c r="B46" i="1"/>
  <c r="A46" i="1"/>
  <c r="H45" i="1"/>
  <c r="G45" i="1"/>
  <c r="E45" i="1"/>
  <c r="B45" i="1"/>
  <c r="A45" i="1"/>
  <c r="H44" i="1"/>
  <c r="G44" i="1"/>
  <c r="E44" i="1"/>
  <c r="B44" i="1"/>
  <c r="A44" i="1"/>
  <c r="H43" i="1"/>
  <c r="G43" i="1"/>
  <c r="E43" i="1"/>
  <c r="B43" i="1"/>
  <c r="A43" i="1"/>
  <c r="H42" i="1"/>
  <c r="G42" i="1"/>
  <c r="E42" i="1"/>
  <c r="B42" i="1"/>
  <c r="A42" i="1"/>
  <c r="H41" i="1"/>
  <c r="G41" i="1"/>
  <c r="E41" i="1"/>
  <c r="B41" i="1"/>
  <c r="A41" i="1"/>
  <c r="H40" i="1"/>
  <c r="G40" i="1"/>
  <c r="E40" i="1"/>
  <c r="B40" i="1"/>
  <c r="A40" i="1"/>
  <c r="H39" i="1"/>
  <c r="G39" i="1"/>
  <c r="E39" i="1"/>
  <c r="B39" i="1"/>
  <c r="A39" i="1"/>
  <c r="H38" i="1"/>
  <c r="G38" i="1"/>
  <c r="E38" i="1"/>
  <c r="B38" i="1"/>
  <c r="A38" i="1"/>
  <c r="H37" i="1"/>
  <c r="G37" i="1"/>
  <c r="E37" i="1"/>
  <c r="B37" i="1"/>
  <c r="A37" i="1"/>
  <c r="H36" i="1"/>
  <c r="G36" i="1"/>
  <c r="E36" i="1"/>
  <c r="B36" i="1"/>
  <c r="A36" i="1"/>
  <c r="H35" i="1"/>
  <c r="G35" i="1"/>
  <c r="E35" i="1"/>
  <c r="B35" i="1"/>
  <c r="A35" i="1"/>
  <c r="H34" i="1"/>
  <c r="G34" i="1"/>
  <c r="E34" i="1"/>
  <c r="B34" i="1"/>
  <c r="A34" i="1"/>
  <c r="H33" i="1"/>
  <c r="G33" i="1"/>
  <c r="E33" i="1"/>
  <c r="B33" i="1"/>
  <c r="A33" i="1"/>
  <c r="H32" i="1"/>
  <c r="G32" i="1"/>
  <c r="E32" i="1"/>
  <c r="B32" i="1"/>
  <c r="A32" i="1"/>
  <c r="H31" i="1"/>
  <c r="G31" i="1"/>
  <c r="E31" i="1"/>
  <c r="B31" i="1"/>
  <c r="A31" i="1"/>
  <c r="H30" i="1"/>
  <c r="G30" i="1"/>
  <c r="E30" i="1"/>
  <c r="B30" i="1"/>
  <c r="A30" i="1"/>
  <c r="H29" i="1"/>
  <c r="G29" i="1"/>
  <c r="E29" i="1"/>
  <c r="B29" i="1"/>
  <c r="A29" i="1"/>
  <c r="H28" i="1"/>
  <c r="G28" i="1"/>
  <c r="E28" i="1"/>
  <c r="B28" i="1"/>
  <c r="A28" i="1"/>
  <c r="H27" i="1"/>
  <c r="G27" i="1"/>
  <c r="E27" i="1"/>
  <c r="B27" i="1"/>
  <c r="A27" i="1"/>
  <c r="H26" i="1"/>
  <c r="G26" i="1"/>
  <c r="E26" i="1"/>
  <c r="B26" i="1"/>
  <c r="A26" i="1"/>
  <c r="H25" i="1"/>
  <c r="G25" i="1"/>
  <c r="E25" i="1"/>
  <c r="B25" i="1"/>
  <c r="A25" i="1"/>
  <c r="H24" i="1"/>
  <c r="G24" i="1"/>
  <c r="E24" i="1"/>
  <c r="B24" i="1"/>
  <c r="A24" i="1"/>
  <c r="H23" i="1"/>
  <c r="G23" i="1"/>
  <c r="E23" i="1"/>
  <c r="B23" i="1"/>
  <c r="A23" i="1"/>
  <c r="H22" i="1"/>
  <c r="G22" i="1"/>
  <c r="E22" i="1"/>
  <c r="B22" i="1"/>
  <c r="A22" i="1"/>
  <c r="H21" i="1"/>
  <c r="G21" i="1"/>
  <c r="E21" i="1"/>
  <c r="B21" i="1"/>
  <c r="A21" i="1"/>
  <c r="H20" i="1"/>
  <c r="G20" i="1"/>
  <c r="E20" i="1"/>
  <c r="B20" i="1"/>
  <c r="A20" i="1"/>
  <c r="H19" i="1"/>
  <c r="G19" i="1"/>
  <c r="E19" i="1"/>
  <c r="B19" i="1"/>
  <c r="A19" i="1"/>
  <c r="H18" i="1"/>
  <c r="G18" i="1"/>
  <c r="E18" i="1"/>
  <c r="B18" i="1"/>
  <c r="A18" i="1"/>
  <c r="H17" i="1"/>
  <c r="G17" i="1"/>
  <c r="E17" i="1"/>
  <c r="B17" i="1"/>
  <c r="A17" i="1"/>
  <c r="H16" i="1"/>
  <c r="G16" i="1"/>
  <c r="E16" i="1"/>
  <c r="B16" i="1"/>
  <c r="A16" i="1"/>
  <c r="H15" i="1"/>
  <c r="G15" i="1"/>
  <c r="E15" i="1"/>
  <c r="B15" i="1"/>
  <c r="A15" i="1"/>
  <c r="H14" i="1"/>
  <c r="G14" i="1"/>
  <c r="E14" i="1"/>
  <c r="B14" i="1"/>
  <c r="A14" i="1"/>
  <c r="H13" i="1"/>
  <c r="G13" i="1"/>
  <c r="E13" i="1"/>
  <c r="B13" i="1"/>
  <c r="A13" i="1"/>
  <c r="H12" i="1"/>
  <c r="G12" i="1"/>
  <c r="E12" i="1"/>
  <c r="B12" i="1"/>
  <c r="A12" i="1"/>
  <c r="H11" i="1"/>
  <c r="G11" i="1"/>
  <c r="E11" i="1"/>
  <c r="B11" i="1"/>
  <c r="A11" i="1"/>
  <c r="H10" i="1"/>
  <c r="G10" i="1"/>
  <c r="E10" i="1"/>
  <c r="B10" i="1"/>
  <c r="A10" i="1"/>
  <c r="H9" i="1"/>
  <c r="G9" i="1"/>
  <c r="B9" i="1"/>
  <c r="A9" i="1"/>
  <c r="H8" i="1"/>
  <c r="G8" i="1"/>
  <c r="E8" i="1"/>
  <c r="B8" i="1"/>
  <c r="A8" i="1"/>
  <c r="H7" i="1"/>
  <c r="G7" i="1"/>
  <c r="E7" i="1"/>
  <c r="B7" i="1"/>
  <c r="A7" i="1"/>
  <c r="H6" i="1"/>
  <c r="G6" i="1"/>
  <c r="E6" i="1"/>
  <c r="B6" i="1"/>
  <c r="A6" i="1"/>
  <c r="H5" i="1"/>
  <c r="G5" i="1"/>
  <c r="E5" i="1"/>
  <c r="B5" i="1"/>
  <c r="A5" i="1"/>
  <c r="H4" i="1"/>
  <c r="G4" i="1"/>
  <c r="E4" i="1"/>
  <c r="B4" i="1"/>
  <c r="A4" i="1"/>
  <c r="H3" i="1"/>
  <c r="G3" i="1"/>
  <c r="E3" i="1"/>
  <c r="B3" i="1"/>
  <c r="A3" i="1"/>
  <c r="H2" i="1"/>
  <c r="G2" i="1"/>
  <c r="E2" i="1"/>
  <c r="B2" i="1"/>
  <c r="A2" i="1"/>
</calcChain>
</file>

<file path=xl/sharedStrings.xml><?xml version="1.0" encoding="utf-8"?>
<sst xmlns="http://schemas.openxmlformats.org/spreadsheetml/2006/main" count="7687" uniqueCount="3124">
  <si>
    <t>url</t>
  </si>
  <si>
    <t>canonicalUrl</t>
  </si>
  <si>
    <t>name</t>
  </si>
  <si>
    <t>Amazon Product Title</t>
  </si>
  <si>
    <t>Amazon Product URL</t>
  </si>
  <si>
    <t>ASIN</t>
  </si>
  <si>
    <t>Source Image</t>
  </si>
  <si>
    <t>Amazon Image</t>
  </si>
  <si>
    <t>offers/0/price</t>
  </si>
  <si>
    <t>Amazon Price</t>
  </si>
  <si>
    <t>ROI</t>
  </si>
  <si>
    <t>Rating</t>
  </si>
  <si>
    <t>ReviewCount</t>
  </si>
  <si>
    <t>offerCount</t>
  </si>
  <si>
    <t>offers/0/availability</t>
  </si>
  <si>
    <t>offers/0/regularPrice</t>
  </si>
  <si>
    <t>sku</t>
  </si>
  <si>
    <t>Match?</t>
  </si>
  <si>
    <t>Qualified?</t>
  </si>
  <si>
    <t>Approved</t>
  </si>
  <si>
    <t>Notes</t>
  </si>
  <si>
    <t>Thread Lip Balm Holder</t>
  </si>
  <si>
    <t>Tallac House Cary Elastic fits any size or shape Lip Balm Chapstick keychain Holder with Key Ring (Brown)</t>
  </si>
  <si>
    <t>B0971NW4ND</t>
  </si>
  <si>
    <t>4.99</t>
  </si>
  <si>
    <t>0.00%</t>
  </si>
  <si>
    <t>undefined</t>
  </si>
  <si>
    <t>15.99</t>
  </si>
  <si>
    <t>1017233</t>
  </si>
  <si>
    <t>Scientific Anglers Amplitude Smooth Trout Fly Line</t>
  </si>
  <si>
    <t>Scientific Anglers Amplitude Smooth Infinity Salt Fly Line</t>
  </si>
  <si>
    <t>B07YZQ6R87</t>
  </si>
  <si>
    <t>99.95</t>
  </si>
  <si>
    <t>InStock</t>
  </si>
  <si>
    <t>481208</t>
  </si>
  <si>
    <t>Scientific Anglers Amplitude Smooth Infinity Taper Fly Line</t>
  </si>
  <si>
    <t>B07DV3W7G6</t>
  </si>
  <si>
    <t>Teva Hurricane XLT2 Sandal - Men's</t>
  </si>
  <si>
    <t>Teva Men's M Hurricane Xlt2 Sport Sandal</t>
  </si>
  <si>
    <t>B07DHMTWMJ</t>
  </si>
  <si>
    <t>74.95</t>
  </si>
  <si>
    <t>398840</t>
  </si>
  <si>
    <t>Big Agnes Rapide SL Insulated Sleeping Pad</t>
  </si>
  <si>
    <t>B09Q7HVB11</t>
  </si>
  <si>
    <t>149.95</t>
  </si>
  <si>
    <t>981028</t>
  </si>
  <si>
    <t>Scientific Anglers Amplitude Smooth Titan Long Taper Fly Line</t>
  </si>
  <si>
    <t>B07DV3RR98</t>
  </si>
  <si>
    <t>Cotopaxi Nido Accessory Bag</t>
  </si>
  <si>
    <t>Cotopaxi Nido Accessory Bag - CADA Dia</t>
  </si>
  <si>
    <t>B09RZPMWLV</t>
  </si>
  <si>
    <t>45.0</t>
  </si>
  <si>
    <t>1284847</t>
  </si>
  <si>
    <t>Scientific Anglers Amplitude Smooth Redfish Fly Line</t>
  </si>
  <si>
    <t>B08J9PFJ1D</t>
  </si>
  <si>
    <t>Black Diamond Momentum Harness - Men's</t>
  </si>
  <si>
    <t>Black Diamond Men's Momentum Rock Climbing Harness</t>
  </si>
  <si>
    <t>B081B772T1</t>
  </si>
  <si>
    <t>64.95</t>
  </si>
  <si>
    <t>565613</t>
  </si>
  <si>
    <t>Under Armour Charged Verssert Running Shoe - Men's</t>
  </si>
  <si>
    <t>Under Armour Men's Charged Pursuit 3 Tech Running Shoe</t>
  </si>
  <si>
    <t>B09XBVRHCS</t>
  </si>
  <si>
    <t>75.0</t>
  </si>
  <si>
    <t>1204906</t>
  </si>
  <si>
    <t>Metolius Super Chalk</t>
  </si>
  <si>
    <t>Metolius Super Chalk Sock Refillable One Size</t>
  </si>
  <si>
    <t>B000PCZ0ZS</t>
  </si>
  <si>
    <t>4.95</t>
  </si>
  <si>
    <t>780553</t>
  </si>
  <si>
    <t>Sorel Madson II Moc Toe Waterproof Boot - Men's</t>
  </si>
  <si>
    <t>Sorel Men's Madson II Moc Toe Waterproof Boot</t>
  </si>
  <si>
    <t>B083QDL1HL</t>
  </si>
  <si>
    <t>199.95</t>
  </si>
  <si>
    <t>1067549</t>
  </si>
  <si>
    <t>Arc'teryx Atom Hoodie - Women's</t>
  </si>
  <si>
    <t>Arc'teryx Atom Hoody Women's | Lightweight Versatile Synthetically Insulated Hoody</t>
  </si>
  <si>
    <t>B0B8HG5M6T</t>
  </si>
  <si>
    <t>300.0</t>
  </si>
  <si>
    <t>1342906</t>
  </si>
  <si>
    <t>Exped MegaMat 10 Sleeping Pad</t>
  </si>
  <si>
    <t>Exped MegaMat 10 | Self-Inflating Camping Mat | Extremely Comfortable &amp; Luxurious Sleeping Pad, Green, Medium Wide</t>
  </si>
  <si>
    <t>B01NCU56OK</t>
  </si>
  <si>
    <t>239.95</t>
  </si>
  <si>
    <t>457899</t>
  </si>
  <si>
    <t>NEMO Quasar 3D Insulated Sleeping Pad</t>
  </si>
  <si>
    <t>NEMO Quasar 3D Lightweight Sleeping Pad, Insulated Regular</t>
  </si>
  <si>
    <t>B08QBP893L</t>
  </si>
  <si>
    <t>159.95</t>
  </si>
  <si>
    <t>879866</t>
  </si>
  <si>
    <t>Onix Recruit Pickleball Starter Set</t>
  </si>
  <si>
    <t>Onix Recruit Pickleball Starter Set Includes 2 Paddles and 2 Pickleballs For All Ages and Skill Levels to Learn to Play, White, 3.00 x 8.00 x 16.00"</t>
  </si>
  <si>
    <t>B01M66H0NJ</t>
  </si>
  <si>
    <t>29.99</t>
  </si>
  <si>
    <t>39.99</t>
  </si>
  <si>
    <t>400895</t>
  </si>
  <si>
    <t>Peak Refuel Breakfast Skillet Freeze Dried Meal</t>
  </si>
  <si>
    <t>Peak Refuel Three Bean Chili Mac | Vegan | Freeze Dried Backpacking and Camping Food | Amazing Taste | High Protein | Quick Prep | Lightweight Meals</t>
  </si>
  <si>
    <t>B07VYL1CCH</t>
  </si>
  <si>
    <t>13.99</t>
  </si>
  <si>
    <t>576078</t>
  </si>
  <si>
    <t>Arc'teryx Covert Cardigan - Women's</t>
  </si>
  <si>
    <t>Arc'teryx Covert Cardigan Women's | Our Iconic Technical Fleece Cardigan</t>
  </si>
  <si>
    <t>B0B5P9MF4N</t>
  </si>
  <si>
    <t>180.0</t>
  </si>
  <si>
    <t>1342911</t>
  </si>
  <si>
    <t>Smartwool Hike Classic Edition Zero Cushion Liner Crew Sock - Men's</t>
  </si>
  <si>
    <t>Smartwool Classic Hike Zero Cushion Liner Crew</t>
  </si>
  <si>
    <t>B0921PNWRC</t>
  </si>
  <si>
    <t>16.0</t>
  </si>
  <si>
    <t>1236365</t>
  </si>
  <si>
    <t>RIO Elite Gold Fly Fishing Line</t>
  </si>
  <si>
    <t>Rio Elite Rio Gold Slick Cast Fly Line</t>
  </si>
  <si>
    <t>B08B448B2D</t>
  </si>
  <si>
    <t>129.99</t>
  </si>
  <si>
    <t>684277</t>
  </si>
  <si>
    <t>Black Diamond Distance Z Trekking Pole (1 Pair)</t>
  </si>
  <si>
    <t>Black Diamond Distance Z Folding Trekking Poles</t>
  </si>
  <si>
    <t>B09N7VC3DN</t>
  </si>
  <si>
    <t>139.95</t>
  </si>
  <si>
    <t>931475</t>
  </si>
  <si>
    <t>Scientific Anglers Amplitude Smooth Grand Slam Taper Fly Line</t>
  </si>
  <si>
    <t>B07DV1Y13H</t>
  </si>
  <si>
    <t>Peak Refuel Homestyle Chicken Rice Freeze Dried Meal</t>
  </si>
  <si>
    <t>Peak Refuel Homestyle Chicken and Rice | Freeze Dried Backpacking and Camping Food | Amazing Taste | High Protein | Real Meat | Quick Prep Meals</t>
  </si>
  <si>
    <t>B07VXKG5XK</t>
  </si>
  <si>
    <t>659790</t>
  </si>
  <si>
    <t>Stearns Puddle Jumper Life Jacket - Toddler</t>
  </si>
  <si>
    <t>Stearns Original Puddle Jumper Kids Life Jacket | Deluxe Life Vest for Children</t>
  </si>
  <si>
    <t>B004UJS9EQ</t>
  </si>
  <si>
    <t>9.99</t>
  </si>
  <si>
    <t>821205</t>
  </si>
  <si>
    <t>Wicked Big Sports Paddle Ball Set</t>
  </si>
  <si>
    <t>Wicked Big Sports Paddle Battle Extra Paddles &amp; Ball Set, White, Red (99944)</t>
  </si>
  <si>
    <t>B07S52491F</t>
  </si>
  <si>
    <t>24.99</t>
  </si>
  <si>
    <t>1386837</t>
  </si>
  <si>
    <t>Teva Original Universal Sandal - Kids'</t>
  </si>
  <si>
    <t>Teva Unisex-Child Original Universal Shimmer Sandal</t>
  </si>
  <si>
    <t>B09DRFZV3S</t>
  </si>
  <si>
    <t>39.95</t>
  </si>
  <si>
    <t>715080</t>
  </si>
  <si>
    <t>Columbia Anytime Outdoor 13" Short - Women's</t>
  </si>
  <si>
    <t>Columbia Women's Anytime Outdoor Long Short</t>
  </si>
  <si>
    <t>B008MW3EXS</t>
  </si>
  <si>
    <t>70.0</t>
  </si>
  <si>
    <t>54938</t>
  </si>
  <si>
    <t>Brooks Adrenaline GTS 22 Running Shoe - Men's</t>
  </si>
  <si>
    <t>Brooks Men's Adrenaline GTS 22 Supportive Running Shoe</t>
  </si>
  <si>
    <t>B08QTSSVRZ</t>
  </si>
  <si>
    <t>109.95</t>
  </si>
  <si>
    <t>900565</t>
  </si>
  <si>
    <t>Teva Boy's Original Universal Tie-dye (Toddler/Little Big Kid) Sandal</t>
  </si>
  <si>
    <t>B09DS1HHYG</t>
  </si>
  <si>
    <t>Black Diamond Spot 400 Headlamp</t>
  </si>
  <si>
    <t>Black Diamond Equipment Spot 400 Headlamp, Graphite</t>
  </si>
  <si>
    <t>B09NQK2581</t>
  </si>
  <si>
    <t>49.95</t>
  </si>
  <si>
    <t>931481</t>
  </si>
  <si>
    <t>Teva Girl's Original Universal Metallic Sandal</t>
  </si>
  <si>
    <t>B0B5LZFGML</t>
  </si>
  <si>
    <t>Ronix Rise Impact Life Vest - Women's</t>
  </si>
  <si>
    <t>Ronix Rise Athletic Cut Impact Wake Vest Women's 2023 - Small</t>
  </si>
  <si>
    <t>B08FDB5Y4R</t>
  </si>
  <si>
    <t>169.99</t>
  </si>
  <si>
    <t>977318</t>
  </si>
  <si>
    <t>Oofos Ooriginal Sandal</t>
  </si>
  <si>
    <t>OOFOS Unisex OOriginal - Post Run Sports Recovery Thong Sandal</t>
  </si>
  <si>
    <t>B007VDJSTI</t>
  </si>
  <si>
    <t>59.95</t>
  </si>
  <si>
    <t>1055748</t>
  </si>
  <si>
    <t>Radar Padded Slalom Bag</t>
  </si>
  <si>
    <t>Radar 2023 Padded Slalom Water Ski Bag</t>
  </si>
  <si>
    <t>B09JQ77BSG</t>
  </si>
  <si>
    <t>79.99</t>
  </si>
  <si>
    <t>990289</t>
  </si>
  <si>
    <t>Peak Refuel Cheesy Chicken &amp; Broccoli | 2 Serving Pouch | Freeze Dried Backpacking and Camping Meals | Amazing Taste | Quick Prep Food</t>
  </si>
  <si>
    <t>B09ZC3Q1XH</t>
  </si>
  <si>
    <t>Radar Women's Padded Slalom Case, Coral/Black, 63-67 Inches</t>
  </si>
  <si>
    <t>B09JQ5V2WH</t>
  </si>
  <si>
    <t>Peak Refuel Chicken Pesto Pasta | Freeze Dried Backpacking and Camping Food | Amazing Taste | High Protein | Real Meat | Quick Prep Meals</t>
  </si>
  <si>
    <t>B07VXKB34L</t>
  </si>
  <si>
    <t>Scientific Anglers Amplitude Smooth Creek Trout</t>
  </si>
  <si>
    <t>B08J9VTC5L</t>
  </si>
  <si>
    <t>Scientific Anglers Amplitude Smooth Trout Taper Fly Line</t>
  </si>
  <si>
    <t>B07DV5FZHW</t>
  </si>
  <si>
    <t>Smith Optics Skyline Snow Goggle</t>
  </si>
  <si>
    <t>Smith Optics Showcase OTG Low Bridge Fit Women's Snow Winter Goggles</t>
  </si>
  <si>
    <t>B097FD4VJQ</t>
  </si>
  <si>
    <t>60.0</t>
  </si>
  <si>
    <t>-0.02%</t>
  </si>
  <si>
    <t>170.0</t>
  </si>
  <si>
    <t>1073396</t>
  </si>
  <si>
    <t>La Sportiva TC PRO Vibram Edge Climbing Shoe - Men's</t>
  </si>
  <si>
    <t>La Sportiva Mens TC Pro Rock Climbing Shoes, Olive, 9.5</t>
  </si>
  <si>
    <t>B099QKGL6C</t>
  </si>
  <si>
    <t>219.0</t>
  </si>
  <si>
    <t>860394</t>
  </si>
  <si>
    <t>La Sportiva Mens TC Pro Rock Climbing Shoes, Olive, 11</t>
  </si>
  <si>
    <t>B099QK3BPX</t>
  </si>
  <si>
    <t>Mizuno Wave Sky 6 Running Shoe - Women's</t>
  </si>
  <si>
    <t>Mizuno Women's Wave Sky 7 Running Shoe</t>
  </si>
  <si>
    <t>B0BLR8CP7J</t>
  </si>
  <si>
    <t>1262559</t>
  </si>
  <si>
    <t>Mizuno Wave Sky 6 Wide Running Shoe - Men's</t>
  </si>
  <si>
    <t>Mizuno Men's Wave Sky 7 Running Shoe</t>
  </si>
  <si>
    <t>B0BLR5RJ14</t>
  </si>
  <si>
    <t>1249127</t>
  </si>
  <si>
    <t>Nike Vapor Jet 7.0 Football Glove</t>
  </si>
  <si>
    <t>Nike Youth Vapor Jet 7.0 Football Gloves</t>
  </si>
  <si>
    <t>B09BKB3Q6M</t>
  </si>
  <si>
    <t>40.0</t>
  </si>
  <si>
    <t>50.0</t>
  </si>
  <si>
    <t>990406</t>
  </si>
  <si>
    <t>La Sportiva Mens TC Pro Rock Climbing Shoes</t>
  </si>
  <si>
    <t>B099QL9NHD</t>
  </si>
  <si>
    <t>-0.03%</t>
  </si>
  <si>
    <t>La Sportiva TX4 Shoe - Men's</t>
  </si>
  <si>
    <t>La Sportiva Mens TX4 R Approach/Hiking Shoe</t>
  </si>
  <si>
    <t>B0BRJW1S2C</t>
  </si>
  <si>
    <t>179.0</t>
  </si>
  <si>
    <t>1282021</t>
  </si>
  <si>
    <t>Oakley Fall Line M Goggle</t>
  </si>
  <si>
    <t>Oakley Line Miner Youth Snow Winter Goggles</t>
  </si>
  <si>
    <t>B08HLMDZVD</t>
  </si>
  <si>
    <t>69.99</t>
  </si>
  <si>
    <t>216.0</t>
  </si>
  <si>
    <t>1333142</t>
  </si>
  <si>
    <t>Under Armour Training Vent 2.0 Short Sleeve Shirt - Men's</t>
  </si>
  <si>
    <t>Under Armour Men's UA Tech 2.0 Dash Short Sleeve T-Shirt, Key-Lime (334)/Black, X-Large</t>
  </si>
  <si>
    <t>B0BK2775Z3</t>
  </si>
  <si>
    <t>21.0</t>
  </si>
  <si>
    <t>-0.05%</t>
  </si>
  <si>
    <t>35.0</t>
  </si>
  <si>
    <t>857892</t>
  </si>
  <si>
    <t>Under Armour Men's Tech 2.0 Long Sleeve T-shirt</t>
  </si>
  <si>
    <t>B07BHVWF9X</t>
  </si>
  <si>
    <t>Carhartt Workwear Loose Fit Pocket Short-Sleeve T-Shirt - Men's</t>
  </si>
  <si>
    <t>Carhartt Men's 105185 Loose Fit Heavyweight Short-Sleeve Logo Graphic T-Shirt - Medium Regular - Black</t>
  </si>
  <si>
    <t>B09RX4BYRQ</t>
  </si>
  <si>
    <t>19.99</t>
  </si>
  <si>
    <t>1200098</t>
  </si>
  <si>
    <t>CamelBak Podium Chill 24oz Bike Bottle</t>
  </si>
  <si>
    <t>CamelBak Podium Chill Insulated Bike Water Bottle - Easy Squeeze Bottle - Fits Most Bike Cages - 24oz, Blue Dot</t>
  </si>
  <si>
    <t>B07KPCBZ1X</t>
  </si>
  <si>
    <t>18.0</t>
  </si>
  <si>
    <t>-0.06%</t>
  </si>
  <si>
    <t>507099</t>
  </si>
  <si>
    <t>Under Armour Freedom Flag T-Shirt - Men's</t>
  </si>
  <si>
    <t>Under Armour Men's Tech 2.0 Short-sleeve T-shirt</t>
  </si>
  <si>
    <t>B0785VXRX2</t>
  </si>
  <si>
    <t>30.0</t>
  </si>
  <si>
    <t>857665</t>
  </si>
  <si>
    <t>Under Armour Tech 2.0 Short-Sleeve Shirt - Men's</t>
  </si>
  <si>
    <t>Under Armour mens Tech 2.0 5C Short Sleeve T-Shirt , Cruise Blue (899)/Blue , XX-Large</t>
  </si>
  <si>
    <t>B0943DN6MX</t>
  </si>
  <si>
    <t>15.0</t>
  </si>
  <si>
    <t>-0.07%</t>
  </si>
  <si>
    <t>25.0</t>
  </si>
  <si>
    <t>424906</t>
  </si>
  <si>
    <t>Sitka Mountain Pant - Men's</t>
  </si>
  <si>
    <t>SITKA Gear Men's Timberline Pant</t>
  </si>
  <si>
    <t>B01MCXP0V3</t>
  </si>
  <si>
    <t>209.0</t>
  </si>
  <si>
    <t>90738</t>
  </si>
  <si>
    <t>Chaco Z/2 Classic Sandal - Men's</t>
  </si>
  <si>
    <t>Chaco Mens Z/1 Classic, Outdoor Sandal</t>
  </si>
  <si>
    <t>B012RQBWF6</t>
  </si>
  <si>
    <t>41.98</t>
  </si>
  <si>
    <t>104.95</t>
  </si>
  <si>
    <t>932109</t>
  </si>
  <si>
    <t>Vans Old Skool Skate Shoe</t>
  </si>
  <si>
    <t>Vans Old Skool Desert Snake/Black Men's Classic Skate Shoes</t>
  </si>
  <si>
    <t>B09MBVXZ2L</t>
  </si>
  <si>
    <t>69.95</t>
  </si>
  <si>
    <t>486101</t>
  </si>
  <si>
    <t>CamelBak Chute Mag 32oz Bottle w/ Tritan Renew</t>
  </si>
  <si>
    <t>CamelBak eddy+ Water Bottle with Tritan Renew – Straw Top 32oz, True Blue</t>
  </si>
  <si>
    <t>B08QV59NB5</t>
  </si>
  <si>
    <t>13.6</t>
  </si>
  <si>
    <t>17.0</t>
  </si>
  <si>
    <t>928888</t>
  </si>
  <si>
    <t>KEEN Koven Mid Waterproof Hiking Boot - Men's</t>
  </si>
  <si>
    <t>KEEN Women's Steens Mid Wp Hiking Boot</t>
  </si>
  <si>
    <t>B07TBR35X8</t>
  </si>
  <si>
    <t>139.99</t>
  </si>
  <si>
    <t>-0.09%</t>
  </si>
  <si>
    <t>1240445</t>
  </si>
  <si>
    <t>Nike Soccer Shin Guard</t>
  </si>
  <si>
    <t>Yourjoy 2pk Soccer shin pad, Children's Soccer shin Guards, Football Match Perforated Breathable Protective pad, Suitable for Years Youth, Child,Teenagers, Boys, Girls</t>
  </si>
  <si>
    <t>B07GBZ47XS</t>
  </si>
  <si>
    <t>10.0</t>
  </si>
  <si>
    <t>-0.10%</t>
  </si>
  <si>
    <t>12.0</t>
  </si>
  <si>
    <t>63059</t>
  </si>
  <si>
    <t>Outdoor Research Sombriolet Sun Hat</t>
  </si>
  <si>
    <t>Outdoor Research Women's Oasis Sun Sombrero – Large Brim Sun Protection Hat</t>
  </si>
  <si>
    <t>B0BQMHVS29</t>
  </si>
  <si>
    <t>27.0</t>
  </si>
  <si>
    <t>-0.11%</t>
  </si>
  <si>
    <t>41.95</t>
  </si>
  <si>
    <t>54000</t>
  </si>
  <si>
    <t>Boy's Nike Vapor Jet 5.0 Football Glove University Red/Chrome Size Medium</t>
  </si>
  <si>
    <t>B079Y7G62Q</t>
  </si>
  <si>
    <t>-0.12%</t>
  </si>
  <si>
    <t>Hurley One And Only Solid Boardshort - Men's</t>
  </si>
  <si>
    <t>Hurley Men's Standard One and Only Board Shorts</t>
  </si>
  <si>
    <t>B07R6DVKGQ</t>
  </si>
  <si>
    <t>1333862</t>
  </si>
  <si>
    <t>Hurley One &amp; Only Solid 20" Boardshorts</t>
  </si>
  <si>
    <t>B09LCYPYM3</t>
  </si>
  <si>
    <t>Hurley Men's One and Only 22-Inch Boardshort</t>
  </si>
  <si>
    <t>B01CKNUAUE</t>
  </si>
  <si>
    <t>Chaco Lowdown Sandal - Women's</t>
  </si>
  <si>
    <t>Chaco Women's Chillos Slide Sandal</t>
  </si>
  <si>
    <t>B09BW5CGR9</t>
  </si>
  <si>
    <t>-0.13%</t>
  </si>
  <si>
    <t>804270</t>
  </si>
  <si>
    <t>adidas Tiro League Thermal Bonded Soccer Ball</t>
  </si>
  <si>
    <t>adidas Tiro League Soccer Ball - Size 5</t>
  </si>
  <si>
    <t>B0BTZT4Y21</t>
  </si>
  <si>
    <t>23.99</t>
  </si>
  <si>
    <t>-0.17%</t>
  </si>
  <si>
    <t>1299343</t>
  </si>
  <si>
    <t>Gerber Armbar Slim Drive Multi Tool</t>
  </si>
  <si>
    <t>Sheath for Gerber Armbar Drive Multitool (tool not included)</t>
  </si>
  <si>
    <t>B09C5NM5FM</t>
  </si>
  <si>
    <t>-0.20%</t>
  </si>
  <si>
    <t>1281978</t>
  </si>
  <si>
    <t>Enzo Button Hole Chamois Cream</t>
  </si>
  <si>
    <t>Enzo's ButtonHole Chamois Cream, 8oz</t>
  </si>
  <si>
    <t>B00BA1EPK4</t>
  </si>
  <si>
    <t>188874</t>
  </si>
  <si>
    <t>prAna Becksa 7/8 Legging - Women's</t>
  </si>
  <si>
    <t>prAna Women's Transform 7/8 Legging</t>
  </si>
  <si>
    <t>B0B35DN37N</t>
  </si>
  <si>
    <t>39.6</t>
  </si>
  <si>
    <t>-0.25%</t>
  </si>
  <si>
    <t>99.0</t>
  </si>
  <si>
    <t>1040263</t>
  </si>
  <si>
    <t>Peak Refuel Cheesy Chicken &amp; Broccoli Freeze Dried Meal - 2 Serving</t>
  </si>
  <si>
    <t>Peak Refuel Chicken Alfredo Pasta | Premium Freeze Dried Camping Food | Backpacking &amp; Hiking MRE Meals | Just Add Water | 100% Real Meat | 53g of Protein | 2 Serving Pouch (2 Serving Pouch)</t>
  </si>
  <si>
    <t>B07BR2J6FH</t>
  </si>
  <si>
    <t>-0.29%</t>
  </si>
  <si>
    <t>1085059</t>
  </si>
  <si>
    <t>Peak Refuel Sweet Pork Rice Freeze Dried Meal</t>
  </si>
  <si>
    <t>Peak Refuel Chicken Teriyaki Rice | Premium Freeze Dried Camping Food | Backpacking &amp; Hiking MRE Meals | Just Add Water | 100% Real Meat | 40g of Protein | 2 Serving Pouch (Teriyaki - 2 Serving Pouch)</t>
  </si>
  <si>
    <t>B07BQYXWX1</t>
  </si>
  <si>
    <t>576077</t>
  </si>
  <si>
    <t>Peak Refuel Chicken Teriyaki Rice Freeze Dried Meal</t>
  </si>
  <si>
    <t>659789</t>
  </si>
  <si>
    <t>Peak Refuel Chicken Coconut Curry | Freeze Dried Backpacking and Camping Food | Amazing Taste &amp; Quality | High Protein | Real Meat | Quick Prep (2 Serving Pouch)</t>
  </si>
  <si>
    <t>B091KK5JFR</t>
  </si>
  <si>
    <t>Peak Refuel Chicken Coconut Curry Freeze-Dried Meal</t>
  </si>
  <si>
    <t>837531</t>
  </si>
  <si>
    <t>Peak Refuel Chicken Pesto Pasta Freeze Dried Meal</t>
  </si>
  <si>
    <t>576079</t>
  </si>
  <si>
    <t>Peak Refuel Beef Stroganoff Freeze Dried Meal</t>
  </si>
  <si>
    <t>659791</t>
  </si>
  <si>
    <t>Peak Refuel Biscuits and Gravy | Premium Freeze Dried Camping Food | Backpacking &amp; Hiking MRE Meals | Just Add Water | 100% Real Meat | 53g of Protein | 2 Serving Pouch (2 Serving Pouch)</t>
  </si>
  <si>
    <t>B091KJY648</t>
  </si>
  <si>
    <t>Peak Refuel Beef Pasta Marinara | 49g Protein | 1040 Calories | 100% Real Meat | Premium Freeze Dried Backpacking &amp; Camping Food | 2 Servings | Ideal MRE Survival Meal (2 Serving Pouch)</t>
  </si>
  <si>
    <t>B07BR7WY5G</t>
  </si>
  <si>
    <t>Peak Refuel Beef Stroganoff | Freeze Dried Backpacking and Camping Food | Amazing Taste | High Protein | Real Meat | Quick Prep Meals</t>
  </si>
  <si>
    <t>B07VVF5V5Z</t>
  </si>
  <si>
    <t>Peak Refuel Biscuits &amp; Sausage Gravy Freeze-Dried Meal</t>
  </si>
  <si>
    <t>837530</t>
  </si>
  <si>
    <t>Chaco Bodhi Sandal - Women's</t>
  </si>
  <si>
    <t>Chaco Women's Lowdown Slide Sandal</t>
  </si>
  <si>
    <t>B07ZPMRCWQ</t>
  </si>
  <si>
    <t>39.98</t>
  </si>
  <si>
    <t>-0.40%</t>
  </si>
  <si>
    <t>1196759</t>
  </si>
  <si>
    <t>Chaco Women's Lowdown Sandal</t>
  </si>
  <si>
    <t>B07ZPMVDR9</t>
  </si>
  <si>
    <t>-0.50%</t>
  </si>
  <si>
    <t>Gerber Zilch Folding Knife</t>
  </si>
  <si>
    <t>Gerber Gear Paraframe Mini Pocket Knife - 2.2" Plain Edge Blade Length Folding Knife - EDC Gear and Equipment - Stainless Steel</t>
  </si>
  <si>
    <t>B000KSCEH4</t>
  </si>
  <si>
    <t>1274435</t>
  </si>
  <si>
    <t>On Cloud X 3 Running Shoe - Men's</t>
  </si>
  <si>
    <t>ON Men's Cloud X 3 Sneakers</t>
  </si>
  <si>
    <t>B0B2F2P3R9</t>
  </si>
  <si>
    <t>-0.70%</t>
  </si>
  <si>
    <t>1045296</t>
  </si>
  <si>
    <t>Sitka Jetstream Jacket - Men's</t>
  </si>
  <si>
    <t>SITKA Gear Men's Traverse Hunting Jacket</t>
  </si>
  <si>
    <t>B0BJ6HRL89</t>
  </si>
  <si>
    <t>149.99</t>
  </si>
  <si>
    <t>-0.91%</t>
  </si>
  <si>
    <t>379.0</t>
  </si>
  <si>
    <t>990959</t>
  </si>
  <si>
    <t>adidas 4DFWD 2 Shoe - Women's</t>
  </si>
  <si>
    <t>adidas Women's Fluidflow 2.0 Running Shoe</t>
  </si>
  <si>
    <t>B091LC9N83</t>
  </si>
  <si>
    <t>79.98</t>
  </si>
  <si>
    <t>-0.93%</t>
  </si>
  <si>
    <t>1285989</t>
  </si>
  <si>
    <t>CamelBak M.U.L.E. 12 Hydration Pack - Women's</t>
  </si>
  <si>
    <t>CamelBak Mini M.U.L.E. Kids Hydration Backpack for Hiking and Biking, 50 oz</t>
  </si>
  <si>
    <t>B0BG8FVFGP</t>
  </si>
  <si>
    <t>59.99</t>
  </si>
  <si>
    <t>-1.00%</t>
  </si>
  <si>
    <t>118.99</t>
  </si>
  <si>
    <t>928900</t>
  </si>
  <si>
    <t>Outdoor Cap Boonie Hat</t>
  </si>
  <si>
    <t>4 Packs Men Boonie Hat Camo Bucket Hat Wide Brim Fishing Hat Foldable Boonie Caps Adjustable Military Sun Hat for Summer Outdoor Fishing Hiking Garden Beaches Safari Travel</t>
  </si>
  <si>
    <t>B0BNL721GP</t>
  </si>
  <si>
    <t>11.11</t>
  </si>
  <si>
    <t>-1.08%</t>
  </si>
  <si>
    <t>29.0</t>
  </si>
  <si>
    <t>1182457</t>
  </si>
  <si>
    <t>Columbia Snuggly Bunny Bunting - Infant</t>
  </si>
  <si>
    <t>Columbia Baby Snuggly Bunny Bunting, Blush Pink, 18/24</t>
  </si>
  <si>
    <t>B09KMLRN1H</t>
  </si>
  <si>
    <t>-1.13%</t>
  </si>
  <si>
    <t>110.0</t>
  </si>
  <si>
    <t>1400162</t>
  </si>
  <si>
    <t>Salomon Sense Ride 4 Trail Running Shoe - Women's</t>
  </si>
  <si>
    <t>Salomon Women's Sense Ride 4 Running Shoes Trail</t>
  </si>
  <si>
    <t>B0984V3NPW</t>
  </si>
  <si>
    <t>71.97</t>
  </si>
  <si>
    <t>-1.32%</t>
  </si>
  <si>
    <t>119.95</t>
  </si>
  <si>
    <t>907808</t>
  </si>
  <si>
    <t>Hey Dude Wendy Rise Woven Shoe - Women's</t>
  </si>
  <si>
    <t>Hey Dude Women's Wendy Washed Canvas | Women’s Shoes | Women’s Lace Up Loafers | Comfortable &amp; Light-Weight</t>
  </si>
  <si>
    <t>B0C5R4VPJK</t>
  </si>
  <si>
    <t>-1.34%</t>
  </si>
  <si>
    <t>1317686</t>
  </si>
  <si>
    <t>Vans Classic Slip-On Shoe</t>
  </si>
  <si>
    <t>Vans Unisex-Adult Classic Slip on Sneaker</t>
  </si>
  <si>
    <t>B000K7CACY</t>
  </si>
  <si>
    <t>-1.35%</t>
  </si>
  <si>
    <t>226085</t>
  </si>
  <si>
    <t>Osprey Poco LT Child Carrier Backpack</t>
  </si>
  <si>
    <t>Osprey Poco Child Carrier Backpack</t>
  </si>
  <si>
    <t>B07Z9Z5W23</t>
  </si>
  <si>
    <t>299.95</t>
  </si>
  <si>
    <t>-1.39%</t>
  </si>
  <si>
    <t>804276</t>
  </si>
  <si>
    <t>Adidas Adilette Comfort Sandal - Women's</t>
  </si>
  <si>
    <t>adidas Unisex-Adult Adilette Comfort Slide Sandal</t>
  </si>
  <si>
    <t>B09DZ3SD2C</t>
  </si>
  <si>
    <t>27.96</t>
  </si>
  <si>
    <t>1286469</t>
  </si>
  <si>
    <t>Birkenstock Arizona Soft Footbed Sandal</t>
  </si>
  <si>
    <t>Birkenstock Women's Arizona Soft Footbed Sandals</t>
  </si>
  <si>
    <t>B079K3Y7LH</t>
  </si>
  <si>
    <t>135.0</t>
  </si>
  <si>
    <t>-1.41%</t>
  </si>
  <si>
    <t>254551</t>
  </si>
  <si>
    <t>Under Armour Drive Pant - Men's</t>
  </si>
  <si>
    <t>Under Armour Men's Tech Golf Pants</t>
  </si>
  <si>
    <t>B01FXGVBIA</t>
  </si>
  <si>
    <t>51.0</t>
  </si>
  <si>
    <t>-1.51%</t>
  </si>
  <si>
    <t>85.0</t>
  </si>
  <si>
    <t>997492</t>
  </si>
  <si>
    <t>Owala FreeSip Stainless Steel Water Bottle - 32oz</t>
  </si>
  <si>
    <t>Owala Flip Insulated Stainless Steel Water Bottle with Straw and Locking Lid for Sports and Travel, BPA-Free, 32-Ounce, Very, Very Dark</t>
  </si>
  <si>
    <t>B085DVDBZW</t>
  </si>
  <si>
    <t>32.99</t>
  </si>
  <si>
    <t>-1.55%</t>
  </si>
  <si>
    <t>1326138</t>
  </si>
  <si>
    <t>Owala Free Sip Stainless Steel Water Bottle - 32oz</t>
  </si>
  <si>
    <t>1195209</t>
  </si>
  <si>
    <t>Owala FreeSip Insulated Stainless Steel Water Bottle with Straw for Sports and Travel, BPA-Free, 32-oz, Shy Marshmallow</t>
  </si>
  <si>
    <t>B085DVNHHK</t>
  </si>
  <si>
    <t>-1.58%</t>
  </si>
  <si>
    <t>Billabong A/Div Range Long-Sleeve T-Shirt - Men's</t>
  </si>
  <si>
    <t>Billabong Range Long Sleeve Tee</t>
  </si>
  <si>
    <t>B0B9XHCB1H</t>
  </si>
  <si>
    <t>22.77</t>
  </si>
  <si>
    <t>-1.80%</t>
  </si>
  <si>
    <t>37.95</t>
  </si>
  <si>
    <t>1309700</t>
  </si>
  <si>
    <t>adidas Ultraboost 22 Running Shoe - Men's</t>
  </si>
  <si>
    <t>adidas Men's Pureboost 22 Running Shoe</t>
  </si>
  <si>
    <t>B09KMHRMPN</t>
  </si>
  <si>
    <t>75.98</t>
  </si>
  <si>
    <t>-1.93%</t>
  </si>
  <si>
    <t>189.95</t>
  </si>
  <si>
    <t>1085421</t>
  </si>
  <si>
    <t>Jetboil Flash Stove Cooking System</t>
  </si>
  <si>
    <t>Jetboil Flash Camping and Backpacking Stove Cooking System</t>
  </si>
  <si>
    <t>B07N1SNHJJ</t>
  </si>
  <si>
    <t>124.95</t>
  </si>
  <si>
    <t>-1.94%</t>
  </si>
  <si>
    <t>416626</t>
  </si>
  <si>
    <t>Under Armour Men's Pique Track Pants</t>
  </si>
  <si>
    <t>B08LNVF2JJ</t>
  </si>
  <si>
    <t>-1.96%</t>
  </si>
  <si>
    <t>Under Armour Men's UA Match Play Vented Pants</t>
  </si>
  <si>
    <t>B0C9N51MGY</t>
  </si>
  <si>
    <t>Chaco Women's Zcloud 2 Sport Sandal</t>
  </si>
  <si>
    <t>B08C2L7BXK</t>
  </si>
  <si>
    <t>-2.10%</t>
  </si>
  <si>
    <t>La Sportiva Wildcat 2.0 GTX Men's Trail Running Shoe</t>
  </si>
  <si>
    <t>B07F8WVXBK</t>
  </si>
  <si>
    <t>-2.26%</t>
  </si>
  <si>
    <t>Hey Dude Wally Washed Canvas Shoe - Men's</t>
  </si>
  <si>
    <t>Hey Dude Men's Wally Wash Lead Size Dark Grey | Men’s Shoes Lace Up Loafers Comfortable &amp; Light-Weight</t>
  </si>
  <si>
    <t>B08SVZ8Y17</t>
  </si>
  <si>
    <t>-2.31%</t>
  </si>
  <si>
    <t>1317816</t>
  </si>
  <si>
    <t>Hey Dude Wally Braided Shoe - Men's</t>
  </si>
  <si>
    <t>599445</t>
  </si>
  <si>
    <t>Chaco Men's Z2 Classic Athletic Sandal</t>
  </si>
  <si>
    <t>B071K9C5HD</t>
  </si>
  <si>
    <t>-2.33%</t>
  </si>
  <si>
    <t>Sram NX Eagle Pg-1230 Cassette</t>
  </si>
  <si>
    <t>SRAM Pg-1230 Nx Eagle 12-Speed Cassette</t>
  </si>
  <si>
    <t>B07DQP71JS</t>
  </si>
  <si>
    <t>108.0</t>
  </si>
  <si>
    <t>-2.52%</t>
  </si>
  <si>
    <t>495741</t>
  </si>
  <si>
    <t>adidas Terrex Free Hiker 2 Hiking Shoe - Men's</t>
  </si>
  <si>
    <t>adidas Terrex + and Wander Free Hiker 2.0 Hiking Shoes Men's, Brown, Size 9.5</t>
  </si>
  <si>
    <t>B09VCJHQ87</t>
  </si>
  <si>
    <t>99.98</t>
  </si>
  <si>
    <t>-2.63%</t>
  </si>
  <si>
    <t>1087944</t>
  </si>
  <si>
    <t>adidas Terrex + and Wander Free Hiker 2.0 Hiking Shoes Men's, Brown, Size 11</t>
  </si>
  <si>
    <t>B09VCMLB3F</t>
  </si>
  <si>
    <t>Hydro Flask Standard Mouth Insulated Bottle - 21oz</t>
  </si>
  <si>
    <t>Coldest Water Bottle with Standard Mouth Straw Lid Metal Thermos Vacuum Insulated Stainless Steel l Reusable Leak Proof Cupholder Flask (21 oz, Epic White)</t>
  </si>
  <si>
    <t>B07CZTF111</t>
  </si>
  <si>
    <t>34.95</t>
  </si>
  <si>
    <t>-2.86%</t>
  </si>
  <si>
    <t>255000</t>
  </si>
  <si>
    <t>Under Armour Harper 7 Low St Baseball Cleat - Men's</t>
  </si>
  <si>
    <t>Under Armour Men's Harper 7 Low St Metal Cleats Black Medium 12</t>
  </si>
  <si>
    <t>B0C1K3K11X</t>
  </si>
  <si>
    <t>52.0</t>
  </si>
  <si>
    <t>-3.02%</t>
  </si>
  <si>
    <t>130.0</t>
  </si>
  <si>
    <t>1310807</t>
  </si>
  <si>
    <t>Chaco Women's Zcloud 2 Sandal</t>
  </si>
  <si>
    <t>B000ZINDWY</t>
  </si>
  <si>
    <t>-3.03%</t>
  </si>
  <si>
    <t>Shimano TR PD-M9100 Pedal</t>
  </si>
  <si>
    <t>SHIMANO XTR PD-M9120 Top Enduro/Trail Pedals</t>
  </si>
  <si>
    <t>B07HF4Z2N2</t>
  </si>
  <si>
    <t>179.99</t>
  </si>
  <si>
    <t>-3.36%</t>
  </si>
  <si>
    <t>500218</t>
  </si>
  <si>
    <t>Salomon Speedcross 6 Trail Running Shoe - Men's</t>
  </si>
  <si>
    <t>Salomon Men's Speedcross 5 Trail Running Shoes</t>
  </si>
  <si>
    <t>B07CYXWTFV</t>
  </si>
  <si>
    <t>144.95</t>
  </si>
  <si>
    <t>-3.45%</t>
  </si>
  <si>
    <t>145.0</t>
  </si>
  <si>
    <t>1067283</t>
  </si>
  <si>
    <t>adidas Women's Adilette Comfort Slides Sandal, Core Black/Core Black/Almost Pink, 8</t>
  </si>
  <si>
    <t>B0921G1T5C</t>
  </si>
  <si>
    <t>-3.47%</t>
  </si>
  <si>
    <t>Merrell Moab Speed Mid GTX Shoe - Men's</t>
  </si>
  <si>
    <t>Merrell Men's Moab 2 GTX Hiking Shoe</t>
  </si>
  <si>
    <t>B01HFAD216</t>
  </si>
  <si>
    <t>84.98</t>
  </si>
  <si>
    <t>-3.49%</t>
  </si>
  <si>
    <t>169.95</t>
  </si>
  <si>
    <t>1206412</t>
  </si>
  <si>
    <t>Chaco Mega Z/Cloud Sandal - Women's</t>
  </si>
  <si>
    <t>Chaco Women's Zcloud Sandal</t>
  </si>
  <si>
    <t>B000ZIGLOG</t>
  </si>
  <si>
    <t>-3.53%</t>
  </si>
  <si>
    <t>932008</t>
  </si>
  <si>
    <t>Chaco Z/2 Classic Sandal - Women's</t>
  </si>
  <si>
    <t>931925</t>
  </si>
  <si>
    <t>Brooks Hyperion Running Shoe - Men's</t>
  </si>
  <si>
    <t>Brooks Men's Levitate GTS 5 Supportive Running Shoe</t>
  </si>
  <si>
    <t>B08LQXJV99</t>
  </si>
  <si>
    <t>-3.54%</t>
  </si>
  <si>
    <t>1327074</t>
  </si>
  <si>
    <t>KEEN Men's Circadia Mid Height Comfortable Waterproof Hiking Boots</t>
  </si>
  <si>
    <t>B0B2PNV12V</t>
  </si>
  <si>
    <t>-3.56%</t>
  </si>
  <si>
    <t>Outdoor Research Ferrosi Pant - Men's</t>
  </si>
  <si>
    <t>Outdoor Research Men's Voodoo Pants, 32" Inseam – Versatile Hiking Pants</t>
  </si>
  <si>
    <t>B09QMRYMF8</t>
  </si>
  <si>
    <t>66.75</t>
  </si>
  <si>
    <t>-3.64%</t>
  </si>
  <si>
    <t>88.95</t>
  </si>
  <si>
    <t>1113349</t>
  </si>
  <si>
    <t>prAna Lindores Shirt - Men's</t>
  </si>
  <si>
    <t>prAna Men's Journeyman T-Shirt, Bear Squeeze</t>
  </si>
  <si>
    <t>B07KQZKJJG</t>
  </si>
  <si>
    <t>27.6</t>
  </si>
  <si>
    <t>-3.66%</t>
  </si>
  <si>
    <t>69.0</t>
  </si>
  <si>
    <t>986663</t>
  </si>
  <si>
    <t>Birkenstock Men's Arizona Soft Footbed Sandals</t>
  </si>
  <si>
    <t>B00EE49478</t>
  </si>
  <si>
    <t>-3.70%</t>
  </si>
  <si>
    <t>adidas Women's Sl20.2 Running Shoe</t>
  </si>
  <si>
    <t>B08S7RC8FL</t>
  </si>
  <si>
    <t>-3.79%</t>
  </si>
  <si>
    <t>Under Armour Training Stretch Short - Men's</t>
  </si>
  <si>
    <t>Under Armour Men's Raid 2.0 Gym Shorts</t>
  </si>
  <si>
    <t>B0874WFWPM</t>
  </si>
  <si>
    <t>17.99</t>
  </si>
  <si>
    <t>-3.84%</t>
  </si>
  <si>
    <t>817748</t>
  </si>
  <si>
    <t>Under Armour Men's Harper 7 Mid Rubber Molded Baseball Cleat Shoe</t>
  </si>
  <si>
    <t>B09LSC9251</t>
  </si>
  <si>
    <t>-3.88%</t>
  </si>
  <si>
    <t>Under Armour Rival Fleece Logo Jogger - Boys'</t>
  </si>
  <si>
    <t>Under Armour Boys' Jogger, Pull on Style, Logo &amp; Printed Designs</t>
  </si>
  <si>
    <t>B0B7PBZ71D</t>
  </si>
  <si>
    <t>24.0</t>
  </si>
  <si>
    <t>-3.92%</t>
  </si>
  <si>
    <t>668266</t>
  </si>
  <si>
    <t>World Famous Sports Compact Collapsible Chair</t>
  </si>
  <si>
    <t>World Famous Sports WFS Quick Folding Quad Arm Chair with Cupholder and Carry Bag, Compact and Collapsible Makes it a Great Camping and Park Chair.</t>
  </si>
  <si>
    <t>B00JMR9AUI</t>
  </si>
  <si>
    <t>-4.00%</t>
  </si>
  <si>
    <t>1015205</t>
  </si>
  <si>
    <t>adidas Men's Terrex Skychaser Gore-TEX 2.0 Hiking Shoe</t>
  </si>
  <si>
    <t>B09NCGSHYP</t>
  </si>
  <si>
    <t>-4.03%</t>
  </si>
  <si>
    <t>adidas Terrex Free Hiker Gore-Tex 2.0 Hiking Shoe - Men's</t>
  </si>
  <si>
    <t>adidas Men's Terrex Trailmaker Gore-tex Hiking Walking Shoe</t>
  </si>
  <si>
    <t>B0893ZSMR1</t>
  </si>
  <si>
    <t>114.98</t>
  </si>
  <si>
    <t>-4.08%</t>
  </si>
  <si>
    <t>229.95</t>
  </si>
  <si>
    <t>1276368</t>
  </si>
  <si>
    <t>adidas Terrex Free Hiker 2 Gore-Tex Hiking Shoe - Men's</t>
  </si>
  <si>
    <t>1087960</t>
  </si>
  <si>
    <t>Petzl GriGri Belay Device</t>
  </si>
  <si>
    <t>Petzl Gray GRIGRI 3 Climbing Belay Device</t>
  </si>
  <si>
    <t>B07MHM92WJ</t>
  </si>
  <si>
    <t>-4.09%</t>
  </si>
  <si>
    <t>572368</t>
  </si>
  <si>
    <t>Redington Run Fishing Reel</t>
  </si>
  <si>
    <t>Redington Run Fly Reel, Lightweight Design for Trout, Freshwater Fishing, Carbon Fiber Drag System</t>
  </si>
  <si>
    <t>B08B54RSJ7</t>
  </si>
  <si>
    <t>119.99</t>
  </si>
  <si>
    <t>-4.16%</t>
  </si>
  <si>
    <t>668675</t>
  </si>
  <si>
    <t>Redington Run Fly Reel 5-6 Weight</t>
  </si>
  <si>
    <t>B00B2VJS2W</t>
  </si>
  <si>
    <t>prAna Transform 7/8 Leggings</t>
  </si>
  <si>
    <t>B09PL771WJ</t>
  </si>
  <si>
    <t>-4.34%</t>
  </si>
  <si>
    <t>Vans Slip-On Galaxy &amp; White Skate Shoes Unisex</t>
  </si>
  <si>
    <t>B08RXX47MD</t>
  </si>
  <si>
    <t>-4.39%</t>
  </si>
  <si>
    <t>adidas Terrex Free Hiker Gore-Tex 2.0 Hiking Shoe - Women's</t>
  </si>
  <si>
    <t>adidas Terrex Free Hiker 2 BCA Hiking Shoes Women's</t>
  </si>
  <si>
    <t>B0BB6RYL5V</t>
  </si>
  <si>
    <t>1276361</t>
  </si>
  <si>
    <t>Birkenstock Women's Arizona Soft Footbed Suede Leather SFB Met Silver Lt</t>
  </si>
  <si>
    <t>B079K6K415</t>
  </si>
  <si>
    <t>-4.44%</t>
  </si>
  <si>
    <t>Bear Archery Alaskan Compound Bow</t>
  </si>
  <si>
    <t>BEAR ARCHERY Legit RTH Special Edition Compound Bow Package, Adjustable, 10-70 lbs. Draw Weight, 14-30" Draw Length</t>
  </si>
  <si>
    <t>B08XW78Z4P</t>
  </si>
  <si>
    <t>449.99</t>
  </si>
  <si>
    <t>529.99</t>
  </si>
  <si>
    <t>969734</t>
  </si>
  <si>
    <t>Carve Designs Sanitas Reversible Swim Top - Women's</t>
  </si>
  <si>
    <t>Carve Designs Women's Standard Sanitas Reversible Bottom</t>
  </si>
  <si>
    <t>B0785G7YG6</t>
  </si>
  <si>
    <t>-4.45%</t>
  </si>
  <si>
    <t>1322239</t>
  </si>
  <si>
    <t>Vans Unisex Old Skool Black/True White Skate Shoe 8 Men US / 9.5 Women US</t>
  </si>
  <si>
    <t>B005B06TVS</t>
  </si>
  <si>
    <t>-4.50%</t>
  </si>
  <si>
    <t>Saucony Triumph 19 Shoe - Men's</t>
  </si>
  <si>
    <t>Saucony Men’s Triumph 19 Running Shoe</t>
  </si>
  <si>
    <t>B096FFGGGG</t>
  </si>
  <si>
    <t>63.98</t>
  </si>
  <si>
    <t>-4.66%</t>
  </si>
  <si>
    <t>1203462</t>
  </si>
  <si>
    <t>Roxy Rising High Shell Snow Pant - Women's</t>
  </si>
  <si>
    <t>Roxy Women's Big Girls' Creek Softshell Snow Pant</t>
  </si>
  <si>
    <t>B01CKI3WWC</t>
  </si>
  <si>
    <t>139.96</t>
  </si>
  <si>
    <t>1268016</t>
  </si>
  <si>
    <t>Gordini Rally Mitten - Men's</t>
  </si>
  <si>
    <t>Gordini Men's Mountain Crew Waterproof Insulated Mittens</t>
  </si>
  <si>
    <t>B074SBV1GB</t>
  </si>
  <si>
    <t>-4.71%</t>
  </si>
  <si>
    <t>1306142</t>
  </si>
  <si>
    <t>Smartwool Hike Light Cushion Striped Crew Sock - Youth</t>
  </si>
  <si>
    <t>Smartwool Men's Hike Classic Edition Light Cushion Solid Crew Socks</t>
  </si>
  <si>
    <t>B097NLFD9B</t>
  </si>
  <si>
    <t>20.99</t>
  </si>
  <si>
    <t>-4.72%</t>
  </si>
  <si>
    <t>14.0</t>
  </si>
  <si>
    <t>1047536</t>
  </si>
  <si>
    <t>Chaco Z/Cloud Sandal - Men's</t>
  </si>
  <si>
    <t>Chaco Men's Zcloud Sandal, GUSH Rust, 7</t>
  </si>
  <si>
    <t>B099C9Q481</t>
  </si>
  <si>
    <t>932120</t>
  </si>
  <si>
    <t>Chaco Men's Zcloud Sandal</t>
  </si>
  <si>
    <t>B011AX0M5S</t>
  </si>
  <si>
    <t>-4.76%</t>
  </si>
  <si>
    <t>SITKA Gear Men's New 2021 Equinox Pant</t>
  </si>
  <si>
    <t>B098QQMQNV</t>
  </si>
  <si>
    <t>-4.78%</t>
  </si>
  <si>
    <t>SITKA Gear Sitka Men's Grinder Waterfowl Concealing Hunting Pants</t>
  </si>
  <si>
    <t>B07C58DHNV</t>
  </si>
  <si>
    <t>Under Armour Men's Tech 2.0 Novelty Short-Sleeve T-Shirt</t>
  </si>
  <si>
    <t>B07K1TZHCF</t>
  </si>
  <si>
    <t>-4.81%</t>
  </si>
  <si>
    <t>Vans Unisex Classic Slip-On True White 8.5 B(M) US Women / 7 D(M) US Men</t>
  </si>
  <si>
    <t>B01N8ORXDP</t>
  </si>
  <si>
    <t>-4.89%</t>
  </si>
  <si>
    <t>Hey Dude Men's Wally Tri | Men's Loafers | Men's Slip On Shoes | Comfortable &amp; Light-Weight</t>
  </si>
  <si>
    <t>B0B9T6DBZN</t>
  </si>
  <si>
    <t>-4.93%</t>
  </si>
  <si>
    <t>Hey Dude Women's Misty Rise | Women's Shoes | Women's Slip On Shoes | Comfortable &amp; Light-Weight Multi Colors and Sizes</t>
  </si>
  <si>
    <t>B0B9VS8YGF</t>
  </si>
  <si>
    <t>-4.94%</t>
  </si>
  <si>
    <t>Continental Tires Continental Grand Prix 5000 S TR Tire</t>
  </si>
  <si>
    <t>Continental Pair Grand Prix 5000 Folding Tires 700x25c Black Cream Road Race</t>
  </si>
  <si>
    <t>B09ZKR3FS5</t>
  </si>
  <si>
    <t>-4.95%</t>
  </si>
  <si>
    <t>971397</t>
  </si>
  <si>
    <t>Cotopaxi Allpa 35L Travel Pack</t>
  </si>
  <si>
    <t>Cotopaxi Allpa 35L Travel Pack - Del Dia - One of a Kind!</t>
  </si>
  <si>
    <t>B084KWSQR1</t>
  </si>
  <si>
    <t>200.0</t>
  </si>
  <si>
    <t>-5.00%</t>
  </si>
  <si>
    <t>1351782</t>
  </si>
  <si>
    <t>Roxy Snow Women's Rising High Pant</t>
  </si>
  <si>
    <t>B07KRW7VKC</t>
  </si>
  <si>
    <t>Under Armour Men's Showdown Tapered Golf Pants</t>
  </si>
  <si>
    <t>B072J4DXG4</t>
  </si>
  <si>
    <t>-5.06%</t>
  </si>
  <si>
    <t>Hurley One and Only 20" Boardshorts - Black</t>
  </si>
  <si>
    <t>B08385LPM7</t>
  </si>
  <si>
    <t>-5.12%</t>
  </si>
  <si>
    <t>KEEN Koven Hiking Shoe - Women's</t>
  </si>
  <si>
    <t>KEEN Women's Targhee Vent Hiking Shoe, Black, 10.5</t>
  </si>
  <si>
    <t>B07T9T1ZD8</t>
  </si>
  <si>
    <t>-5.15%</t>
  </si>
  <si>
    <t>1240446</t>
  </si>
  <si>
    <t>Birkenstock Women's Arizona Soft Sandals</t>
  </si>
  <si>
    <t>B000W0A05I</t>
  </si>
  <si>
    <t>-5.22%</t>
  </si>
  <si>
    <t>Redington Benchmark Wading Boot</t>
  </si>
  <si>
    <t>Redington Unisex-Adult Wading Boots</t>
  </si>
  <si>
    <t>B084Y3VWDX</t>
  </si>
  <si>
    <t>-5.27%</t>
  </si>
  <si>
    <t>575133</t>
  </si>
  <si>
    <t>Danner Element Boot - Men's</t>
  </si>
  <si>
    <t>Danner Men's 15481 Bull Run Chelsea 6" Work Boot Brown Wedge</t>
  </si>
  <si>
    <t>B08PMJNM81</t>
  </si>
  <si>
    <t>530471</t>
  </si>
  <si>
    <t>adidas D.O.N. Issue #4 Basketball Shoe - Men's</t>
  </si>
  <si>
    <t>adidas Unisex-Child D.o.n. Issue 2 Basketball Shoe</t>
  </si>
  <si>
    <t>B083M7V7L1</t>
  </si>
  <si>
    <t>47.98</t>
  </si>
  <si>
    <t>1287057</t>
  </si>
  <si>
    <t>Feetures Elite Ultra Light No Show Tab Sock</t>
  </si>
  <si>
    <t>Feetures Elite Ultra Light No Show Tab - Running Socks for Men &amp; Women - Athletic Ankle Socks - Moisture Wicking - X-Large, Glowing Gray</t>
  </si>
  <si>
    <t>B09N2F931H</t>
  </si>
  <si>
    <t>17.95</t>
  </si>
  <si>
    <t>-5.29%</t>
  </si>
  <si>
    <t>1300203</t>
  </si>
  <si>
    <t>Under Armour Boys' Training Stretch Shorts</t>
  </si>
  <si>
    <t>B086ZNVZR5</t>
  </si>
  <si>
    <t>-5.50%</t>
  </si>
  <si>
    <t>Hydro Flask Standard Mouth Bottle with Flex Cap</t>
  </si>
  <si>
    <t>B01KXHGYQ8</t>
  </si>
  <si>
    <t>-5.72%</t>
  </si>
  <si>
    <t>B01KXHH21O</t>
  </si>
  <si>
    <t>Under Armour Men's ColdGear Infrared Showdown Golf Pants</t>
  </si>
  <si>
    <t>B077XNJV7V</t>
  </si>
  <si>
    <t>-5.76%</t>
  </si>
  <si>
    <t>Danner Men's Hiking Boots Panorama Mid 6" Black Olive</t>
  </si>
  <si>
    <t>B09PL6751J</t>
  </si>
  <si>
    <t>-5.88%</t>
  </si>
  <si>
    <t>Outdoor Research Kids' Helios Sun Hat - Lightweight Water-Resistant Quick-Drying Transaction Headband with UPF 50+</t>
  </si>
  <si>
    <t>B08RXWLMHM</t>
  </si>
  <si>
    <t>-5.89%</t>
  </si>
  <si>
    <t>Wrangler Riggs Workwear Men's Short Sleeve Pocket T-Shirt</t>
  </si>
  <si>
    <t>B000A38J6E</t>
  </si>
  <si>
    <t>-5.90%</t>
  </si>
  <si>
    <t>Quik Shade Straight Leg 10' X 10' canopy</t>
  </si>
  <si>
    <t>Quik Shade 10' x 10' Shade Tech 100 Square Feet of Shade Straight Leg Base Outdoor Pop-up Canopy - Grey</t>
  </si>
  <si>
    <t>B08B29HHZR</t>
  </si>
  <si>
    <t>99.99</t>
  </si>
  <si>
    <t>-5.92%</t>
  </si>
  <si>
    <t>898263</t>
  </si>
  <si>
    <t>B09D8S3593</t>
  </si>
  <si>
    <t>-5.95%</t>
  </si>
  <si>
    <t>Teva Hurricane XLT 2 Sandal - Kids'</t>
  </si>
  <si>
    <t>Teva Y Hurricane XLT 2 Sport Sandal</t>
  </si>
  <si>
    <t>B071JS2QLK</t>
  </si>
  <si>
    <t>22.95</t>
  </si>
  <si>
    <t>-5.97%</t>
  </si>
  <si>
    <t>44.95</t>
  </si>
  <si>
    <t>698191</t>
  </si>
  <si>
    <t>adidas Women's Adilette Comfort Slides Sandal, Grey/Silver Metallic/Grey, 10</t>
  </si>
  <si>
    <t>B09Y2KHDH3</t>
  </si>
  <si>
    <t>-6.04%</t>
  </si>
  <si>
    <t>32OZ Water Bottle with Straw &amp; Strap, BPA Free Insulated Water Bottle Keeps Cold 48H Hot 24H, Double-Wall Sport Water Bottle with Sleeve Carrier, Stainless Steel Bottle for Kids Men Woman Xmas Gift</t>
  </si>
  <si>
    <t>B0BN1QBHWK</t>
  </si>
  <si>
    <t>-6.06%</t>
  </si>
  <si>
    <t>Smartwool Everyday Popcorn Cable Crew Sock - Women's</t>
  </si>
  <si>
    <t>Smartwool Women's Everyday Popcorn Snowflake Pattern Merino Wool Crew Socks</t>
  </si>
  <si>
    <t>B096C98DF4</t>
  </si>
  <si>
    <t>26.95</t>
  </si>
  <si>
    <t>-6.12%</t>
  </si>
  <si>
    <t>19.95</t>
  </si>
  <si>
    <t>1047473</t>
  </si>
  <si>
    <t>adidas Trainer V Shoe - Men's</t>
  </si>
  <si>
    <t>Pozvnn Men's Running Shoes Fashion Walking Lightweight Wear-Resistant Sneakers Tennis Casual Workout Cross Trainers</t>
  </si>
  <si>
    <t>B0C6TT8TZ6</t>
  </si>
  <si>
    <t>31.98</t>
  </si>
  <si>
    <t>-6.22%</t>
  </si>
  <si>
    <t>79.95</t>
  </si>
  <si>
    <t>1287612</t>
  </si>
  <si>
    <t>adidas Women's Cloudfoam Pure 2.0 Running Shoe</t>
  </si>
  <si>
    <t>B08CZ14WBH</t>
  </si>
  <si>
    <t>-6.24%</t>
  </si>
  <si>
    <t>Columbia Double Trouble Reversible Jacket - Toddler</t>
  </si>
  <si>
    <t>Columbia Girls' Double Trouble Jacket</t>
  </si>
  <si>
    <t>B07K6LVDW2</t>
  </si>
  <si>
    <t>56.0</t>
  </si>
  <si>
    <t>-6.25%</t>
  </si>
  <si>
    <t>80.0</t>
  </si>
  <si>
    <t>1245039</t>
  </si>
  <si>
    <t>Altra Timp 4 Running Shoe - Women's</t>
  </si>
  <si>
    <t>ALTRA Women's AL0A82CZ Torin 7 Road Running Shoe</t>
  </si>
  <si>
    <t>B0BK2JYVQ1</t>
  </si>
  <si>
    <t>129.95</t>
  </si>
  <si>
    <t>929220</t>
  </si>
  <si>
    <t>ALTRA Women's AL0A82CS Lone Peak 7 Trail Running Shoe, Wide</t>
  </si>
  <si>
    <t>B0BK2KF1LQ</t>
  </si>
  <si>
    <t>Cole Haan Grandpro Rally Laser Cut Shoe - Men's</t>
  </si>
  <si>
    <t>Cole Haan Men's Grandpro Rally Laser Cut Sneaker</t>
  </si>
  <si>
    <t>B091FTTPF9</t>
  </si>
  <si>
    <t>858897</t>
  </si>
  <si>
    <t>Peak Refuel Strawberry Granola Freeze Dried Meal</t>
  </si>
  <si>
    <t>ReadyWise Outdoor Strawberry Granola Crunch, Freeze-Dried Backpacking and Camping Meals, Tasty Meals and Snacks for Hiking, Backpacking, or Emergency Preparedness, Pack of 1</t>
  </si>
  <si>
    <t>B07D6XQPRP</t>
  </si>
  <si>
    <t>7.99</t>
  </si>
  <si>
    <t>-6.26%</t>
  </si>
  <si>
    <t>576080</t>
  </si>
  <si>
    <t>Asics Gel-Kayano 29 Running Shoe - Men's</t>
  </si>
  <si>
    <t>ASICS Men's Gel-Venture 8 Running Shoes</t>
  </si>
  <si>
    <t>B091KFWD5S</t>
  </si>
  <si>
    <t>-6.30%</t>
  </si>
  <si>
    <t>1037701</t>
  </si>
  <si>
    <t>Asics Gel-Kayano 29 Running Shoe - Women's</t>
  </si>
  <si>
    <t>ASICS Women's Gel-Kayano 25 Running Shoe</t>
  </si>
  <si>
    <t>B077MKS7CV</t>
  </si>
  <si>
    <t>1037742</t>
  </si>
  <si>
    <t>Owala Star Wars FreeSip Insulated Stainless Steel Water Bottle with Straw for Sports and Travel, BPA-Free, 24-Ounce, Stronger Than You Think</t>
  </si>
  <si>
    <t>B0B3JTCCG9</t>
  </si>
  <si>
    <t>-6.43%</t>
  </si>
  <si>
    <t>adidas Women's Response Super 2.0 Running Shoe</t>
  </si>
  <si>
    <t>B08N5DRM29</t>
  </si>
  <si>
    <t>-6.49%</t>
  </si>
  <si>
    <t>Big Agnes Insulated Air Core Sleeping Pad</t>
  </si>
  <si>
    <t>B008PMDSPY</t>
  </si>
  <si>
    <t>-6.64%</t>
  </si>
  <si>
    <t>Smith Optics Wilder Jr. Helmet w/ MIPS - Youth</t>
  </si>
  <si>
    <t>Smith Optics Glide Jr. Youth Snow Helmets</t>
  </si>
  <si>
    <t>B097Z3QJMV</t>
  </si>
  <si>
    <t>-6.67%</t>
  </si>
  <si>
    <t>1277864</t>
  </si>
  <si>
    <t>Arc'teryx Atom Jacket Women's | Lightweight Versatile Synthetically Insulated Jacket</t>
  </si>
  <si>
    <t>B0B5P93K39</t>
  </si>
  <si>
    <t>Teva Men's Hurricane Verge Slide Sandal</t>
  </si>
  <si>
    <t>B0B5LYC3CF</t>
  </si>
  <si>
    <t>KEEN Men's Explore Mid Waterproof Hiking Boots</t>
  </si>
  <si>
    <t>B07M7NFMMP</t>
  </si>
  <si>
    <t>Babolat Jet Mach 3 All Court Tennis Shoe - Men's</t>
  </si>
  <si>
    <t>Babolat Men's Propulse Fury All Court Tennis Shoes</t>
  </si>
  <si>
    <t>B0BSP4J6RK</t>
  </si>
  <si>
    <t>148.95</t>
  </si>
  <si>
    <t>-6.68%</t>
  </si>
  <si>
    <t>599962</t>
  </si>
  <si>
    <t>Smith Optics Scout Jr. Youth Snowboarding Helmets</t>
  </si>
  <si>
    <t>B07DWPGC9L</t>
  </si>
  <si>
    <t>-6.73%</t>
  </si>
  <si>
    <t>frogg toggs Canyon II Stockingfoot Wader - Men's</t>
  </si>
  <si>
    <t>FROGG TOGGS Men's Amphib Stockingfoot Neoprene Chest Wader</t>
  </si>
  <si>
    <t>B000ODNIKM</t>
  </si>
  <si>
    <t>-6.80%</t>
  </si>
  <si>
    <t>801564</t>
  </si>
  <si>
    <t>Chaco Men's Lowdown 2 Sandal</t>
  </si>
  <si>
    <t>B08C2GSSZX</t>
  </si>
  <si>
    <t>-6.84%</t>
  </si>
  <si>
    <t>KEEN Men's Tempo Flex Mid Height Lightweight Waterproof Hiking Boots</t>
  </si>
  <si>
    <t>B08GTJ1DKZ</t>
  </si>
  <si>
    <t>-6.95%</t>
  </si>
  <si>
    <t>Wilson Profile SGI 14 Piece Package Golf Set Bag - Women's</t>
  </si>
  <si>
    <t>WILSON Women's Profile SGI Complete Golf Package Set</t>
  </si>
  <si>
    <t>B07HNDZ46T</t>
  </si>
  <si>
    <t>429.99</t>
  </si>
  <si>
    <t>-6.98%</t>
  </si>
  <si>
    <t>499.99</t>
  </si>
  <si>
    <t>502932</t>
  </si>
  <si>
    <t>adidas Women's Adilette Comfort Slide Sandal</t>
  </si>
  <si>
    <t>B09DZ4BG1J</t>
  </si>
  <si>
    <t>-7.01%</t>
  </si>
  <si>
    <t>Merrell Siren Sport 3 Shoe - Women's</t>
  </si>
  <si>
    <t>Merrell Women's Moab 3 Hiking Shoe</t>
  </si>
  <si>
    <t>B098KJNKBS</t>
  </si>
  <si>
    <t>54.98</t>
  </si>
  <si>
    <t>-7.04%</t>
  </si>
  <si>
    <t>1229154</t>
  </si>
  <si>
    <t>Merrell Alpine Hiker Boot - Women's</t>
  </si>
  <si>
    <t>Merrell Women's Alpine Chelsea Boot</t>
  </si>
  <si>
    <t>B08SR2Q38L</t>
  </si>
  <si>
    <t>47.48</t>
  </si>
  <si>
    <t>-7.12%</t>
  </si>
  <si>
    <t>94.95</t>
  </si>
  <si>
    <t>1229133</t>
  </si>
  <si>
    <t>Under Armour Men's Global Foundation Short-Sleeve T-Shirt</t>
  </si>
  <si>
    <t>B07KH51LQ8</t>
  </si>
  <si>
    <t>-7.14%</t>
  </si>
  <si>
    <t>Brooks Men's Beast '20 Supportive Running Shoe</t>
  </si>
  <si>
    <t>B07VFXCNPK</t>
  </si>
  <si>
    <t>-7.15%</t>
  </si>
  <si>
    <t>Bogs Neo Classic Mushrooms Boot - Youth</t>
  </si>
  <si>
    <t>BOGS Unisex-Child Neo Classic Rain Boot</t>
  </si>
  <si>
    <t>B08R5VKTL3</t>
  </si>
  <si>
    <t>62.97</t>
  </si>
  <si>
    <t>89.95</t>
  </si>
  <si>
    <t>1239352</t>
  </si>
  <si>
    <t>Adidas Predator Competition Shin Guard</t>
  </si>
  <si>
    <t>adidas Unisex Soft Ground Competition Shinguards</t>
  </si>
  <si>
    <t>B09JX1BWNP</t>
  </si>
  <si>
    <t>27.99</t>
  </si>
  <si>
    <t>-7.29%</t>
  </si>
  <si>
    <t>34.99</t>
  </si>
  <si>
    <t>1284404</t>
  </si>
  <si>
    <t>Under Armour HOVR Sonic 6 Running Shoe - Men's</t>
  </si>
  <si>
    <t>Under Armour Men's HOVR Sonic 6 Running Shoe</t>
  </si>
  <si>
    <t>B09XBV6ZP1</t>
  </si>
  <si>
    <t>44.0</t>
  </si>
  <si>
    <t>-7.30%</t>
  </si>
  <si>
    <t>1310944</t>
  </si>
  <si>
    <t>Altra Torin 6 Shoe - Women's</t>
  </si>
  <si>
    <t>ALTRA Women's AL0A7R78 Torin 6 Road Running Shoe, White/Orange - 9.5 M US</t>
  </si>
  <si>
    <t>B09Y74Z28C</t>
  </si>
  <si>
    <t>74.98</t>
  </si>
  <si>
    <t>-7.48%</t>
  </si>
  <si>
    <t>1037503</t>
  </si>
  <si>
    <t>Sorel Men's Madson II Field Waterproof Boots</t>
  </si>
  <si>
    <t>B0C6GLCN76</t>
  </si>
  <si>
    <t>-7.50%</t>
  </si>
  <si>
    <t>Hurley Men's One and Only 20" Board Shorts</t>
  </si>
  <si>
    <t>B08RHBZWL9</t>
  </si>
  <si>
    <t>-7.52%</t>
  </si>
  <si>
    <t>Under Armour Mid Crossback Sports Bra - Women's</t>
  </si>
  <si>
    <t>Under Armour Women's Vanish Seamless Mid-Impact Sports Bra</t>
  </si>
  <si>
    <t>B07L9JMDF3</t>
  </si>
  <si>
    <t>-7.62%</t>
  </si>
  <si>
    <t>818353</t>
  </si>
  <si>
    <t>REEF Cushion Vista HI Slide - Women's</t>
  </si>
  <si>
    <t>Reef Women's Sandals Cushion Scout Hi</t>
  </si>
  <si>
    <t>B09RY5JQD4</t>
  </si>
  <si>
    <t>1280794</t>
  </si>
  <si>
    <t>Shimano Deore XT SPD Pedal</t>
  </si>
  <si>
    <t>SPD MTB Pedal Shimano XT PD-M8120 Double-Sided Black</t>
  </si>
  <si>
    <t>B07SRGC4ZW</t>
  </si>
  <si>
    <t>125.0</t>
  </si>
  <si>
    <t>594007</t>
  </si>
  <si>
    <t>Hey Dude Men's Wally Patriotic | Men's Loafers | Men's Slip On Shoes | Comfortable &amp; Light-Weight</t>
  </si>
  <si>
    <t>B0BV2YW598</t>
  </si>
  <si>
    <t>-7.64%</t>
  </si>
  <si>
    <t>Hey Dude Men's Wally Sport Knit</t>
  </si>
  <si>
    <t>B0C6XMBLV1</t>
  </si>
  <si>
    <t>Columbia Powder Lite Novelty Hooded Jacket - Girls'</t>
  </si>
  <si>
    <t>Columbia Girls' Powder Lite Hooded Jacket</t>
  </si>
  <si>
    <t>B09KMFWS1C</t>
  </si>
  <si>
    <t>84.0</t>
  </si>
  <si>
    <t>120.0</t>
  </si>
  <si>
    <t>1139868</t>
  </si>
  <si>
    <t>Hey Dude Mens Wally Baja Beachcomber Shoes</t>
  </si>
  <si>
    <t>B09MJRHCCQ</t>
  </si>
  <si>
    <t>-7.70%</t>
  </si>
  <si>
    <t>Hey Dude Men's Wally Stitch | Men's Loafers | Men's Slip On Shoes | Comfortable &amp; Light-Weight</t>
  </si>
  <si>
    <t>B0793THG7Q</t>
  </si>
  <si>
    <t>Hey Dude Women's Wendy Sox Micro Total Black Size 8 | Women’s Shoes | Women’s Lace Up Loafers | Comfortable &amp; Light-Weight</t>
  </si>
  <si>
    <t>B09HVFL6TC</t>
  </si>
  <si>
    <t>Carhartt Men's Exclusive Loose Fit Heavyweight Short-Sleeve Pocket Logo Graphic T-Shirt</t>
  </si>
  <si>
    <t>B09TQ5QV2J</t>
  </si>
  <si>
    <t>Petzl - GRIGRI + - Belay Device with cam-Assisted Blocking</t>
  </si>
  <si>
    <t>B01MXORFUD</t>
  </si>
  <si>
    <t>-7.73%</t>
  </si>
  <si>
    <t>Dakine Classic Hip Pack</t>
  </si>
  <si>
    <t>Dakine Unisex Hip Pack</t>
  </si>
  <si>
    <t>B0873BRVBP</t>
  </si>
  <si>
    <t>12.99</t>
  </si>
  <si>
    <t>-7.78%</t>
  </si>
  <si>
    <t>767744</t>
  </si>
  <si>
    <t>Black Diamond Equipment Momentum 3S Harness - Men's - Midnight - Extra Small</t>
  </si>
  <si>
    <t>B081BBL3MM</t>
  </si>
  <si>
    <t>-7.81%</t>
  </si>
  <si>
    <t>Black Diamond Momentum 3S Climbing Harness - Men's</t>
  </si>
  <si>
    <t>B081B9SF3T</t>
  </si>
  <si>
    <t>Black Diamond Equipment Momentum 3S Harness - Men's - Midnight - Large</t>
  </si>
  <si>
    <t>B081BBBCDM</t>
  </si>
  <si>
    <t>Black Diamond Equipment Momentum 3S Harness - Men's - Midnight - Medium</t>
  </si>
  <si>
    <t>B081B9LFYS</t>
  </si>
  <si>
    <t>Black Diamond Equipment Momentum 3S Harness - Men's - Midnight - Small</t>
  </si>
  <si>
    <t>B081B9V242</t>
  </si>
  <si>
    <t>-7.82%</t>
  </si>
  <si>
    <t>Salomon Speedcross 6 Gore-Tex Trail Running Shoe - Women's</t>
  </si>
  <si>
    <t>Salomon Women's Alphacross 4 Gore-tex Trail Running Shoe</t>
  </si>
  <si>
    <t>B0B5JGB6RS</t>
  </si>
  <si>
    <t>95.97</t>
  </si>
  <si>
    <t>-7.85%</t>
  </si>
  <si>
    <t>1067305</t>
  </si>
  <si>
    <t>Teva Men's Hurricane Verge Sandal</t>
  </si>
  <si>
    <t>B08RXVKCBR</t>
  </si>
  <si>
    <t>-7.95%</t>
  </si>
  <si>
    <t>Lux Pro Waterproof Ultralight Led Rechargeable Headlamp</t>
  </si>
  <si>
    <t>Alixumiss Rechargeable LED Headlamp, Headlamp Flashlight Wide Beam Lightweight Headlamps, COB 230° Illumination, Motion Sensor, Waterproof Head Lamp, 5 Modes Headlight for Camping, Cycling,Running</t>
  </si>
  <si>
    <t>B09NNDJS2R</t>
  </si>
  <si>
    <t>-8.01%</t>
  </si>
  <si>
    <t>1194878</t>
  </si>
  <si>
    <t>adidas Women's Adilette Comfort Slides Sandal, Champagne Metallic/Champagne Metallic/Crystal White, 11</t>
  </si>
  <si>
    <t>B087KQY3YK</t>
  </si>
  <si>
    <t>ALTRA Women's TIMP 2 Trail Running Shoe</t>
  </si>
  <si>
    <t>B07TP9SJBG</t>
  </si>
  <si>
    <t>-8.10%</t>
  </si>
  <si>
    <t>ALTRA Women's Torin 3.0 Running-Shoes</t>
  </si>
  <si>
    <t>B01N6JCL5D</t>
  </si>
  <si>
    <t>-8.11%</t>
  </si>
  <si>
    <t>Under Armour Men's Woven Graphic Shorts</t>
  </si>
  <si>
    <t>B093MJZQZG</t>
  </si>
  <si>
    <t>-8.12%</t>
  </si>
  <si>
    <t>Under Armour Men's Showdown Chino Golf Pants</t>
  </si>
  <si>
    <t>B077XLVGC9</t>
  </si>
  <si>
    <t>-8.14%</t>
  </si>
  <si>
    <t>adidas Goletto VIII Firm Ground Soccer Cleat - Youth</t>
  </si>
  <si>
    <t>adidas Child-Unisex Goletto VII Firm Ground Soccer Cleats - Kids Soccer Shoe</t>
  </si>
  <si>
    <t>B093R5XJ9W</t>
  </si>
  <si>
    <t>29.95</t>
  </si>
  <si>
    <t>-8.18%</t>
  </si>
  <si>
    <t>936336</t>
  </si>
  <si>
    <t>Vans Unisex Classic Slip-On Shoes</t>
  </si>
  <si>
    <t>B000K7CADS</t>
  </si>
  <si>
    <t>-8.21%</t>
  </si>
  <si>
    <t>Vans Classic Slip On O Fashion Shoes Unisex</t>
  </si>
  <si>
    <t>B000T0NJF4</t>
  </si>
  <si>
    <t>-8.26%</t>
  </si>
  <si>
    <t>Teva Men's Hurricane Xlt2 Sandals with EVA Foam Midsole and Rugged Durabrasion Rubber Outsole</t>
  </si>
  <si>
    <t>B0721B9ZBW</t>
  </si>
  <si>
    <t>-8.57%</t>
  </si>
  <si>
    <t>SITKA Gear Sitka Men's Hunting Water-Repellent Camo Dakota Mud Pants</t>
  </si>
  <si>
    <t>B01MG3OMJA</t>
  </si>
  <si>
    <t>-8.69%</t>
  </si>
  <si>
    <t>Birkenstock Women's Soft Footbed Arizona SFB Iron Oil Lt</t>
  </si>
  <si>
    <t>B00EE49UUY</t>
  </si>
  <si>
    <t>-8.89%</t>
  </si>
  <si>
    <t>adidas Freak 23 Football Cleat</t>
  </si>
  <si>
    <t>adidas Unisex-Child Freak Spark 23 Football Shoe</t>
  </si>
  <si>
    <t>B0B5YPXD1H</t>
  </si>
  <si>
    <t>76.99</t>
  </si>
  <si>
    <t>-9.05%</t>
  </si>
  <si>
    <t>109.99</t>
  </si>
  <si>
    <t>1287468</t>
  </si>
  <si>
    <t>Hey Dude Wendy Shoe - Women's</t>
  </si>
  <si>
    <t>Hey Dude Women's Wendy</t>
  </si>
  <si>
    <t>B07DPS8TFM</t>
  </si>
  <si>
    <t>32.97</t>
  </si>
  <si>
    <t>-9.07%</t>
  </si>
  <si>
    <t>54.95</t>
  </si>
  <si>
    <t>932276</t>
  </si>
  <si>
    <t>Chaco Women's Chillos Sport Sandal</t>
  </si>
  <si>
    <t>B08C2F5YFY</t>
  </si>
  <si>
    <t>Under Armour Hustle 5.0 Backpack - 29L</t>
  </si>
  <si>
    <t>Under Armour Hustle Play Backpack, (001) Black/Black/White, One Size Fits Most</t>
  </si>
  <si>
    <t>B0BJ51QPRG</t>
  </si>
  <si>
    <t>38.5</t>
  </si>
  <si>
    <t>-9.09%</t>
  </si>
  <si>
    <t>55.0</t>
  </si>
  <si>
    <t>595885</t>
  </si>
  <si>
    <t>PETZL Grigri 2 Belay Device (2015)</t>
  </si>
  <si>
    <t>B00RNJKJPW</t>
  </si>
  <si>
    <t>-9.10%</t>
  </si>
  <si>
    <t>OwalaOwala FreeSip Insulated Stainless Steel Water Bottle, Very Dark &amp; Silicone Water Bottle Boot, Anti-Slip Protective Sleeve Cover, BlackOwala</t>
  </si>
  <si>
    <t>B0BSKRQSLC</t>
  </si>
  <si>
    <t>-9.15%</t>
  </si>
  <si>
    <t>adidas X Crazyfast.3 USA Firm Ground Cleat</t>
  </si>
  <si>
    <t>adidas X CRAZYFAST.3 Youth Firm Ground Soccer Cleats, Made with Recycled Materials, Created for Natural and Artificial Fields</t>
  </si>
  <si>
    <t>B0C7WQCL18</t>
  </si>
  <si>
    <t>75.95</t>
  </si>
  <si>
    <t>-9.16%</t>
  </si>
  <si>
    <t>1338010</t>
  </si>
  <si>
    <t>Sorel Explorer Boot - Men's</t>
  </si>
  <si>
    <t>Sorel Men's Winter Boots</t>
  </si>
  <si>
    <t>B0B6JRPHQ2</t>
  </si>
  <si>
    <t>90.97</t>
  </si>
  <si>
    <t>-9.37%</t>
  </si>
  <si>
    <t>1237286</t>
  </si>
  <si>
    <t>Crocs Classic Clog</t>
  </si>
  <si>
    <t>Crocs womens Classic Platform Glitter Clog</t>
  </si>
  <si>
    <t>B09NMD8619</t>
  </si>
  <si>
    <t>1196935</t>
  </si>
  <si>
    <t>SRAM X01 Eagle 12-Speed Chain</t>
  </si>
  <si>
    <t>SRAM X01 Eagle Chain - 12-Speed, 126 Links, Silver</t>
  </si>
  <si>
    <t>B01DUSCZ6A</t>
  </si>
  <si>
    <t>64.0</t>
  </si>
  <si>
    <t>-9.41%</t>
  </si>
  <si>
    <t>536002</t>
  </si>
  <si>
    <t>B07L3L4MTY</t>
  </si>
  <si>
    <t>-9.42%</t>
  </si>
  <si>
    <t>Columbia Horizon Ride II Jacket - Toddler</t>
  </si>
  <si>
    <t>Columbia Girls' Horizon Ride Jacket</t>
  </si>
  <si>
    <t>B0814BNMDX</t>
  </si>
  <si>
    <t>73.5</t>
  </si>
  <si>
    <t>-9.43%</t>
  </si>
  <si>
    <t>105.0</t>
  </si>
  <si>
    <t>1246516</t>
  </si>
  <si>
    <t>adidas Lite Racer Adapt 5.0 Shoe - Men's</t>
  </si>
  <si>
    <t>adidas Men's Lite Racer CLN Running Shoe</t>
  </si>
  <si>
    <t>B084RTCD8L</t>
  </si>
  <si>
    <t>-9.46%</t>
  </si>
  <si>
    <t>1338101</t>
  </si>
  <si>
    <t>Smartwool Striped Light Hiking Crew Socks - Youth</t>
  </si>
  <si>
    <t>B091SRJ6R9</t>
  </si>
  <si>
    <t>-9.48%</t>
  </si>
  <si>
    <t>Under Armour Mens Locker Tee 2.0 Short-Sleeve T-Shirt</t>
  </si>
  <si>
    <t>B07BHWR1JT</t>
  </si>
  <si>
    <t>-9.57%</t>
  </si>
  <si>
    <t>Under Armour Men's UA Tech 2.0 Short Sleeve Shirt</t>
  </si>
  <si>
    <t>B08FZT2DTT</t>
  </si>
  <si>
    <t>Vans Classic Slip-On Shoes True White Size</t>
  </si>
  <si>
    <t>B0759ZCZDG</t>
  </si>
  <si>
    <t>-9.77%</t>
  </si>
  <si>
    <t>B0B2X7F5PW</t>
  </si>
  <si>
    <t>-9.83%</t>
  </si>
  <si>
    <t>Crocs Unisex-Child Classic Glitter Clog (Little Big Kid)</t>
  </si>
  <si>
    <t>B0BSGBRR9W</t>
  </si>
  <si>
    <t>-9.91%</t>
  </si>
  <si>
    <t>Crocs Unisex-Adult Classic Minecraft Clog</t>
  </si>
  <si>
    <t>B0B9CBH2LG</t>
  </si>
  <si>
    <t>-9.93%</t>
  </si>
  <si>
    <t>Crocs Unisex-Adult Sonic The Hedgehog Classic Clog</t>
  </si>
  <si>
    <t>B0BTTZLCJM</t>
  </si>
  <si>
    <t>Continental Pair Grand Prix 5000 Folding Tires 700x25c Black Transparent 700c, 700x25</t>
  </si>
  <si>
    <t>B09S8VDK9K</t>
  </si>
  <si>
    <t>-9.95%</t>
  </si>
  <si>
    <t>Puma Ultra Ultimate FG Soccer Cleat - Men's</t>
  </si>
  <si>
    <t>PUMA Ultra Ultimate FG Soccer Shoes</t>
  </si>
  <si>
    <t>B0BQFVLWDF</t>
  </si>
  <si>
    <t>-9.99%</t>
  </si>
  <si>
    <t>219.95</t>
  </si>
  <si>
    <t>1280453</t>
  </si>
  <si>
    <t>Fenwick Aetos Fly Rod</t>
  </si>
  <si>
    <t>Fenwick HMG Fly Fishing Rod</t>
  </si>
  <si>
    <t>B0977DSN2T</t>
  </si>
  <si>
    <t>-10.00%</t>
  </si>
  <si>
    <t>720779</t>
  </si>
  <si>
    <t>B07ZPNJ1XL</t>
  </si>
  <si>
    <t>Columbia Women's Anytime Casual Short</t>
  </si>
  <si>
    <t>B072M55B5X</t>
  </si>
  <si>
    <t>Carhartt Men's 105420 Loose Fit Heavyweight Long-Sleeve Rugged Graphic T-Shirt</t>
  </si>
  <si>
    <t>B0BMB73KMV</t>
  </si>
  <si>
    <t>-10.01%</t>
  </si>
  <si>
    <t>Sea to Summit Aeros Premium Pillow</t>
  </si>
  <si>
    <t>Sea to Summit Aeros Premium Traveller Inflatable Neck Pillow, Navy Blue</t>
  </si>
  <si>
    <t>B003Z22QNY</t>
  </si>
  <si>
    <t>550081</t>
  </si>
  <si>
    <t>Sea to Summit Aeros Ultralight Inflatable Camping and Travel Pillow, Regular (14.2 x 10.2), Aqua</t>
  </si>
  <si>
    <t>B07NH74D9M</t>
  </si>
  <si>
    <t>Rechargeable Outdoor LED Headlamps, Bright Running Headlamp with 230° Illumination, Waterproof Head Flashlight for Adults Kids, 5 Modes 350 Lumens Headlight for Camping, Cycling, Hiking</t>
  </si>
  <si>
    <t>B09N9RLDT3</t>
  </si>
  <si>
    <t>-10.11%</t>
  </si>
  <si>
    <t>Vans Sk8-Hi MTE-2 Shoe</t>
  </si>
  <si>
    <t>Vans Mens Sk8-Hi MTE 2.0 Dx Skateboarding Shoes</t>
  </si>
  <si>
    <t>B07NGJ43XM</t>
  </si>
  <si>
    <t>-10.20%</t>
  </si>
  <si>
    <t>1116049</t>
  </si>
  <si>
    <t>New Balance 574 Core Shoe - Men's</t>
  </si>
  <si>
    <t>New Balance Men's 574 V2 Core Sneaker</t>
  </si>
  <si>
    <t>B07RL16S28</t>
  </si>
  <si>
    <t>59.46</t>
  </si>
  <si>
    <t>-10.28%</t>
  </si>
  <si>
    <t>84.95</t>
  </si>
  <si>
    <t>1094176</t>
  </si>
  <si>
    <t>Volcom Solver Modern Fit Jean - Men's</t>
  </si>
  <si>
    <t>Volcom Men's Kinkade Relaxed Fit Stretch Denim Jean Pant</t>
  </si>
  <si>
    <t>B0CF12R58W</t>
  </si>
  <si>
    <t>49.0</t>
  </si>
  <si>
    <t>-10.31%</t>
  </si>
  <si>
    <t>1017849</t>
  </si>
  <si>
    <t>Salomon Men's Xa Pro 3D V8 Trail Running Shoes</t>
  </si>
  <si>
    <t>B07WHDC3M5</t>
  </si>
  <si>
    <t>-10.35%</t>
  </si>
  <si>
    <t>Hey Dude Wally Sox Shoe - Men's</t>
  </si>
  <si>
    <t>Hey Dude Women's Wally Sox Loafer</t>
  </si>
  <si>
    <t>B07M6ZS7VL</t>
  </si>
  <si>
    <t>35.97</t>
  </si>
  <si>
    <t>-10.56%</t>
  </si>
  <si>
    <t>599419</t>
  </si>
  <si>
    <t>Under Armour Hovr Sonic 5 Running Shoe - Women's</t>
  </si>
  <si>
    <t>Under Armour Men's HOVR Sonic 4 Running Shoe</t>
  </si>
  <si>
    <t>B08BHLVGYH</t>
  </si>
  <si>
    <t>-10.61%</t>
  </si>
  <si>
    <t>1014508</t>
  </si>
  <si>
    <t>Nike Vapor Volleyball Knee Pad</t>
  </si>
  <si>
    <t>Nike Streak Volleyball Kneepad</t>
  </si>
  <si>
    <t>B00E5LSZSY</t>
  </si>
  <si>
    <t>-10.68%</t>
  </si>
  <si>
    <t>1218525</t>
  </si>
  <si>
    <t>Under Armour Men's Sportstyle Left Chest Short-sleeve T-shirt</t>
  </si>
  <si>
    <t>B077XNQ59P</t>
  </si>
  <si>
    <t>-10.71%</t>
  </si>
  <si>
    <t>Nike Essentials Volleyball Knee Pads</t>
  </si>
  <si>
    <t>B00HQJUKMG</t>
  </si>
  <si>
    <t>-10.72%</t>
  </si>
  <si>
    <t>Asics GEL-NIMBUS 24 Running Shoe - Women's</t>
  </si>
  <si>
    <t>ASICS Women's Gel-Nimbus LITE 3 Running Shoes</t>
  </si>
  <si>
    <t>B09CLNM81K</t>
  </si>
  <si>
    <t>111.96</t>
  </si>
  <si>
    <t>-10.73%</t>
  </si>
  <si>
    <t>1037727</t>
  </si>
  <si>
    <t>ASICS Women's Gel-Nimbus 24 LITE-Show Running Shoes</t>
  </si>
  <si>
    <t>B09CLLNRCZ</t>
  </si>
  <si>
    <t>ASICS Women's Gel-Nimbus 24 Mesh Knit Running Shoes</t>
  </si>
  <si>
    <t>B09CLLM7F2</t>
  </si>
  <si>
    <t>ASICS Women's Gel-Nimbus 24 Platinum Running Shoes</t>
  </si>
  <si>
    <t>B09WBQMGQX</t>
  </si>
  <si>
    <t>Peloton Elite Ultra-Light No-Show Tab Sock</t>
  </si>
  <si>
    <t>B0B5HNN96J</t>
  </si>
  <si>
    <t>-10.86%</t>
  </si>
  <si>
    <t>frogg toggs Hellbender Stockingfoot Chest Wader - Women's</t>
  </si>
  <si>
    <t>Frogg Toggs Rana Stockingfoot Chest Waders</t>
  </si>
  <si>
    <t>B07W1L7QN3</t>
  </si>
  <si>
    <t>-10.90%</t>
  </si>
  <si>
    <t>159.99</t>
  </si>
  <si>
    <t>1241964</t>
  </si>
  <si>
    <t>Vans Ultrarange Rapidweld Shoe</t>
  </si>
  <si>
    <t>Vans UltraRange Hi DI MTE Shoes Fashion Sneaker Boot</t>
  </si>
  <si>
    <t>B07QJXNR9H</t>
  </si>
  <si>
    <t>-11.06%</t>
  </si>
  <si>
    <t>1276177</t>
  </si>
  <si>
    <t>La Sportiva Mens TX4 Approach/Hiking Shoes</t>
  </si>
  <si>
    <t>B07M9X6BPR</t>
  </si>
  <si>
    <t>-11.20%</t>
  </si>
  <si>
    <t>Outdoor Research Helios Sun Hat - Lightweight Protective Adventure Travel Hat</t>
  </si>
  <si>
    <t>B005BVXZUK</t>
  </si>
  <si>
    <t>-11.22%</t>
  </si>
  <si>
    <t>Outdoor Research Papyrus Brim Sun Hat Unisex UPF Breathable Sun Protection</t>
  </si>
  <si>
    <t>B00M45IK9W</t>
  </si>
  <si>
    <t>Adidas Ultraboost Light Running Shoe</t>
  </si>
  <si>
    <t>adidas Men's Ultraboost 20 Running Shoe</t>
  </si>
  <si>
    <t>B09PKXV9R6</t>
  </si>
  <si>
    <t>-11.58%</t>
  </si>
  <si>
    <t>1285844</t>
  </si>
  <si>
    <t>B000ODM858</t>
  </si>
  <si>
    <t>-11.60%</t>
  </si>
  <si>
    <t>Hey Dude Mens Wally Sox Wide</t>
  </si>
  <si>
    <t>B0B9WN1R8K</t>
  </si>
  <si>
    <t>-11.62%</t>
  </si>
  <si>
    <t>Under Armour Men's Brawler Pants</t>
  </si>
  <si>
    <t>B08LNMJKKT</t>
  </si>
  <si>
    <t>-11.76%</t>
  </si>
  <si>
    <t>Crocs Unisex-Adult Classic Clogs</t>
  </si>
  <si>
    <t>B071HXB8HG</t>
  </si>
  <si>
    <t>-11.85%</t>
  </si>
  <si>
    <t>Black Diamond Storm 400 HEADLAMP</t>
  </si>
  <si>
    <t>B084JCJXM2</t>
  </si>
  <si>
    <t>-12.15%</t>
  </si>
  <si>
    <t>CamelBak Podium Chill Insulated Bike Water Bottle - Easy Squeeze Bottle - Fits Most Bike Cages - 24oz, White/Black</t>
  </si>
  <si>
    <t>B07HGTSN7X</t>
  </si>
  <si>
    <t>-12.33%</t>
  </si>
  <si>
    <t>Hey Dude Men's Wally Corduroy Multiple Colors &amp; Sizes | Men’s Shoes | Men's Lace Up Loafers | Comfortable &amp; Light-Weight</t>
  </si>
  <si>
    <t>B07RSZLVFD</t>
  </si>
  <si>
    <t>-12.36%</t>
  </si>
  <si>
    <t>SITKA Gear Men's Equinox Guard Lightweight Moisture-Wicking Hunting Pants</t>
  </si>
  <si>
    <t>B0B39GLZVS</t>
  </si>
  <si>
    <t>-12.50%</t>
  </si>
  <si>
    <t>Columbia Girls' Snuggly Bunny Bunting</t>
  </si>
  <si>
    <t>B09KMMQXDD</t>
  </si>
  <si>
    <t>ALTRA Women's AL0A7R7O Provision 7 Road Running Shoe</t>
  </si>
  <si>
    <t>B09Y2BKWRG</t>
  </si>
  <si>
    <t>Billabong Feeling Free Boxy T-Shirt - Women's</t>
  </si>
  <si>
    <t>Billabong Women's Feeling Free Knit Top</t>
  </si>
  <si>
    <t>B0BQDWMRDW</t>
  </si>
  <si>
    <t>19.98</t>
  </si>
  <si>
    <t>-12.51%</t>
  </si>
  <si>
    <t>1290204</t>
  </si>
  <si>
    <t>adidas Men's Lite Racer Adapt 5.0 Running Shoe</t>
  </si>
  <si>
    <t>B09DXTBWQQ</t>
  </si>
  <si>
    <t>-12.95%</t>
  </si>
  <si>
    <t>Dakine Campus Backpack</t>
  </si>
  <si>
    <t>Dakine Campus L &amp; M Backpack 33 Litre and 25 Litre Strong Bag with Laptop Compartment &amp; Back Foam Padding - Backpack for School, Office, University, Travel Daypack</t>
  </si>
  <si>
    <t>B0873C8QBX</t>
  </si>
  <si>
    <t>-13.28%</t>
  </si>
  <si>
    <t>1077424</t>
  </si>
  <si>
    <t>Bear Archery Royale Ready to Hunt Extra Compound Bow Package for Adults and Youth, 12”- 27” Draw Length, 5-50 Lbs Draw Weight, Up to 290 FPS, Limbs Made in USA, Limited Life-Time Warranty</t>
  </si>
  <si>
    <t>B0C2QPR2X2</t>
  </si>
  <si>
    <t>-13.33%</t>
  </si>
  <si>
    <t>Under Armour Men's Charged Rogue 2.5 Running Shoe</t>
  </si>
  <si>
    <t>B08MV9JYCY</t>
  </si>
  <si>
    <t>-13.35%</t>
  </si>
  <si>
    <t>Under Armour Men's Freedom Tech Short Sleeve T-Shirt</t>
  </si>
  <si>
    <t>B08NWMGCP6</t>
  </si>
  <si>
    <t>-13.38%</t>
  </si>
  <si>
    <t>KEEN Women's Terradora 2 Low Height Breathable Hiking Shoes</t>
  </si>
  <si>
    <t>B07TBSKJSM</t>
  </si>
  <si>
    <t>-13.39%</t>
  </si>
  <si>
    <t>Altra Torin 6 Shoe - Men's</t>
  </si>
  <si>
    <t>ALTRA Men's AL0A7R6F Torin 6 - Wide Road Running Shoe</t>
  </si>
  <si>
    <t>B09QH3S348</t>
  </si>
  <si>
    <t>-13.42%</t>
  </si>
  <si>
    <t>1037464</t>
  </si>
  <si>
    <t>Reef Women's Sandals, Cushion Vista Thread, Vintage, 11</t>
  </si>
  <si>
    <t>B08BG1L791</t>
  </si>
  <si>
    <t>-13.46%</t>
  </si>
  <si>
    <t>Under Armour Men's Tech 2.0 V-Neck Short-Sleeve T-Shirt</t>
  </si>
  <si>
    <t>B0785W697M</t>
  </si>
  <si>
    <t>-13.48%</t>
  </si>
  <si>
    <t>Crocs Unisex-Adult Classic All Terrain Clog</t>
  </si>
  <si>
    <t>B0BX4WGTBD</t>
  </si>
  <si>
    <t>-13.59%</t>
  </si>
  <si>
    <t>Arc'teryx Atom LT Hoody Women's | Lightweight Versatile Synthetically Insulated Hoody</t>
  </si>
  <si>
    <t>B09QLJ1P3K</t>
  </si>
  <si>
    <t>-13.67%</t>
  </si>
  <si>
    <t>Arc'teryx Atom LT Hoodie - Men's</t>
  </si>
  <si>
    <t>Arc'teryx Atom LT Hoody Men's | Lightweight Versatile Synthetically Insulated Hoody</t>
  </si>
  <si>
    <t>B09NY5DNQZ</t>
  </si>
  <si>
    <t>1342921</t>
  </si>
  <si>
    <t>adidas Unisex-Child X Crazyfast.3 Firm Ground Sneaker</t>
  </si>
  <si>
    <t>B0BHPT776M</t>
  </si>
  <si>
    <t>-13.82%</t>
  </si>
  <si>
    <t>SITKA Gear Men's Dry Creek Fleece Jacket</t>
  </si>
  <si>
    <t>B086CW745V</t>
  </si>
  <si>
    <t>-13.99%</t>
  </si>
  <si>
    <t>Black Diamond Unisex's SPOT 350 HEADLAMP Outdoor Head Torch, Graphite, Uni</t>
  </si>
  <si>
    <t>B08BHWFNTJ</t>
  </si>
  <si>
    <t>-14.01%</t>
  </si>
  <si>
    <t>Black Diamond Spot 350 Headlamp, Azul</t>
  </si>
  <si>
    <t>B08BHRBP3N</t>
  </si>
  <si>
    <t>CamelBak Hydrobak 50oz Light Hydration Pack</t>
  </si>
  <si>
    <t>CamelBak Hydrobak Light Bike Hydration Backpack 50oz</t>
  </si>
  <si>
    <t>B08QV419V9</t>
  </si>
  <si>
    <t>63.99</t>
  </si>
  <si>
    <t>-14.05%</t>
  </si>
  <si>
    <t>54.99</t>
  </si>
  <si>
    <t>801389</t>
  </si>
  <si>
    <t>Vans Canvas Old Skool Shoe</t>
  </si>
  <si>
    <t>Vans Boy's &amp; Girl's Old Skool Pre School Little Kid Skate Shoe (True White, Medium</t>
  </si>
  <si>
    <t>B0C21VP4YJ</t>
  </si>
  <si>
    <t>-14.07%</t>
  </si>
  <si>
    <t>1339083</t>
  </si>
  <si>
    <t>ASICS Women's Gel-Contend 8 Running Shoes</t>
  </si>
  <si>
    <t>B09WC7GQ7V</t>
  </si>
  <si>
    <t>-14.11%</t>
  </si>
  <si>
    <t>Teva Girl's Original Universal Gradiate Sandal</t>
  </si>
  <si>
    <t>B0B5LZBQCP</t>
  </si>
  <si>
    <t>-14.12%</t>
  </si>
  <si>
    <t>Mizuno Women's Wave Sky WAVEKNIT 3 Running Shoe, Purple Potion-White, 6.5 B US</t>
  </si>
  <si>
    <t>B07HRK38CK</t>
  </si>
  <si>
    <t>-14.14%</t>
  </si>
  <si>
    <t>Black Diamond Storm 400 Headlamp</t>
  </si>
  <si>
    <t>B084JHMX9C</t>
  </si>
  <si>
    <t>-14.15%</t>
  </si>
  <si>
    <t>Teva Unisex-Child Original Universal Sandal</t>
  </si>
  <si>
    <t>B0B5LXPJNT</t>
  </si>
  <si>
    <t>-14.24%</t>
  </si>
  <si>
    <t>Chaco Men's Zcloud Sandal, Score Gray, 7</t>
  </si>
  <si>
    <t>B099CDQRC7</t>
  </si>
  <si>
    <t>-14.28%</t>
  </si>
  <si>
    <t>Stanley The IceFlow Flip Straw Tumbler - 30oz</t>
  </si>
  <si>
    <t>Stanley Classic IceFlow Flip Straw Tumbler for Kids (8 or Above), 20oz, Stan the Bear Stainless Steel Tumbler with Double-Wall Vacuum Insulation</t>
  </si>
  <si>
    <t>B0B4F9BZ3G</t>
  </si>
  <si>
    <t>-14.29%</t>
  </si>
  <si>
    <t>825655</t>
  </si>
  <si>
    <t>Gordini Men's Men's Stomp Iv Waterproof Insulated Mittens, Black, Large</t>
  </si>
  <si>
    <t>B07CQCCTWP</t>
  </si>
  <si>
    <t>Peak Refuel Mountain Berry Cobbler | Real Ingredients | Ready in Minutes | Just Add Water | Premium Freeze Dried Backpacking &amp; Camping Food | 2 Servings | Ideal MRE Survival Meal or Dessert</t>
  </si>
  <si>
    <t>B0CCGJXK24</t>
  </si>
  <si>
    <t>-14.30%</t>
  </si>
  <si>
    <t>Vans Old Skool Skate Shoes (Navy) Mens 4.5, Womens 6</t>
  </si>
  <si>
    <t>B073S1LJGL</t>
  </si>
  <si>
    <t>Vans Women's Old Skool Platform Running Shoes</t>
  </si>
  <si>
    <t>B001CVUZII</t>
  </si>
  <si>
    <t>ReadyWise Outdoor Breakfast Skillet, Freeze-Dried Backpacking and Camping Meals, Tasty Meals and Snacks for Hiking, Backpacking, or Emergency Preparedness, Pack of 1</t>
  </si>
  <si>
    <t>B083PS886Q</t>
  </si>
  <si>
    <t>Trailtopia Hearty Teriyaki Chicken &amp; Rice- Freeze Dried Hiking Dinner | Delicious Taste | Quick &amp; Easy Prep | Lightweight | Perfect for Camping &amp; Backpacking | High Energy Meals for Outdoor Adventures</t>
  </si>
  <si>
    <t>B07F2WV2G6</t>
  </si>
  <si>
    <t>Under Armour Men's Tech 2.0 Emboss Short-Sleeve Training Workout T-Shirt</t>
  </si>
  <si>
    <t>B07PR27QZ7</t>
  </si>
  <si>
    <t>-14.33%</t>
  </si>
  <si>
    <t>B07813WXR2</t>
  </si>
  <si>
    <t>Scott Ultimate Warm Glove - Men's</t>
  </si>
  <si>
    <t>SCOTT Ultimate Warm Snow Glove.</t>
  </si>
  <si>
    <t>B09HL9MCMK</t>
  </si>
  <si>
    <t>27.97</t>
  </si>
  <si>
    <t>-14.34%</t>
  </si>
  <si>
    <t>549897</t>
  </si>
  <si>
    <t>SCOTT Women's Ultimate Warm Snow Mitten</t>
  </si>
  <si>
    <t>B09JV11B6C</t>
  </si>
  <si>
    <t>-14.37%</t>
  </si>
  <si>
    <t>Hey Dude Men's Wally Stretch Fleece | Men’s Shoes | Men's Lace Up Loafers | Comfortable &amp; Light-Weight</t>
  </si>
  <si>
    <t>B08XDDY71J</t>
  </si>
  <si>
    <t>-14.40%</t>
  </si>
  <si>
    <t>Shimano Deore XT PD-T8000 Pedal Trekking, Black, One Size</t>
  </si>
  <si>
    <t>B01HI6M1KU</t>
  </si>
  <si>
    <t>-14.61%</t>
  </si>
  <si>
    <t>Pflueger Supreme XT Spinning Reel</t>
  </si>
  <si>
    <t>Pflueger Supreme XT Spinning Fishing Reel, 30, Multi</t>
  </si>
  <si>
    <t>B096G9Y9Y1</t>
  </si>
  <si>
    <t>-14.67%</t>
  </si>
  <si>
    <t>943388</t>
  </si>
  <si>
    <t>Bear Archery Adapt Adult Compound Bow Package Designed by The Hunting Public, 24”- 31” Draw Length, 45-60 and 55-70 Lbs Draw Weight, Up to 320 FPS, Made in USA, Limited Life-Time Warranty</t>
  </si>
  <si>
    <t>B0BDSJHXG4</t>
  </si>
  <si>
    <t>-14.69%</t>
  </si>
  <si>
    <t>Vans Unisex Adults’ Classic Slip On Trainers True White</t>
  </si>
  <si>
    <t>B07L243PNC</t>
  </si>
  <si>
    <t>-14.78%</t>
  </si>
  <si>
    <t>Yakima 1/8 oz Original Rooster Tail Lure</t>
  </si>
  <si>
    <t>Yakima Bait Wordens Original Rooster Tail Spinner Lure, Flash White, 1/8-Ounce</t>
  </si>
  <si>
    <t>B003OB6R86</t>
  </si>
  <si>
    <t>2.5</t>
  </si>
  <si>
    <t>-14.80%</t>
  </si>
  <si>
    <t>4.0</t>
  </si>
  <si>
    <t>1209818</t>
  </si>
  <si>
    <t>Birkenstock Womens Arizona Soft Footbed - Leather (Unisex)</t>
  </si>
  <si>
    <t>B00EE48SMU</t>
  </si>
  <si>
    <t>-14.85%</t>
  </si>
  <si>
    <t>Columbia Girls' Powder Lite Novelty Hooded Jacket</t>
  </si>
  <si>
    <t>B09KMBZ7CX</t>
  </si>
  <si>
    <t>-14.88%</t>
  </si>
  <si>
    <t>Outdoor Research Moab Sun Hat</t>
  </si>
  <si>
    <t>B0BQML89K3</t>
  </si>
  <si>
    <t>-14.89%</t>
  </si>
  <si>
    <t>Hey Dude Men's Wally Linen | Men's Loafers | Men's Slip On Shoes | Comfortable &amp; Light-Weight</t>
  </si>
  <si>
    <t>B0BZ6298P6</t>
  </si>
  <si>
    <t>-14.95%</t>
  </si>
  <si>
    <t>Hey Dude Men's Wally Sox Multiple Color &amp; Sizes | Men’s Shoes | Men's Lace Up Loafers | Comfortable &amp; Light-Weight</t>
  </si>
  <si>
    <t>B095KZVVDL</t>
  </si>
  <si>
    <t>Hey Dude Men's Wally Sox | Men's Loafers | Men's Slip On Shoes | Comfortable &amp; Light-Weight</t>
  </si>
  <si>
    <t>B0B9WHR4TL</t>
  </si>
  <si>
    <t>B0B9WZKZ2C</t>
  </si>
  <si>
    <t>Hey Dude Womens Wendy Rise Stretch Shoes</t>
  </si>
  <si>
    <t>B0B9VBZKNL</t>
  </si>
  <si>
    <t>Hey Dude Men's Wally Chambray | Men's Loafers | Men's Slip On Shoes | Comfortable &amp; Light-Weight</t>
  </si>
  <si>
    <t>B08QV4QZR8</t>
  </si>
  <si>
    <t>Hurley Men's One &amp; Only 2.0 21" Boardshorts</t>
  </si>
  <si>
    <t>B074PWK4D2</t>
  </si>
  <si>
    <t>-14.98%</t>
  </si>
  <si>
    <t>adidas Women's Cloudfoam Pure 2.0 Shoes Running</t>
  </si>
  <si>
    <t>B093X3NTSV</t>
  </si>
  <si>
    <t>-14.99%</t>
  </si>
  <si>
    <t>Mizuno Wave Horizon 6 Women's Running Shoe</t>
  </si>
  <si>
    <t>B091ZK4NT5</t>
  </si>
  <si>
    <t>Cotopaxi Allpa 28L Travel Pack</t>
  </si>
  <si>
    <t>B08WYXKS6B</t>
  </si>
  <si>
    <t>-15.00%</t>
  </si>
  <si>
    <t>Under Armour Men's Tech Tapered Pants</t>
  </si>
  <si>
    <t>B0BGVTQTGB</t>
  </si>
  <si>
    <t>-15.06%</t>
  </si>
  <si>
    <t>Hey Dude Wally Stretch Shoe - Men's</t>
  </si>
  <si>
    <t>Hey Dude Wally Ascend Woven Slip-On Casual Shoes</t>
  </si>
  <si>
    <t>B0B9R6DY4X</t>
  </si>
  <si>
    <t>-15.07%</t>
  </si>
  <si>
    <t>869179</t>
  </si>
  <si>
    <t>Owala Flip Insulated Stainless Steel Water Bottle with Straw for Sports and Travel, BPA-Free, 24-Ounce, Very, Very Dark</t>
  </si>
  <si>
    <t>B085DV99W2</t>
  </si>
  <si>
    <t>-15.16%</t>
  </si>
  <si>
    <t>Chaco Men's Z/Canyon 2 Sport Sandal</t>
  </si>
  <si>
    <t>B07G2SMN4F</t>
  </si>
  <si>
    <t>-15.20%</t>
  </si>
  <si>
    <t>Sorel Men's Madson II Hiker WP Boot - Rain - Waterproof</t>
  </si>
  <si>
    <t>B0821ZV4H2</t>
  </si>
  <si>
    <t>-15.23%</t>
  </si>
  <si>
    <t>Hey Dude Men's Wally Kite Various Sizes and Colors | Men’s Shoes | Men's Lace-Up Loafers | Lightweight and Comfortable</t>
  </si>
  <si>
    <t>B0B9YN3V12</t>
  </si>
  <si>
    <t>-15.32%</t>
  </si>
  <si>
    <t>Reef Women's Sandals, Cushion Vista Thread, Vintage, 9</t>
  </si>
  <si>
    <t>B08BG2VT21</t>
  </si>
  <si>
    <t>Reef Cushion Sol Women's Sandals</t>
  </si>
  <si>
    <t>B07WRHS9FQ</t>
  </si>
  <si>
    <t>Reef Women's Cushion Woven Bloom Slide Sandal</t>
  </si>
  <si>
    <t>B0BPK2RQ68</t>
  </si>
  <si>
    <t>Reef Women's Cushion Cloud Flip-Flop</t>
  </si>
  <si>
    <t>B0B5W4KCFW</t>
  </si>
  <si>
    <t>Reef Women's Cushion Ruby Slide Sandal</t>
  </si>
  <si>
    <t>B0B1JNSHXH</t>
  </si>
  <si>
    <t>Reef Women's Cushion Bloom Hi Slide Sandal</t>
  </si>
  <si>
    <t>B09RYBWTMW</t>
  </si>
  <si>
    <t>Owala Star Wars FreeSip Insulated Stainless Steel Water Bottle with Straw for Sports and Travel, BPA-Free, 24-Ounce, Mandalorian</t>
  </si>
  <si>
    <t>B0B3JSC69M</t>
  </si>
  <si>
    <t>-15.37%</t>
  </si>
  <si>
    <t>Oakley Line Miner M Snow Goggle</t>
  </si>
  <si>
    <t>Oakley LINE MINER S Snow Goggle Replacement Lens</t>
  </si>
  <si>
    <t>B079SX1JNM</t>
  </si>
  <si>
    <t>64.99</t>
  </si>
  <si>
    <t>154.0</t>
  </si>
  <si>
    <t>1322891</t>
  </si>
  <si>
    <t>Oakley LINE MINER M Snow Goggle Replacement Lens</t>
  </si>
  <si>
    <t>B079STGYM3</t>
  </si>
  <si>
    <t>Reef Women's Cushion Shea Hi Sandal</t>
  </si>
  <si>
    <t>B0BPK1V8XL</t>
  </si>
  <si>
    <t>-15.40%</t>
  </si>
  <si>
    <t>Hey Dude Men's Wally Braided Multiple Colors &amp; Sizes | Men’s Loafers | Men’s Slip On Shoes | Comfortable &amp; Lightweight</t>
  </si>
  <si>
    <t>B08XBDVG1W</t>
  </si>
  <si>
    <t>Reef Women's Water Vista Slide Sandal</t>
  </si>
  <si>
    <t>B0B7TX4KLV</t>
  </si>
  <si>
    <t>Reef Women's Cushion Vista Braid Sandals</t>
  </si>
  <si>
    <t>B083ZKHL5F</t>
  </si>
  <si>
    <t>Dakine Hip Pack - Taapuna, One Size</t>
  </si>
  <si>
    <t>B07KS3C8BD</t>
  </si>
  <si>
    <t>-15.47%</t>
  </si>
  <si>
    <t>B0B2JVC17S</t>
  </si>
  <si>
    <t>-15.54%</t>
  </si>
  <si>
    <t>Sea to Summit Ultra-Sil Dry Bag</t>
  </si>
  <si>
    <t>Sea to Summit Big River Dry Bag, Ultra-Durable Roll-Top Dry Storage</t>
  </si>
  <si>
    <t>B001PR071E</t>
  </si>
  <si>
    <t>-15.62%</t>
  </si>
  <si>
    <t>1284260</t>
  </si>
  <si>
    <t>Sea to Summit Lightweight Dry Sack 3-Piece Dry Bag Set, 1L, 2L, and 4L</t>
  </si>
  <si>
    <t>B0754LHPND</t>
  </si>
  <si>
    <t>Shimano PD-M9100; XTR; SPD Flat Bike Pedal; Cleat Set Included</t>
  </si>
  <si>
    <t>B07H8W4CF5</t>
  </si>
  <si>
    <t>-15.66%</t>
  </si>
  <si>
    <t>Stance Icon Crew Sock - Men's</t>
  </si>
  <si>
    <t>Stance Men's Sock Curren St Crew</t>
  </si>
  <si>
    <t>B07VM9W3TK</t>
  </si>
  <si>
    <t>9.95</t>
  </si>
  <si>
    <t>-15.68%</t>
  </si>
  <si>
    <t>1091441</t>
  </si>
  <si>
    <t>Columbia Lodge Quilted Crew Sweatshirt - Women's</t>
  </si>
  <si>
    <t>Columbia Women's Lodge II Crew, Black/Olive Green, Medium</t>
  </si>
  <si>
    <t>B07TP98NVK</t>
  </si>
  <si>
    <t>65.0</t>
  </si>
  <si>
    <t>-15.71%</t>
  </si>
  <si>
    <t>1035487</t>
  </si>
  <si>
    <t>Under Armour Women's HOVR Sonic 3 Running Shoe</t>
  </si>
  <si>
    <t>B07PYYR892</t>
  </si>
  <si>
    <t>-15.86%</t>
  </si>
  <si>
    <t>Osprey Poco LT Lightweight Child Carrier Backpack</t>
  </si>
  <si>
    <t>B08LNZQGWG</t>
  </si>
  <si>
    <t>-15.93%</t>
  </si>
  <si>
    <t>Hey Dude Men’s Wally Loafer Multiple Colors | Men’s Shoes | Men's Lace Up Loafers</t>
  </si>
  <si>
    <t>B0B9WVJNW5</t>
  </si>
  <si>
    <t>-15.95%</t>
  </si>
  <si>
    <t>ALTRA Women's AL0A4VRA Lone Peak All-WTHR Mid Trail Running Shoe</t>
  </si>
  <si>
    <t>B08P4MFTK4</t>
  </si>
  <si>
    <t>-16.07%</t>
  </si>
  <si>
    <t>KEEN Women's Nxis Evo Low Height Waterproof Fast Packing Hiking Shoes</t>
  </si>
  <si>
    <t>B0B2PNFLPX</t>
  </si>
  <si>
    <t>-16.17%</t>
  </si>
  <si>
    <t>Under Armour Men's HOVR Sonic 2 Running Shoe</t>
  </si>
  <si>
    <t>B07HKK3BD7</t>
  </si>
  <si>
    <t>-16.36%</t>
  </si>
  <si>
    <t>Feetures High Performance Ultra Light No Show Tab - Running Socks for Men and Women - Athletic Ankle Socks</t>
  </si>
  <si>
    <t>B0055X9QKM</t>
  </si>
  <si>
    <t>-16.43%</t>
  </si>
  <si>
    <t>-16.55%</t>
  </si>
  <si>
    <t>Billabong A/Div Arch Long Sleeve Tee</t>
  </si>
  <si>
    <t>B0BQDVT8NK</t>
  </si>
  <si>
    <t>-16.64%</t>
  </si>
  <si>
    <t>Smith Optics Cariboo OTG Unisex Snow Winter Goggles</t>
  </si>
  <si>
    <t>B00U7XMV70</t>
  </si>
  <si>
    <t>-16.67%</t>
  </si>
  <si>
    <t>ZERO TECH BASE Replacement Lens for Smith Optics Skyline Snow Goggle Ski Snowboad</t>
  </si>
  <si>
    <t>B09TDHKQW9</t>
  </si>
  <si>
    <t>-16.68%</t>
  </si>
  <si>
    <t>B09TDLLSV7</t>
  </si>
  <si>
    <t>B09TFDFY4X</t>
  </si>
  <si>
    <t>B09TDFVV59</t>
  </si>
  <si>
    <t>adidas Women's Ultraboost Personal Best Running Shoe</t>
  </si>
  <si>
    <t>B07SCZ4S41</t>
  </si>
  <si>
    <t>-16.70%</t>
  </si>
  <si>
    <t>Under Armour Men's Training Vent Short-Sleeve T-Shirt</t>
  </si>
  <si>
    <t>B07YXNNSBH</t>
  </si>
  <si>
    <t>-16.76%</t>
  </si>
  <si>
    <t>Under Armour Men's Charged Rogue 3 4e Running Shoe</t>
  </si>
  <si>
    <t>B09LSBS78L</t>
  </si>
  <si>
    <t>-17.03%</t>
  </si>
  <si>
    <t>Hurley One and Only 20" Boardshorts - Obsidian</t>
  </si>
  <si>
    <t>B084938DQ8</t>
  </si>
  <si>
    <t>-17.07%</t>
  </si>
  <si>
    <t>Outdoor Research Men's Zendo Joggers – UPF Sun Protection, Movement Mirroring Stretch, Lightweight Quick Drying Pants</t>
  </si>
  <si>
    <t>B08VF9JY77</t>
  </si>
  <si>
    <t>-17.21%</t>
  </si>
  <si>
    <t>ALTRA Men's AL0A5475 Provision 6 Road Running Shoe</t>
  </si>
  <si>
    <t>B09HPPN52L</t>
  </si>
  <si>
    <t>-17.32%</t>
  </si>
  <si>
    <t>Under Armour Men's Straight Leg Tech Pants</t>
  </si>
  <si>
    <t>B09WCTFCGZ</t>
  </si>
  <si>
    <t>-17.35%</t>
  </si>
  <si>
    <t>Crocs Unisex-Adult Classic Glitter Clog</t>
  </si>
  <si>
    <t>B0C2XFY2VW</t>
  </si>
  <si>
    <t>-17.44%</t>
  </si>
  <si>
    <t>Redington Zero Fly Fishing Reel, Lightweight Design for Trout, Clicker Drag System</t>
  </si>
  <si>
    <t>B09XFC5XWV</t>
  </si>
  <si>
    <t>-17.50%</t>
  </si>
  <si>
    <t>Sea to Summit Lightweight Dry Bag, Multi-Purpose Dry Storage, 20 Liter, Sulphur Yellow</t>
  </si>
  <si>
    <t>B0BVWFY3FC</t>
  </si>
  <si>
    <t>-17.52%</t>
  </si>
  <si>
    <t>Mizuno Women's Wave Inspire 19 Running Shoe</t>
  </si>
  <si>
    <t>B09Z7FPPVR</t>
  </si>
  <si>
    <t>-17.67%</t>
  </si>
  <si>
    <t>adidas Women's Adilette Comfort Slides Sandal, Grey/Silver Metallic/Grey, 11</t>
  </si>
  <si>
    <t>B09Y2L4YKM</t>
  </si>
  <si>
    <t>-17.74%</t>
  </si>
  <si>
    <t>McDavid Rival 7-Pad 3/4 Tight - Men's</t>
  </si>
  <si>
    <t>McDavid Rival Integrated 7-Pad 3/4 Tight, Maximum Coverage &amp; Comfort with Hard-Shell Thigh Guards, Great for Football &amp; Lacrosse (Youth and Adult)</t>
  </si>
  <si>
    <t>B09XFVWDCY</t>
  </si>
  <si>
    <t>49.99</t>
  </si>
  <si>
    <t>-17.76%</t>
  </si>
  <si>
    <t>1032041</t>
  </si>
  <si>
    <t>Bear Archery Species EV Ready to Hunt Adult Compound Bow Package, 23.5”- 30.5” Draw Length, 55-70 and 45-60 Lbs Draw Weight, Up to 320 FPS, Made in USA, Limited Life-Time Warranty</t>
  </si>
  <si>
    <t>B09J1SM767</t>
  </si>
  <si>
    <t>-17.78%</t>
  </si>
  <si>
    <t>Bear Archery Cruzer G3 Ready to Hunt Compound Bow Package</t>
  </si>
  <si>
    <t>B0BSVL1MQB</t>
  </si>
  <si>
    <t>Bear Archery Legit Ready to Hunt Compound Bow Package for Adults &amp; Youth, 14”- 30” Draw Length, 10-70 Lbs Draw Weight, Up to 315 FPS, Made in USA, Limited Life-Time Warranty</t>
  </si>
  <si>
    <t>B08NCYY3B2</t>
  </si>
  <si>
    <t>Under Armour Men's Tech Graphic Shorts</t>
  </si>
  <si>
    <t>B077XK3GXF</t>
  </si>
  <si>
    <t>-17.79%</t>
  </si>
  <si>
    <t>CamelBak Eddy+ Bottle - 20oz</t>
  </si>
  <si>
    <t>CamelBak 2018 Eddy Kids Bottle Bite Valves and Straws Lightweight Training Sports Accesoories</t>
  </si>
  <si>
    <t>B01LRW25YI</t>
  </si>
  <si>
    <t>-18.12%</t>
  </si>
  <si>
    <t>983593</t>
  </si>
  <si>
    <t>ASICS Women's Gel-Venture 8 Running Shoes</t>
  </si>
  <si>
    <t>B09Q6LV2PS</t>
  </si>
  <si>
    <t>-18.21%</t>
  </si>
  <si>
    <t>adidas Goletto VIII Firm Ground Soccer Shoe, Team Shock Pink/Core Black/Core Black, 1.5 US Unisex Little Kid</t>
  </si>
  <si>
    <t>B091MYBR6R</t>
  </si>
  <si>
    <t>-18.30%</t>
  </si>
  <si>
    <t>Bear Archery Rant Compound Bow</t>
  </si>
  <si>
    <t>B082VT77LS</t>
  </si>
  <si>
    <t>-18.36%</t>
  </si>
  <si>
    <t>B07DGJP5JX</t>
  </si>
  <si>
    <t>-18.39%</t>
  </si>
  <si>
    <t>Salomon Speedcross 6 Gore-Tex Shoe - Men's</t>
  </si>
  <si>
    <t>Salomon Men's Alphacross 4 Gore-tex Trail Running Shoe</t>
  </si>
  <si>
    <t>B0B5JVB86N</t>
  </si>
  <si>
    <t>-18.56%</t>
  </si>
  <si>
    <t>1067266</t>
  </si>
  <si>
    <t>ALTRA Women's AL0A4VR3 Escalante 2.5 Road Running Shoe</t>
  </si>
  <si>
    <t>B082Q31Q46</t>
  </si>
  <si>
    <t>-18.63%</t>
  </si>
  <si>
    <t>adidas Terrex Skychaser 2.0 Gore-TEX Hiking Shoes Women's</t>
  </si>
  <si>
    <t>B09VCGLL7Z</t>
  </si>
  <si>
    <t>-18.68%</t>
  </si>
  <si>
    <t>B09VCK3J5G</t>
  </si>
  <si>
    <t>ALTRA Women's AL0A4VR9 Lone Peak All-WTHR Low Trail Running Shoe, Black</t>
  </si>
  <si>
    <t>B08P4MNNCP</t>
  </si>
  <si>
    <t>-18.72%</t>
  </si>
  <si>
    <t>ALTRA Women's AL0A82CM Superior 6 Trail Running Shoe</t>
  </si>
  <si>
    <t>B0BK2J13CT</t>
  </si>
  <si>
    <t>-18.76%</t>
  </si>
  <si>
    <t>Under Armour Men's Surge 3 Running Shoe</t>
  </si>
  <si>
    <t>B09692NZPM</t>
  </si>
  <si>
    <t>-18.96%</t>
  </si>
  <si>
    <t>Under Armour Fly By Short - Girls'</t>
  </si>
  <si>
    <t>Under Armour Girls' Play Up Printed Shorts</t>
  </si>
  <si>
    <t>B08LMF75FK</t>
  </si>
  <si>
    <t>-19.00%</t>
  </si>
  <si>
    <t>20.0</t>
  </si>
  <si>
    <t>1145406</t>
  </si>
  <si>
    <t>Chaco Z/Cloud X2 Sandal - Women's</t>
  </si>
  <si>
    <t>B000ZIIBXU</t>
  </si>
  <si>
    <t>-19.13%</t>
  </si>
  <si>
    <t>1189915</t>
  </si>
  <si>
    <t>Under Armour Men's Charged Assert 10 Camo Running Shoe</t>
  </si>
  <si>
    <t>B0BGQMQTKG</t>
  </si>
  <si>
    <t>-19.32%</t>
  </si>
  <si>
    <t>Under Armour Men's Charged Assert 10 Running Shoe</t>
  </si>
  <si>
    <t>B09XBW8F76</t>
  </si>
  <si>
    <t>B084XX4S3X</t>
  </si>
  <si>
    <t>-19.45%</t>
  </si>
  <si>
    <t>Mizuno Men's Wave Rider 26 Running Shoe</t>
  </si>
  <si>
    <t>B09KP3MFXT</t>
  </si>
  <si>
    <t>-19.50%</t>
  </si>
  <si>
    <t>Smith Optics Holt Jr. Youth Snow Helmets</t>
  </si>
  <si>
    <t>B00UMBKV8S</t>
  </si>
  <si>
    <t>-19.55%</t>
  </si>
  <si>
    <t>Under Armour Rival Fleece HB Hoodie - Women's</t>
  </si>
  <si>
    <t>Under Armour Women's Rival Fleece Hb Hoodie</t>
  </si>
  <si>
    <t>B08LN24G94</t>
  </si>
  <si>
    <t>-19.64%</t>
  </si>
  <si>
    <t>818308</t>
  </si>
  <si>
    <t>ASICS Women's Gel-Kayano 28 Running Shoes</t>
  </si>
  <si>
    <t>B0943ZLRGH</t>
  </si>
  <si>
    <t>-19.66%</t>
  </si>
  <si>
    <t>ASICS Women's Gel-Cumulus 24 Running Shoes</t>
  </si>
  <si>
    <t>B09CLKXV5K</t>
  </si>
  <si>
    <t>B09CLPCJYL</t>
  </si>
  <si>
    <t>ASICS Women's Gel-Nimbus LITE 2 Running Shoe</t>
  </si>
  <si>
    <t>B09X6LTN2W</t>
  </si>
  <si>
    <t>adidas Men's Lite Racer Adapt V1 Sneaker</t>
  </si>
  <si>
    <t>B07SDTSNHH</t>
  </si>
  <si>
    <t>-19.93%</t>
  </si>
  <si>
    <t>Crocs Womens Classic Platform Clog</t>
  </si>
  <si>
    <t>B088ZXG8CC</t>
  </si>
  <si>
    <t>-19.94%</t>
  </si>
  <si>
    <t>B097J21M8C</t>
  </si>
  <si>
    <t>Hey Dude Women's Wendy Boho Slip-on Casual Shoes Loafer</t>
  </si>
  <si>
    <t>B0B9YVQTY6</t>
  </si>
  <si>
    <t>-19.95%</t>
  </si>
  <si>
    <t>Arc'teryx Covert Pullover Hoody Women's | Technical Midweight Fleece Hoody</t>
  </si>
  <si>
    <t>B0B8M98YCX</t>
  </si>
  <si>
    <t>-20.00%</t>
  </si>
  <si>
    <t>Arc'teryx Atom Short Jacket Women's | Lightweight Warmth with City Style - Redesign</t>
  </si>
  <si>
    <t>B0B8M77916</t>
  </si>
  <si>
    <t>Big Agnes Divide Insulated | Lightweight, Compact, 3-Season Air Chamber Sleeping Pad, Regular, Warm Olive</t>
  </si>
  <si>
    <t>B0BPCTZ24D</t>
  </si>
  <si>
    <t>-20.01%</t>
  </si>
  <si>
    <t>Big Agnes Two Track Sleeping Pad</t>
  </si>
  <si>
    <t>B07M9WL2SH</t>
  </si>
  <si>
    <t>Willit Women's 13" Hiking Shorts Cargo Golf Long Shorts Quick Dry Lightweight Outdoor Active Knee Length Shorts</t>
  </si>
  <si>
    <t>B09S8RW8J5</t>
  </si>
  <si>
    <t>Shimano XT Touring PD-T8000 SPD Trekking Clipless Pedal</t>
  </si>
  <si>
    <t>B07R2FMGYR</t>
  </si>
  <si>
    <t>Black Diamond Spot 325 Headlamp (Black)</t>
  </si>
  <si>
    <t>B07KLMKZ4T</t>
  </si>
  <si>
    <t>-20.02%</t>
  </si>
  <si>
    <t>Sea to Summit Aeros Ultralight Traveller Inflatable Neck Pillow, Grey</t>
  </si>
  <si>
    <t>B002OYD89A</t>
  </si>
  <si>
    <t>Straws Replacement for CamelBak eddy+14 oz Kids Water Bottle,CamelBak Eddy+ Straw Replacements,Accessories Set Include 4 BPA-FREE Straws and 1 Straw Cleaning Brush(14OZ)</t>
  </si>
  <si>
    <t>B095XZF9VF</t>
  </si>
  <si>
    <t>Black Diamond Unisex's SPOT 350 HEADLAMP Outdoor Head Torch, Uni</t>
  </si>
  <si>
    <t>B08BHZQP59</t>
  </si>
  <si>
    <t>Black Diamond Unisex's SPOT 350 HEADLAMP Outdoor Head Torch, Rose, Uni</t>
  </si>
  <si>
    <t>B08BHM89N6</t>
  </si>
  <si>
    <t>Black Diamond SPOT 350 HEADLAMP</t>
  </si>
  <si>
    <t>B08BHKN56P</t>
  </si>
  <si>
    <t>Under Armour Men's Vanish Woven Shorts</t>
  </si>
  <si>
    <t>B07CZ8X4FV</t>
  </si>
  <si>
    <t>-20.07%</t>
  </si>
  <si>
    <t>Pflueger Supreme XT Spinning Fishing Reel, 35, Multi</t>
  </si>
  <si>
    <t>B096G8JR6F</t>
  </si>
  <si>
    <t>-20.09%</t>
  </si>
  <si>
    <t>Outdoor Research Sun Bucket Hat - UV Protection Moisture-Wicking Breathable Water-Resistant</t>
  </si>
  <si>
    <t>B0101QJ2SI</t>
  </si>
  <si>
    <t>-20.11%</t>
  </si>
  <si>
    <t>Mizuno Women's Wave Rider 27 Running Shoe</t>
  </si>
  <si>
    <t>B0BLR3QSM9</t>
  </si>
  <si>
    <t>-20.14%</t>
  </si>
  <si>
    <t>Black Diamond Equipment - Spot 350 Headlamp - Aluminum</t>
  </si>
  <si>
    <t>B08BHR5448</t>
  </si>
  <si>
    <t>-20.16%</t>
  </si>
  <si>
    <t>Metolius Super Chalk Sock Standard One Size</t>
  </si>
  <si>
    <t>B001DTDZIG</t>
  </si>
  <si>
    <t>-20.20%</t>
  </si>
  <si>
    <t>Columbia Sandy Shores Sunguard Suit - Toddler</t>
  </si>
  <si>
    <t>Columbia Boys' Sandy Shores Long Sleeve Sunguard</t>
  </si>
  <si>
    <t>B0B1N7HSTK</t>
  </si>
  <si>
    <t>13.5</t>
  </si>
  <si>
    <t>-20.30%</t>
  </si>
  <si>
    <t>1131618</t>
  </si>
  <si>
    <t>B09CLMW3JB</t>
  </si>
  <si>
    <t>-20.52%</t>
  </si>
  <si>
    <t>Gordini Women's Standard Gore Gauntlet Mitten, Black, Medium</t>
  </si>
  <si>
    <t>B00AEVMO4A</t>
  </si>
  <si>
    <t>-20.70%</t>
  </si>
  <si>
    <t>CamelBak Women's Rogue Light Bike Hydration Pack 70oz</t>
  </si>
  <si>
    <t>B08R6QB69H</t>
  </si>
  <si>
    <t>-20.84%</t>
  </si>
  <si>
    <t>KEEN Women's Terradora Hiking Shoe</t>
  </si>
  <si>
    <t>B077KGCGKX</t>
  </si>
  <si>
    <t>-20.91%</t>
  </si>
  <si>
    <t>B08LQV815D</t>
  </si>
  <si>
    <t>-20.92%</t>
  </si>
  <si>
    <t>KEEN Men's Targhee 2 Waterproof Insulated Hiking Boot</t>
  </si>
  <si>
    <t>B09S8PYGSR</t>
  </si>
  <si>
    <t>-20.99%</t>
  </si>
  <si>
    <t>Under Armour Men's Charged Pursuit 3 Running Shoe</t>
  </si>
  <si>
    <t>B096952318</t>
  </si>
  <si>
    <t>-21.00%</t>
  </si>
  <si>
    <t>Billabong Ride In Oversized Crewneck Sweatshirt - Women's</t>
  </si>
  <si>
    <t>Billabong Women's Ride in Oversized Crewneck Sweatshirt</t>
  </si>
  <si>
    <t>B0B4YS8SNL</t>
  </si>
  <si>
    <t>65.95</t>
  </si>
  <si>
    <t>-21.06%</t>
  </si>
  <si>
    <t>1331610</t>
  </si>
  <si>
    <t>Feedback Sports Pro-Elite Repair Stand</t>
  </si>
  <si>
    <t>Feedback Sports Pro-Ultralight Repair Stand</t>
  </si>
  <si>
    <t>B00NARS11A</t>
  </si>
  <si>
    <t>330.0</t>
  </si>
  <si>
    <t>-21.21%</t>
  </si>
  <si>
    <t>142342</t>
  </si>
  <si>
    <t>-21.42%</t>
  </si>
  <si>
    <t>Sorel Explorer Sneaker Mid - Men's</t>
  </si>
  <si>
    <t>Sorel Men's Explorer Sneaker Mid Waterproof Shoe</t>
  </si>
  <si>
    <t>B0B6JRQFT2</t>
  </si>
  <si>
    <t>-21.44%</t>
  </si>
  <si>
    <t>1262096</t>
  </si>
  <si>
    <t>Hey Dude Men's All Wally Styles | Men’s Shoes | Men's Lace Up Loafers | Comfortable &amp; Light-Weight</t>
  </si>
  <si>
    <t>B007MMQRVK</t>
  </si>
  <si>
    <t>-21.49%</t>
  </si>
  <si>
    <t>Hey Dude Men's Wally Camo | Men's Loafers | Men's Slip On Shoes | Comfortable &amp; Light-Weight</t>
  </si>
  <si>
    <t>B0B9R3SL4H</t>
  </si>
  <si>
    <t>SITKA Gear Men's Apex Hunting Pant</t>
  </si>
  <si>
    <t>B07C56Q76W</t>
  </si>
  <si>
    <t>-21.53%</t>
  </si>
  <si>
    <t>adidas Men's Lite Racer Adapt 6.0 Sneaker</t>
  </si>
  <si>
    <t>B0BHPTVT28</t>
  </si>
  <si>
    <t>-21.54%</t>
  </si>
  <si>
    <t>Gordini Women's Stomp Mitten</t>
  </si>
  <si>
    <t>B07CQC5HN4</t>
  </si>
  <si>
    <t>-21.65%</t>
  </si>
  <si>
    <t>Race Face Chester Composite Bike Pedal</t>
  </si>
  <si>
    <t>RaceFace Chester Mountain Bike Pedal</t>
  </si>
  <si>
    <t>B018J1J7QE</t>
  </si>
  <si>
    <t>-21.70%</t>
  </si>
  <si>
    <t>572609</t>
  </si>
  <si>
    <t>prAna Men's Journeyman T-Shirt</t>
  </si>
  <si>
    <t>B096W5PFVM</t>
  </si>
  <si>
    <t>-21.78%</t>
  </si>
  <si>
    <t>prAna Groveland Shirt - Men's</t>
  </si>
  <si>
    <t>1102242</t>
  </si>
  <si>
    <t>SITKA Gear Mountain Pant</t>
  </si>
  <si>
    <t>B071R8BZ97</t>
  </si>
  <si>
    <t>SRAM GX Eagle Transmission 12-Speed Chain Silver, 126 Link</t>
  </si>
  <si>
    <t>B0CBNNRRLK</t>
  </si>
  <si>
    <t>-21.88%</t>
  </si>
  <si>
    <t>B09D8T33ZP</t>
  </si>
  <si>
    <t>-21.89%</t>
  </si>
  <si>
    <t>Crocs womens Classic Platform Marbled Clog</t>
  </si>
  <si>
    <t>B0BTDPN1B9</t>
  </si>
  <si>
    <t>-21.94%</t>
  </si>
  <si>
    <t>Cole Haan Grand Sports Journey Knit Sneaker - Men's</t>
  </si>
  <si>
    <t>Cole Haan Men's Zerogrand Journey Runner Sneaker</t>
  </si>
  <si>
    <t>B08SQKQ4CD</t>
  </si>
  <si>
    <t>-21.96%</t>
  </si>
  <si>
    <t>194.95</t>
  </si>
  <si>
    <t>1167213</t>
  </si>
  <si>
    <t>Smartwool Everyday Cable Crew Sock - Women's</t>
  </si>
  <si>
    <t>B0B2X4P14M</t>
  </si>
  <si>
    <t>-22.08%</t>
  </si>
  <si>
    <t>Smartwool Everyday Color Block Cable Crew Sock - Women's</t>
  </si>
  <si>
    <t>B0B2X6D11T</t>
  </si>
  <si>
    <t>Smartwool Everyday Striped Cable Crew Sock - Women's</t>
  </si>
  <si>
    <t>B0B2X4P14G</t>
  </si>
  <si>
    <t>Aetrex Carly Arch Support Shoe - Women's</t>
  </si>
  <si>
    <t>Aetrex Maui Women's Orthotic Flip Flops: Cushioning, Superior Arch Support, and Trendsetting Style for Unrivaled Summer Comfort | Made with EVA Cushioning</t>
  </si>
  <si>
    <t>B00N8J86J2</t>
  </si>
  <si>
    <t>-22.13%</t>
  </si>
  <si>
    <t>1206589</t>
  </si>
  <si>
    <t>SITKA Gear Men's Ascent Breathable 4-Way Stretch Hunting Pant</t>
  </si>
  <si>
    <t>B01M9F1XMZ</t>
  </si>
  <si>
    <t>-22.21%</t>
  </si>
  <si>
    <t>Vans Sk8-Hi MTE-1 Unisex Shoes</t>
  </si>
  <si>
    <t>B09BQPM55H</t>
  </si>
  <si>
    <t>-22.22%</t>
  </si>
  <si>
    <t>Bear Archery Cruzer G2 Ready to Hunt Compound Bow Package</t>
  </si>
  <si>
    <t>B076X79Z8Y</t>
  </si>
  <si>
    <t>Petzl GRIGRI Belay Device - Belay Device with Cam-Assisted Blocking for Sport, Trad, and Top-Rope Climbing</t>
  </si>
  <si>
    <t>B07MLTP3S4</t>
  </si>
  <si>
    <t>-22.33%</t>
  </si>
  <si>
    <t>Teva Men's Hurricane XLT2 Sandal, Rapids Insignia, 14</t>
  </si>
  <si>
    <t>B0721BB2NS</t>
  </si>
  <si>
    <t>-22.40%</t>
  </si>
  <si>
    <t>Boulder Gear Phoenix Insulated Jacket - Women's</t>
  </si>
  <si>
    <t>Boulder Gear Alicia Womens Insulated Ski Jacket</t>
  </si>
  <si>
    <t>B07XVN8W1H</t>
  </si>
  <si>
    <t>171.49</t>
  </si>
  <si>
    <t>-22.44%</t>
  </si>
  <si>
    <t>244.99</t>
  </si>
  <si>
    <t>1254419</t>
  </si>
  <si>
    <t>CamelBak Podium Dirt Series Chill Insulated Mountain Bike Water Bottle 21oz, White</t>
  </si>
  <si>
    <t>B08QV8PD4T</t>
  </si>
  <si>
    <t>-22.50%</t>
  </si>
  <si>
    <t>Under Armour Men's Charged Breeze 2 Running Shoe</t>
  </si>
  <si>
    <t>B09XBTJKVV</t>
  </si>
  <si>
    <t>-22.53%</t>
  </si>
  <si>
    <t>Columbia Bugaboo II Fleece Interchange Jacket - Boys'</t>
  </si>
  <si>
    <t>Columbia Boys Bugaboo II Fleece Interchange Jacket</t>
  </si>
  <si>
    <t>B08MPXXWWB</t>
  </si>
  <si>
    <t>-22.62%</t>
  </si>
  <si>
    <t>871369</t>
  </si>
  <si>
    <t>Hey Dude Men's Wally Stretch | Men’s Shoes | Men's Lace Up Loafers | Comfortable &amp; Light-Weight</t>
  </si>
  <si>
    <t>B07H7TK9KT</t>
  </si>
  <si>
    <t>-22.69%</t>
  </si>
  <si>
    <t>Stanley Wild Imagination IceFlow™ Flip Straw Tumbler 20oz Iris Cub</t>
  </si>
  <si>
    <t>B0C7SGQCQD</t>
  </si>
  <si>
    <t>-22.86%</t>
  </si>
  <si>
    <t>Crocs Women's Men's Classic Animal Print Clog | Zebra and Leopard Shoes</t>
  </si>
  <si>
    <t>B07L9C1THL</t>
  </si>
  <si>
    <t>-22.94%</t>
  </si>
  <si>
    <t>Crocs unisex-adult Classic Printed Camo Clog</t>
  </si>
  <si>
    <t>B089K4CF9B</t>
  </si>
  <si>
    <t>Brooks Ghost 14 Road Running Shoe - Women's</t>
  </si>
  <si>
    <t>Saucony Women's Cohesion 14 Road Running Shoe</t>
  </si>
  <si>
    <t>B08CGHMY1X</t>
  </si>
  <si>
    <t>858998</t>
  </si>
  <si>
    <t>Carve Designs Women's Sanitas Compression Top</t>
  </si>
  <si>
    <t>B0BRKNDVNY</t>
  </si>
  <si>
    <t>-23.02%</t>
  </si>
  <si>
    <t>Hey Dude Mens Wally Eco Linen Shoes</t>
  </si>
  <si>
    <t>B09HVDY96H</t>
  </si>
  <si>
    <t>Reef Women's Cushion Vista Cozy Slide Sandal</t>
  </si>
  <si>
    <t>B08C34KN4R</t>
  </si>
  <si>
    <t>Oakley Line Miner Snow Goggle Replacement Lens, Dark Grey, Medium</t>
  </si>
  <si>
    <t>B079SZN8NT</t>
  </si>
  <si>
    <t>-23.07%</t>
  </si>
  <si>
    <t>Zero Replacement Lens for Oakley Lineminer XL Snow Goggle Ski Snowboad</t>
  </si>
  <si>
    <t>B01N4UET03</t>
  </si>
  <si>
    <t>-23.08%</t>
  </si>
  <si>
    <t>B01N4UFKRD</t>
  </si>
  <si>
    <t>Mountain Hardwear Cloud Bank Gore-Tex Insulated Pant - Women's</t>
  </si>
  <si>
    <t>Mountain Hardwear Women's Exposure/2 Gore-tex Paclite Pant for Hiking, Camping, and Outdoor Adventures</t>
  </si>
  <si>
    <t>B09NYQVL6M</t>
  </si>
  <si>
    <t>227.5</t>
  </si>
  <si>
    <t>325.0</t>
  </si>
  <si>
    <t>1158104</t>
  </si>
  <si>
    <t>Black Diamond Kids Momentum Rock Climbing Harness</t>
  </si>
  <si>
    <t>B081BB7KBQ</t>
  </si>
  <si>
    <t>-23.09%</t>
  </si>
  <si>
    <t>Vans Mens Sk8 - Hi MTE 2.0 Dx (MTE) Valerian/True White Vn0A4P3Ituk Size</t>
  </si>
  <si>
    <t>B07QFWQT17</t>
  </si>
  <si>
    <t>-23.31%</t>
  </si>
  <si>
    <t>prAna Koen Pant - Women's</t>
  </si>
  <si>
    <t>prAna Women's Sobk Inigma Pant</t>
  </si>
  <si>
    <t>B083Z4GM3H</t>
  </si>
  <si>
    <t>71.25</t>
  </si>
  <si>
    <t>95.0</t>
  </si>
  <si>
    <t>1105657</t>
  </si>
  <si>
    <t>Arc'teryx Atom Lightweight Hoody Women's | Superlight Coreloft Insulated Hoody - Redesign</t>
  </si>
  <si>
    <t>B0BTHMD7B1</t>
  </si>
  <si>
    <t>-23.33%</t>
  </si>
  <si>
    <t>Carve Designs Women's La Jolla Reversible Top</t>
  </si>
  <si>
    <t>B09758KKST</t>
  </si>
  <si>
    <t>-23.37%</t>
  </si>
  <si>
    <t>Big Agnes Fussell UL Quilt</t>
  </si>
  <si>
    <t>Big Agnes Kings Canyon UL (Primaloft) Ultralight Camping Quilt, Gray/Palm</t>
  </si>
  <si>
    <t>B08175XW82</t>
  </si>
  <si>
    <t>195.99</t>
  </si>
  <si>
    <t>-23.49%</t>
  </si>
  <si>
    <t>279.95</t>
  </si>
  <si>
    <t>822740</t>
  </si>
  <si>
    <t>Stan's NoTubes Tire Sealant</t>
  </si>
  <si>
    <t>YAKAMOZ 20ML Cycling Tubeless Tire Sealant Injector Stans No Tube Tires Sealant Injector Syringe Bike Tire Repair Kit for MTB Mountain Road Bicycle Notubes Tire Repairing</t>
  </si>
  <si>
    <t>B09C23WBMN</t>
  </si>
  <si>
    <t>-23.59%</t>
  </si>
  <si>
    <t>125629</t>
  </si>
  <si>
    <t>adidas Predator Accuracy.3 Firm Ground Soccer Cleat</t>
  </si>
  <si>
    <t>B093QPLZTF</t>
  </si>
  <si>
    <t>35.98</t>
  </si>
  <si>
    <t>-23.62%</t>
  </si>
  <si>
    <t>1286240</t>
  </si>
  <si>
    <t>Chaco J106448 Women's Z/Cloud X2 Remix, Checker Eclipse</t>
  </si>
  <si>
    <t>B0721LQPS7</t>
  </si>
  <si>
    <t>-23.82%</t>
  </si>
  <si>
    <t>B08C2516KL</t>
  </si>
  <si>
    <t>B0B9YTFTHR</t>
  </si>
  <si>
    <t>-23.83%</t>
  </si>
  <si>
    <t>Sram Gx Eagle 12 Sp Rear Derailleur - Max 52t Lunar | Rear Derailleur</t>
  </si>
  <si>
    <t>Sram Nx Eagle 12-Speed Rear Derailleur</t>
  </si>
  <si>
    <t>B07DQM85PM</t>
  </si>
  <si>
    <t>-23.93%</t>
  </si>
  <si>
    <t>847487</t>
  </si>
  <si>
    <t>Columbia Women's Anytime Flex Short</t>
  </si>
  <si>
    <t>B0B1K61NPH</t>
  </si>
  <si>
    <t>-23.97%</t>
  </si>
  <si>
    <t>Jetboil Zip Camping Stove Cooking System, Carbon</t>
  </si>
  <si>
    <t>B004UVPDUM</t>
  </si>
  <si>
    <t>-24.01%</t>
  </si>
  <si>
    <t>Black Diamond Spot 325 Headlamp (Dark Olive)</t>
  </si>
  <si>
    <t>B07MDVDHZV</t>
  </si>
  <si>
    <t>-24.02%</t>
  </si>
  <si>
    <t>Under Armour Women's Mid Crossback Sports Bra, Cloudless Sky X- Small</t>
  </si>
  <si>
    <t>B09NV23D32</t>
  </si>
  <si>
    <t>-24.05%</t>
  </si>
  <si>
    <t>Penn Battle III Spinning Reel</t>
  </si>
  <si>
    <t>PENN Pursuit III &amp; Pursuit IV Spinning Reel and Fishing Rod Combo</t>
  </si>
  <si>
    <t>B096L3NS3J</t>
  </si>
  <si>
    <t>-24.09%</t>
  </si>
  <si>
    <t>801488</t>
  </si>
  <si>
    <t>ASICS Women's Gel-Kayano 29 Running Shoes</t>
  </si>
  <si>
    <t>B09WCBHTHC</t>
  </si>
  <si>
    <t>-24.12%</t>
  </si>
  <si>
    <t>ASICS Women's Gel-Nimbus 24 Running Shoes</t>
  </si>
  <si>
    <t>B09CLM43K9</t>
  </si>
  <si>
    <t>Salomon Men's Speedcross 4 GORE-TEX Trail Running Shoes</t>
  </si>
  <si>
    <t>B017SR0ELC</t>
  </si>
  <si>
    <t>-24.13%</t>
  </si>
  <si>
    <t>Mizuno Running Women's Wave Sky 6 Running Shoe, Ultimate Grey, 8</t>
  </si>
  <si>
    <t>B09KP2G96P</t>
  </si>
  <si>
    <t>-24.30%</t>
  </si>
  <si>
    <t>IRON °FLASK Sports Water Bottle - 32oz, 3 Lids (Straw Lid), Leak Proof - Stainless Steel Gym &amp; Sport Bottles for Men, Women &amp; Kids - Double Walled, Insulated Thermos, Metal Canteen</t>
  </si>
  <si>
    <t>B07N1X7JWP</t>
  </si>
  <si>
    <t>-24.37%</t>
  </si>
  <si>
    <t>KEEN Women's Wasatch Crest Vent Breathable Hiking Shoes</t>
  </si>
  <si>
    <t>B097CMR6F8</t>
  </si>
  <si>
    <t>-24.50%</t>
  </si>
  <si>
    <t>Sea to Summit Comfort Plus Self Inflating Sleeping Pad</t>
  </si>
  <si>
    <t>Zeepair Self Inflating Sleeping Pad for Camping with 9.5 R Value 3inch UltraThick Memory Foam Comfort Plus Camping Mats for Backpacking Travelling and Hiking Portable Air Mattress for 4-Season -Green</t>
  </si>
  <si>
    <t>B09Y362GTJ</t>
  </si>
  <si>
    <t>79.5</t>
  </si>
  <si>
    <t>-24.54%</t>
  </si>
  <si>
    <t>159.0</t>
  </si>
  <si>
    <t>550181</t>
  </si>
  <si>
    <t>Crocs unisex-adult Classic Realtree Clog</t>
  </si>
  <si>
    <t>B005EU649C</t>
  </si>
  <si>
    <t>Reef Womens Sandals Vista | Vegan Leather Slides for Women With Cushion Bounce Footbed</t>
  </si>
  <si>
    <t>B07HRVJZQ5</t>
  </si>
  <si>
    <t>-24.68%</t>
  </si>
  <si>
    <t>Crocs unisex-adult Classic All-Terrain Black Panther Clog</t>
  </si>
  <si>
    <t>B0788LQY8B</t>
  </si>
  <si>
    <t>-24.74%</t>
  </si>
  <si>
    <t>Orvis Clearwater Fly Rod Outfit</t>
  </si>
  <si>
    <t>B07SQ48KWS</t>
  </si>
  <si>
    <t>398.0</t>
  </si>
  <si>
    <t>-24.87%</t>
  </si>
  <si>
    <t>788033</t>
  </si>
  <si>
    <t>Hurley Men's Standard One and Only Supersuede 21" Board Short</t>
  </si>
  <si>
    <t>B07FQLCKYB</t>
  </si>
  <si>
    <t>-24.90%</t>
  </si>
  <si>
    <t>Crocs unisex-adult Classic Hiker Clog</t>
  </si>
  <si>
    <t>B09H9F4Q7W</t>
  </si>
  <si>
    <t>Smartwool Everyday Cozy Lodge Crew Sock - Women's</t>
  </si>
  <si>
    <t>B0B2X66LZF</t>
  </si>
  <si>
    <t>-24.94%</t>
  </si>
  <si>
    <t>Vans Unisex-Child Classic Slip-on Checkerboard</t>
  </si>
  <si>
    <t>B08RXWBXNC</t>
  </si>
  <si>
    <t>Chaco Men's Zvolv 2 Sandal</t>
  </si>
  <si>
    <t>B00KXAEIGO</t>
  </si>
  <si>
    <t>-24.99%</t>
  </si>
  <si>
    <t>Fox Racing Proframe RS Helmet</t>
  </si>
  <si>
    <t>Fox Racing Proframe Mountain Bike Helmet, VOW White, Medium</t>
  </si>
  <si>
    <t>B0988CDTRJ</t>
  </si>
  <si>
    <t>359.95</t>
  </si>
  <si>
    <t>-25.00%</t>
  </si>
  <si>
    <t>599903</t>
  </si>
  <si>
    <t>Sea to Summit Event Compression Dry Sack, Sleeping Bag Dry Bag</t>
  </si>
  <si>
    <t>B000NQDH2Y</t>
  </si>
  <si>
    <t>-25.01%</t>
  </si>
  <si>
    <t>Hurley mens One and Only Phantom Solid Board Short</t>
  </si>
  <si>
    <t>B08RHBQ58D</t>
  </si>
  <si>
    <t>-25.03%</t>
  </si>
  <si>
    <t>Sea to Summit Ultra-Sil Dry Bag, Ultralight Waterproof Dry Storage</t>
  </si>
  <si>
    <t>B0BXDTYY24</t>
  </si>
  <si>
    <t>ASICS Women's Gel-Venture 6 Running-Shoes</t>
  </si>
  <si>
    <t>B071P4NV55</t>
  </si>
  <si>
    <t>-25.05%</t>
  </si>
  <si>
    <t>Redington Youth CROSSWATER Wading Boots</t>
  </si>
  <si>
    <t>B014I49TS2</t>
  </si>
  <si>
    <t>-25.20%</t>
  </si>
  <si>
    <t>Pflueger Supreme XT Spinning Fishing Reel, 25</t>
  </si>
  <si>
    <t>B096G6FCP5</t>
  </si>
  <si>
    <t>-25.33%</t>
  </si>
  <si>
    <t>Columbia Baby Double Trouble Jacket, Collegiate Navy, 3/6</t>
  </si>
  <si>
    <t>B0814BN15P</t>
  </si>
  <si>
    <t>-25.43%</t>
  </si>
  <si>
    <t>Hurley Men's One and Only 21" Board Shorts</t>
  </si>
  <si>
    <t>B074PVQVJW</t>
  </si>
  <si>
    <t>-25.45%</t>
  </si>
  <si>
    <t>KEEN Men's Voyageur Mid Height Breathable Hiking Boots</t>
  </si>
  <si>
    <t>B008J5F9H2</t>
  </si>
  <si>
    <t>-25.52%</t>
  </si>
  <si>
    <t>Under Armour Men's Challenger Training Pants</t>
  </si>
  <si>
    <t>B08LNY82VV</t>
  </si>
  <si>
    <t>-25.55%</t>
  </si>
  <si>
    <t>DeMarini Voodoo XL Backpack</t>
  </si>
  <si>
    <t>DeMarini Voodoo Junior Baseball Backpack</t>
  </si>
  <si>
    <t>B07VMV3134</t>
  </si>
  <si>
    <t>-25.58%</t>
  </si>
  <si>
    <t>1409819</t>
  </si>
  <si>
    <t>Mizuno Women's Creation Waveknit 2 Running Shoe</t>
  </si>
  <si>
    <t>B07QTDN779</t>
  </si>
  <si>
    <t>-25.88%</t>
  </si>
  <si>
    <t>Hey Dude mens Wally Braided Slip-on Casual Shoes</t>
  </si>
  <si>
    <t>B0B9RVKLP1</t>
  </si>
  <si>
    <t>-25.96%</t>
  </si>
  <si>
    <t>Mizuno Women's Wave Sky 6 Running Shoe</t>
  </si>
  <si>
    <t>B09Z7DMXFW</t>
  </si>
  <si>
    <t>-26.00%</t>
  </si>
  <si>
    <t>Scientific Anglers Mastery Series Trout Fly Line</t>
  </si>
  <si>
    <t>B015YP5AK0</t>
  </si>
  <si>
    <t>-26.03%</t>
  </si>
  <si>
    <t>adidas X Speedportal.3 Laceless Firm Ground Soccer Cleat</t>
  </si>
  <si>
    <t>B093RWCRX4</t>
  </si>
  <si>
    <t>-26.09%</t>
  </si>
  <si>
    <t>1286289</t>
  </si>
  <si>
    <t>Reef Women's Cushion Court Twist Flip-Flop</t>
  </si>
  <si>
    <t>B0B7TR349S</t>
  </si>
  <si>
    <t>-26.11%</t>
  </si>
  <si>
    <t>Hey Dude Women's Wendy Chambray | Women's Shoes | Women's Lace Up Loafers | Comfortable &amp; Light-Weight</t>
  </si>
  <si>
    <t>B0C1PK3QWH</t>
  </si>
  <si>
    <t>-26.16%</t>
  </si>
  <si>
    <t>B0C1PSRZM1</t>
  </si>
  <si>
    <t>KEEN Women's Steens Vent Low Height Breathable Hiking Shoes</t>
  </si>
  <si>
    <t>B07TQL1J78</t>
  </si>
  <si>
    <t>-26.23%</t>
  </si>
  <si>
    <t>RaceFace Chester Composite Bike Pedals Sz 9/16in</t>
  </si>
  <si>
    <t>B01DFH8VTG</t>
  </si>
  <si>
    <t>-26.37%</t>
  </si>
  <si>
    <t>Columbia Baby Double Trouble Jacket, Black, 3/6</t>
  </si>
  <si>
    <t>B0814BXXZS</t>
  </si>
  <si>
    <t>-26.50%</t>
  </si>
  <si>
    <t>adidas Terrex AX4 Mid Gore-TEX Hiking Shoes Women's</t>
  </si>
  <si>
    <t>B09422TFLK</t>
  </si>
  <si>
    <t>-26.94%</t>
  </si>
  <si>
    <t>Salomon Speedcross 6 Trail Running Shoe - Women's</t>
  </si>
  <si>
    <t>Salomon Women's Trail Running Shoe</t>
  </si>
  <si>
    <t>B07Z5GZT72</t>
  </si>
  <si>
    <t>83.97</t>
  </si>
  <si>
    <t>-27.13%</t>
  </si>
  <si>
    <t>1067319</t>
  </si>
  <si>
    <t>Ello Cooper Stainless Steel Water Bottle with Straw and Carry Handle, Double Walled and Vacuum Insulated Metal, Leak Proof Locking Lid with Soft Silicone Spout, Reusbale, BPA Free | 22oz, 32oz, 40oz</t>
  </si>
  <si>
    <t>B09MG8FRMP</t>
  </si>
  <si>
    <t>-27.28%</t>
  </si>
  <si>
    <t>Big Agnes Insulated Air Core Ultra Sleeping Pad, Orange, 20x72 (Regular)</t>
  </si>
  <si>
    <t>B08174RN6Q</t>
  </si>
  <si>
    <t>-27.42%</t>
  </si>
  <si>
    <t>adidas Terrex Agravic Flow 2.0 Gore-TEX Trail Running Shoes Women's</t>
  </si>
  <si>
    <t>B0B319PNRQ</t>
  </si>
  <si>
    <t>-27.45%</t>
  </si>
  <si>
    <t>Cole Haan Men's Grandsport Journey Knit Sneaker</t>
  </si>
  <si>
    <t>B08KNVQX6L</t>
  </si>
  <si>
    <t>CamelBak Podium Chill 21oz Insulated Bike Water Bottle, Croissant Climb</t>
  </si>
  <si>
    <t>B0BS3ZMLMG</t>
  </si>
  <si>
    <t>-27.56%</t>
  </si>
  <si>
    <t>CamelBak Podium Bike Water Bottle 24oz, Stone Blue</t>
  </si>
  <si>
    <t>B09KTP7KF1</t>
  </si>
  <si>
    <t>-27.78%</t>
  </si>
  <si>
    <t>ALTRA Women's AL0A5488 Provision 6 Road Running Shoe</t>
  </si>
  <si>
    <t>B09Q7ZCG47</t>
  </si>
  <si>
    <t>-27.85%</t>
  </si>
  <si>
    <t>CamelBak Women's Hydrobak Light Bike Hydration Backpack 50oz</t>
  </si>
  <si>
    <t>B08R6QJCL1</t>
  </si>
  <si>
    <t>Crocs unisex-adult Classic Lined Clog</t>
  </si>
  <si>
    <t>B01A6LTSA0</t>
  </si>
  <si>
    <t>-27.97%</t>
  </si>
  <si>
    <t>KEEN Women's Nxis Speed Low Height Vented Hiking Shoes</t>
  </si>
  <si>
    <t>B0B2PQ4Y93</t>
  </si>
  <si>
    <t>-28.02%</t>
  </si>
  <si>
    <t>Ronix Coral Women's CE Approved Impact Vest, Aqua Blue</t>
  </si>
  <si>
    <t>B09S16JW7P</t>
  </si>
  <si>
    <t>-28.14%</t>
  </si>
  <si>
    <t>adidas Men's Lite Racer Adapt 4.0 Running Shoe</t>
  </si>
  <si>
    <t>B08CZ58S92</t>
  </si>
  <si>
    <t>-28.15%</t>
  </si>
  <si>
    <t>Crocs Unisex-Adult Classic Adjustable Slip Resistant Clogs | Work Shoes</t>
  </si>
  <si>
    <t>B0B4SFX33Z</t>
  </si>
  <si>
    <t>-28.29%</t>
  </si>
  <si>
    <t>Mizuno Men's Wave Sky 5 Running Shoe</t>
  </si>
  <si>
    <t>B08JZJ2D8F</t>
  </si>
  <si>
    <t>-28.41%</t>
  </si>
  <si>
    <t>Gordini Mens Men's Stomp Iv Waterproof Insulated Mittens</t>
  </si>
  <si>
    <t>B07CQC49QM</t>
  </si>
  <si>
    <t>-28.49%</t>
  </si>
  <si>
    <t>adidas Men's Lite Racer Adapt Running Shoe</t>
  </si>
  <si>
    <t>B07T82WXVX</t>
  </si>
  <si>
    <t>-28.52%</t>
  </si>
  <si>
    <t>PENN Fierce III Spinning Inshore Fishing Reel, Size 2000, Right/Left Handle Position, 5 Bearings for Smooth Operation</t>
  </si>
  <si>
    <t>B07TWMYDFK</t>
  </si>
  <si>
    <t>-28.55%</t>
  </si>
  <si>
    <t>Solstice Flare 1-2 Person Inflatable Kayak</t>
  </si>
  <si>
    <t>Retrospec Coaster 1 &amp; 2 Person Inflatable Kayak - Portable 600-Denier Ripstop Polyester Blow up Kayak - Includes Double-Sided Paddle, Hand Pump &amp; Carrying Bag</t>
  </si>
  <si>
    <t>B09K2L5T1Q</t>
  </si>
  <si>
    <t>662.26</t>
  </si>
  <si>
    <t>-28.58%</t>
  </si>
  <si>
    <t>83040</t>
  </si>
  <si>
    <t>ASICS Women's Gel-Cumulus 24 LITE-Show Running Shoes</t>
  </si>
  <si>
    <t>B09WCC9ZSY</t>
  </si>
  <si>
    <t>-28.59%</t>
  </si>
  <si>
    <t>ASICS Women's Gel-Nimbus Lite 2 Running Shoes</t>
  </si>
  <si>
    <t>B08KHC2VKC</t>
  </si>
  <si>
    <t>BOGS Unisex-Child Neo-Classic Rain Boot</t>
  </si>
  <si>
    <t>B08911NR38</t>
  </si>
  <si>
    <t>-28.62%</t>
  </si>
  <si>
    <t>Chaco Men's Banded Z/Cloud Sandal</t>
  </si>
  <si>
    <t>B07M6G1NNF</t>
  </si>
  <si>
    <t>-28.63%</t>
  </si>
  <si>
    <t>Babolat Men's Jet Tere All Court Tennis Shoes</t>
  </si>
  <si>
    <t>B0836YZNK9</t>
  </si>
  <si>
    <t>-28.67%</t>
  </si>
  <si>
    <t>Under Armour Men's Charged Impulse 3 Running Shoe</t>
  </si>
  <si>
    <t>B09LS72MTD</t>
  </si>
  <si>
    <t>-28.79%</t>
  </si>
  <si>
    <t>Under Armour Men's Charged Pursuit 3 Twist --Running Shoe</t>
  </si>
  <si>
    <t>B09LS9YBZL</t>
  </si>
  <si>
    <t>-28.92%</t>
  </si>
  <si>
    <t>Gordini Men's Veil Waterproof Insulated Mittens</t>
  </si>
  <si>
    <t>B071D4FYXB</t>
  </si>
  <si>
    <t>-28.93%</t>
  </si>
  <si>
    <t>Under Armour Men's Charged Escape 4 Running Shoe</t>
  </si>
  <si>
    <t>B09LS848RQ</t>
  </si>
  <si>
    <t>-29.09%</t>
  </si>
  <si>
    <t>adidas League Predator Shinguard</t>
  </si>
  <si>
    <t>B09JX188T8</t>
  </si>
  <si>
    <t>-29.12%</t>
  </si>
  <si>
    <t>Under Armour Men's Charged Rogue 3 Knit Running Shoe</t>
  </si>
  <si>
    <t>B0BCWPT2YQ</t>
  </si>
  <si>
    <t>-29.19%</t>
  </si>
  <si>
    <t>Under Armour Rival Fleece Jogger - Women's</t>
  </si>
  <si>
    <t>Under Armour Women's Rival Terry Joggers</t>
  </si>
  <si>
    <t>B07SN5CJXX</t>
  </si>
  <si>
    <t>-29.22%</t>
  </si>
  <si>
    <t>674617</t>
  </si>
  <si>
    <t>B07VMYNWFN</t>
  </si>
  <si>
    <t>-29.33%</t>
  </si>
  <si>
    <t>Under Armour Men's Charged Assert 9 Running Shoe</t>
  </si>
  <si>
    <t>B087TGZQRZ</t>
  </si>
  <si>
    <t>-29.40%</t>
  </si>
  <si>
    <t>B09WBSBTCH</t>
  </si>
  <si>
    <t>-29.47%</t>
  </si>
  <si>
    <t>Mizuno womens Wave Sky Waveknit 3 Running Shoe</t>
  </si>
  <si>
    <t>B07HRHMCSW</t>
  </si>
  <si>
    <t>-29.52%</t>
  </si>
  <si>
    <t>Hurley Men's One and Only 17" Volley Board Shorts</t>
  </si>
  <si>
    <t>B08Q62BLJ7</t>
  </si>
  <si>
    <t>-29.73%</t>
  </si>
  <si>
    <t>ASICS Women's Gel-Contend 7 Running Shoes</t>
  </si>
  <si>
    <t>B091KDK2RG</t>
  </si>
  <si>
    <t>-29.74%</t>
  </si>
  <si>
    <t>Babolat Men's SFX3 All Court Tennis Shoes</t>
  </si>
  <si>
    <t>B0BQLWWX75</t>
  </si>
  <si>
    <t>-29.78%</t>
  </si>
  <si>
    <t>Under Armour Hustle Sport Backpack</t>
  </si>
  <si>
    <t>B0BJ47Z2RF</t>
  </si>
  <si>
    <t>-29.90%</t>
  </si>
  <si>
    <t>Under Armour Men's Vanish Showdown Tapered Pants</t>
  </si>
  <si>
    <t>B08LNYC9JY</t>
  </si>
  <si>
    <t>-29.92%</t>
  </si>
  <si>
    <t>Crocs womens Classic Platform Graphic Clog</t>
  </si>
  <si>
    <t>B0BPWY6BGX</t>
  </si>
  <si>
    <t>-29.95%</t>
  </si>
  <si>
    <t>Crocs Unisex-Adult Half Baked Classic Clog</t>
  </si>
  <si>
    <t>B08GL3MCRC</t>
  </si>
  <si>
    <t>Crocs Unisex-child Kids' Classic Clogs</t>
  </si>
  <si>
    <t>B09643QGPD</t>
  </si>
  <si>
    <t>B0BFNM3VMK</t>
  </si>
  <si>
    <t>Teva Women's Sandal K Original Universal</t>
  </si>
  <si>
    <t>B08VHBHRKL</t>
  </si>
  <si>
    <t>-29.96%</t>
  </si>
  <si>
    <t>Tires Continental Tubeless Grand Prix 5000 S TR - 700x28C</t>
  </si>
  <si>
    <t>B09MD6SDCC</t>
  </si>
  <si>
    <t>Tires Continental Tubeless Grand Prix 5000 S TR - 700x25C</t>
  </si>
  <si>
    <t>B09NBXB5LK</t>
  </si>
  <si>
    <t>B09NP8D33D</t>
  </si>
  <si>
    <t>-29.98%</t>
  </si>
  <si>
    <t>adidas Women's Eq21 Running Shoe</t>
  </si>
  <si>
    <t>B08JMGDBBD</t>
  </si>
  <si>
    <t>ALTRA Women's AL0A548C TIMP 4 Trail Running Shoe</t>
  </si>
  <si>
    <t>B09PWC9Y87</t>
  </si>
  <si>
    <t>Mizuno Men's Wave Sky 6 Running Shoe</t>
  </si>
  <si>
    <t>B09Z7FV8HC</t>
  </si>
  <si>
    <t>-30.00%</t>
  </si>
  <si>
    <t>Cole Haan Men's Original Grand Knit Wingtip II Sneaker</t>
  </si>
  <si>
    <t>B07989JYTN</t>
  </si>
  <si>
    <t>-30.02%</t>
  </si>
  <si>
    <t>Crocs Women's Classic Platform Clogs, Platform Shoes for Women, Graphic Clogs</t>
  </si>
  <si>
    <t>B09NMCK649</t>
  </si>
  <si>
    <t>-30.03%</t>
  </si>
  <si>
    <t>Hydro Flask Press-in Straw Lid</t>
  </si>
  <si>
    <t>IRON °FLASK Carabiner Straw Lid for Wide Mouth Hydro Insulated Sports Modern Water Bottles, Simple BPA Free</t>
  </si>
  <si>
    <t>B08C68S5Q9</t>
  </si>
  <si>
    <t>-30.15%</t>
  </si>
  <si>
    <t>573668</t>
  </si>
  <si>
    <t>B08BHYNX8Q</t>
  </si>
  <si>
    <t>-30.17%</t>
  </si>
  <si>
    <t>Hey Dude Men's Wally Camo Size 12 | Men’s Shoes | Men's Lace Up Loafers | Comfortable &amp; Light-Weight</t>
  </si>
  <si>
    <t>B07YQRJX6F</t>
  </si>
  <si>
    <t>-30.25%</t>
  </si>
  <si>
    <t>KEEN Men's Targhee 3 Mid Height Waterproof Hiking Boots, Black Olive/Golden Brown, 8.5 US</t>
  </si>
  <si>
    <t>B01N6S1BWY</t>
  </si>
  <si>
    <t>-30.29%</t>
  </si>
  <si>
    <t>STACEGEELE Insulated Vacuum Water Bottle with Spout Lid &amp; Screw on Top | Stainless Steel Flask for Kids Leak Proof Lightweight Eco Friendly 18oz / 24oz / 32 oz / 40oz(32oz Yellow)</t>
  </si>
  <si>
    <t>B08FHX7ZL7</t>
  </si>
  <si>
    <t>-30.31%</t>
  </si>
  <si>
    <t>Amazon Essentials Men's Regular-Fit Short-Sleeve Crewneck Pocket T-Shirt, Pack of 2</t>
  </si>
  <si>
    <t>B07F1D55SS</t>
  </si>
  <si>
    <t>-30.32%</t>
  </si>
  <si>
    <t>Columbia Baby Double Trouble Jacket, City Grey, 6/12</t>
  </si>
  <si>
    <t>B0814BN163</t>
  </si>
  <si>
    <t>-30.39%</t>
  </si>
  <si>
    <t>Trebo 32oz Insulated Water Bottle that Fits in Cup Holder, Stainless Steel Double Wall Tumbler Flask Bottles with Paracord Handle, with Straw Spout Lids, Keep Cold for 48 Hrs/Hot 24 Hrs,Indigo/Black</t>
  </si>
  <si>
    <t>B0BLCD3KWY</t>
  </si>
  <si>
    <t>-30.46%</t>
  </si>
  <si>
    <t>Reef Women's Cushion Coast Sneaker</t>
  </si>
  <si>
    <t>B09GMTWHHS</t>
  </si>
  <si>
    <t>-30.64%</t>
  </si>
  <si>
    <t>Reef womens Cushion Vista Thread</t>
  </si>
  <si>
    <t>B08BG27QVS</t>
  </si>
  <si>
    <t>-30.72%</t>
  </si>
  <si>
    <t>B09HW128XM</t>
  </si>
  <si>
    <t>-30.73%</t>
  </si>
  <si>
    <t>New Balance Men's 574 V2 Classic Sneaker</t>
  </si>
  <si>
    <t>B0817C32V8</t>
  </si>
  <si>
    <t>-30.74%</t>
  </si>
  <si>
    <t>Chaco Men's Zcloud 2 Sandal</t>
  </si>
  <si>
    <t>B07RRZD9B6</t>
  </si>
  <si>
    <t>-31.12%</t>
  </si>
  <si>
    <t>Under Armour Men's Charged Rogue 2 Twist Running Shoe</t>
  </si>
  <si>
    <t>B07Z79P6XX</t>
  </si>
  <si>
    <t>-31.23%</t>
  </si>
  <si>
    <t>Vans Men's Sk8-Hi MTE Skate Shoe (45 M EU / 13 B(M) US Women / 11.5 D(M) US Men, Black/Black/White Canvas)</t>
  </si>
  <si>
    <t>B01LZVNLWU</t>
  </si>
  <si>
    <t>-31.24%</t>
  </si>
  <si>
    <t>ALTRA Women's AL0A4VR4 Superior 4.5 Trail Running Shoe</t>
  </si>
  <si>
    <t>B082Q14L4H</t>
  </si>
  <si>
    <t>-31.26%</t>
  </si>
  <si>
    <t>Chaco Men's Zcloud</t>
  </si>
  <si>
    <t>B01H5RBS0G</t>
  </si>
  <si>
    <t>-31.81%</t>
  </si>
  <si>
    <t>Arc'teryx Atom LT Jacket Men's | Lightweight Versatile Synthetically Insulated Jacket</t>
  </si>
  <si>
    <t>B08BJFN683</t>
  </si>
  <si>
    <t>-32.00%</t>
  </si>
  <si>
    <t>Teva Men's Hurricane Drift Sandal</t>
  </si>
  <si>
    <t>B07DR8VMPF</t>
  </si>
  <si>
    <t>-32.10%</t>
  </si>
  <si>
    <t>CamelBak Sequoia 24L Hydration Pack - Women's</t>
  </si>
  <si>
    <t>-32.15%</t>
  </si>
  <si>
    <t>153.99</t>
  </si>
  <si>
    <t>594174</t>
  </si>
  <si>
    <t>KEEN Women's Tempo Flex Low Height Lightweight Waterproof Hiking Shoes</t>
  </si>
  <si>
    <t>B08J6TYKMZ</t>
  </si>
  <si>
    <t>-32.27%</t>
  </si>
  <si>
    <t>-32.36%</t>
  </si>
  <si>
    <t>Pflueger Supreme Spinning Fishing Reel</t>
  </si>
  <si>
    <t>B096GB968T</t>
  </si>
  <si>
    <t>-32.51%</t>
  </si>
  <si>
    <t>Billabong Women's Ride in Sweatshirt</t>
  </si>
  <si>
    <t>B09888X1M8</t>
  </si>
  <si>
    <t>-32.65%</t>
  </si>
  <si>
    <t>HO Sports Pursuit Life Vest - Women's</t>
  </si>
  <si>
    <t>HO Sports Child Pursuit Neo Vest (2020)</t>
  </si>
  <si>
    <t>B08LMJZV5Y</t>
  </si>
  <si>
    <t>1077667</t>
  </si>
  <si>
    <t>CamelBak Hydrobak Hydration Pack 50oz, Black/Graphite</t>
  </si>
  <si>
    <t>B01L8JENFO</t>
  </si>
  <si>
    <t>-32.72%</t>
  </si>
  <si>
    <t>Asics GT-2000 10 Running Shoe - Women's</t>
  </si>
  <si>
    <t>ASICS Women's GT-1000 7 Running Shoes</t>
  </si>
  <si>
    <t>B07FKP1S43</t>
  </si>
  <si>
    <t>51.98</t>
  </si>
  <si>
    <t>-32.76%</t>
  </si>
  <si>
    <t>901740</t>
  </si>
  <si>
    <t>Columbia Women's Lodge II Crew, Black/Olive Green, Large</t>
  </si>
  <si>
    <t>B07TM3NVGV</t>
  </si>
  <si>
    <t>-32.82%</t>
  </si>
  <si>
    <t>B09YMNJ3FB</t>
  </si>
  <si>
    <t>-32.88%</t>
  </si>
  <si>
    <t>KEEN Women's Circadia Vent Low Height Breathable Hiking Shoes</t>
  </si>
  <si>
    <t>B09T782NT3</t>
  </si>
  <si>
    <t>-32.90%</t>
  </si>
  <si>
    <t>Mizuno Women's Wave Horizon 5 Running Shoe</t>
  </si>
  <si>
    <t>B086FKJ3T6</t>
  </si>
  <si>
    <t>-32.95%</t>
  </si>
  <si>
    <t>B0B9WNX4XP</t>
  </si>
  <si>
    <t>-33.15%</t>
  </si>
  <si>
    <t>Columbia Baby Sandy Shores Sunguard Suit</t>
  </si>
  <si>
    <t>B07R7F2MKJ</t>
  </si>
  <si>
    <t>-33.33%</t>
  </si>
  <si>
    <t>Smith Optics Frontier Unisex Snow Winter Goggles</t>
  </si>
  <si>
    <t>B097FDGXMM</t>
  </si>
  <si>
    <t>B0BN1K1NXX</t>
  </si>
  <si>
    <t>-33.40%</t>
  </si>
  <si>
    <t>Babolat Men's SFX3 All Court Wimbledon Tennis Shoes</t>
  </si>
  <si>
    <t>B0B57MKGGD</t>
  </si>
  <si>
    <t>-33.53%</t>
  </si>
  <si>
    <t>Gordini Women's Standard AquaBloc Mitten, Black, Large</t>
  </si>
  <si>
    <t>B08DHSP1LF</t>
  </si>
  <si>
    <t>-33.56%</t>
  </si>
  <si>
    <t>CamelBak Mini M.U.L.E. Kids Hydration Backpack, 50 oz</t>
  </si>
  <si>
    <t>B01L8LR0IY</t>
  </si>
  <si>
    <t>-33.79%</t>
  </si>
  <si>
    <t>Crocs Unisex-Adult Classic Graphic Clogs</t>
  </si>
  <si>
    <t>B0BPTS27YL</t>
  </si>
  <si>
    <t>-33.95%</t>
  </si>
  <si>
    <t>Continental Grand Prix 5000 S TR Tubeless Tire</t>
  </si>
  <si>
    <t>B09HS53FYS</t>
  </si>
  <si>
    <t>-34.24%</t>
  </si>
  <si>
    <t>adidas Goletto VII FG Soccer Cleat</t>
  </si>
  <si>
    <t>-34.26%</t>
  </si>
  <si>
    <t>936456</t>
  </si>
  <si>
    <t>Sea to Summit eVac Dry Sack, All-Purpose Compression Dry Bag</t>
  </si>
  <si>
    <t>B001Q3KKQE</t>
  </si>
  <si>
    <t>-34.39%</t>
  </si>
  <si>
    <t>Carve Designs Women's Sanitas Rev. Top</t>
  </si>
  <si>
    <t>B09NRFP69S</t>
  </si>
  <si>
    <t>-34.67%</t>
  </si>
  <si>
    <t>Danner Premium Boot Laces</t>
  </si>
  <si>
    <t>Shoeslulu 20-60" Premium Flat Waxed Cotton Bootlaces Shoelaces</t>
  </si>
  <si>
    <t>B06X6DP8CK</t>
  </si>
  <si>
    <t>1197070</t>
  </si>
  <si>
    <t>Stansport 2-Burner Regulated Propane Stove</t>
  </si>
  <si>
    <t>Stansport Single Burner Propane Stove 10,000 BTUs (201)</t>
  </si>
  <si>
    <t>B000XADLN0</t>
  </si>
  <si>
    <t>-34.76%</t>
  </si>
  <si>
    <t>1124381</t>
  </si>
  <si>
    <t>ASICS Women's Gel-Cumulus 23 Mesh Knit Running Shoes</t>
  </si>
  <si>
    <t>B08XXJB3JQ</t>
  </si>
  <si>
    <t>-34.84%</t>
  </si>
  <si>
    <t>Sea to Summit Ultra-Sil Nano Dry Sack, Featherlight Dry Bag</t>
  </si>
  <si>
    <t>B007JV7EJI</t>
  </si>
  <si>
    <t>-34.92%</t>
  </si>
  <si>
    <t>B07YQRFQCW</t>
  </si>
  <si>
    <t>-34.97%</t>
  </si>
  <si>
    <t>Hey Dude Men's Wally H2O | Men's Loafers | Men's Slip On Shoes | Comfortable &amp; Light-Weight</t>
  </si>
  <si>
    <t>B0C1PWB26Y</t>
  </si>
  <si>
    <t>Hey Dude Mens Wally Kite Shoes</t>
  </si>
  <si>
    <t>B0C1PWDK1P</t>
  </si>
  <si>
    <t>B0C1QJQM22</t>
  </si>
  <si>
    <t>adidas Men's Freak Spark 23 Football Shoe</t>
  </si>
  <si>
    <t>B0B5YNCY3X</t>
  </si>
  <si>
    <t>-35.06%</t>
  </si>
  <si>
    <t>Mizuno Women's Wave Sky 5 Running Shoe</t>
  </si>
  <si>
    <t>B08JZHJ1LF</t>
  </si>
  <si>
    <t>-35.26%</t>
  </si>
  <si>
    <t>Salomon Men's Speedcross 4 Trail Running Shoes</t>
  </si>
  <si>
    <t>B017SQX3M0</t>
  </si>
  <si>
    <t>-35.32%</t>
  </si>
  <si>
    <t>Quik Shade 10' x 10' Instant Canopy Wall Panel Accessory Set for WE100/C100/SX100 Canopies with Zipper Entry, White</t>
  </si>
  <si>
    <t>B002WXWDTY</t>
  </si>
  <si>
    <t>-35.34%</t>
  </si>
  <si>
    <t>KEEN Women's Terradora 2 Waterproof Low Height Hiking Shoes</t>
  </si>
  <si>
    <t>B07TBSPDY3</t>
  </si>
  <si>
    <t>-35.41%</t>
  </si>
  <si>
    <t>Mizuno LR6 Volleyball Knee Pad</t>
  </si>
  <si>
    <t>Mizuno Youth T10 Plus Volleyball Kneepad, One Size, Black</t>
  </si>
  <si>
    <t>B00P9OJF9E</t>
  </si>
  <si>
    <t>-35.54%</t>
  </si>
  <si>
    <t>31573</t>
  </si>
  <si>
    <t>adidas Women's Adilette Slide Sandal</t>
  </si>
  <si>
    <t>B08MJTSWTG</t>
  </si>
  <si>
    <t>-35.62%</t>
  </si>
  <si>
    <t>adidas Unisex-Adult Soft Ground League Predator Shin Guards, Black/White/Team Shock Pink, X-Small</t>
  </si>
  <si>
    <t>B09XN6V5F2</t>
  </si>
  <si>
    <t>-35.69%</t>
  </si>
  <si>
    <t>Brooks Men's Catamount Trail Running Shoe</t>
  </si>
  <si>
    <t>B08QV39MD9</t>
  </si>
  <si>
    <t>-35.73%</t>
  </si>
  <si>
    <t>Brooks Men's Ghost 14 Neutral Running Shoe</t>
  </si>
  <si>
    <t>B08QV4XHLL</t>
  </si>
  <si>
    <t>Peak Refuel Strawberry Granola | 2 Serving Pouch | Freeze Dried Hiking, Backpacking and Camping Meals | Amazing Taste | Quick Prep Food</t>
  </si>
  <si>
    <t>B07BSL19CP</t>
  </si>
  <si>
    <t>-35.74%</t>
  </si>
  <si>
    <t>B07D3D64CM</t>
  </si>
  <si>
    <t>KEEN Men's Targhee 2 Mid Height Waterproof Hiking Boots</t>
  </si>
  <si>
    <t>B008J5FA8K</t>
  </si>
  <si>
    <t>-35.75%</t>
  </si>
  <si>
    <t>B08C2LM4LJ</t>
  </si>
  <si>
    <t>-35.79%</t>
  </si>
  <si>
    <t>Under Armour Men's Showdown Chino Tapered Golf Pants</t>
  </si>
  <si>
    <t>B07171562C</t>
  </si>
  <si>
    <t>-35.94%</t>
  </si>
  <si>
    <t>Smith Optics Gambler Youth Snow Winter Goggles</t>
  </si>
  <si>
    <t>B01M11TZP6</t>
  </si>
  <si>
    <t>-36.08%</t>
  </si>
  <si>
    <t>Mizuno Women's Wave Inspire 18 Running Shoe</t>
  </si>
  <si>
    <t>B091ZJRR7X</t>
  </si>
  <si>
    <t>-36.23%</t>
  </si>
  <si>
    <t>adidas Women's Solar Boost 21 Running Shoe</t>
  </si>
  <si>
    <t>B087FC2RS9</t>
  </si>
  <si>
    <t>-36.61%</t>
  </si>
  <si>
    <t>B09CLM92NX</t>
  </si>
  <si>
    <t>-36.62%</t>
  </si>
  <si>
    <t>B09CLMN5VD</t>
  </si>
  <si>
    <t>Fox Racing Proframe Mountain Bike Helmet, Matte Black, Small</t>
  </si>
  <si>
    <t>B07F96Q429</t>
  </si>
  <si>
    <t>-36.66%</t>
  </si>
  <si>
    <t>Fox Racing Proframe Mountain Bike Helmet, Blocked Black/White, Large</t>
  </si>
  <si>
    <t>B0B9HQ64YZ</t>
  </si>
  <si>
    <t>Fox Racing Proframe Mountain Bike Helmet, Matte Black, X-Large</t>
  </si>
  <si>
    <t>B07FF15VWS</t>
  </si>
  <si>
    <t>Fox Racing Proframe Mountain Bike Helmet, BLOCKED Eucalyptus, Medium</t>
  </si>
  <si>
    <t>B0988CL15H</t>
  </si>
  <si>
    <t>Fox Racing Proframe Mountain Bike Helmet, Matte Black, Medium</t>
  </si>
  <si>
    <t>B07FDYBG32</t>
  </si>
  <si>
    <t>SHIMANO PD-M8100 Cross Country Race SPD Bike Pedal</t>
  </si>
  <si>
    <t>B07TTK7T8B</t>
  </si>
  <si>
    <t>B07H7SXKHX</t>
  </si>
  <si>
    <t>-37.31%</t>
  </si>
  <si>
    <t>ALTRA Women's AL0A4VR7 Lone Peak 5 Trail Running Shoe</t>
  </si>
  <si>
    <t>B096FGRYL3</t>
  </si>
  <si>
    <t>-37.49%</t>
  </si>
  <si>
    <t>Fenwick Eagle Fly Fishing Rods</t>
  </si>
  <si>
    <t>B00VS167JS</t>
  </si>
  <si>
    <t>-37.51%</t>
  </si>
  <si>
    <t>ASICS Women's Gel-Cumulus 23 All Winter Long Running Shoes</t>
  </si>
  <si>
    <t>B09FY1PMFH</t>
  </si>
  <si>
    <t>-37.52%</t>
  </si>
  <si>
    <t>SHIMANO XTR M9100 XC Pedal</t>
  </si>
  <si>
    <t>B07F2NWQ2H</t>
  </si>
  <si>
    <t>-38.11%</t>
  </si>
  <si>
    <t>-38.16%</t>
  </si>
  <si>
    <t>Hey Dude Women's Wendy Rise Lace Up Loafers</t>
  </si>
  <si>
    <t>B08KTRQ23B</t>
  </si>
  <si>
    <t>-38.18%</t>
  </si>
  <si>
    <t>Mizuno Women's Wave Rider 26 Running Shoe</t>
  </si>
  <si>
    <t>B09KP2WP4Y</t>
  </si>
  <si>
    <t>-38.23%</t>
  </si>
  <si>
    <t>Cole Haan Mens Grandpro Rally Laser Cut Perforated Low Top Fashion Sneakers</t>
  </si>
  <si>
    <t>B07VNGQ67T</t>
  </si>
  <si>
    <t>-38.36%</t>
  </si>
  <si>
    <t>KEEN Women's Voyageur Low Height Breathable Hiking Shoes</t>
  </si>
  <si>
    <t>B00HGAGBKA</t>
  </si>
  <si>
    <t>-38.37%</t>
  </si>
  <si>
    <t>SHIMANO PD-M8120 Trail and Enduro SPD Pedal</t>
  </si>
  <si>
    <t>B07TXRNVBR</t>
  </si>
  <si>
    <t>-38.39%</t>
  </si>
  <si>
    <t>Hey Dude Women's Wendy Eco Sox, Women’s Shoes, Women’s Lace Up Loafers, Comfortable &amp; Light-Weight</t>
  </si>
  <si>
    <t>B09MJQF87H</t>
  </si>
  <si>
    <t>-38.43%</t>
  </si>
  <si>
    <t>Hey Dude Mens Wally Canvas Shoes</t>
  </si>
  <si>
    <t>B06XKX9WJ8</t>
  </si>
  <si>
    <t>-38.49%</t>
  </si>
  <si>
    <t>Hey Dude Mens Wally L Stretch Shoes</t>
  </si>
  <si>
    <t>B06VTZ4ZPP</t>
  </si>
  <si>
    <t>-38.52%</t>
  </si>
  <si>
    <t>ALTRA Women's AL0A548E Lone Peak 6 Trail Running Shoe</t>
  </si>
  <si>
    <t>B09MYZPCF6</t>
  </si>
  <si>
    <t>-38.75%</t>
  </si>
  <si>
    <t>FROGG TOGGS Men's Rana II PVC Bootfoot Chest Wader</t>
  </si>
  <si>
    <t>B00KBSO4L2</t>
  </si>
  <si>
    <t>Fox Racing powersports-Helmets DROPFRAME PRO Helmet</t>
  </si>
  <si>
    <t>B0B4SR4G45</t>
  </si>
  <si>
    <t>-38.92%</t>
  </si>
  <si>
    <t>B0014C2NBC</t>
  </si>
  <si>
    <t>-38.98%</t>
  </si>
  <si>
    <t>B0B5LY7MDN</t>
  </si>
  <si>
    <t>-39.01%</t>
  </si>
  <si>
    <t>Under Armour Men's Charged Pursuit 2 Running Shoe</t>
  </si>
  <si>
    <t>B07Z76MG13</t>
  </si>
  <si>
    <t>ALTRA Women's AL0A7R7G Lone Peak 7 Trail Running Shoe</t>
  </si>
  <si>
    <t>B09Y68R9ZY</t>
  </si>
  <si>
    <t>-39.12%</t>
  </si>
  <si>
    <t>adidas Men's Lite Racer 3.0 Running Shoe</t>
  </si>
  <si>
    <t>B091MPYGKC</t>
  </si>
  <si>
    <t>-39.23%</t>
  </si>
  <si>
    <t>Smartwool Hike Light Cushion Striped Crew (Toddler/Little Big Kid)</t>
  </si>
  <si>
    <t>B0B2XY2RB2</t>
  </si>
  <si>
    <t>-39.26%</t>
  </si>
  <si>
    <t>Brooks Men's Hyperion Tempo Road Running Shoe</t>
  </si>
  <si>
    <t>B094MK9KBV</t>
  </si>
  <si>
    <t>-39.30%</t>
  </si>
  <si>
    <t>Under Armour Hammer D Football Shoe - Men's</t>
  </si>
  <si>
    <t>Under Armour Men's Spotlight Fran 2.0 Football Shoe</t>
  </si>
  <si>
    <t>B093T94C5R</t>
  </si>
  <si>
    <t>100.0</t>
  </si>
  <si>
    <t>1259273</t>
  </si>
  <si>
    <t>Smith Optics Reason OTG Low Bridge Fit Unisex Snow Winter Goggles</t>
  </si>
  <si>
    <t>B084S79LJD</t>
  </si>
  <si>
    <t>-39.32%</t>
  </si>
  <si>
    <t>Columbia Boys' Double Trouble Jacket</t>
  </si>
  <si>
    <t>B09KMCS1X4</t>
  </si>
  <si>
    <t>-39.36%</t>
  </si>
  <si>
    <t>Funkrin Insulated Water Bottle with Straw Lid &amp; Spout Lid, 32oz Personalized Vacuum Stainless Steel Travel Mug, Leak Proof Double Walled Thermos for Hot &amp; Cold Beverages</t>
  </si>
  <si>
    <t>B0BXMNFDGT</t>
  </si>
  <si>
    <t>-39.41%</t>
  </si>
  <si>
    <t>ALTRA Women's AL0A7R72 Outroad Trail Running Shoe</t>
  </si>
  <si>
    <t>B09Q77ZWT8</t>
  </si>
  <si>
    <t>-39.51%</t>
  </si>
  <si>
    <t>Elkton Outdoors Cormorant 2 Person Tandem Inflatable Fishing Kayak, 10-Foot with EVA Padded Seats, Includes 2 Active Fishing Rod Holder Mounts, 2 Aluminum Paddles, Double Action Pump and More</t>
  </si>
  <si>
    <t>B07B8SS3L5</t>
  </si>
  <si>
    <t>-39.60%</t>
  </si>
  <si>
    <t>Contigo Jackson Chill 2.0 Vacuum-Insulated Stainless Steel Water Bottle, Secure Lid Technology for Leak-Proof Travel, Keeps Drinks Cold for 12 Hours, 32oz Orchid</t>
  </si>
  <si>
    <t>B0BSVMYC5N</t>
  </si>
  <si>
    <t>-39.71%</t>
  </si>
  <si>
    <t>Straw Lid Compatible for Hydro Flask Standard Mouth, Simple Modern Ascent Lid with Straw. Replacement Cap Multi-Compatible with 1.91" Mouth 18 oz, 21 oz, 24 oz Insulated Water Bottle Flip Top (A-1 PC)</t>
  </si>
  <si>
    <t>B07KYZ3CYG</t>
  </si>
  <si>
    <t>-39.80%</t>
  </si>
  <si>
    <t>Reef Women's Cushion Vista Thread Sandal - Vintage - 7</t>
  </si>
  <si>
    <t>B08BG2D6K4</t>
  </si>
  <si>
    <t>-39.95%</t>
  </si>
  <si>
    <t>Teva Men's Hurricane Drift Huemix Sandal</t>
  </si>
  <si>
    <t>B0B5LXPCYS</t>
  </si>
  <si>
    <t>-39.96%</t>
  </si>
  <si>
    <t>Salomon Men's Trail Running Shoe</t>
  </si>
  <si>
    <t>B07Z5GBLSW</t>
  </si>
  <si>
    <t>-39.98%</t>
  </si>
  <si>
    <t>Bear Archery Royale Ready to Hunt Compound Bow Package for Adults and Youth, 12”- 27” Draw Length, 5-50 Lbs Draw Weight, Up to 290 FPS, Limbs Made in USA, Limited Life-Time Warranty</t>
  </si>
  <si>
    <t>B07YQ3DJSG</t>
  </si>
  <si>
    <t>-40.00%</t>
  </si>
  <si>
    <t>Smith Wilder Jr MIPS Helmet - Kids'</t>
  </si>
  <si>
    <t>B096YLQ15F</t>
  </si>
  <si>
    <t>-40.01%</t>
  </si>
  <si>
    <t>Teva Men's M Hurricane Drift Sandal Sport</t>
  </si>
  <si>
    <t>B097T8C5YX</t>
  </si>
  <si>
    <t>-40.03%</t>
  </si>
  <si>
    <t>SCOTT Women's Ultimate Warm Snow Glove</t>
  </si>
  <si>
    <t>B08XFFWP8S</t>
  </si>
  <si>
    <t>-40.04%</t>
  </si>
  <si>
    <t>Smartwool Everyday Cable Ankle Boot Sock - Women's</t>
  </si>
  <si>
    <t>B0B2XLQCYQ</t>
  </si>
  <si>
    <t>-40.07%</t>
  </si>
  <si>
    <t>Columbia Bugaboo II Fleece Interchange Jacket - Girls'</t>
  </si>
  <si>
    <t>Columbia Girls' Whirlibird Ii Interchange Jacket</t>
  </si>
  <si>
    <t>B0814BTYG4</t>
  </si>
  <si>
    <t>-40.14%</t>
  </si>
  <si>
    <t>1130725</t>
  </si>
  <si>
    <t>Babolat Unisex-Adult Jet Tere All Court Tennis Shoes, Grey/Aero (Men's US Size 11)</t>
  </si>
  <si>
    <t>B0BQLCG7TC</t>
  </si>
  <si>
    <t>-40.25%</t>
  </si>
  <si>
    <t>Nike Youth Vapor Jet 6.0 Football Receiver Gloves "Salute To Service" (Trooper/Black-White, Medium)</t>
  </si>
  <si>
    <t>B0958WL3GD</t>
  </si>
  <si>
    <t>-40.37%</t>
  </si>
  <si>
    <t>ALTRA Women's AL0A7R71 Escalante 3 Road Running Shoe</t>
  </si>
  <si>
    <t>B09Q6JXSCG</t>
  </si>
  <si>
    <t>-40.62%</t>
  </si>
  <si>
    <t>-40.70%</t>
  </si>
  <si>
    <t>Danner Men's USMC Rat 8" Military Brown Boot 10 W</t>
  </si>
  <si>
    <t>B00IMNJLES</t>
  </si>
  <si>
    <t>-41.17%</t>
  </si>
  <si>
    <t>Pflueger PRESXTSP40X President XT Spinning Lightweight Reel w/ 10 Ball Bearings and Braid Ready Spool for Freshwater or Saltwater Fishing, Size 40</t>
  </si>
  <si>
    <t>B07636GCB7</t>
  </si>
  <si>
    <t>-41.19%</t>
  </si>
  <si>
    <t>adidas Women's Ultraboost 22 GTX Running Shoe</t>
  </si>
  <si>
    <t>B09Q4XL82D</t>
  </si>
  <si>
    <t>-41.50%</t>
  </si>
  <si>
    <t>FROGG TOGGS Men's Rana II PVC Bootfoot Hip Wader</t>
  </si>
  <si>
    <t>B01N1FJ9GJ</t>
  </si>
  <si>
    <t>-41.54%</t>
  </si>
  <si>
    <t>Smith Optics Cascade Classic Unisex Snow Winter Goggles</t>
  </si>
  <si>
    <t>B01D4P69WU</t>
  </si>
  <si>
    <t>-41.67%</t>
  </si>
  <si>
    <t>Smith Optics Cascade Classic Snow Goggles - Black Frame</t>
  </si>
  <si>
    <t>B00U7XLKFY</t>
  </si>
  <si>
    <t>-41.68%</t>
  </si>
  <si>
    <t>Gordini Men's Men's Aquabloc Down Gauntlet Iii Waterproof Mittens, Black, XX-Large</t>
  </si>
  <si>
    <t>B07Q13QFXL</t>
  </si>
  <si>
    <t>-41.86%</t>
  </si>
  <si>
    <t>prAna Men's Journeyman T-Shirt, Will Travel</t>
  </si>
  <si>
    <t>B07KQWYWWM</t>
  </si>
  <si>
    <t>-41.99%</t>
  </si>
  <si>
    <t>Birkenstock Men's Amalfi Leather Soft Footbed Arizona Sandals</t>
  </si>
  <si>
    <t>B00APYOB9W</t>
  </si>
  <si>
    <t>-42.22%</t>
  </si>
  <si>
    <t>Mizuno Men's Wave Inspire 16 Running Shoe Road</t>
  </si>
  <si>
    <t>B086FKJHXR</t>
  </si>
  <si>
    <t>-42.37%</t>
  </si>
  <si>
    <t>Mizuno Women's Wave Inspire 17 Running Shoe</t>
  </si>
  <si>
    <t>B086FKJHZC</t>
  </si>
  <si>
    <t>Sea to Summit Lightweight Dry Bag, Multi-Purpose Dry Storage, 5 Liter, Surf Blue</t>
  </si>
  <si>
    <t>B0BVWG3DGM</t>
  </si>
  <si>
    <t>-42.55%</t>
  </si>
  <si>
    <t>Crocs unisex-adult Classic Clog</t>
  </si>
  <si>
    <t>B00HB55OIU</t>
  </si>
  <si>
    <t>-42.60%</t>
  </si>
  <si>
    <t>ASICS Women's Gel-Nimbus 23 Knit Running Shoes</t>
  </si>
  <si>
    <t>B08QDX7JTQ</t>
  </si>
  <si>
    <t>-42.82%</t>
  </si>
  <si>
    <t>HOKA Arahi 6 Running Shoe - Women's</t>
  </si>
  <si>
    <t>B09HPQBRDC</t>
  </si>
  <si>
    <t>-42.84%</t>
  </si>
  <si>
    <t>900823</t>
  </si>
  <si>
    <t>SITKA Gear Men's Standard Lightweight Hunting Traverse Pant, Pyrite, 40 Regular</t>
  </si>
  <si>
    <t>B0983RXVG7</t>
  </si>
  <si>
    <t>-42.97%</t>
  </si>
  <si>
    <t>SITKA Gear Men's Hunting Traverse Pants</t>
  </si>
  <si>
    <t>B0BJ6K9LFB</t>
  </si>
  <si>
    <t>-43.31%</t>
  </si>
  <si>
    <t>Reef Women's Cushion Spring Joy Sandals</t>
  </si>
  <si>
    <t>B08BG1ZDZN</t>
  </si>
  <si>
    <t>-43.45%</t>
  </si>
  <si>
    <t>Mizuno Women's Wave Sky 2 Running Shoe</t>
  </si>
  <si>
    <t>B076Y62NW9</t>
  </si>
  <si>
    <t>-43.71%</t>
  </si>
  <si>
    <t>ALTRA Women's AL0A4VQV Rivera Road Running Shoe</t>
  </si>
  <si>
    <t>B08RCLFK47</t>
  </si>
  <si>
    <t>-43.76%</t>
  </si>
  <si>
    <t>Under Armour Men's Woven Vital Workout Pants</t>
  </si>
  <si>
    <t>B07PNRZFKQ</t>
  </si>
  <si>
    <t>Sea to Summit View Dry Sack, See-Thru Dry Bag</t>
  </si>
  <si>
    <t>B003Z24QCS</t>
  </si>
  <si>
    <t>-43.78%</t>
  </si>
  <si>
    <t>adidas Women's Racer TR21 Running Shoe</t>
  </si>
  <si>
    <t>B098SNL72S</t>
  </si>
  <si>
    <t>-43.89%</t>
  </si>
  <si>
    <t>Reef Women's Cushion Court Flip-Flop</t>
  </si>
  <si>
    <t>B08BG24GSD</t>
  </si>
  <si>
    <t>-43.94%</t>
  </si>
  <si>
    <t>Under Armour Pure Stretch Hipster - Women's (3 Pack)</t>
  </si>
  <si>
    <t>Under Armour Under Armor Women's Pure Stretch Printed Hipster</t>
  </si>
  <si>
    <t>B072LPC74F</t>
  </si>
  <si>
    <t>-44.00%</t>
  </si>
  <si>
    <t>425820</t>
  </si>
  <si>
    <t>Outdoor Research Sandbox Sun Hat</t>
  </si>
  <si>
    <t>B01I0O981O</t>
  </si>
  <si>
    <t>-44.44%</t>
  </si>
  <si>
    <t>Chaco Men's Zvolv Sandal</t>
  </si>
  <si>
    <t>B07R11RM27</t>
  </si>
  <si>
    <t>-44.82%</t>
  </si>
  <si>
    <t>Northside Bayview Open Toe Sport Sandal - Kids'</t>
  </si>
  <si>
    <t>Northside Unisex-Child Bayview Open Toe Sport Sandal</t>
  </si>
  <si>
    <t>B08QBF6LLY</t>
  </si>
  <si>
    <t>12.95</t>
  </si>
  <si>
    <t>-44.86%</t>
  </si>
  <si>
    <t>1192172</t>
  </si>
  <si>
    <t>Crocs Unisex-Adult Men's and Women's Classic The Child Clog | Star Wars Baby Yoda</t>
  </si>
  <si>
    <t>B08S19J9FB</t>
  </si>
  <si>
    <t>-44.88%</t>
  </si>
  <si>
    <t>Crocs Unisex-Adult Classic Printed Floral Clogs, Garden Shoes</t>
  </si>
  <si>
    <t>B08PVZJVJX</t>
  </si>
  <si>
    <t>-44.94%</t>
  </si>
  <si>
    <t>Crocs Unisex Classic United States Military Clogs</t>
  </si>
  <si>
    <t>B0C4HZ7C3F</t>
  </si>
  <si>
    <t>-44.96%</t>
  </si>
  <si>
    <t>Under Armour Men's Charged Rogue 2 Running Shoe</t>
  </si>
  <si>
    <t>B07RL623RG</t>
  </si>
  <si>
    <t>-45.00%</t>
  </si>
  <si>
    <t>Sorel Men's Cheyanne Metro Hi Far Boots</t>
  </si>
  <si>
    <t>B082211H4H</t>
  </si>
  <si>
    <t>-45.05%</t>
  </si>
  <si>
    <t>Hey Dude Women's Wendy Stretch Size | Women’s Shoes Lace Up Loafers Comfortable &amp; Light-Weight</t>
  </si>
  <si>
    <t>B08MH2V7VD</t>
  </si>
  <si>
    <t>-45.22%</t>
  </si>
  <si>
    <t>Columbia Girls' and Toddlers' Powder Lite Jacket</t>
  </si>
  <si>
    <t>B0814C2RMY</t>
  </si>
  <si>
    <t>-45.29%</t>
  </si>
  <si>
    <t>Babolat Men's Jet Mach 3 All Court Tennis Shoes</t>
  </si>
  <si>
    <t>B09B2TTWFK</t>
  </si>
  <si>
    <t>-45.64%</t>
  </si>
  <si>
    <t>B07NZ7BFDQ</t>
  </si>
  <si>
    <t>-45.66%</t>
  </si>
  <si>
    <t>Continental Grand Prix 4 Season Black Edition Road Bike Tire - Vectran Puncture Protection, DuraSkin Sidewall Protection, Folding Bike Tire (700x23, 700x25, 700x28, 700x32)</t>
  </si>
  <si>
    <t>B01N41H62V</t>
  </si>
  <si>
    <t>-45.98%</t>
  </si>
  <si>
    <t>-46.08%</t>
  </si>
  <si>
    <t>Columbia Women's Anytime Lite Short</t>
  </si>
  <si>
    <t>B0B1KFR25L</t>
  </si>
  <si>
    <t>B097TNJVRJ</t>
  </si>
  <si>
    <t>-46.11%</t>
  </si>
  <si>
    <t>B08LN361HS</t>
  </si>
  <si>
    <t>-46.33%</t>
  </si>
  <si>
    <t>Osprey Transporter 40L Wheeled Duffel Bag</t>
  </si>
  <si>
    <t>Osprey Daylite Carry-On 40L Wheeled Travel Duffel Bag, Black, One Size</t>
  </si>
  <si>
    <t>B092Z85QT6</t>
  </si>
  <si>
    <t>-46.39%</t>
  </si>
  <si>
    <t>954321</t>
  </si>
  <si>
    <t>adidas adidas Predator Competition Shin Guards</t>
  </si>
  <si>
    <t>B08L434C5Y</t>
  </si>
  <si>
    <t>-46.48%</t>
  </si>
  <si>
    <t>Crocs Unisex-Adult Classic Tie Dye Clogs</t>
  </si>
  <si>
    <t>B078FBVJ7J</t>
  </si>
  <si>
    <t>-46.87%</t>
  </si>
  <si>
    <t>SRAM GX Eagle Hollow Pin 12-Speed Chain 126 Links with PowerLock, Silver/Gray</t>
  </si>
  <si>
    <t>B07218K493</t>
  </si>
  <si>
    <t>-46.88%</t>
  </si>
  <si>
    <t>Salomon Men's Alphacross 4 GTX Trail Running Shoe</t>
  </si>
  <si>
    <t>B09MS79VZ7</t>
  </si>
  <si>
    <t>SRAM NX Eagle 12-Speed Chain 126 Links Gray w Decal, Powerlock Included</t>
  </si>
  <si>
    <t>B07K2HDZHW</t>
  </si>
  <si>
    <t>-46.89%</t>
  </si>
  <si>
    <t>Mizuno Women's Wave Rider 25 Running Shoe</t>
  </si>
  <si>
    <t>B08JZHT4PT</t>
  </si>
  <si>
    <t>-47.24%</t>
  </si>
  <si>
    <t>ASICS Women's Gel-Excite 9 Running Shoes</t>
  </si>
  <si>
    <t>B09MZ2D7TT</t>
  </si>
  <si>
    <t>-47.35%</t>
  </si>
  <si>
    <t>Sea to Summit Ultra-Sil Dry Sack, Ultralight Dry Bag</t>
  </si>
  <si>
    <t>B001PR06ZQ</t>
  </si>
  <si>
    <t>-47.53%</t>
  </si>
  <si>
    <t>ASICS Women's Gel Nimbus 15 Lite Show Running Shoes</t>
  </si>
  <si>
    <t>B00GDQS6DS</t>
  </si>
  <si>
    <t>-47.62%</t>
  </si>
  <si>
    <t>Vans Men's Sk8-Hi MTE Skate Shoe (40 M EU / 9 B(M) US Women / 7.5 D(M) US Men, Black/Black/White Canvas)</t>
  </si>
  <si>
    <t>B01N3O4YAR</t>
  </si>
  <si>
    <t>-47.99%</t>
  </si>
  <si>
    <t>Billabong 73 Pro Boardshort - Men's</t>
  </si>
  <si>
    <t>Billabong Men's Standard 73-Lineup Pro Boardshorts, 4-Way Performance Stretch 19 Inch Outseam</t>
  </si>
  <si>
    <t>B0962YQP25</t>
  </si>
  <si>
    <t>39.16</t>
  </si>
  <si>
    <t>-48.37%</t>
  </si>
  <si>
    <t>55.95</t>
  </si>
  <si>
    <t>1309917</t>
  </si>
  <si>
    <t>Zak Designs Harmony Water Bottle for Travel or At Home, 32oz Recycled Stainless Steel is Leak-Proof When Closed and Vacuum Insulated with Straw Lid and Carry Handle (Ivory White)</t>
  </si>
  <si>
    <t>B0C4KJP2T2</t>
  </si>
  <si>
    <t>-48.50%</t>
  </si>
  <si>
    <t>BLUU MOUNT (1.4-Liter) Backpacking and Camping Stove System, Outdoor Portable Gas Propane Burner Flash Cooking boiler camping Stove Kit, Hiking Hunting Fishing Emergency &amp; Survival</t>
  </si>
  <si>
    <t>B0B6ZJ94QL</t>
  </si>
  <si>
    <t>-48.79%</t>
  </si>
  <si>
    <t>La Sportiva TX2 Approach Shoe - Men's</t>
  </si>
  <si>
    <t>B071WP6D5R</t>
  </si>
  <si>
    <t>-49.16%</t>
  </si>
  <si>
    <t>Reef Women's Cushion Spring Bloom Slide Sandal</t>
  </si>
  <si>
    <t>B08BG2TVCM</t>
  </si>
  <si>
    <t>-49.19%</t>
  </si>
  <si>
    <t>B0B5YPH218</t>
  </si>
  <si>
    <t>-49.28%</t>
  </si>
  <si>
    <t>BJPKPK Insulated Water Bottles with Straw Lid, 32oz Metal Large Water Bottle with 3 Lids, Reusable Leak Proof BPA Free Thermos, Stainless Steel Canteen Water Bottle for Sports, Gym&amp;Travel-Ocean Dream</t>
  </si>
  <si>
    <t>B0B6NTY387</t>
  </si>
  <si>
    <t>-49.38%</t>
  </si>
  <si>
    <t>Danner Men's Field Ranger 6" Waterproof NMT/EH Work Boot</t>
  </si>
  <si>
    <t>B089T4GDXN</t>
  </si>
  <si>
    <t>-49.46%</t>
  </si>
  <si>
    <t>prAna Women's Briann Pant</t>
  </si>
  <si>
    <t>B07KQXQFL4</t>
  </si>
  <si>
    <t>-49.49%</t>
  </si>
  <si>
    <t>Crocs Unisex-Adult Classic Rainbow Dye Clog</t>
  </si>
  <si>
    <t>B09R85W5P8</t>
  </si>
  <si>
    <t>-49.95%</t>
  </si>
  <si>
    <t>adidas Unisex-Adult Adilette Comfort Sandals Slide</t>
  </si>
  <si>
    <t>B091ZFKD64</t>
  </si>
  <si>
    <t>-49.96%</t>
  </si>
  <si>
    <t>Smith Optics Rascal Youth Snow Winter Goggles</t>
  </si>
  <si>
    <t>B084S7DMK9</t>
  </si>
  <si>
    <t>-50.00%</t>
  </si>
  <si>
    <t>Redington Run Fly Reel Spare Spool 5-6 Weight Black</t>
  </si>
  <si>
    <t>B08KJJ7N22</t>
  </si>
  <si>
    <t>ALPS Outdoorz Upland Game Vest X</t>
  </si>
  <si>
    <t>ALPS OutdoorZ Upland Game Vest - Blaze Orange</t>
  </si>
  <si>
    <t>B0B2FKMW2R</t>
  </si>
  <si>
    <t>199.99</t>
  </si>
  <si>
    <t>848855</t>
  </si>
  <si>
    <t>YTD Men's Loose Fit Heavyweight Long Sleeve Pocket Henley T-Shirt</t>
  </si>
  <si>
    <t>B09M63DCRR</t>
  </si>
  <si>
    <t>-50.03%</t>
  </si>
  <si>
    <t>prAna Women's Mantra Pant</t>
  </si>
  <si>
    <t>B0971N3NKS</t>
  </si>
  <si>
    <t>-50.13%</t>
  </si>
  <si>
    <t>Gordini Mens Rally Mitten</t>
  </si>
  <si>
    <t>B082BGXNWR</t>
  </si>
  <si>
    <t>-50.35%</t>
  </si>
  <si>
    <t>prAna Men's Beer Belly Journeyman T-Shirt</t>
  </si>
  <si>
    <t>B07TLM67W4</t>
  </si>
  <si>
    <t>-50.58%</t>
  </si>
  <si>
    <t>B091KDJ1ZD</t>
  </si>
  <si>
    <t>-50.92%</t>
  </si>
  <si>
    <t>B0B4PFW8WY</t>
  </si>
  <si>
    <t>Vans Men's Sk8-Hi MTE Skate Shoe</t>
  </si>
  <si>
    <t>B01N3O57BI</t>
  </si>
  <si>
    <t>-51.24%</t>
  </si>
  <si>
    <t>Sea to Summit Lightweight Dry Sack, All-Purpose Dry Bag</t>
  </si>
  <si>
    <t>B001Q3KKG4</t>
  </si>
  <si>
    <t>-51.29%</t>
  </si>
  <si>
    <t>Smith Optics SO-GM3 Men's Gambler Snow Goggles-(Black/Rc36)</t>
  </si>
  <si>
    <t>B00LCAFLFQ</t>
  </si>
  <si>
    <t>-51.75%</t>
  </si>
  <si>
    <t>Brooks Men's Revel 5 Neutral Running Shoe</t>
  </si>
  <si>
    <t>B09FTPR1G7</t>
  </si>
  <si>
    <t>-52.00%</t>
  </si>
  <si>
    <t>Pflueger President XT Spinning Reel, Size 40 Fishing Reel, Right/Left Handle Position, Aluminum Spool, Front Drag System</t>
  </si>
  <si>
    <t>B01IDEP3QU</t>
  </si>
  <si>
    <t>-52.02%</t>
  </si>
  <si>
    <t>Jetboil 1-Liter FluxRing Tall Spare Cup for Jetboil Camping and Backpacking Stove Cooking Systems</t>
  </si>
  <si>
    <t>B01N1ISCMS</t>
  </si>
  <si>
    <t>Chaco Men's Z1 Classic Sandal, Bluff Hunter, 13 M US</t>
  </si>
  <si>
    <t>B07RRZ8TTZ</t>
  </si>
  <si>
    <t>-52.41%</t>
  </si>
  <si>
    <t>Chaco Men's Z/Cloud Sandal, Black, 10 M US</t>
  </si>
  <si>
    <t>B001AUGAU8</t>
  </si>
  <si>
    <t>-52.51%</t>
  </si>
  <si>
    <t>SITKA Gear Men's Territory Everyday Work Pant</t>
  </si>
  <si>
    <t>B084G49PWL</t>
  </si>
  <si>
    <t>-52.63%</t>
  </si>
  <si>
    <t>ALTRA Women's AL0A5489 Rivera 2 Road Running Shoe</t>
  </si>
  <si>
    <t>B09PXNX9XX</t>
  </si>
  <si>
    <t>-52.82%</t>
  </si>
  <si>
    <t>-52.96%</t>
  </si>
  <si>
    <t>Mizuno Women's Wave Sky 4 Waveknit Running Shoe</t>
  </si>
  <si>
    <t>B07XGNPX9P</t>
  </si>
  <si>
    <t>-52.98%</t>
  </si>
  <si>
    <t>Continental H2 Grand Prix Road Bicycle Tires</t>
  </si>
  <si>
    <t>B002BWRPBC</t>
  </si>
  <si>
    <t>-53.30%</t>
  </si>
  <si>
    <t>Boulder Gear June Insulated Ski Jacket Womens</t>
  </si>
  <si>
    <t>B09HV6WJ52</t>
  </si>
  <si>
    <t>-53.36%</t>
  </si>
  <si>
    <t>Mizuno Women's Wave Sky Waveknit 3 Running Shoe</t>
  </si>
  <si>
    <t>B07HRJ394C</t>
  </si>
  <si>
    <t>-54.41%</t>
  </si>
  <si>
    <t>Freein Kayak|Emergency Boat| 1-2 Person Professional Series Lightweight Inflatable Kayak Sit-in Kayak Set with Paddle | Seat | Fin | High Output Air Pump | Carry Bag 10'6"&amp;12'6"…</t>
  </si>
  <si>
    <t>B08596579Q</t>
  </si>
  <si>
    <t>-54.70%</t>
  </si>
  <si>
    <t>Pflueger President Xt Spinning Reel (30)</t>
  </si>
  <si>
    <t>B07636WDVD</t>
  </si>
  <si>
    <t>Lifestyles USA Personal Water Filter Straw</t>
  </si>
  <si>
    <t>DAFI Sport Water Bottle with Filter Green | 24 oz | Personal Reusable Water Bottle, Backpacking Filter Replacement, tap Water Straw Purifier, Water for Travel | Made in Europe</t>
  </si>
  <si>
    <t>B07CPGYKNJ</t>
  </si>
  <si>
    <t>-54.94%</t>
  </si>
  <si>
    <t>929387</t>
  </si>
  <si>
    <t>Mizuno Women's Wave Inspire 16 Waveknit Running Shoe Road</t>
  </si>
  <si>
    <t>B07QVRTN8D</t>
  </si>
  <si>
    <t>-55.34%</t>
  </si>
  <si>
    <t>B08PKHYY3Q</t>
  </si>
  <si>
    <t>-55.39%</t>
  </si>
  <si>
    <t>ASICS Gel-Nimbus 21 Women's Running Shoes</t>
  </si>
  <si>
    <t>B07DM2V569</t>
  </si>
  <si>
    <t>Bear Archery Limitless Dual Cam Compound Bow - Includes Quiver, Sight and Rest, God's Country</t>
  </si>
  <si>
    <t>B07KX49J43</t>
  </si>
  <si>
    <t>-55.80%</t>
  </si>
  <si>
    <t>Under Armour Women's Charged Running Shoe</t>
  </si>
  <si>
    <t>B08MVCKHDR</t>
  </si>
  <si>
    <t>-56.49%</t>
  </si>
  <si>
    <t>B07NF3TTT8</t>
  </si>
  <si>
    <t>-56.92%</t>
  </si>
  <si>
    <t>ALTRA Women's Superior 3 Running Shoe</t>
  </si>
  <si>
    <t>B01HNJSWOG</t>
  </si>
  <si>
    <t>ALTRA Women's Olympus 2.5 Trail Running Shoe</t>
  </si>
  <si>
    <t>B01MT1K34Q</t>
  </si>
  <si>
    <t>Pflueger President XT Spinning Reel</t>
  </si>
  <si>
    <t>B01IDEOZKA</t>
  </si>
  <si>
    <t>-57.23%</t>
  </si>
  <si>
    <t>Chaco Women's Zcloud Sport Sandal</t>
  </si>
  <si>
    <t>B07RV44VB7</t>
  </si>
  <si>
    <t>-57.26%</t>
  </si>
  <si>
    <t>Replacement Canopy Top, 10' x 10' Pop-Up Canopy Top Cover for Canopy Straight Leg Tent Top Cover (1pc Top Cloth Only) Black</t>
  </si>
  <si>
    <t>B0BXP5144B</t>
  </si>
  <si>
    <t>-57.58%</t>
  </si>
  <si>
    <t>Opard Insulated Stainless Steel Water Bottle, 32oz Reusable Metal Water Bottles with Straw and Spout, One Lid Dual-Use</t>
  </si>
  <si>
    <t>B09SNNJZ71</t>
  </si>
  <si>
    <t>-57.59%</t>
  </si>
  <si>
    <t>SRAM NX Eagle Chain - 12-Speed, 126 Links, Gray</t>
  </si>
  <si>
    <t>B07DQTLDJ5</t>
  </si>
  <si>
    <t>-57.84%</t>
  </si>
  <si>
    <t>B09KMPNPYL</t>
  </si>
  <si>
    <t>-58.70%</t>
  </si>
  <si>
    <t>Chaco Men's Banded Z Cloud Sandal</t>
  </si>
  <si>
    <t>B07M6G18JV</t>
  </si>
  <si>
    <t>-59.03%</t>
  </si>
  <si>
    <t>Columbia Toddler Girls' Switchback II Jacket</t>
  </si>
  <si>
    <t>B0814BN1M8</t>
  </si>
  <si>
    <t>-59.20%</t>
  </si>
  <si>
    <t>Chaco Men's Zcloud 2 Sport Sandal</t>
  </si>
  <si>
    <t>B000ZIJS5K</t>
  </si>
  <si>
    <t>ALTRA Women's AL0A5483 Superior 5 Trail Running Shoe</t>
  </si>
  <si>
    <t>B092VJQD8D</t>
  </si>
  <si>
    <t>-59.36%</t>
  </si>
  <si>
    <t>MLKSI Tumbler Set for Stanley Cup Accessories, Including Replacement Straw - Tumbler Lid - Silicone Boot and Brush for Stanley IceFlow Tumbler Stanley Flip Straw Stanley Water Bottle</t>
  </si>
  <si>
    <t>B0C2VRVY7L</t>
  </si>
  <si>
    <t>-60.03%</t>
  </si>
  <si>
    <t>FLAKBOTLE Straw Lid for Hydro Flask Standard Mouth Water Bottle 18 21 24oz, Flexible Handle Leak Proof Sports Cap Fit for Hydroflask, Flip Straw Top Lids (Black(2Pack))</t>
  </si>
  <si>
    <t>B09CLXPJQ3</t>
  </si>
  <si>
    <t>-60.09%</t>
  </si>
  <si>
    <t>Mizuno Men's Wave Sky Waveknit 3 Running Shoe</t>
  </si>
  <si>
    <t>B07HRCY8M8</t>
  </si>
  <si>
    <t>-60.20%</t>
  </si>
  <si>
    <t>-60.84%</t>
  </si>
  <si>
    <t>-60.93%</t>
  </si>
  <si>
    <t>B0BLMRMSXM</t>
  </si>
  <si>
    <t>-61.12%</t>
  </si>
  <si>
    <t>Simms Freestone Felt Wading Boot - Women's</t>
  </si>
  <si>
    <t>Simms Hardbite Wading Boot Studs for Felt Soles, Hex Head Sharp Point Screws, 20-Pack</t>
  </si>
  <si>
    <t>B001DS3X6Q</t>
  </si>
  <si>
    <t>89.98</t>
  </si>
  <si>
    <t>-61.16%</t>
  </si>
  <si>
    <t>179.95</t>
  </si>
  <si>
    <t>617264</t>
  </si>
  <si>
    <t>SRAM Powerlock Connector Chain Links for SRAM Eagle 12 Speed Chains (Set of 2)</t>
  </si>
  <si>
    <t>B06VVMZN1W</t>
  </si>
  <si>
    <t>-62.52%</t>
  </si>
  <si>
    <t>NuRich Standard Mouth Flex Lid Cap for Hydro Flask 18 21 24 oz Standard Mouth, Replacement Sport Cap for HydroFlask Top Lid with Flexible Handle, Sport Water Bottle Cap Accessories, Black</t>
  </si>
  <si>
    <t>B07PRHWT4W</t>
  </si>
  <si>
    <t>-62.83%</t>
  </si>
  <si>
    <t>The Mass Straw Lid and Boot for Hydro Flask Wide Mouth and Other Brand Insulated Water Bottle</t>
  </si>
  <si>
    <t>B08597W6N4</t>
  </si>
  <si>
    <t>IRON °FLASK Straw Lid for Narrow Standard Mouth Insulated Sports Water Bottles, Standard Mouth, BPA Free, 2 Lids, 4 Straws, 2 Cleaning Brushes</t>
  </si>
  <si>
    <t>B083HFJYJ5</t>
  </si>
  <si>
    <t>-62.95%</t>
  </si>
  <si>
    <t>Crocs unisex-adult Classic Lined Tie-Dye Clog</t>
  </si>
  <si>
    <t>B08PVZV2B1</t>
  </si>
  <si>
    <t>-63.14%</t>
  </si>
  <si>
    <t>Straw Lid Compatible with Hydro Flask Standard Mouth &amp; Iron Flask, Dust Cover Lid Fits Standard Mouth, Sports Water Bottle Accessories Replacement Straw Lid (Patented)</t>
  </si>
  <si>
    <t>B0B14ZF4BW</t>
  </si>
  <si>
    <t>-64.09%</t>
  </si>
  <si>
    <t>Sitka Traverse Hoodie - Men's</t>
  </si>
  <si>
    <t>SITKA Gear Women's Unisex Warm Traverse Beanie</t>
  </si>
  <si>
    <t>B0BJ6XP892</t>
  </si>
  <si>
    <t>-64.42%</t>
  </si>
  <si>
    <t>990723</t>
  </si>
  <si>
    <t>HEYSKAY Anti-dust Straw Lid and Protective Silicone Base Boot for Hydro Flask Wide Mouth12-40oz and Other Brand Insulated Wide Mouth Sport Water Bottle</t>
  </si>
  <si>
    <t>B0C1CCZ9JK</t>
  </si>
  <si>
    <t>-65.69%</t>
  </si>
  <si>
    <t>ALTRA Women's AL0A7R78 Torin 6 Road Running Shoe</t>
  </si>
  <si>
    <t>B09QH4LMPT</t>
  </si>
  <si>
    <t>-65.70%</t>
  </si>
  <si>
    <t>SRAM Powerlock Connector Chain Link for SRAM Eagle 12 Speed Chains</t>
  </si>
  <si>
    <t>B07PNCH2PK</t>
  </si>
  <si>
    <t>Badlands Bino X Binocular Bag</t>
  </si>
  <si>
    <t>LTGEM EVA Hard Case for NIKON Monarch M5 8x42 Binocular - Travel Protective Carrying Storage Bag</t>
  </si>
  <si>
    <t>B0B11MFVWL</t>
  </si>
  <si>
    <t>-66.01%</t>
  </si>
  <si>
    <t>1282139</t>
  </si>
  <si>
    <t>Redington Crosswater Reel, Durable Fly Fishing Reel, Left and Right Hand Retrieve, Smooth Drag System</t>
  </si>
  <si>
    <t>B074KMMHD2</t>
  </si>
  <si>
    <t>-66.67%</t>
  </si>
  <si>
    <t>Intex 68310VM Dakota K2 2-Person Heavy-Duty Vinyl Inflatable Kayak with 86-Inch Oars and Air Pump, Gray &amp; Red</t>
  </si>
  <si>
    <t>B085S877YV</t>
  </si>
  <si>
    <t>-66.78%</t>
  </si>
  <si>
    <t>SHIMANO PD-M9100 Pedal Axle Assembly (Left/B.C.9/16" X 20T.P.I.) - YL8D98030</t>
  </si>
  <si>
    <t>B07LGGT2R9</t>
  </si>
  <si>
    <t>-67.80%</t>
  </si>
  <si>
    <t>Gordini Mens Men's Ultra Dri-max Gauntlet Iv Waterproof Insulated Mittens</t>
  </si>
  <si>
    <t>B00A78HL8E</t>
  </si>
  <si>
    <t>-68.11%</t>
  </si>
  <si>
    <t>GOMEXUS Power Handle for Penn Battle II/III/Combo (Make Sure Your Reel's Size)</t>
  </si>
  <si>
    <t>B0B12JMQ5L</t>
  </si>
  <si>
    <t>-68.78%</t>
  </si>
  <si>
    <t>Boulder Gear Women's D-Lite Puffer Jacket</t>
  </si>
  <si>
    <t>B07YNTRJGB</t>
  </si>
  <si>
    <t>-69.39%</t>
  </si>
  <si>
    <t>2pcs Replacement Stopper Compatible with Owala FreeSip 24oz 32oz, with 4pcs Straws &amp; 1pcs Straw Cleaning Brush, Water Bottle Top Lid Replacement Parts Bottle Cap Seal Gasket Spill Proof Accessories</t>
  </si>
  <si>
    <t>B0CF43ZWH7</t>
  </si>
  <si>
    <t>-69.72%</t>
  </si>
  <si>
    <t>Mizuno Women's Wave Inspire 16 Road Running Shoe</t>
  </si>
  <si>
    <t>B07QSCC1P5</t>
  </si>
  <si>
    <t>-70.60%</t>
  </si>
  <si>
    <t>Black Diamond Spot Lite 200 Lumen Headlamp, Aluminum</t>
  </si>
  <si>
    <t>B08BHXH3YP</t>
  </si>
  <si>
    <t>-70.99%</t>
  </si>
  <si>
    <t>Replacement Straws for IceFlow Stainless Steel Tumbler, 8 Pack Reusable Straws Plastic Straws with Cleaning Brush Compatible with Stanley IceFlow 30oz Tumbler Stanley Flip Straw Tumbler</t>
  </si>
  <si>
    <t>B0BWMMQ7HY</t>
  </si>
  <si>
    <t>-71.46%</t>
  </si>
  <si>
    <t>Abnaok 3PCS Silicone Boot for Stanley 40 oz Quencher Adventure Tumbler and IceFlow Flip 30 oz 20 oz, 3PCS Cloud Straw Tip Covers, Dust-Proof Straw Cap Toppers, Reusable Silicone Soft Protector Cover</t>
  </si>
  <si>
    <t>B0C2YNYLQC</t>
  </si>
  <si>
    <t>Standard Mouth Straw Lid for Hydroflask 24 21 18 oz,Lid with Straws fit for Hydro Flask and Other Water Bottles Sports Cap Top Replacement Accessories</t>
  </si>
  <si>
    <t>B0C2YN96CY</t>
  </si>
  <si>
    <t>-71.53%</t>
  </si>
  <si>
    <t>Replacement 20oz And 30oz Flip Tumbler Lid With Straw - Fit For Stanley 20oz And 30oz IceFlow Flip, Adventure Quencher 2.0 Tumbler (20 to 30 oz STRAW LID BLACK)</t>
  </si>
  <si>
    <t>B0C5XHVB85</t>
  </si>
  <si>
    <t>-71.71%</t>
  </si>
  <si>
    <t>RRegeny Straw Lid fits Hydro Flask Standard Mouth, 21 24 oz, Sports Flex Cap Water Bottle Accessories Replacement Top</t>
  </si>
  <si>
    <t>B096RVZ9XM</t>
  </si>
  <si>
    <t>-71.73%</t>
  </si>
  <si>
    <t>SRAM Eagle PowerLock Chain Connector 12-Speed Chain Link w Decal - Available in 2-Pack and 4-Pack</t>
  </si>
  <si>
    <t>B077CYKWDV</t>
  </si>
  <si>
    <t>-71.88%</t>
  </si>
  <si>
    <t>IRON °FLASK Spout Lid 2.0 for Narrow Mouth, Insulated Sports Water Bottles, Canteen Standard, Chug Lid, BPA Free 2 Lids (Midnight Black)</t>
  </si>
  <si>
    <t>B091HXGYFH</t>
  </si>
  <si>
    <t>-72.68%</t>
  </si>
  <si>
    <t>IRON °FLASK Spout Lid for Narrow Mouth, Simple Insulated Sports Water Bottles, Hydro Canteen Standard, Modern Chug Lid, BPA Free 2 Lids</t>
  </si>
  <si>
    <t>B083HFMW3Y</t>
  </si>
  <si>
    <t>Aieve Replacement Gasket Compatible with Owala FreeSip Water Bottle, Silicone Lid Seal Replacement Part Compatible with Owala Stainless Steel Cup(4 Pack)</t>
  </si>
  <si>
    <t>B0C3CV9TW8</t>
  </si>
  <si>
    <t>-72.75%</t>
  </si>
  <si>
    <t>SRAM Unisex's Spare Rear Derailleur Pulley and Inner Cage Gx Eagle X-Sync Service &amp; Spare Part, Black, One Size</t>
  </si>
  <si>
    <t>B0773K3FV8</t>
  </si>
  <si>
    <t>-75.47%</t>
  </si>
  <si>
    <t>Owala Silicone Water Bottle Boot, Anti-Slip Protective Sleeve Cover for 32-oz FreeSip, Twist, and Flip Stainless Steel Water Bottles, Bright Blue</t>
  </si>
  <si>
    <t>B0C6NPM6K4</t>
  </si>
  <si>
    <t>-75.78%</t>
  </si>
  <si>
    <t>8 Pack Replacement Straws for IceFlow Stainless Steel Tumbler, Reusable Straws Plastic Straws with Cleaning Brush Compatible with Stanley IceFlow 30oz Tumbler Stanley Flip Straw Tumbler</t>
  </si>
  <si>
    <t>B0BZTV7LZP</t>
  </si>
  <si>
    <t>-76.43%</t>
  </si>
  <si>
    <t>Big Agnes Pumphouse Ultra Multi-Use Sleeping Pad Pump</t>
  </si>
  <si>
    <t>B01MYU6XQT</t>
  </si>
  <si>
    <t>-76.67%</t>
  </si>
  <si>
    <t>DBIW Straw Lid Compatible with Standard Mouth 24 oz 21 oz Hydro Flask, Lids with Straw Fits Hydroflask Water Bottles, Replacement Top, Straws Cap with Flexible Handle</t>
  </si>
  <si>
    <t>B0979JJDRX</t>
  </si>
  <si>
    <t>-76.85%</t>
  </si>
  <si>
    <t>IRON °FLASK Lid for Narrow Standard Mouth Insulated Hydro Modern Sports Water Bottles, Simple Standard Mouth, BPA Free, 1 Lid</t>
  </si>
  <si>
    <t>B08NDT93RH</t>
  </si>
  <si>
    <t>-77.14%</t>
  </si>
  <si>
    <t>Replacement Lid for Hydro Flask Standard Mouth 12, 18, 21, 24 oz &amp; Simple Modern Ascent 12-64oz Bottles BPA-Free Leakproof Replacement Lid Water Bottle Accessories</t>
  </si>
  <si>
    <t>B07FK46W9X</t>
  </si>
  <si>
    <t>Petzl Verso Belay Device - Compact, Lightweight Belay Device, for One or Two Rope Strands While Climbing or Rappelling</t>
  </si>
  <si>
    <t>B07NCN6R3V</t>
  </si>
  <si>
    <t>-77.31%</t>
  </si>
  <si>
    <t>Owala Silicone Water Bottle Boot, Anti-Slip Protective Sleeve Cover for 24-oz FreeSip, Twist, and Flip Stainless Steel Water Bottles, Bright Pink</t>
  </si>
  <si>
    <t>B0C6NL4SHX</t>
  </si>
  <si>
    <t>-78.81%</t>
  </si>
  <si>
    <t>Fox Racing powersports-Helmets Speedframe MIPS Helmet</t>
  </si>
  <si>
    <t>B08SGP9MXP</t>
  </si>
  <si>
    <t>-79.42%</t>
  </si>
  <si>
    <t>TBMPOY Men's Snow Ski Hiking Pants Waterproof Fleece Lined Pants Outdoor Mountain Softshell with Belt</t>
  </si>
  <si>
    <t>B06Y2Y1JGB</t>
  </si>
  <si>
    <t>-79.43%</t>
  </si>
  <si>
    <t>Prurex Lid Fits Hydro Flask 18 21 24 oz Standard Mouth, Replacement Lid for Iron Flask Narrow Mouth Bottles</t>
  </si>
  <si>
    <t>B0C5MD1SVY</t>
  </si>
  <si>
    <t>-80.00%</t>
  </si>
  <si>
    <t>Prurex Lid for Hydro Flask Standard Mouth 18, 21, 24 oz, Narrow Mouth Replacement Lid for Iron °Flask Insulated Sports Water Bottles</t>
  </si>
  <si>
    <t>B0C5MBQB5R</t>
  </si>
  <si>
    <t>The Coldest Water Insulated Standard Mouth Size 2.0 - Hydro Sports Straw Cap Flip Top Lid - Multi-Compatible with Standard Flask Mouth Size Stainless Steel Water Bottles</t>
  </si>
  <si>
    <t>B07R54HX8B</t>
  </si>
  <si>
    <t>Replacement Lid for Hydro Flask Standard Mouth 12, 18, 21, 24 oz &amp; Simple Modern Ascent 12-64oz Bottles BPA-Free Leakproof Lids Water Bottle Accessories</t>
  </si>
  <si>
    <t>B0795DGCY6</t>
  </si>
  <si>
    <t>Silicone Bumper Boot 2pcs for Stanley Quencher H2.0 40oz 30oz&amp;IceFlow Flip Tumblers 20oz 30oz,Protective Cup Bottom Sleeve Cover,Stanley Cup Accessories(Clear)</t>
  </si>
  <si>
    <t>B0C4TGRBDR</t>
  </si>
  <si>
    <t>-80.03%</t>
  </si>
  <si>
    <t>SRAM Eagle PowerLock Chain Connector 12-Speed Chain Link w Decal - Available in 2-Pack and 4-Pack (2)</t>
  </si>
  <si>
    <t>B077D1BGF6</t>
  </si>
  <si>
    <t>SRAM Eagle 12-Speed PowerLock Chain Connector, 12-Speed Chain Link: 1-Pack / 2-Pack (2)</t>
  </si>
  <si>
    <t>B08C5LQM1Q</t>
  </si>
  <si>
    <t>-80.08%</t>
  </si>
  <si>
    <t>Sunlite Sports 2-Person Inflatable Kayak with Aluminum Oars (136" x 33"), High Output Air Pump and Storage Bag, Double Tandem Kayak for Adults, Two Person Canoe and Kayack</t>
  </si>
  <si>
    <t>B0CCBYXTL3</t>
  </si>
  <si>
    <t>-80.37%</t>
  </si>
  <si>
    <t>2Pcs Boot Sleeve for Stanley Cup 40 oz 30 oz Quencher Tumbler with Handle, Silicone Boots for IceFlow Flip 20oz 30oz Tumblers, Bottom Cover Bumper Protector for Stanley Cup Accessories, Clear</t>
  </si>
  <si>
    <t>B0C4TJ2Q4Y</t>
  </si>
  <si>
    <t>-82.03%</t>
  </si>
  <si>
    <t>-82.86%</t>
  </si>
  <si>
    <t>TBMPOY Men's Hiking Work Cargo Pants Lightweight Waterproof Quick Dry Outdoor Mountain Pant Fishing Camping</t>
  </si>
  <si>
    <t>B07RN7D6F8</t>
  </si>
  <si>
    <t>-83.74%</t>
  </si>
  <si>
    <t>KELOIFUT Men's Hiking Cargo Pants Quick-Dry Outdoor Water Resistant Lightweight Mountain Breathable Zipper Pocket Work Pants</t>
  </si>
  <si>
    <t>B0B18SVGM1</t>
  </si>
  <si>
    <t>-84.22%</t>
  </si>
  <si>
    <t>SRAM Eagle 12 Speed Power Lock Chain Link Connector</t>
  </si>
  <si>
    <t>B072XJ3CD6</t>
  </si>
  <si>
    <t>-84.45%</t>
  </si>
  <si>
    <t>HotMax 2 Person Inflatable Kayak for Adults Beginners Foldable Touring Kayaks Yellow Professional Series 10 Safety Independent Air Valves Canoe with Aluminum Paddle, Pump (Two Person)</t>
  </si>
  <si>
    <t>B0B2JSB3KG</t>
  </si>
  <si>
    <t>-88.22%</t>
  </si>
  <si>
    <t>Fox Racing V3 RS Helmet Visor</t>
  </si>
  <si>
    <t>B0964DL9GT</t>
  </si>
  <si>
    <t>-88.90%</t>
  </si>
  <si>
    <t>Sram Spare - Rear Derailleur B-Bolt and Limit Screw Kit Gx Eagle Hex5: Black</t>
  </si>
  <si>
    <t>B075MRQ3JD</t>
  </si>
  <si>
    <t>-91.71%</t>
  </si>
  <si>
    <t>Fox Racing powersports-Helmet-Visors DROPFRAME Visor</t>
  </si>
  <si>
    <t>B07SPW9GT6</t>
  </si>
  <si>
    <t>-92.24%</t>
  </si>
  <si>
    <t>Rear Derailleur Adjuster, Chain Gaps Adjustment Gauge Tool for SRAM Eagle GX NX 12 for Hiking, Road, City, Mountain Bicycles and Racing Bicycles</t>
  </si>
  <si>
    <t>B08J3MZ8R1</t>
  </si>
  <si>
    <t>-92.71%</t>
  </si>
  <si>
    <t>KAYBOBEZK Chain Gaps Adjustment Gauge Tool - Rear Derailleur Adjuster ABS Mountain Chain Gap Alignment Washer Repair, for SRAM Eagle GX NX 12 Speed Rear Derailleur Rear Chain Bicycle Derailleur Tool</t>
  </si>
  <si>
    <t>B09Z341656</t>
  </si>
  <si>
    <t>-93.34%</t>
  </si>
  <si>
    <t>Maxmoral Rear Derailleur Adjuster Durable Chain Gaps Adjustment Gauge Tool for SRAM Eagle GX NX 12 for Hiking, Road, City, Mountain Bicycles and Racing Bicycles, Green</t>
  </si>
  <si>
    <t>B0C2Q4MZ94</t>
  </si>
  <si>
    <t>MEETOOT Rear Derailleur Adjuster SRA Quick Coupler M Eagle GX NX12 Speed Rear Flywheel Variable Speed Spacing Adjustment Paddle Transmission Tool</t>
  </si>
  <si>
    <t>B0BRXVHMV3</t>
  </si>
  <si>
    <t>-93.64%</t>
  </si>
  <si>
    <t>B Gap Adjustment Tool for SRAM XPLR/AXS Eagle Chain Gauge, Rear Derailleur Chain Gap Tool for SRAM MTB [White-Eagle 50/52t Cassettes,12 Speed], for SRAM Road [Red-XPLR Force Rival Red eTap AXS 26-44]</t>
  </si>
  <si>
    <t>B0B8X8QRXD</t>
  </si>
  <si>
    <t>-93.71%</t>
  </si>
  <si>
    <t>QAD Integrate R2 Arrow Rest</t>
  </si>
  <si>
    <t>Drop Away Arrow Rest,Arrow Rest Anti Slip Sticker Set,2 Set/4Pcs Archery Rest Compound Bow Shooting Hunting Accessory for QAD HDX Drop Away Compound Bow Rest Arrow Rest Felt qad integrate felt arrow</t>
  </si>
  <si>
    <t>B07DW96TDT</t>
  </si>
  <si>
    <t>184.99</t>
  </si>
  <si>
    <t>-94.60%</t>
  </si>
  <si>
    <t>1015218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</si>
</sst>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2"/>
      <color theme="10"/>
      <name val="Calibri"/>
      <family val="2"/>
      <scheme val="minor"/>
    </font>
  </fonts>
  <fills count="3">
    <fill>
      <patternFill patternType="none"/>
    </fill>
    <fill>
      <patternFill patternType="gray125"/>
    </fill>
    <fill>
      <patternFill patternType="solid">
        <fgColor rgb="FF91BF4D"/>
        <bgColor rgb="FF91BF4D"/>
      </patternFill>
    </fill>
  </fills>
  <borders count="1">
    <border>
      <left/>
      <right/>
      <top/>
      <bottom/>
      <diagonal/>
    </border>
  </borders>
  <cellStyleXfs count="2">
    <xf numFmtId="0" fontId="0" fillId="0" borderId="0"/>
    <xf numFmtId="0" fontId="2" fillId="0" borderId="0"/>
  </cellStyleXfs>
  <cellXfs count="4">
    <xf numFmtId="0" fontId="0" fillId="0" borderId="0" xfId="0"/>
    <xf numFmtId="0" fontId="1" fillId="0" borderId="0" xfId="0" applyFont="1"/>
    <xf numFmtId="0" fontId="1" fillId="2" borderId="0" xfId="0" applyFont="1" applyFill="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59"/>
  <sheetViews>
    <sheetView tabSelected="1" topLeftCell="A454" workbookViewId="0">
      <selection activeCell="M458" sqref="M458"/>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row>
    <row r="2" spans="1:21" ht="15.75" x14ac:dyDescent="0.25">
      <c r="A2" s="3" t="str">
        <f>HYPERLINK("https://www.als.com/thread-lip-balm-holder/p?skuId=1017233", "https://www.als.com/thread-lip-balm-holder/p?skuId=1017233")</f>
        <v>https://www.als.com/thread-lip-balm-holder/p?skuId=1017233</v>
      </c>
      <c r="B2" s="3" t="str">
        <f>HYPERLINK("https://www.als.com/thread-lip-balm-holder/p", "https://www.als.com/thread-lip-balm-holder/p")</f>
        <v>https://www.als.com/thread-lip-balm-holder/p</v>
      </c>
      <c r="C2" t="s">
        <v>21</v>
      </c>
      <c r="D2" t="s">
        <v>22</v>
      </c>
      <c r="E2" s="3" t="str">
        <f>HYPERLINK("https://www.amazon.com/Tallac-Elastic-Chapstick-keychain-Holder/dp/B0971NW4ND/ref=sr_1_28?keywords=Thread+Lip+Balm+Holder&amp;qid=1695124383&amp;sr=8-28", "https://www.amazon.com/Tallac-Elastic-Chapstick-keychain-Holder/dp/B0971NW4ND/ref=sr_1_28?keywords=Thread+Lip+Balm+Holder&amp;qid=1695124383&amp;sr=8-28")</f>
        <v>https://www.amazon.com/Tallac-Elastic-Chapstick-keychain-Holder/dp/B0971NW4ND/ref=sr_1_28?keywords=Thread+Lip+Balm+Holder&amp;qid=1695124383&amp;sr=8-28</v>
      </c>
      <c r="F2" t="s">
        <v>23</v>
      </c>
      <c r="G2" t="e">
        <f ca="1">IMAGE("https://alssports.vtexassets.com/arquivos/ids/1021895-800-auto?v=637820056919230000&amp;width=800&amp;height=auto&amp;aspect=true")</f>
        <v>#NAME?</v>
      </c>
      <c r="H2" t="e">
        <f ca="1">IMAGE("https://m.media-amazon.com/images/I/81lxKX5gbNL._AC_UL320_.jpg")</f>
        <v>#NAME?</v>
      </c>
      <c r="I2" t="s">
        <v>24</v>
      </c>
      <c r="J2">
        <v>4.99</v>
      </c>
      <c r="K2" s="2" t="s">
        <v>25</v>
      </c>
      <c r="L2">
        <v>4.7</v>
      </c>
      <c r="M2">
        <v>8</v>
      </c>
      <c r="O2" t="s">
        <v>26</v>
      </c>
      <c r="P2" t="s">
        <v>27</v>
      </c>
      <c r="Q2" t="s">
        <v>28</v>
      </c>
    </row>
    <row r="3" spans="1:21" ht="15.75" x14ac:dyDescent="0.25">
      <c r="A3" s="3" t="str">
        <f>HYPERLINK("https://www.als.com/scient-line-amplitude-smooth-trout/p?skuId=481208", "https://www.als.com/scient-line-amplitude-smooth-trout/p?skuId=481208")</f>
        <v>https://www.als.com/scient-line-amplitude-smooth-trout/p?skuId=481208</v>
      </c>
      <c r="B3" s="3" t="str">
        <f>HYPERLINK("https://www.als.com/scient-line-amplitude-smooth-trout/p", "https://www.als.com/scient-line-amplitude-smooth-trout/p")</f>
        <v>https://www.als.com/scient-line-amplitude-smooth-trout/p</v>
      </c>
      <c r="C3" t="s">
        <v>29</v>
      </c>
      <c r="D3" t="s">
        <v>30</v>
      </c>
      <c r="E3" s="3" t="str">
        <f>HYPERLINK("https://www.amazon.com/Scientific-Anglers-Amplitude-Infinity-Horizon/dp/B07YZQ6R87/ref=sr_1_17?keywords=Scientific+Anglers+Amplitude+Smooth+Trout+Fly+Line&amp;qid=1695124414&amp;sr=8-17", "https://www.amazon.com/Scientific-Anglers-Amplitude-Infinity-Horizon/dp/B07YZQ6R87/ref=sr_1_17?keywords=Scientific+Anglers+Amplitude+Smooth+Trout+Fly+Line&amp;qid=1695124414&amp;sr=8-17")</f>
        <v>https://www.amazon.com/Scientific-Anglers-Amplitude-Infinity-Horizon/dp/B07YZQ6R87/ref=sr_1_17?keywords=Scientific+Anglers+Amplitude+Smooth+Trout+Fly+Line&amp;qid=1695124414&amp;sr=8-17</v>
      </c>
      <c r="F3" t="s">
        <v>31</v>
      </c>
      <c r="G3" t="e">
        <f ca="1">IMAGE("https://alssports.vtexassets.com/arquivos/ids/1138376-800-auto?v=637993875297330000&amp;width=800&amp;height=auto&amp;aspect=true")</f>
        <v>#NAME?</v>
      </c>
      <c r="H3" t="e">
        <f ca="1">IMAGE("https://m.media-amazon.com/images/I/51L8nbaHWnL._AC_UL320_.jpg")</f>
        <v>#NAME?</v>
      </c>
      <c r="I3" t="s">
        <v>32</v>
      </c>
      <c r="J3">
        <v>99.95</v>
      </c>
      <c r="K3" s="2" t="s">
        <v>25</v>
      </c>
      <c r="L3">
        <v>5</v>
      </c>
      <c r="M3">
        <v>5</v>
      </c>
      <c r="O3" t="s">
        <v>33</v>
      </c>
      <c r="P3" t="s">
        <v>26</v>
      </c>
      <c r="Q3" t="s">
        <v>34</v>
      </c>
    </row>
    <row r="4" spans="1:21" ht="15.75" x14ac:dyDescent="0.25">
      <c r="A4" s="3" t="str">
        <f>HYPERLINK("https://www.als.com/scient-line-amplitude-smooth-trout/p?skuId=481208", "https://www.als.com/scient-line-amplitude-smooth-trout/p?skuId=481208")</f>
        <v>https://www.als.com/scient-line-amplitude-smooth-trout/p?skuId=481208</v>
      </c>
      <c r="B4" s="3" t="str">
        <f>HYPERLINK("https://www.als.com/scient-line-amplitude-smooth-trout/p", "https://www.als.com/scient-line-amplitude-smooth-trout/p")</f>
        <v>https://www.als.com/scient-line-amplitude-smooth-trout/p</v>
      </c>
      <c r="C4" t="s">
        <v>29</v>
      </c>
      <c r="D4" t="s">
        <v>35</v>
      </c>
      <c r="E4" s="3" t="str">
        <f>HYPERLINK("https://www.amazon.com/Scientific-Anglers-Amplitude-Smooth-Infinity/dp/B07DV3W7G6/ref=sr_1_18?keywords=Scientific+Anglers+Amplitude+Smooth+Trout+Fly+Line&amp;qid=1695124414&amp;sr=8-18", "https://www.amazon.com/Scientific-Anglers-Amplitude-Smooth-Infinity/dp/B07DV3W7G6/ref=sr_1_18?keywords=Scientific+Anglers+Amplitude+Smooth+Trout+Fly+Line&amp;qid=1695124414&amp;sr=8-18")</f>
        <v>https://www.amazon.com/Scientific-Anglers-Amplitude-Smooth-Infinity/dp/B07DV3W7G6/ref=sr_1_18?keywords=Scientific+Anglers+Amplitude+Smooth+Trout+Fly+Line&amp;qid=1695124414&amp;sr=8-18</v>
      </c>
      <c r="F4" t="s">
        <v>36</v>
      </c>
      <c r="G4" t="e">
        <f ca="1">IMAGE("https://alssports.vtexassets.com/arquivos/ids/1138376-800-auto?v=637993875297330000&amp;width=800&amp;height=auto&amp;aspect=true")</f>
        <v>#NAME?</v>
      </c>
      <c r="H4" t="e">
        <f ca="1">IMAGE("https://m.media-amazon.com/images/I/51XbNLi3sPL._AC_UL320_.jpg")</f>
        <v>#NAME?</v>
      </c>
      <c r="I4" t="s">
        <v>32</v>
      </c>
      <c r="J4">
        <v>99.95</v>
      </c>
      <c r="K4" s="2" t="s">
        <v>25</v>
      </c>
      <c r="L4">
        <v>4.7</v>
      </c>
      <c r="M4">
        <v>75</v>
      </c>
      <c r="O4" t="s">
        <v>33</v>
      </c>
      <c r="P4" t="s">
        <v>26</v>
      </c>
      <c r="Q4" t="s">
        <v>34</v>
      </c>
    </row>
    <row r="5" spans="1:21" ht="15.75" x14ac:dyDescent="0.25">
      <c r="A5" s="3" t="str">
        <f>HYPERLINK("https://www.als.com/teva-m-sandal-hurricane-xlt2/p?skuId=398840", "https://www.als.com/teva-m-sandal-hurricane-xlt2/p?skuId=398840")</f>
        <v>https://www.als.com/teva-m-sandal-hurricane-xlt2/p?skuId=398840</v>
      </c>
      <c r="B5" s="3" t="str">
        <f>HYPERLINK("https://www.als.com/teva-m-sandal-hurricane-xlt2/p", "https://www.als.com/teva-m-sandal-hurricane-xlt2/p")</f>
        <v>https://www.als.com/teva-m-sandal-hurricane-xlt2/p</v>
      </c>
      <c r="C5" t="s">
        <v>37</v>
      </c>
      <c r="D5" t="s">
        <v>38</v>
      </c>
      <c r="E5" s="3" t="str">
        <f>HYPERLINK("https://www.amazon.com/Teva-Hurricane-Sport-Sandal-40-41/dp/B07DHMTWMJ/ref=sr_1_7?keywords=Teva+Hurricane+XLT2+Sandal+-+Men%27s&amp;qid=1695124141&amp;sr=8-7", "https://www.amazon.com/Teva-Hurricane-Sport-Sandal-40-41/dp/B07DHMTWMJ/ref=sr_1_7?keywords=Teva+Hurricane+XLT2+Sandal+-+Men%27s&amp;qid=1695124141&amp;sr=8-7")</f>
        <v>https://www.amazon.com/Teva-Hurricane-Sport-Sandal-40-41/dp/B07DHMTWMJ/ref=sr_1_7?keywords=Teva+Hurricane+XLT2+Sandal+-+Men%27s&amp;qid=1695124141&amp;sr=8-7</v>
      </c>
      <c r="F5" t="s">
        <v>39</v>
      </c>
      <c r="G5" t="e">
        <f ca="1">IMAGE("https://alssports.vtexassets.com/arquivos/ids/1220918-800-auto?v=638102154417000000&amp;width=800&amp;height=auto&amp;aspect=true")</f>
        <v>#NAME?</v>
      </c>
      <c r="H5" t="e">
        <f ca="1">IMAGE("https://m.media-amazon.com/images/I/716xg1dvMEL._AC_UL320_.jpg")</f>
        <v>#NAME?</v>
      </c>
      <c r="I5" t="s">
        <v>40</v>
      </c>
      <c r="J5">
        <v>74.95</v>
      </c>
      <c r="K5" s="2" t="s">
        <v>25</v>
      </c>
      <c r="L5">
        <v>4</v>
      </c>
      <c r="M5">
        <v>2</v>
      </c>
      <c r="O5" t="s">
        <v>33</v>
      </c>
      <c r="P5" t="s">
        <v>26</v>
      </c>
      <c r="Q5" t="s">
        <v>41</v>
      </c>
    </row>
    <row r="6" spans="1:21" ht="15.75" x14ac:dyDescent="0.25">
      <c r="A6" s="3" t="str">
        <f>HYPERLINK("https://www.als.com/bigag-rapide-sl-insulated/p?skuId=981028", "https://www.als.com/bigag-rapide-sl-insulated/p?skuId=981028")</f>
        <v>https://www.als.com/bigag-rapide-sl-insulated/p?skuId=981028</v>
      </c>
      <c r="B6" s="3" t="str">
        <f>HYPERLINK("https://www.als.com/bigag-rapide-sl-insulated/p", "https://www.als.com/bigag-rapide-sl-insulated/p")</f>
        <v>https://www.als.com/bigag-rapide-sl-insulated/p</v>
      </c>
      <c r="C6" t="s">
        <v>42</v>
      </c>
      <c r="D6" t="s">
        <v>42</v>
      </c>
      <c r="E6" s="3" t="str">
        <f>HYPERLINK("https://www.amazon.com/Big-Agnes-Insulated-Sleeping-Regular/dp/B09Q7HVB11/ref=sr_1_1?keywords=Big+Agnes+Rapide+SL+Insulated+Sleeping+Pad&amp;qid=1695124305&amp;sr=8-1", "https://www.amazon.com/Big-Agnes-Insulated-Sleeping-Regular/dp/B09Q7HVB11/ref=sr_1_1?keywords=Big+Agnes+Rapide+SL+Insulated+Sleeping+Pad&amp;qid=1695124305&amp;sr=8-1")</f>
        <v>https://www.amazon.com/Big-Agnes-Insulated-Sleeping-Regular/dp/B09Q7HVB11/ref=sr_1_1?keywords=Big+Agnes+Rapide+SL+Insulated+Sleeping+Pad&amp;qid=1695124305&amp;sr=8-1</v>
      </c>
      <c r="F6" t="s">
        <v>43</v>
      </c>
      <c r="G6" t="e">
        <f ca="1">IMAGE("https://alssports.vtexassets.com/arquivos/ids/1257749-800-auto?v=638134857129500000&amp;width=800&amp;height=auto&amp;aspect=true")</f>
        <v>#NAME?</v>
      </c>
      <c r="H6" t="e">
        <f ca="1">IMAGE("https://m.media-amazon.com/images/I/61ZHNSpq0yL._AC_UL320_.jpg")</f>
        <v>#NAME?</v>
      </c>
      <c r="I6" t="s">
        <v>44</v>
      </c>
      <c r="J6">
        <v>149.94999999999999</v>
      </c>
      <c r="K6" s="2" t="s">
        <v>25</v>
      </c>
      <c r="L6">
        <v>4.7</v>
      </c>
      <c r="M6">
        <v>140</v>
      </c>
      <c r="O6" t="s">
        <v>33</v>
      </c>
      <c r="P6" t="s">
        <v>26</v>
      </c>
      <c r="Q6" t="s">
        <v>45</v>
      </c>
    </row>
    <row r="7" spans="1:21" ht="15.75" x14ac:dyDescent="0.25">
      <c r="A7" s="3" t="str">
        <f>HYPERLINK("https://www.als.com/scient-line-amplitude-smooth-trout/p?skuId=481208", "https://www.als.com/scient-line-amplitude-smooth-trout/p?skuId=481208")</f>
        <v>https://www.als.com/scient-line-amplitude-smooth-trout/p?skuId=481208</v>
      </c>
      <c r="B7" s="3" t="str">
        <f>HYPERLINK("https://www.als.com/scient-line-amplitude-smooth-trout/p", "https://www.als.com/scient-line-amplitude-smooth-trout/p")</f>
        <v>https://www.als.com/scient-line-amplitude-smooth-trout/p</v>
      </c>
      <c r="C7" t="s">
        <v>29</v>
      </c>
      <c r="D7" t="s">
        <v>46</v>
      </c>
      <c r="E7" s="3" t="str">
        <f>HYPERLINK("https://www.amazon.com/Scientific-Anglers-Amplitude-Smooth-WF-5-F/dp/B07DV3RR98/ref=sr_1_24?keywords=Scientific+Anglers+Amplitude+Smooth+Trout+Fly+Line&amp;qid=1695124414&amp;sr=8-24", "https://www.amazon.com/Scientific-Anglers-Amplitude-Smooth-WF-5-F/dp/B07DV3RR98/ref=sr_1_24?keywords=Scientific+Anglers+Amplitude+Smooth+Trout+Fly+Line&amp;qid=1695124414&amp;sr=8-24")</f>
        <v>https://www.amazon.com/Scientific-Anglers-Amplitude-Smooth-WF-5-F/dp/B07DV3RR98/ref=sr_1_24?keywords=Scientific+Anglers+Amplitude+Smooth+Trout+Fly+Line&amp;qid=1695124414&amp;sr=8-24</v>
      </c>
      <c r="F7" t="s">
        <v>47</v>
      </c>
      <c r="G7" t="e">
        <f ca="1">IMAGE("https://alssports.vtexassets.com/arquivos/ids/1138376-800-auto?v=637993875297330000&amp;width=800&amp;height=auto&amp;aspect=true")</f>
        <v>#NAME?</v>
      </c>
      <c r="H7" t="e">
        <f ca="1">IMAGE("https://m.media-amazon.com/images/I/61vI6hTI9iL._AC_UL320_.jpg")</f>
        <v>#NAME?</v>
      </c>
      <c r="I7" t="s">
        <v>32</v>
      </c>
      <c r="J7">
        <v>99.95</v>
      </c>
      <c r="K7" s="2" t="s">
        <v>25</v>
      </c>
      <c r="L7">
        <v>5</v>
      </c>
      <c r="M7">
        <v>7</v>
      </c>
      <c r="O7" t="s">
        <v>33</v>
      </c>
      <c r="P7" t="s">
        <v>26</v>
      </c>
      <c r="Q7" t="s">
        <v>34</v>
      </c>
    </row>
    <row r="8" spans="1:21" ht="15.75" x14ac:dyDescent="0.25">
      <c r="A8" s="3" t="str">
        <f>HYPERLINK("https://www.als.com/cotopa-accessory-bag-nido/p?skuId=1284847", "https://www.als.com/cotopa-accessory-bag-nido/p?skuId=1284847")</f>
        <v>https://www.als.com/cotopa-accessory-bag-nido/p?skuId=1284847</v>
      </c>
      <c r="B8" s="3" t="str">
        <f>HYPERLINK("https://www.als.com/cotopa-accessory-bag-nido/p", "https://www.als.com/cotopa-accessory-bag-nido/p")</f>
        <v>https://www.als.com/cotopa-accessory-bag-nido/p</v>
      </c>
      <c r="C8" t="s">
        <v>48</v>
      </c>
      <c r="D8" t="s">
        <v>49</v>
      </c>
      <c r="E8" s="3" t="str">
        <f>HYPERLINK("https://www.amazon.com/Cotopaxi-Nido-Accessory-Bag-Black/dp/B09RZPMWLV/ref=sr_1_2?keywords=Cotopaxi+Nido+Accessory+Bag&amp;qid=1695124144&amp;sr=8-2", "https://www.amazon.com/Cotopaxi-Nido-Accessory-Bag-Black/dp/B09RZPMWLV/ref=sr_1_2?keywords=Cotopaxi+Nido+Accessory+Bag&amp;qid=1695124144&amp;sr=8-2")</f>
        <v>https://www.amazon.com/Cotopaxi-Nido-Accessory-Bag-Black/dp/B09RZPMWLV/ref=sr_1_2?keywords=Cotopaxi+Nido+Accessory+Bag&amp;qid=1695124144&amp;sr=8-2</v>
      </c>
      <c r="F8" t="s">
        <v>50</v>
      </c>
      <c r="G8" t="e">
        <f ca="1">IMAGE("https://alssports.vtexassets.com/arquivos/ids/1268238-800-auto?v=638146110293670000&amp;width=800&amp;height=auto&amp;aspect=true")</f>
        <v>#NAME?</v>
      </c>
      <c r="H8" t="e">
        <f ca="1">IMAGE("https://m.media-amazon.com/images/I/91TeDVyj+sL._AC_UL320_.jpg")</f>
        <v>#NAME?</v>
      </c>
      <c r="I8" t="s">
        <v>51</v>
      </c>
      <c r="J8">
        <v>45</v>
      </c>
      <c r="K8" s="2" t="s">
        <v>25</v>
      </c>
      <c r="L8">
        <v>4.9000000000000004</v>
      </c>
      <c r="M8">
        <v>103</v>
      </c>
      <c r="O8" t="s">
        <v>33</v>
      </c>
      <c r="P8" t="s">
        <v>26</v>
      </c>
      <c r="Q8" t="s">
        <v>52</v>
      </c>
    </row>
    <row r="9" spans="1:21" ht="15.75" x14ac:dyDescent="0.25">
      <c r="A9" s="3" t="str">
        <f>HYPERLINK("https://www.als.com/cotopa-accessory-bag-nido/p?skuId=1284847", "https://www.als.com/cotopa-accessory-bag-nido/p?skuId=1284847")</f>
        <v>https://www.als.com/cotopa-accessory-bag-nido/p?skuId=1284847</v>
      </c>
      <c r="B9" s="3" t="str">
        <f>HYPERLINK("https://www.als.com/cotopa-accessory-bag-nido/p", "https://www.als.com/cotopa-accessory-bag-nido/p")</f>
        <v>https://www.als.com/cotopa-accessory-bag-nido/p</v>
      </c>
      <c r="C9" t="s">
        <v>48</v>
      </c>
      <c r="D9" t="s">
        <v>49</v>
      </c>
      <c r="E9" s="3"/>
      <c r="F9" t="s">
        <v>50</v>
      </c>
      <c r="G9" t="e">
        <f ca="1">IMAGE("https://alssports.vtexassets.com/arquivos/ids/1268238-800-auto?v=638146110293670000&amp;width=800&amp;height=auto&amp;aspect=true")</f>
        <v>#NAME?</v>
      </c>
      <c r="H9" t="e">
        <f ca="1">IMAGE("https://m.media-amazon.com/images/I/91TeDVyj+sL._AC_UL320_.jpg")</f>
        <v>#NAME?</v>
      </c>
      <c r="I9" t="s">
        <v>51</v>
      </c>
      <c r="J9">
        <v>45</v>
      </c>
      <c r="K9" s="2" t="s">
        <v>25</v>
      </c>
      <c r="L9">
        <v>4.9000000000000004</v>
      </c>
      <c r="M9">
        <v>103</v>
      </c>
      <c r="O9" t="s">
        <v>33</v>
      </c>
      <c r="P9" t="s">
        <v>26</v>
      </c>
      <c r="Q9" t="s">
        <v>52</v>
      </c>
    </row>
    <row r="10" spans="1:21" ht="15.75" x14ac:dyDescent="0.25">
      <c r="A10" s="3" t="str">
        <f>HYPERLINK("https://www.als.com/scient-line-amplitude-smooth-trout/p?skuId=481208", "https://www.als.com/scient-line-amplitude-smooth-trout/p?skuId=481208")</f>
        <v>https://www.als.com/scient-line-amplitude-smooth-trout/p?skuId=481208</v>
      </c>
      <c r="B10" s="3" t="str">
        <f>HYPERLINK("https://www.als.com/scient-line-amplitude-smooth-trout/p", "https://www.als.com/scient-line-amplitude-smooth-trout/p")</f>
        <v>https://www.als.com/scient-line-amplitude-smooth-trout/p</v>
      </c>
      <c r="C10" t="s">
        <v>29</v>
      </c>
      <c r="D10" t="s">
        <v>53</v>
      </c>
      <c r="E10" s="3" t="str">
        <f>HYPERLINK("https://www.amazon.com/Scientific-Anglers-Amplitude-Smooth-Redfish/dp/B08J9PFJ1D/ref=sr_1_7?keywords=Scientific+Anglers+Amplitude+Smooth+Trout+Fly+Line&amp;qid=1695124414&amp;sr=8-7", "https://www.amazon.com/Scientific-Anglers-Amplitude-Smooth-Redfish/dp/B08J9PFJ1D/ref=sr_1_7?keywords=Scientific+Anglers+Amplitude+Smooth+Trout+Fly+Line&amp;qid=1695124414&amp;sr=8-7")</f>
        <v>https://www.amazon.com/Scientific-Anglers-Amplitude-Smooth-Redfish/dp/B08J9PFJ1D/ref=sr_1_7?keywords=Scientific+Anglers+Amplitude+Smooth+Trout+Fly+Line&amp;qid=1695124414&amp;sr=8-7</v>
      </c>
      <c r="F10" t="s">
        <v>54</v>
      </c>
      <c r="G10" t="e">
        <f ca="1">IMAGE("https://alssports.vtexassets.com/arquivos/ids/1138376-800-auto?v=637993875297330000&amp;width=800&amp;height=auto&amp;aspect=true")</f>
        <v>#NAME?</v>
      </c>
      <c r="H10" t="e">
        <f ca="1">IMAGE("https://m.media-amazon.com/images/I/61etWdeP50L._AC_UL320_.jpg")</f>
        <v>#NAME?</v>
      </c>
      <c r="I10" t="s">
        <v>32</v>
      </c>
      <c r="J10">
        <v>99.95</v>
      </c>
      <c r="K10" s="2" t="s">
        <v>25</v>
      </c>
      <c r="L10">
        <v>3.8</v>
      </c>
      <c r="M10">
        <v>5</v>
      </c>
      <c r="O10" t="s">
        <v>33</v>
      </c>
      <c r="P10" t="s">
        <v>26</v>
      </c>
      <c r="Q10" t="s">
        <v>34</v>
      </c>
    </row>
    <row r="11" spans="1:21" ht="15.75" x14ac:dyDescent="0.25">
      <c r="A11" s="3" t="str">
        <f>HYPERLINK("https://www.als.com/black-diamond-momentum-harness-mens-30998/p?skuId=565613", "https://www.als.com/black-diamond-momentum-harness-mens-30998/p?skuId=565613")</f>
        <v>https://www.als.com/black-diamond-momentum-harness-mens-30998/p?skuId=565613</v>
      </c>
      <c r="B11" s="3" t="str">
        <f>HYPERLINK("https://www.als.com/black-diamond-momentum-harness-mens-30998/p", "https://www.als.com/black-diamond-momentum-harness-mens-30998/p")</f>
        <v>https://www.als.com/black-diamond-momentum-harness-mens-30998/p</v>
      </c>
      <c r="C11" t="s">
        <v>55</v>
      </c>
      <c r="D11" t="s">
        <v>56</v>
      </c>
      <c r="E11" s="3" t="str">
        <f>HYPERLINK("https://www.amazon.com/Black-Diamond-Momentum-Harness-Anthracite/dp/B081B772T1/ref=sr_1_1?keywords=Black+Diamond+Momentum+Harness+-+Men%27s&amp;qid=1695124426&amp;sr=8-1", "https://www.amazon.com/Black-Diamond-Momentum-Harness-Anthracite/dp/B081B772T1/ref=sr_1_1?keywords=Black+Diamond+Momentum+Harness+-+Men%27s&amp;qid=1695124426&amp;sr=8-1")</f>
        <v>https://www.amazon.com/Black-Diamond-Momentum-Harness-Anthracite/dp/B081B772T1/ref=sr_1_1?keywords=Black+Diamond+Momentum+Harness+-+Men%27s&amp;qid=1695124426&amp;sr=8-1</v>
      </c>
      <c r="F11" t="s">
        <v>57</v>
      </c>
      <c r="G11" t="e">
        <f ca="1">IMAGE("https://alssports.vtexassets.com/arquivos/ids/1308135-800-auto?v=638189190355030000&amp;width=800&amp;height=auto&amp;aspect=true")</f>
        <v>#NAME?</v>
      </c>
      <c r="H11" t="e">
        <f ca="1">IMAGE("https://m.media-amazon.com/images/I/81cMuGOMALS._AC_UL320_.jpg")</f>
        <v>#NAME?</v>
      </c>
      <c r="I11" t="s">
        <v>58</v>
      </c>
      <c r="J11">
        <v>64.95</v>
      </c>
      <c r="K11" s="2" t="s">
        <v>25</v>
      </c>
      <c r="L11">
        <v>4.8</v>
      </c>
      <c r="M11">
        <v>829</v>
      </c>
      <c r="O11" t="s">
        <v>33</v>
      </c>
      <c r="P11" t="s">
        <v>26</v>
      </c>
      <c r="Q11" t="s">
        <v>59</v>
      </c>
    </row>
    <row r="12" spans="1:21" ht="15.75" x14ac:dyDescent="0.25">
      <c r="A12" s="3" t="str">
        <f>HYPERLINK("https://www.als.com/under-m-charged-verssert-run-shoe/p?skuId=1204906", "https://www.als.com/under-m-charged-verssert-run-shoe/p?skuId=1204906")</f>
        <v>https://www.als.com/under-m-charged-verssert-run-shoe/p?skuId=1204906</v>
      </c>
      <c r="B12" s="3" t="str">
        <f>HYPERLINK("https://www.als.com/under-m-charged-verssert-run-shoe/p", "https://www.als.com/under-m-charged-verssert-run-shoe/p")</f>
        <v>https://www.als.com/under-m-charged-verssert-run-shoe/p</v>
      </c>
      <c r="C12" t="s">
        <v>60</v>
      </c>
      <c r="D12" t="s">
        <v>61</v>
      </c>
      <c r="E12" s="3" t="str">
        <f>HYPERLINK("https://www.amazon.com/Under-Armour-Charged-Pursuit-Running/dp/B09XBVRHCS/ref=sr_1_15?keywords=Under+Armour+Charged+Verssert+Running+Shoe+-+Mens&amp;qid=1695124491&amp;sr=8-15", "https://www.amazon.com/Under-Armour-Charged-Pursuit-Running/dp/B09XBVRHCS/ref=sr_1_15?keywords=Under+Armour+Charged+Verssert+Running+Shoe+-+Mens&amp;qid=1695124491&amp;sr=8-15")</f>
        <v>https://www.amazon.com/Under-Armour-Charged-Pursuit-Running/dp/B09XBVRHCS/ref=sr_1_15?keywords=Under+Armour+Charged+Verssert+Running+Shoe+-+Mens&amp;qid=1695124491&amp;sr=8-15</v>
      </c>
      <c r="F12" t="s">
        <v>62</v>
      </c>
      <c r="G12" t="e">
        <f ca="1">IMAGE("https://alssports.vtexassets.com/arquivos/ids/1282426-800-auto?v=638158001411130000&amp;width=800&amp;height=auto&amp;aspect=true")</f>
        <v>#NAME?</v>
      </c>
      <c r="H12" t="e">
        <f ca="1">IMAGE("https://m.media-amazon.com/images/I/71rI5cgQweL._AC_UL320_.jpg")</f>
        <v>#NAME?</v>
      </c>
      <c r="I12" t="s">
        <v>63</v>
      </c>
      <c r="J12">
        <v>75</v>
      </c>
      <c r="K12" s="2" t="s">
        <v>25</v>
      </c>
      <c r="L12">
        <v>4.5</v>
      </c>
      <c r="M12">
        <v>68</v>
      </c>
      <c r="O12" t="s">
        <v>33</v>
      </c>
      <c r="P12" t="s">
        <v>26</v>
      </c>
      <c r="Q12" t="s">
        <v>64</v>
      </c>
    </row>
    <row r="13" spans="1:21" ht="15.75" x14ac:dyDescent="0.25">
      <c r="A13" s="3" t="str">
        <f>HYPERLINK("https://www.als.com/metoli-super-chalk/p?skuId=780553", "https://www.als.com/metoli-super-chalk/p?skuId=780553")</f>
        <v>https://www.als.com/metoli-super-chalk/p?skuId=780553</v>
      </c>
      <c r="B13" s="3" t="str">
        <f>HYPERLINK("https://www.als.com/metoli-super-chalk/p", "https://www.als.com/metoli-super-chalk/p")</f>
        <v>https://www.als.com/metoli-super-chalk/p</v>
      </c>
      <c r="C13" t="s">
        <v>65</v>
      </c>
      <c r="D13" t="s">
        <v>66</v>
      </c>
      <c r="E13" s="3" t="str">
        <f>HYPERLINK("https://www.amazon.com/Metolius-Super-Chalk-Sock-Refillable/dp/B000PCZ0ZS/ref=sr_1_5?keywords=Metolius+Super+Chalk&amp;qid=1695124455&amp;sr=8-5", "https://www.amazon.com/Metolius-Super-Chalk-Sock-Refillable/dp/B000PCZ0ZS/ref=sr_1_5?keywords=Metolius+Super+Chalk&amp;qid=1695124455&amp;sr=8-5")</f>
        <v>https://www.amazon.com/Metolius-Super-Chalk-Sock-Refillable/dp/B000PCZ0ZS/ref=sr_1_5?keywords=Metolius+Super+Chalk&amp;qid=1695124455&amp;sr=8-5</v>
      </c>
      <c r="F13" t="s">
        <v>67</v>
      </c>
      <c r="G13" t="e">
        <f ca="1">IMAGE("https://alssports.vtexassets.com/arquivos/ids/208309-800-auto?v=636957368480930000&amp;width=800&amp;height=auto&amp;aspect=true")</f>
        <v>#NAME?</v>
      </c>
      <c r="H13" t="e">
        <f ca="1">IMAGE("https://m.media-amazon.com/images/I/514KhrUHJRL._AC_UL320_.jpg")</f>
        <v>#NAME?</v>
      </c>
      <c r="I13" t="s">
        <v>68</v>
      </c>
      <c r="J13">
        <v>4.95</v>
      </c>
      <c r="K13" s="2" t="s">
        <v>25</v>
      </c>
      <c r="L13">
        <v>4.3</v>
      </c>
      <c r="M13">
        <v>62</v>
      </c>
      <c r="O13" t="s">
        <v>26</v>
      </c>
      <c r="P13" t="s">
        <v>26</v>
      </c>
      <c r="Q13" t="s">
        <v>69</v>
      </c>
    </row>
    <row r="14" spans="1:21" ht="15.75" x14ac:dyDescent="0.25">
      <c r="A14" s="3" t="str">
        <f>HYPERLINK("https://www.als.com/sorel-m-boot-madson-ii-moc-toe-wp/p?skuId=1067549", "https://www.als.com/sorel-m-boot-madson-ii-moc-toe-wp/p?skuId=1067549")</f>
        <v>https://www.als.com/sorel-m-boot-madson-ii-moc-toe-wp/p?skuId=1067549</v>
      </c>
      <c r="B14" s="3" t="str">
        <f>HYPERLINK("https://www.als.com/sorel-m-boot-madson-ii-moc-toe-wp/p", "https://www.als.com/sorel-m-boot-madson-ii-moc-toe-wp/p")</f>
        <v>https://www.als.com/sorel-m-boot-madson-ii-moc-toe-wp/p</v>
      </c>
      <c r="C14" t="s">
        <v>70</v>
      </c>
      <c r="D14" t="s">
        <v>71</v>
      </c>
      <c r="E14" s="3" t="str">
        <f>HYPERLINK("https://www.amazon.com/Sorel-Madson-Moc-Waterproof-Coal/dp/B083QDL1HL/ref=sr_1_1?keywords=Sorel+Madson+II+Moc+Toe+Waterproof+Boot+-+Men%27s&amp;qid=1695124455&amp;sr=8-1", "https://www.amazon.com/Sorel-Madson-Moc-Waterproof-Coal/dp/B083QDL1HL/ref=sr_1_1?keywords=Sorel+Madson+II+Moc+Toe+Waterproof+Boot+-+Men%27s&amp;qid=1695124455&amp;sr=8-1")</f>
        <v>https://www.amazon.com/Sorel-Madson-Moc-Waterproof-Coal/dp/B083QDL1HL/ref=sr_1_1?keywords=Sorel+Madson+II+Moc+Toe+Waterproof+Boot+-+Men%27s&amp;qid=1695124455&amp;sr=8-1</v>
      </c>
      <c r="F14" t="s">
        <v>72</v>
      </c>
      <c r="G14" t="e">
        <f ca="1">IMAGE("https://alssports.vtexassets.com/arquivos/ids/1131590-800-auto?v=637986124854400000&amp;width=800&amp;height=auto&amp;aspect=true")</f>
        <v>#NAME?</v>
      </c>
      <c r="H14" t="e">
        <f ca="1">IMAGE("https://m.media-amazon.com/images/I/81yF0CYThkL._AC_UL320_.jpg")</f>
        <v>#NAME?</v>
      </c>
      <c r="I14" t="s">
        <v>73</v>
      </c>
      <c r="J14">
        <v>199.95</v>
      </c>
      <c r="K14" s="2" t="s">
        <v>25</v>
      </c>
      <c r="L14">
        <v>4.5999999999999996</v>
      </c>
      <c r="M14">
        <v>892</v>
      </c>
      <c r="O14" t="s">
        <v>33</v>
      </c>
      <c r="P14" t="s">
        <v>26</v>
      </c>
      <c r="Q14" t="s">
        <v>74</v>
      </c>
    </row>
    <row r="15" spans="1:21" ht="15.75" x14ac:dyDescent="0.25">
      <c r="A15" s="3" t="str">
        <f>HYPERLINK("https://www.als.com/arcteryx-atom-hoodie-womens-140743/p?skuId=1342906", "https://www.als.com/arcteryx-atom-hoodie-womens-140743/p?skuId=1342906")</f>
        <v>https://www.als.com/arcteryx-atom-hoodie-womens-140743/p?skuId=1342906</v>
      </c>
      <c r="B15" s="3" t="str">
        <f>HYPERLINK("https://www.als.com/arcteryx-atom-hoodie-womens-140743/p", "https://www.als.com/arcteryx-atom-hoodie-womens-140743/p")</f>
        <v>https://www.als.com/arcteryx-atom-hoodie-womens-140743/p</v>
      </c>
      <c r="C15" t="s">
        <v>75</v>
      </c>
      <c r="D15" t="s">
        <v>76</v>
      </c>
      <c r="E15" s="3" t="str">
        <f>HYPERLINK("https://www.amazon.com/Arcteryx-Lightweight-Versatile-Synthetically-Insulated/dp/B0B8HG5M6T/ref=sr_1_1?keywords=Arcteryx+Atom+Hoodie+-+Womens&amp;qid=1695124299&amp;sr=8-1", "https://www.amazon.com/Arcteryx-Lightweight-Versatile-Synthetically-Insulated/dp/B0B8HG5M6T/ref=sr_1_1?keywords=Arcteryx+Atom+Hoodie+-+Womens&amp;qid=1695124299&amp;sr=8-1")</f>
        <v>https://www.amazon.com/Arcteryx-Lightweight-Versatile-Synthetically-Insulated/dp/B0B8HG5M6T/ref=sr_1_1?keywords=Arcteryx+Atom+Hoodie+-+Womens&amp;qid=1695124299&amp;sr=8-1</v>
      </c>
      <c r="F15" t="s">
        <v>77</v>
      </c>
      <c r="G15" t="e">
        <f ca="1">IMAGE("https://alssports.vtexassets.com/arquivos/ids/1400872-800-auto?v=638264371846000000&amp;width=800&amp;height=auto&amp;aspect=true")</f>
        <v>#NAME?</v>
      </c>
      <c r="H15" t="e">
        <f ca="1">IMAGE("https://m.media-amazon.com/images/I/61+ZuVXCzCL._AC_UL320_.jpg")</f>
        <v>#NAME?</v>
      </c>
      <c r="I15" t="s">
        <v>78</v>
      </c>
      <c r="J15">
        <v>300</v>
      </c>
      <c r="K15" s="2" t="s">
        <v>25</v>
      </c>
      <c r="L15">
        <v>4</v>
      </c>
      <c r="M15">
        <v>11</v>
      </c>
      <c r="O15" t="s">
        <v>33</v>
      </c>
      <c r="P15" t="s">
        <v>26</v>
      </c>
      <c r="Q15" t="s">
        <v>79</v>
      </c>
    </row>
    <row r="16" spans="1:21" ht="15.75" x14ac:dyDescent="0.25">
      <c r="A16" s="3" t="str">
        <f>HYPERLINK("https://www.als.com/expedi-megamat-10/p?skuId=457899", "https://www.als.com/expedi-megamat-10/p?skuId=457899")</f>
        <v>https://www.als.com/expedi-megamat-10/p?skuId=457899</v>
      </c>
      <c r="B16" s="3" t="str">
        <f>HYPERLINK("https://www.als.com/expedi-megamat-10/p", "https://www.als.com/expedi-megamat-10/p")</f>
        <v>https://www.als.com/expedi-megamat-10/p</v>
      </c>
      <c r="C16" t="s">
        <v>80</v>
      </c>
      <c r="D16" t="s">
        <v>81</v>
      </c>
      <c r="E16" s="3" t="str">
        <f>HYPERLINK("https://www.amazon.com/Exped-MegaMat-10-Medium-Wide/dp/B01NCU56OK/ref=sr_1_1?keywords=Exped+MegaMat+10+Sleeping+Pad&amp;qid=1695124388&amp;sr=8-1", "https://www.amazon.com/Exped-MegaMat-10-Medium-Wide/dp/B01NCU56OK/ref=sr_1_1?keywords=Exped+MegaMat+10+Sleeping+Pad&amp;qid=1695124388&amp;sr=8-1")</f>
        <v>https://www.amazon.com/Exped-MegaMat-10-Medium-Wide/dp/B01NCU56OK/ref=sr_1_1?keywords=Exped+MegaMat+10+Sleeping+Pad&amp;qid=1695124388&amp;sr=8-1</v>
      </c>
      <c r="F16" t="s">
        <v>82</v>
      </c>
      <c r="G16" t="e">
        <f ca="1">IMAGE("https://alssports.vtexassets.com/arquivos/ids/1139738-800-auto?v=637995835697400000&amp;width=800&amp;height=auto&amp;aspect=true")</f>
        <v>#NAME?</v>
      </c>
      <c r="H16" t="e">
        <f ca="1">IMAGE("https://m.media-amazon.com/images/I/719z0L-0BeL._AC_UL320_.jpg")</f>
        <v>#NAME?</v>
      </c>
      <c r="I16" t="s">
        <v>83</v>
      </c>
      <c r="J16">
        <v>239.95</v>
      </c>
      <c r="K16" s="2" t="s">
        <v>25</v>
      </c>
      <c r="L16">
        <v>4.7</v>
      </c>
      <c r="M16">
        <v>624</v>
      </c>
      <c r="O16" t="s">
        <v>33</v>
      </c>
      <c r="P16" t="s">
        <v>26</v>
      </c>
      <c r="Q16" t="s">
        <v>84</v>
      </c>
    </row>
    <row r="17" spans="1:17" ht="15.75" x14ac:dyDescent="0.25">
      <c r="A17" s="3" t="str">
        <f>HYPERLINK("https://www.als.com/nemo-pad-quasar-3d-insulated/p?skuId=879866", "https://www.als.com/nemo-pad-quasar-3d-insulated/p?skuId=879866")</f>
        <v>https://www.als.com/nemo-pad-quasar-3d-insulated/p?skuId=879866</v>
      </c>
      <c r="B17" s="3" t="str">
        <f>HYPERLINK("https://www.als.com/nemo-pad-quasar-3d-insulated/p", "https://www.als.com/nemo-pad-quasar-3d-insulated/p")</f>
        <v>https://www.als.com/nemo-pad-quasar-3d-insulated/p</v>
      </c>
      <c r="C17" t="s">
        <v>85</v>
      </c>
      <c r="D17" t="s">
        <v>86</v>
      </c>
      <c r="E17" s="3" t="str">
        <f>HYPERLINK("https://www.amazon.com/Nemo-Quasar-3D-Insulated-Regular/dp/B08QBP893L/ref=sr_1_1?keywords=NEMO+Quasar+3D+Insulated+Sleeping+Pad&amp;qid=1695124425&amp;sr=8-1", "https://www.amazon.com/Nemo-Quasar-3D-Insulated-Regular/dp/B08QBP893L/ref=sr_1_1?keywords=NEMO+Quasar+3D+Insulated+Sleeping+Pad&amp;qid=1695124425&amp;sr=8-1")</f>
        <v>https://www.amazon.com/Nemo-Quasar-3D-Insulated-Regular/dp/B08QBP893L/ref=sr_1_1?keywords=NEMO+Quasar+3D+Insulated+Sleeping+Pad&amp;qid=1695124425&amp;sr=8-1</v>
      </c>
      <c r="F17" t="s">
        <v>87</v>
      </c>
      <c r="G17" t="e">
        <f ca="1">IMAGE("https://alssports.vtexassets.com/arquivos/ids/879964-800-auto?v=637655243784100000&amp;width=800&amp;height=auto&amp;aspect=true")</f>
        <v>#NAME?</v>
      </c>
      <c r="H17" t="e">
        <f ca="1">IMAGE("https://m.media-amazon.com/images/I/81Bd-AM-fdL._AC_UL320_.jpg")</f>
        <v>#NAME?</v>
      </c>
      <c r="I17" t="s">
        <v>88</v>
      </c>
      <c r="J17">
        <v>159.94999999999999</v>
      </c>
      <c r="K17" s="2" t="s">
        <v>25</v>
      </c>
      <c r="L17">
        <v>4.5999999999999996</v>
      </c>
      <c r="M17">
        <v>112</v>
      </c>
      <c r="O17" t="s">
        <v>33</v>
      </c>
      <c r="P17" t="s">
        <v>26</v>
      </c>
      <c r="Q17" t="s">
        <v>89</v>
      </c>
    </row>
    <row r="18" spans="1:17" ht="15.75" x14ac:dyDescent="0.25">
      <c r="A18" s="3" t="str">
        <f>HYPERLINK("https://www.als.com/onix-pickleball-recruit-starter-set/p", "https://www.als.com/onix-pickleball-recruit-starter-set/p")</f>
        <v>https://www.als.com/onix-pickleball-recruit-starter-set/p</v>
      </c>
      <c r="B18" s="3" t="str">
        <f>HYPERLINK("https://www.als.com/onix-pickleball-recruit-starter-set/p", "https://www.als.com/onix-pickleball-recruit-starter-set/p")</f>
        <v>https://www.als.com/onix-pickleball-recruit-starter-set/p</v>
      </c>
      <c r="C18" t="s">
        <v>90</v>
      </c>
      <c r="D18" t="s">
        <v>91</v>
      </c>
      <c r="E18" s="3" t="str">
        <f>HYPERLINK("https://www.amazon.com/Onix-Recruit-Starter-Set-Pickleballs/dp/B01M66H0NJ/ref=sr_1_1?keywords=Onix+Recruit+Pickleball+Starter+Set&amp;qid=1695124461&amp;sr=8-1", "https://www.amazon.com/Onix-Recruit-Starter-Set-Pickleballs/dp/B01M66H0NJ/ref=sr_1_1?keywords=Onix+Recruit+Pickleball+Starter+Set&amp;qid=1695124461&amp;sr=8-1")</f>
        <v>https://www.amazon.com/Onix-Recruit-Starter-Set-Pickleballs/dp/B01M66H0NJ/ref=sr_1_1?keywords=Onix+Recruit+Pickleball+Starter+Set&amp;qid=1695124461&amp;sr=8-1</v>
      </c>
      <c r="F18" t="s">
        <v>92</v>
      </c>
      <c r="G18" t="e">
        <f ca="1">IMAGE("https://alssports.vtexassets.com/arquivos/ids/227374-800-auto?v=636964280384370000&amp;width=800&amp;height=auto&amp;aspect=true")</f>
        <v>#NAME?</v>
      </c>
      <c r="H18" t="e">
        <f ca="1">IMAGE("https://m.media-amazon.com/images/I/71QwnBrIREL._AC_UL320_.jpg")</f>
        <v>#NAME?</v>
      </c>
      <c r="I18" t="s">
        <v>93</v>
      </c>
      <c r="J18">
        <v>29.99</v>
      </c>
      <c r="K18" s="2" t="s">
        <v>25</v>
      </c>
      <c r="L18">
        <v>4.0999999999999996</v>
      </c>
      <c r="M18">
        <v>31</v>
      </c>
      <c r="O18" t="s">
        <v>33</v>
      </c>
      <c r="P18" t="s">
        <v>94</v>
      </c>
      <c r="Q18" t="s">
        <v>95</v>
      </c>
    </row>
    <row r="19" spans="1:17" ht="15.75" x14ac:dyDescent="0.25">
      <c r="A19" s="3" t="str">
        <f>HYPERLINK("https://www.als.com/peakre-food-breakfast-skillet/p?skuId=576078", "https://www.als.com/peakre-food-breakfast-skillet/p?skuId=576078")</f>
        <v>https://www.als.com/peakre-food-breakfast-skillet/p?skuId=576078</v>
      </c>
      <c r="B19" s="3" t="str">
        <f>HYPERLINK("https://www.als.com/peakre-food-breakfast-skillet/p", "https://www.als.com/peakre-food-breakfast-skillet/p")</f>
        <v>https://www.als.com/peakre-food-breakfast-skillet/p</v>
      </c>
      <c r="C19" t="s">
        <v>96</v>
      </c>
      <c r="D19" t="s">
        <v>97</v>
      </c>
      <c r="E19" s="3" t="str">
        <f>HYPERLINK("https://www.amazon.com/Peak-Refuel-Backpacking-Camping-Lightweight/dp/B07VYL1CCH/ref=sr_1_16?keywords=Peak+Refuel+Breakfast+Skillet+Freeze+Dried+Meal&amp;qid=1695124134&amp;sr=8-16", "https://www.amazon.com/Peak-Refuel-Backpacking-Camping-Lightweight/dp/B07VYL1CCH/ref=sr_1_16?keywords=Peak+Refuel+Breakfast+Skillet+Freeze+Dried+Meal&amp;qid=1695124134&amp;sr=8-16")</f>
        <v>https://www.amazon.com/Peak-Refuel-Backpacking-Camping-Lightweight/dp/B07VYL1CCH/ref=sr_1_16?keywords=Peak+Refuel+Breakfast+Skillet+Freeze+Dried+Meal&amp;qid=1695124134&amp;sr=8-16</v>
      </c>
      <c r="F19" t="s">
        <v>98</v>
      </c>
      <c r="G19" t="e">
        <f ca="1">IMAGE("https://alssports.vtexassets.com/arquivos/ids/1082240-800-auto?v=637913616562400000&amp;width=800&amp;height=auto&amp;aspect=true")</f>
        <v>#NAME?</v>
      </c>
      <c r="H19" t="e">
        <f ca="1">IMAGE("https://m.media-amazon.com/images/I/71rBkIMD7BL._AC_UL320_.jpg")</f>
        <v>#NAME?</v>
      </c>
      <c r="I19" t="s">
        <v>99</v>
      </c>
      <c r="J19">
        <v>13.99</v>
      </c>
      <c r="K19" s="2" t="s">
        <v>25</v>
      </c>
      <c r="L19">
        <v>4.3</v>
      </c>
      <c r="M19">
        <v>396</v>
      </c>
      <c r="O19" t="s">
        <v>33</v>
      </c>
      <c r="P19" t="s">
        <v>26</v>
      </c>
      <c r="Q19" t="s">
        <v>100</v>
      </c>
    </row>
    <row r="20" spans="1:17" ht="15.75" x14ac:dyDescent="0.25">
      <c r="A20" s="3" t="str">
        <f>HYPERLINK("https://www.als.com/arcteryx-covert-cardigan-womens-114632/p?skuId=1342911", "https://www.als.com/arcteryx-covert-cardigan-womens-114632/p?skuId=1342911")</f>
        <v>https://www.als.com/arcteryx-covert-cardigan-womens-114632/p?skuId=1342911</v>
      </c>
      <c r="B20" s="3" t="str">
        <f>HYPERLINK("https://www.als.com/arcteryx-covert-cardigan-womens-114632/p", "https://www.als.com/arcteryx-covert-cardigan-womens-114632/p")</f>
        <v>https://www.als.com/arcteryx-covert-cardigan-womens-114632/p</v>
      </c>
      <c r="C20" t="s">
        <v>101</v>
      </c>
      <c r="D20" t="s">
        <v>102</v>
      </c>
      <c r="E20" s="3" t="str">
        <f>HYPERLINK("https://www.amazon.com/Arcteryx-Covert-Cardigan-Womens-Technical/dp/B0B5P9MF4N/ref=sr_1_1?keywords=Arc%27teryx+Covert+Cardigan+-+Women%27s&amp;qid=1695124454&amp;sr=8-1", "https://www.amazon.com/Arcteryx-Covert-Cardigan-Womens-Technical/dp/B0B5P9MF4N/ref=sr_1_1?keywords=Arc%27teryx+Covert+Cardigan+-+Women%27s&amp;qid=1695124454&amp;sr=8-1")</f>
        <v>https://www.amazon.com/Arcteryx-Covert-Cardigan-Womens-Technical/dp/B0B5P9MF4N/ref=sr_1_1?keywords=Arc%27teryx+Covert+Cardigan+-+Women%27s&amp;qid=1695124454&amp;sr=8-1</v>
      </c>
      <c r="F20" t="s">
        <v>103</v>
      </c>
      <c r="G20" t="e">
        <f ca="1">IMAGE("https://alssports.vtexassets.com/arquivos/ids/1401004-800-auto?v=638264402977300000&amp;width=800&amp;height=auto&amp;aspect=true")</f>
        <v>#NAME?</v>
      </c>
      <c r="H20" t="e">
        <f ca="1">IMAGE("https://m.media-amazon.com/images/I/81SzTxRBOqL._AC_UL320_.jpg")</f>
        <v>#NAME?</v>
      </c>
      <c r="I20" t="s">
        <v>104</v>
      </c>
      <c r="J20">
        <v>180</v>
      </c>
      <c r="K20" s="2" t="s">
        <v>25</v>
      </c>
      <c r="L20">
        <v>3</v>
      </c>
      <c r="M20">
        <v>1</v>
      </c>
      <c r="O20" t="s">
        <v>33</v>
      </c>
      <c r="P20" t="s">
        <v>26</v>
      </c>
      <c r="Q20" t="s">
        <v>105</v>
      </c>
    </row>
    <row r="21" spans="1:17" ht="15.75" x14ac:dyDescent="0.25">
      <c r="A21" s="3" t="str">
        <f>HYPERLINK("https://www.als.com/smartw-m-hk-clssc-dtn-zr-cshn-lnr-crw/p?skuId=1236365", "https://www.als.com/smartw-m-hk-clssc-dtn-zr-cshn-lnr-crw/p?skuId=1236365")</f>
        <v>https://www.als.com/smartw-m-hk-clssc-dtn-zr-cshn-lnr-crw/p?skuId=1236365</v>
      </c>
      <c r="B21" s="3" t="str">
        <f>HYPERLINK("https://www.als.com/smartw-m-hk-clssc-dtn-zr-cshn-lnr-crw/p", "https://www.als.com/smartw-m-hk-clssc-dtn-zr-cshn-lnr-crw/p")</f>
        <v>https://www.als.com/smartw-m-hk-clssc-dtn-zr-cshn-lnr-crw/p</v>
      </c>
      <c r="C21" t="s">
        <v>106</v>
      </c>
      <c r="D21" t="s">
        <v>107</v>
      </c>
      <c r="E21" s="3" t="str">
        <f>HYPERLINK("https://www.amazon.com/Smartwool-Mens-Classic-Cushion-Liner/dp/B0921PNWRC/ref=sr_1_1?keywords=Smartwool+Hike+Classic+Edition+Zero+Cushion+Liner+Crew+Sock+-+Mens&amp;qid=1695124458&amp;sr=8-1", "https://www.amazon.com/Smartwool-Mens-Classic-Cushion-Liner/dp/B0921PNWRC/ref=sr_1_1?keywords=Smartwool+Hike+Classic+Edition+Zero+Cushion+Liner+Crew+Sock+-+Mens&amp;qid=1695124458&amp;sr=8-1")</f>
        <v>https://www.amazon.com/Smartwool-Mens-Classic-Cushion-Liner/dp/B0921PNWRC/ref=sr_1_1?keywords=Smartwool+Hike+Classic+Edition+Zero+Cushion+Liner+Crew+Sock+-+Mens&amp;qid=1695124458&amp;sr=8-1</v>
      </c>
      <c r="F21" t="s">
        <v>108</v>
      </c>
      <c r="G21" t="e">
        <f ca="1">IMAGE("https://alssports.vtexassets.com/arquivos/ids/1220290-800-auto?v=638102010133030000&amp;width=800&amp;height=auto&amp;aspect=true")</f>
        <v>#NAME?</v>
      </c>
      <c r="H21" t="e">
        <f ca="1">IMAGE("https://m.media-amazon.com/images/I/71L0xoYAg+L._AC_UL320_.jpg")</f>
        <v>#NAME?</v>
      </c>
      <c r="I21" t="s">
        <v>109</v>
      </c>
      <c r="J21">
        <v>16</v>
      </c>
      <c r="K21" s="2" t="s">
        <v>25</v>
      </c>
      <c r="L21">
        <v>4.5</v>
      </c>
      <c r="M21">
        <v>203</v>
      </c>
      <c r="O21" t="s">
        <v>33</v>
      </c>
      <c r="P21" t="s">
        <v>26</v>
      </c>
      <c r="Q21" t="s">
        <v>110</v>
      </c>
    </row>
    <row r="22" spans="1:17" ht="15.75" x14ac:dyDescent="0.25">
      <c r="A22" s="3" t="str">
        <f>HYPERLINK("https://www.als.com/rio-flyline-elite-rio-gold/p?skuId=684277", "https://www.als.com/rio-flyline-elite-rio-gold/p?skuId=684277")</f>
        <v>https://www.als.com/rio-flyline-elite-rio-gold/p?skuId=684277</v>
      </c>
      <c r="B22" s="3" t="str">
        <f>HYPERLINK("https://www.als.com/rio-flyline-elite-rio-gold/p", "https://www.als.com/rio-flyline-elite-rio-gold/p")</f>
        <v>https://www.als.com/rio-flyline-elite-rio-gold/p</v>
      </c>
      <c r="C22" t="s">
        <v>111</v>
      </c>
      <c r="D22" t="s">
        <v>112</v>
      </c>
      <c r="E22" s="3" t="str">
        <f>HYPERLINK("https://www.amazon.com/Elite-Ultimate-All-Around-Ultra-Slick-Performance/dp/B08B448B2D/ref=sr_1_1?keywords=RIO+Elite+Gold+Fly+Fishing+Line&amp;qid=1695124454&amp;sr=8-1", "https://www.amazon.com/Elite-Ultimate-All-Around-Ultra-Slick-Performance/dp/B08B448B2D/ref=sr_1_1?keywords=RIO+Elite+Gold+Fly+Fishing+Line&amp;qid=1695124454&amp;sr=8-1")</f>
        <v>https://www.amazon.com/Elite-Ultimate-All-Around-Ultra-Slick-Performance/dp/B08B448B2D/ref=sr_1_1?keywords=RIO+Elite+Gold+Fly+Fishing+Line&amp;qid=1695124454&amp;sr=8-1</v>
      </c>
      <c r="F22" t="s">
        <v>113</v>
      </c>
      <c r="G22" t="e">
        <f ca="1">IMAGE("https://alssports.vtexassets.com/arquivos/ids/462671-800-auto?v=637402024608700000&amp;width=800&amp;height=auto&amp;aspect=true")</f>
        <v>#NAME?</v>
      </c>
      <c r="H22" t="e">
        <f ca="1">IMAGE("https://m.media-amazon.com/images/I/71w62jYOOsL._AC_UL320_.jpg")</f>
        <v>#NAME?</v>
      </c>
      <c r="I22" t="s">
        <v>114</v>
      </c>
      <c r="J22">
        <v>129.99</v>
      </c>
      <c r="K22" s="2" t="s">
        <v>25</v>
      </c>
      <c r="L22">
        <v>4.5999999999999996</v>
      </c>
      <c r="M22">
        <v>122</v>
      </c>
      <c r="O22" t="s">
        <v>33</v>
      </c>
      <c r="P22" t="s">
        <v>26</v>
      </c>
      <c r="Q22" t="s">
        <v>115</v>
      </c>
    </row>
    <row r="23" spans="1:17" ht="15.75" x14ac:dyDescent="0.25">
      <c r="A23" s="3" t="str">
        <f>HYPERLINK("https://www.als.com/black-diamond-distance-z-trekking-pole-1-pair-101630/p?skuId=931475", "https://www.als.com/black-diamond-distance-z-trekking-pole-1-pair-101630/p?skuId=931475")</f>
        <v>https://www.als.com/black-diamond-distance-z-trekking-pole-1-pair-101630/p?skuId=931475</v>
      </c>
      <c r="B23" s="3" t="str">
        <f>HYPERLINK("https://www.als.com/black-diamond-distance-z-trekking-pole-1-pair-101630/p", "https://www.als.com/black-diamond-distance-z-trekking-pole-1-pair-101630/p")</f>
        <v>https://www.als.com/black-diamond-distance-z-trekking-pole-1-pair-101630/p</v>
      </c>
      <c r="C23" t="s">
        <v>116</v>
      </c>
      <c r="D23" t="s">
        <v>117</v>
      </c>
      <c r="E23" s="3" t="str">
        <f>HYPERLINK("https://www.amazon.com/Black-Diamond-Equipment-Distance-Pewter/dp/B09N7VC3DN/ref=sr_1_3?keywords=Black+Diamond+Distance+Z+Trekking+Pole+%281+Pair%29&amp;qid=1695124412&amp;sr=8-3", "https://www.amazon.com/Black-Diamond-Equipment-Distance-Pewter/dp/B09N7VC3DN/ref=sr_1_3?keywords=Black+Diamond+Distance+Z+Trekking+Pole+%281+Pair%29&amp;qid=1695124412&amp;sr=8-3")</f>
        <v>https://www.amazon.com/Black-Diamond-Equipment-Distance-Pewter/dp/B09N7VC3DN/ref=sr_1_3?keywords=Black+Diamond+Distance+Z+Trekking+Pole+%281+Pair%29&amp;qid=1695124412&amp;sr=8-3</v>
      </c>
      <c r="F23" t="s">
        <v>118</v>
      </c>
      <c r="G23" t="e">
        <f ca="1">IMAGE("https://alssports.vtexassets.com/arquivos/ids/1024909-800-auto?v=637824770973330000&amp;width=800&amp;height=auto&amp;aspect=true")</f>
        <v>#NAME?</v>
      </c>
      <c r="H23" t="e">
        <f ca="1">IMAGE("https://m.media-amazon.com/images/I/710T6PmcwQL._AC_UY218_.jpg")</f>
        <v>#NAME?</v>
      </c>
      <c r="I23" t="s">
        <v>119</v>
      </c>
      <c r="J23">
        <v>139.94999999999999</v>
      </c>
      <c r="K23" s="2" t="s">
        <v>25</v>
      </c>
      <c r="L23">
        <v>4.7</v>
      </c>
      <c r="M23">
        <v>22</v>
      </c>
      <c r="O23" t="s">
        <v>33</v>
      </c>
      <c r="P23" t="s">
        <v>26</v>
      </c>
      <c r="Q23" t="s">
        <v>120</v>
      </c>
    </row>
    <row r="24" spans="1:17" ht="15.75" x14ac:dyDescent="0.25">
      <c r="A24" s="3" t="str">
        <f>HYPERLINK("https://www.als.com/scient-line-amplitude-smooth-trout/p?skuId=481208", "https://www.als.com/scient-line-amplitude-smooth-trout/p?skuId=481208")</f>
        <v>https://www.als.com/scient-line-amplitude-smooth-trout/p?skuId=481208</v>
      </c>
      <c r="B24" s="3" t="str">
        <f>HYPERLINK("https://www.als.com/scient-line-amplitude-smooth-trout/p", "https://www.als.com/scient-line-amplitude-smooth-trout/p")</f>
        <v>https://www.als.com/scient-line-amplitude-smooth-trout/p</v>
      </c>
      <c r="C24" t="s">
        <v>29</v>
      </c>
      <c r="D24" t="s">
        <v>121</v>
      </c>
      <c r="E24" s="3" t="str">
        <f>HYPERLINK("https://www.amazon.com/Scientific-Anglers-Amplitude-Smooth-WF-8-F/dp/B07DV1Y13H/ref=sr_1_5?keywords=Scientific+Anglers+Amplitude+Smooth+Trout+Fly+Line&amp;qid=1695124414&amp;sr=8-5", "https://www.amazon.com/Scientific-Anglers-Amplitude-Smooth-WF-8-F/dp/B07DV1Y13H/ref=sr_1_5?keywords=Scientific+Anglers+Amplitude+Smooth+Trout+Fly+Line&amp;qid=1695124414&amp;sr=8-5")</f>
        <v>https://www.amazon.com/Scientific-Anglers-Amplitude-Smooth-WF-8-F/dp/B07DV1Y13H/ref=sr_1_5?keywords=Scientific+Anglers+Amplitude+Smooth+Trout+Fly+Line&amp;qid=1695124414&amp;sr=8-5</v>
      </c>
      <c r="F24" t="s">
        <v>122</v>
      </c>
      <c r="G24" t="e">
        <f ca="1">IMAGE("https://alssports.vtexassets.com/arquivos/ids/1138376-800-auto?v=637993875297330000&amp;width=800&amp;height=auto&amp;aspect=true")</f>
        <v>#NAME?</v>
      </c>
      <c r="H24" t="e">
        <f ca="1">IMAGE("https://m.media-amazon.com/images/I/51Dft8eFWkL._AC_UL320_.jpg")</f>
        <v>#NAME?</v>
      </c>
      <c r="I24" t="s">
        <v>32</v>
      </c>
      <c r="J24">
        <v>99.95</v>
      </c>
      <c r="K24" s="2" t="s">
        <v>25</v>
      </c>
      <c r="L24">
        <v>4.5</v>
      </c>
      <c r="M24">
        <v>28</v>
      </c>
      <c r="O24" t="s">
        <v>33</v>
      </c>
      <c r="P24" t="s">
        <v>26</v>
      </c>
      <c r="Q24" t="s">
        <v>34</v>
      </c>
    </row>
    <row r="25" spans="1:17" ht="15.75" x14ac:dyDescent="0.25">
      <c r="A25" s="3" t="str">
        <f>HYPERLINK("https://www.als.com/peakre-food-homestyle-chkn--rice/p?skuId=659790", "https://www.als.com/peakre-food-homestyle-chkn--rice/p?skuId=659790")</f>
        <v>https://www.als.com/peakre-food-homestyle-chkn--rice/p?skuId=659790</v>
      </c>
      <c r="B25" s="3" t="str">
        <f>HYPERLINK("https://www.als.com/peakre-food-homestyle-chkn--rice/p", "https://www.als.com/peakre-food-homestyle-chkn--rice/p")</f>
        <v>https://www.als.com/peakre-food-homestyle-chkn--rice/p</v>
      </c>
      <c r="C25" t="s">
        <v>123</v>
      </c>
      <c r="D25" t="s">
        <v>124</v>
      </c>
      <c r="E25" s="3" t="str">
        <f>HYPERLINK("https://www.amazon.com/Peak-Refuel-Homestyle-Chicken-Backpacking/dp/B07VXKG5XK/ref=sr_1_1?keywords=Peak+Refuel+Homestyle+Chicken+Rice+Freeze+Dried+Meal&amp;qid=1695124137&amp;sr=8-1", "https://www.amazon.com/Peak-Refuel-Homestyle-Chicken-Backpacking/dp/B07VXKG5XK/ref=sr_1_1?keywords=Peak+Refuel+Homestyle+Chicken+Rice+Freeze+Dried+Meal&amp;qid=1695124137&amp;sr=8-1")</f>
        <v>https://www.amazon.com/Peak-Refuel-Homestyle-Chicken-Backpacking/dp/B07VXKG5XK/ref=sr_1_1?keywords=Peak+Refuel+Homestyle+Chicken+Rice+Freeze+Dried+Meal&amp;qid=1695124137&amp;sr=8-1</v>
      </c>
      <c r="F25" t="s">
        <v>125</v>
      </c>
      <c r="G25" t="e">
        <f ca="1">IMAGE("https://alssports.vtexassets.com/arquivos/ids/623992-800-auto?v=637546235937930000&amp;width=800&amp;height=auto&amp;aspect=true")</f>
        <v>#NAME?</v>
      </c>
      <c r="H25" t="e">
        <f ca="1">IMAGE("https://m.media-amazon.com/images/I/711aOKzEfyL._AC_UL320_.jpg")</f>
        <v>#NAME?</v>
      </c>
      <c r="I25" t="s">
        <v>99</v>
      </c>
      <c r="J25">
        <v>13.99</v>
      </c>
      <c r="K25" s="2" t="s">
        <v>25</v>
      </c>
      <c r="L25">
        <v>4.5</v>
      </c>
      <c r="M25">
        <v>750</v>
      </c>
      <c r="O25" t="s">
        <v>33</v>
      </c>
      <c r="P25" t="s">
        <v>26</v>
      </c>
      <c r="Q25" t="s">
        <v>126</v>
      </c>
    </row>
    <row r="26" spans="1:17" ht="15.75" x14ac:dyDescent="0.25">
      <c r="A26" s="3" t="str">
        <f>HYPERLINK("https://www.als.com/stearn-lifevest-puddle-jumper/p?skuId=821205", "https://www.als.com/stearn-lifevest-puddle-jumper/p?skuId=821205")</f>
        <v>https://www.als.com/stearn-lifevest-puddle-jumper/p?skuId=821205</v>
      </c>
      <c r="B26" s="3" t="str">
        <f>HYPERLINK("https://www.als.com/stearn-lifevest-puddle-jumper/p", "https://www.als.com/stearn-lifevest-puddle-jumper/p")</f>
        <v>https://www.als.com/stearn-lifevest-puddle-jumper/p</v>
      </c>
      <c r="C26" t="s">
        <v>127</v>
      </c>
      <c r="D26" t="s">
        <v>128</v>
      </c>
      <c r="E26" s="3" t="str">
        <f>HYPERLINK("https://www.amazon.com/Stearns-Puddle-Jumper-Deluxe-Jacket/dp/B004UJS9EQ/ref=sr_1_4?keywords=Stearns+Puddle+Jumper+Life+Jacket+-+Toddler&amp;qid=1695124098&amp;sr=8-4", "https://www.amazon.com/Stearns-Puddle-Jumper-Deluxe-Jacket/dp/B004UJS9EQ/ref=sr_1_4?keywords=Stearns+Puddle+Jumper+Life+Jacket+-+Toddler&amp;qid=1695124098&amp;sr=8-4")</f>
        <v>https://www.amazon.com/Stearns-Puddle-Jumper-Deluxe-Jacket/dp/B004UJS9EQ/ref=sr_1_4?keywords=Stearns+Puddle+Jumper+Life+Jacket+-+Toddler&amp;qid=1695124098&amp;sr=8-4</v>
      </c>
      <c r="F26" t="s">
        <v>129</v>
      </c>
      <c r="G26" t="e">
        <f ca="1">IMAGE("https://alssports.vtexassets.com/arquivos/ids/1382447-800-auto?v=638261601171630000&amp;width=800&amp;height=auto&amp;aspect=true")</f>
        <v>#NAME?</v>
      </c>
      <c r="H26" t="e">
        <f ca="1">IMAGE("https://m.media-amazon.com/images/I/81w58hilVKL._AC_UL320_.jpg")</f>
        <v>#NAME?</v>
      </c>
      <c r="I26" t="s">
        <v>130</v>
      </c>
      <c r="J26">
        <v>9.99</v>
      </c>
      <c r="K26" s="2" t="s">
        <v>25</v>
      </c>
      <c r="L26">
        <v>4.7</v>
      </c>
      <c r="M26">
        <v>1600</v>
      </c>
      <c r="O26" t="s">
        <v>33</v>
      </c>
      <c r="P26" t="s">
        <v>93</v>
      </c>
      <c r="Q26" t="s">
        <v>131</v>
      </c>
    </row>
    <row r="27" spans="1:17" ht="15.75" x14ac:dyDescent="0.25">
      <c r="A27" s="3" t="str">
        <f>HYPERLINK("https://www.als.com/wicked-paddle-ball-set/p", "https://www.als.com/wicked-paddle-ball-set/p")</f>
        <v>https://www.als.com/wicked-paddle-ball-set/p</v>
      </c>
      <c r="B27" s="3" t="str">
        <f>HYPERLINK("https://www.als.com/wicked-paddle-ball-set/p", "https://www.als.com/wicked-paddle-ball-set/p")</f>
        <v>https://www.als.com/wicked-paddle-ball-set/p</v>
      </c>
      <c r="C27" t="s">
        <v>132</v>
      </c>
      <c r="D27" t="s">
        <v>133</v>
      </c>
      <c r="E27" s="3" t="str">
        <f>HYPERLINK("https://www.amazon.com/Wicked-Big-Sports-Paddle-Paddles/dp/B07S52491F/ref=sr_1_1?keywords=Wicked+Big+Sports+Paddle+Ball+Set&amp;qid=1695124097&amp;sr=8-1", "https://www.amazon.com/Wicked-Big-Sports-Paddle-Paddles/dp/B07S52491F/ref=sr_1_1?keywords=Wicked+Big+Sports+Paddle+Ball+Set&amp;qid=1695124097&amp;sr=8-1")</f>
        <v>https://www.amazon.com/Wicked-Big-Sports-Paddle-Paddles/dp/B07S52491F/ref=sr_1_1?keywords=Wicked+Big+Sports+Paddle+Ball+Set&amp;qid=1695124097&amp;sr=8-1</v>
      </c>
      <c r="F27" t="s">
        <v>134</v>
      </c>
      <c r="G27" t="e">
        <f ca="1">IMAGE("https://alssports.vtexassets.com/arquivos/ids/1386367-800-auto?v=638254932574870000&amp;width=800&amp;height=auto&amp;aspect=true")</f>
        <v>#NAME?</v>
      </c>
      <c r="H27" t="e">
        <f ca="1">IMAGE("https://m.media-amazon.com/images/I/71CGrb726TL._AC_UL320_.jpg")</f>
        <v>#NAME?</v>
      </c>
      <c r="I27" t="s">
        <v>24</v>
      </c>
      <c r="J27">
        <v>4.99</v>
      </c>
      <c r="K27" s="2" t="s">
        <v>25</v>
      </c>
      <c r="L27">
        <v>4.5999999999999996</v>
      </c>
      <c r="M27">
        <v>29</v>
      </c>
      <c r="O27" t="s">
        <v>33</v>
      </c>
      <c r="P27" t="s">
        <v>135</v>
      </c>
      <c r="Q27" t="s">
        <v>136</v>
      </c>
    </row>
    <row r="28" spans="1:17" ht="15.75" x14ac:dyDescent="0.25">
      <c r="A28" s="3" t="str">
        <f>HYPERLINK("https://www.als.com/teva-yth-sandal-original-univeral/p?skuId=715080", "https://www.als.com/teva-yth-sandal-original-univeral/p?skuId=715080")</f>
        <v>https://www.als.com/teva-yth-sandal-original-univeral/p?skuId=715080</v>
      </c>
      <c r="B28" s="3" t="str">
        <f>HYPERLINK("https://www.als.com/teva-yth-sandal-original-univeral/p", "https://www.als.com/teva-yth-sandal-original-univeral/p")</f>
        <v>https://www.als.com/teva-yth-sandal-original-univeral/p</v>
      </c>
      <c r="C28" t="s">
        <v>137</v>
      </c>
      <c r="D28" t="s">
        <v>138</v>
      </c>
      <c r="E28" s="3" t="str">
        <f>HYPERLINK("https://www.amazon.com/Teva-Original-Universal-Shimmer-Sandal/dp/B09DRFZV3S/ref=sr_1_8?keywords=Teva+Original+Universal+Sandal+-+Kids%27&amp;qid=1695124396&amp;sr=8-8", "https://www.amazon.com/Teva-Original-Universal-Shimmer-Sandal/dp/B09DRFZV3S/ref=sr_1_8?keywords=Teva+Original+Universal+Sandal+-+Kids%27&amp;qid=1695124396&amp;sr=8-8")</f>
        <v>https://www.amazon.com/Teva-Original-Universal-Shimmer-Sandal/dp/B09DRFZV3S/ref=sr_1_8?keywords=Teva+Original+Universal+Sandal+-+Kids%27&amp;qid=1695124396&amp;sr=8-8</v>
      </c>
      <c r="F28" t="s">
        <v>139</v>
      </c>
      <c r="G28" t="e">
        <f ca="1">IMAGE("https://alssports.vtexassets.com/arquivos/ids/1020862-800-auto?v=637818688399000000&amp;width=800&amp;height=auto&amp;aspect=true")</f>
        <v>#NAME?</v>
      </c>
      <c r="H28" t="e">
        <f ca="1">IMAGE("https://m.media-amazon.com/images/I/61fKCqGBwRL._AC_UL320_.jpg")</f>
        <v>#NAME?</v>
      </c>
      <c r="I28" t="s">
        <v>140</v>
      </c>
      <c r="J28">
        <v>39.950000000000003</v>
      </c>
      <c r="K28" s="2" t="s">
        <v>25</v>
      </c>
      <c r="L28">
        <v>4.4000000000000004</v>
      </c>
      <c r="M28">
        <v>67</v>
      </c>
      <c r="O28" t="s">
        <v>33</v>
      </c>
      <c r="P28" t="s">
        <v>26</v>
      </c>
      <c r="Q28" t="s">
        <v>141</v>
      </c>
    </row>
    <row r="29" spans="1:17" ht="15.75" x14ac:dyDescent="0.25">
      <c r="A29" s="3" t="str">
        <f>HYPERLINK("https://www.als.com/columbia-anytime-outdoor-13-short-womens-89184/p?skuId=54938", "https://www.als.com/columbia-anytime-outdoor-13-short-womens-89184/p?skuId=54938")</f>
        <v>https://www.als.com/columbia-anytime-outdoor-13-short-womens-89184/p?skuId=54938</v>
      </c>
      <c r="B29" s="3" t="str">
        <f>HYPERLINK("https://www.als.com/columbia-anytime-outdoor-13-short-womens-89184/p", "https://www.als.com/columbia-anytime-outdoor-13-short-womens-89184/p")</f>
        <v>https://www.als.com/columbia-anytime-outdoor-13-short-womens-89184/p</v>
      </c>
      <c r="C29" t="s">
        <v>142</v>
      </c>
      <c r="D29" t="s">
        <v>143</v>
      </c>
      <c r="E29" s="3" t="str">
        <f>HYPERLINK("https://www.amazon.com/Columbia-Anytime-Outdoor-Long-Shorts/dp/B008MW3EXS/ref=sr_1_1?keywords=Columbia+Anytime+Outdoor+13%22+Short+-+Women%27s&amp;qid=1695124095&amp;sr=8-1", "https://www.amazon.com/Columbia-Anytime-Outdoor-Long-Shorts/dp/B008MW3EXS/ref=sr_1_1?keywords=Columbia+Anytime+Outdoor+13%22+Short+-+Women%27s&amp;qid=1695124095&amp;sr=8-1")</f>
        <v>https://www.amazon.com/Columbia-Anytime-Outdoor-Long-Shorts/dp/B008MW3EXS/ref=sr_1_1?keywords=Columbia+Anytime+Outdoor+13%22+Short+-+Women%27s&amp;qid=1695124095&amp;sr=8-1</v>
      </c>
      <c r="F29" t="s">
        <v>144</v>
      </c>
      <c r="G29" t="e">
        <f ca="1">IMAGE("https://alssports.vtexassets.com/arquivos/ids/997917-800-auto?v=638227998694600000&amp;width=800&amp;height=auto&amp;aspect=true")</f>
        <v>#NAME?</v>
      </c>
      <c r="H29" t="e">
        <f ca="1">IMAGE("https://m.media-amazon.com/images/I/51muUMHA9sL._AC_UL320_.jpg")</f>
        <v>#NAME?</v>
      </c>
      <c r="I29" t="s">
        <v>93</v>
      </c>
      <c r="J29">
        <v>29.99</v>
      </c>
      <c r="K29" s="2" t="s">
        <v>25</v>
      </c>
      <c r="L29">
        <v>4.5</v>
      </c>
      <c r="M29">
        <v>2455</v>
      </c>
      <c r="O29" t="s">
        <v>33</v>
      </c>
      <c r="P29" t="s">
        <v>145</v>
      </c>
      <c r="Q29" t="s">
        <v>146</v>
      </c>
    </row>
    <row r="30" spans="1:17" ht="15.75" x14ac:dyDescent="0.25">
      <c r="A30" s="3" t="str">
        <f>HYPERLINK("https://www.als.com/brooks-ms-shoe-adrenaline-gts-22/p?skuId=900565", "https://www.als.com/brooks-ms-shoe-adrenaline-gts-22/p?skuId=900565")</f>
        <v>https://www.als.com/brooks-ms-shoe-adrenaline-gts-22/p?skuId=900565</v>
      </c>
      <c r="B30" s="3" t="str">
        <f>HYPERLINK("https://www.als.com/brooks-ms-shoe-adrenaline-gts-22/p", "https://www.als.com/brooks-ms-shoe-adrenaline-gts-22/p")</f>
        <v>https://www.als.com/brooks-ms-shoe-adrenaline-gts-22/p</v>
      </c>
      <c r="C30" t="s">
        <v>147</v>
      </c>
      <c r="D30" t="s">
        <v>148</v>
      </c>
      <c r="E30" s="3" t="str">
        <f>HYPERLINK("https://www.amazon.com/Brooks-Adrenaline-Mens-Supportive-Running/dp/B08QTSSVRZ/ref=sr_1_1?keywords=Brooks+Adrenaline+GTS+22+Running+Shoe+-+Mens&amp;qid=1695124319&amp;sr=8-1", "https://www.amazon.com/Brooks-Adrenaline-Mens-Supportive-Running/dp/B08QTSSVRZ/ref=sr_1_1?keywords=Brooks+Adrenaline+GTS+22+Running+Shoe+-+Mens&amp;qid=1695124319&amp;sr=8-1")</f>
        <v>https://www.amazon.com/Brooks-Adrenaline-Mens-Supportive-Running/dp/B08QTSSVRZ/ref=sr_1_1?keywords=Brooks+Adrenaline+GTS+22+Running+Shoe+-+Mens&amp;qid=1695124319&amp;sr=8-1</v>
      </c>
      <c r="F30" t="s">
        <v>149</v>
      </c>
      <c r="G30" t="e">
        <f ca="1">IMAGE("https://alssports.vtexassets.com/arquivos/ids/1076112-800-auto?v=637904171081370000&amp;width=800&amp;height=auto&amp;aspect=true")</f>
        <v>#NAME?</v>
      </c>
      <c r="H30" t="e">
        <f ca="1">IMAGE("https://m.media-amazon.com/images/I/81J1DglqEGL._AC_UL320_.jpg")</f>
        <v>#NAME?</v>
      </c>
      <c r="I30" t="s">
        <v>150</v>
      </c>
      <c r="J30">
        <v>109.95</v>
      </c>
      <c r="K30" s="2" t="s">
        <v>25</v>
      </c>
      <c r="L30">
        <v>4.7</v>
      </c>
      <c r="M30">
        <v>10927</v>
      </c>
      <c r="O30" t="s">
        <v>33</v>
      </c>
      <c r="P30" t="s">
        <v>119</v>
      </c>
      <c r="Q30" t="s">
        <v>151</v>
      </c>
    </row>
    <row r="31" spans="1:17" ht="15.75" x14ac:dyDescent="0.25">
      <c r="A31" s="3" t="str">
        <f>HYPERLINK("https://www.als.com/teva-yth-sandal-original-univeral/p?skuId=715080", "https://www.als.com/teva-yth-sandal-original-univeral/p?skuId=715080")</f>
        <v>https://www.als.com/teva-yth-sandal-original-univeral/p?skuId=715080</v>
      </c>
      <c r="B31" s="3" t="str">
        <f>HYPERLINK("https://www.als.com/teva-yth-sandal-original-univeral/p", "https://www.als.com/teva-yth-sandal-original-univeral/p")</f>
        <v>https://www.als.com/teva-yth-sandal-original-univeral/p</v>
      </c>
      <c r="C31" t="s">
        <v>137</v>
      </c>
      <c r="D31" t="s">
        <v>152</v>
      </c>
      <c r="E31" s="3" t="str">
        <f>HYPERLINK("https://www.amazon.com/Teva-Original-Universal-Tie-Dye-Sandal/dp/B09DS1HHYG/ref=sr_1_5?keywords=Teva+Original+Universal+Sandal+-+Kids%27&amp;qid=1695124396&amp;sr=8-5", "https://www.amazon.com/Teva-Original-Universal-Tie-Dye-Sandal/dp/B09DS1HHYG/ref=sr_1_5?keywords=Teva+Original+Universal+Sandal+-+Kids%27&amp;qid=1695124396&amp;sr=8-5")</f>
        <v>https://www.amazon.com/Teva-Original-Universal-Tie-Dye-Sandal/dp/B09DS1HHYG/ref=sr_1_5?keywords=Teva+Original+Universal+Sandal+-+Kids%27&amp;qid=1695124396&amp;sr=8-5</v>
      </c>
      <c r="F31" t="s">
        <v>153</v>
      </c>
      <c r="G31" t="e">
        <f ca="1">IMAGE("https://alssports.vtexassets.com/arquivos/ids/1020862-800-auto?v=637818688399000000&amp;width=800&amp;height=auto&amp;aspect=true")</f>
        <v>#NAME?</v>
      </c>
      <c r="H31" t="e">
        <f ca="1">IMAGE("https://m.media-amazon.com/images/I/61QkZT8U6aL._AC_UL320_.jpg")</f>
        <v>#NAME?</v>
      </c>
      <c r="I31" t="s">
        <v>140</v>
      </c>
      <c r="J31">
        <v>39.950000000000003</v>
      </c>
      <c r="K31" s="2" t="s">
        <v>25</v>
      </c>
      <c r="L31">
        <v>4.4000000000000004</v>
      </c>
      <c r="M31">
        <v>63</v>
      </c>
      <c r="O31" t="s">
        <v>33</v>
      </c>
      <c r="P31" t="s">
        <v>26</v>
      </c>
      <c r="Q31" t="s">
        <v>141</v>
      </c>
    </row>
    <row r="32" spans="1:17" ht="15.75" x14ac:dyDescent="0.25">
      <c r="A32" s="3" t="str">
        <f>HYPERLINK("https://www.als.com/black-diamond-spot-400-headlamp-101632/p?skuId=931481", "https://www.als.com/black-diamond-spot-400-headlamp-101632/p?skuId=931481")</f>
        <v>https://www.als.com/black-diamond-spot-400-headlamp-101632/p?skuId=931481</v>
      </c>
      <c r="B32" s="3" t="str">
        <f>HYPERLINK("https://www.als.com/black-diamond-spot-400-headlamp-101632/p", "https://www.als.com/black-diamond-spot-400-headlamp-101632/p")</f>
        <v>https://www.als.com/black-diamond-spot-400-headlamp-101632/p</v>
      </c>
      <c r="C32" t="s">
        <v>154</v>
      </c>
      <c r="D32" t="s">
        <v>155</v>
      </c>
      <c r="E32" s="3" t="str">
        <f>HYPERLINK("https://www.amazon.com/Black-Diamond-Equipment-Headlamp-Graphite/dp/B09NQK2581/ref=sr_1_1?keywords=Black+Diamond+Spot+400+Headlamp&amp;qid=1695124486&amp;sr=8-1", "https://www.amazon.com/Black-Diamond-Equipment-Headlamp-Graphite/dp/B09NQK2581/ref=sr_1_1?keywords=Black+Diamond+Spot+400+Headlamp&amp;qid=1695124486&amp;sr=8-1")</f>
        <v>https://www.amazon.com/Black-Diamond-Equipment-Headlamp-Graphite/dp/B09NQK2581/ref=sr_1_1?keywords=Black+Diamond+Spot+400+Headlamp&amp;qid=1695124486&amp;sr=8-1</v>
      </c>
      <c r="F32" t="s">
        <v>156</v>
      </c>
      <c r="G32" t="e">
        <f ca="1">IMAGE("https://alssports.vtexassets.com/arquivos/ids/1053612-800-auto?v=637867784637730000&amp;width=800&amp;height=auto&amp;aspect=true")</f>
        <v>#NAME?</v>
      </c>
      <c r="H32" t="e">
        <f ca="1">IMAGE("https://m.media-amazon.com/images/I/71epdZSRw0L._AC_UL320_.jpg")</f>
        <v>#NAME?</v>
      </c>
      <c r="I32" t="s">
        <v>157</v>
      </c>
      <c r="J32">
        <v>49.95</v>
      </c>
      <c r="K32" s="2" t="s">
        <v>25</v>
      </c>
      <c r="L32">
        <v>4.5</v>
      </c>
      <c r="M32">
        <v>279</v>
      </c>
      <c r="O32" t="s">
        <v>33</v>
      </c>
      <c r="P32" t="s">
        <v>26</v>
      </c>
      <c r="Q32" t="s">
        <v>158</v>
      </c>
    </row>
    <row r="33" spans="1:17" ht="15.75" x14ac:dyDescent="0.25">
      <c r="A33" s="3" t="str">
        <f>HYPERLINK("https://www.als.com/teva-yth-sandal-original-univeral/p?skuId=715080", "https://www.als.com/teva-yth-sandal-original-univeral/p?skuId=715080")</f>
        <v>https://www.als.com/teva-yth-sandal-original-univeral/p?skuId=715080</v>
      </c>
      <c r="B33" s="3" t="str">
        <f>HYPERLINK("https://www.als.com/teva-yth-sandal-original-univeral/p", "https://www.als.com/teva-yth-sandal-original-univeral/p")</f>
        <v>https://www.als.com/teva-yth-sandal-original-univeral/p</v>
      </c>
      <c r="C33" t="s">
        <v>137</v>
      </c>
      <c r="D33" t="s">
        <v>159</v>
      </c>
      <c r="E33" s="3" t="str">
        <f>HYPERLINK("https://www.amazon.com/Teva-Original-Universal-Sandal-Metallic/dp/B0B5LZFGML/ref=sr_1_3?keywords=Teva+Original+Universal+Sandal+-+Kids%27&amp;qid=1695124396&amp;sr=8-3", "https://www.amazon.com/Teva-Original-Universal-Sandal-Metallic/dp/B0B5LZFGML/ref=sr_1_3?keywords=Teva+Original+Universal+Sandal+-+Kids%27&amp;qid=1695124396&amp;sr=8-3")</f>
        <v>https://www.amazon.com/Teva-Original-Universal-Sandal-Metallic/dp/B0B5LZFGML/ref=sr_1_3?keywords=Teva+Original+Universal+Sandal+-+Kids%27&amp;qid=1695124396&amp;sr=8-3</v>
      </c>
      <c r="F33" t="s">
        <v>160</v>
      </c>
      <c r="G33" t="e">
        <f ca="1">IMAGE("https://alssports.vtexassets.com/arquivos/ids/1020862-800-auto?v=637818688399000000&amp;width=800&amp;height=auto&amp;aspect=true")</f>
        <v>#NAME?</v>
      </c>
      <c r="H33" t="e">
        <f ca="1">IMAGE("https://m.media-amazon.com/images/I/71mtecBgLRL._AC_UL320_.jpg")</f>
        <v>#NAME?</v>
      </c>
      <c r="I33" t="s">
        <v>140</v>
      </c>
      <c r="J33">
        <v>39.950000000000003</v>
      </c>
      <c r="K33" s="2" t="s">
        <v>25</v>
      </c>
      <c r="L33">
        <v>4.7</v>
      </c>
      <c r="M33">
        <v>23</v>
      </c>
      <c r="O33" t="s">
        <v>33</v>
      </c>
      <c r="P33" t="s">
        <v>26</v>
      </c>
      <c r="Q33" t="s">
        <v>141</v>
      </c>
    </row>
    <row r="34" spans="1:17" ht="15.75" x14ac:dyDescent="0.25">
      <c r="A34" s="3" t="str">
        <f>HYPERLINK("https://www.als.com/ronix-rise-impact-life-vest-womens-110022/p?skuId=977318", "https://www.als.com/ronix-rise-impact-life-vest-womens-110022/p?skuId=977318")</f>
        <v>https://www.als.com/ronix-rise-impact-life-vest-womens-110022/p?skuId=977318</v>
      </c>
      <c r="B34" s="3" t="str">
        <f>HYPERLINK("https://www.als.com/ronix-rise-impact-life-vest-womens-110022/p", "https://www.als.com/ronix-rise-impact-life-vest-womens-110022/p")</f>
        <v>https://www.als.com/ronix-rise-impact-life-vest-womens-110022/p</v>
      </c>
      <c r="C34" t="s">
        <v>161</v>
      </c>
      <c r="D34" t="s">
        <v>162</v>
      </c>
      <c r="E34" s="3" t="str">
        <f>HYPERLINK("https://www.amazon.com/Ronix-Rise-Womens-Athletic-Impact/dp/B08FDB5Y4R/ref=sr_1_2?keywords=Ronix+Rise+Impact+Life+Vest+-+Women%27s&amp;qid=1695124316&amp;sr=8-2", "https://www.amazon.com/Ronix-Rise-Womens-Athletic-Impact/dp/B08FDB5Y4R/ref=sr_1_2?keywords=Ronix+Rise+Impact+Life+Vest+-+Women%27s&amp;qid=1695124316&amp;sr=8-2")</f>
        <v>https://www.amazon.com/Ronix-Rise-Womens-Athletic-Impact/dp/B08FDB5Y4R/ref=sr_1_2?keywords=Ronix+Rise+Impact+Life+Vest+-+Women%27s&amp;qid=1695124316&amp;sr=8-2</v>
      </c>
      <c r="F34" t="s">
        <v>163</v>
      </c>
      <c r="G34" t="e">
        <f ca="1">IMAGE("https://alssports.vtexassets.com/arquivos/ids/1011686-800-auto?v=637814277114970000&amp;width=800&amp;height=auto&amp;aspect=true")</f>
        <v>#NAME?</v>
      </c>
      <c r="H34" t="e">
        <f ca="1">IMAGE("https://m.media-amazon.com/images/I/51wTkS8AyqL._AC_UL320_.jpg")</f>
        <v>#NAME?</v>
      </c>
      <c r="I34" t="s">
        <v>164</v>
      </c>
      <c r="J34">
        <v>169.99</v>
      </c>
      <c r="K34" s="2" t="s">
        <v>25</v>
      </c>
      <c r="L34">
        <v>4.3</v>
      </c>
      <c r="M34">
        <v>34</v>
      </c>
      <c r="O34" t="s">
        <v>33</v>
      </c>
      <c r="P34" t="s">
        <v>26</v>
      </c>
      <c r="Q34" t="s">
        <v>165</v>
      </c>
    </row>
    <row r="35" spans="1:17" ht="15.75" x14ac:dyDescent="0.25">
      <c r="A35" s="3" t="str">
        <f>HYPERLINK("https://www.als.com/oofos-flip-ooriginal-sandal/p?skuId=1055748", "https://www.als.com/oofos-flip-ooriginal-sandal/p?skuId=1055748")</f>
        <v>https://www.als.com/oofos-flip-ooriginal-sandal/p?skuId=1055748</v>
      </c>
      <c r="B35" s="3" t="str">
        <f>HYPERLINK("https://www.als.com/oofos-flip-ooriginal-sandal/p", "https://www.als.com/oofos-flip-ooriginal-sandal/p")</f>
        <v>https://www.als.com/oofos-flip-ooriginal-sandal/p</v>
      </c>
      <c r="C35" t="s">
        <v>166</v>
      </c>
      <c r="D35" t="s">
        <v>167</v>
      </c>
      <c r="E35" s="3" t="str">
        <f>HYPERLINK("https://www.amazon.com/OOFOS-Unisex-Original-Thong-Black/dp/B007VDJSTI/ref=sr_1_1?keywords=Oofos+Ooriginal+Sandal&amp;qid=1695124091&amp;sr=8-1", "https://www.amazon.com/OOFOS-Unisex-Original-Thong-Black/dp/B007VDJSTI/ref=sr_1_1?keywords=Oofos+Ooriginal+Sandal&amp;qid=1695124091&amp;sr=8-1")</f>
        <v>https://www.amazon.com/OOFOS-Unisex-Original-Thong-Black/dp/B007VDJSTI/ref=sr_1_1?keywords=Oofos+Ooriginal+Sandal&amp;qid=1695124091&amp;sr=8-1</v>
      </c>
      <c r="F35" t="s">
        <v>168</v>
      </c>
      <c r="G35" t="e">
        <f ca="1">IMAGE("https://alssports.vtexassets.com/arquivos/ids/1046662-800-auto?v=637855437393830000&amp;width=800&amp;height=auto&amp;aspect=true")</f>
        <v>#NAME?</v>
      </c>
      <c r="H35" t="e">
        <f ca="1">IMAGE("https://m.media-amazon.com/images/I/517swJicDOL._AC_UL320_.jpg")</f>
        <v>#NAME?</v>
      </c>
      <c r="I35" t="s">
        <v>169</v>
      </c>
      <c r="J35">
        <v>59.95</v>
      </c>
      <c r="K35" s="2" t="s">
        <v>25</v>
      </c>
      <c r="L35">
        <v>4.5999999999999996</v>
      </c>
      <c r="M35">
        <v>23157</v>
      </c>
      <c r="O35" t="s">
        <v>33</v>
      </c>
      <c r="P35" t="s">
        <v>26</v>
      </c>
      <c r="Q35" t="s">
        <v>170</v>
      </c>
    </row>
    <row r="36" spans="1:17" ht="15.75" x14ac:dyDescent="0.25">
      <c r="A36" s="3" t="str">
        <f>HYPERLINK("https://www.als.com/radar-bag-paddedd-slalom/p?skuId=990289", "https://www.als.com/radar-bag-paddedd-slalom/p?skuId=990289")</f>
        <v>https://www.als.com/radar-bag-paddedd-slalom/p?skuId=990289</v>
      </c>
      <c r="B36" s="3" t="str">
        <f>HYPERLINK("https://www.als.com/radar-bag-paddedd-slalom/p", "https://www.als.com/radar-bag-paddedd-slalom/p")</f>
        <v>https://www.als.com/radar-bag-paddedd-slalom/p</v>
      </c>
      <c r="C36" t="s">
        <v>171</v>
      </c>
      <c r="D36" t="s">
        <v>172</v>
      </c>
      <c r="E36" s="3" t="str">
        <f>HYPERLINK("https://www.amazon.com/Radar-Padded-Slalom-Black-Inches/dp/B09JQ77BSG/ref=sr_1_2?keywords=Radar+Padded+Slalom+Bag&amp;qid=1695124458&amp;sr=8-2", "https://www.amazon.com/Radar-Padded-Slalom-Black-Inches/dp/B09JQ77BSG/ref=sr_1_2?keywords=Radar+Padded+Slalom+Bag&amp;qid=1695124458&amp;sr=8-2")</f>
        <v>https://www.amazon.com/Radar-Padded-Slalom-Black-Inches/dp/B09JQ77BSG/ref=sr_1_2?keywords=Radar+Padded+Slalom+Bag&amp;qid=1695124458&amp;sr=8-2</v>
      </c>
      <c r="F36" t="s">
        <v>173</v>
      </c>
      <c r="G36" t="e">
        <f ca="1">IMAGE("https://alssports.vtexassets.com/arquivos/ids/1030669-800-auto?v=637833051661300000&amp;width=800&amp;height=auto&amp;aspect=true")</f>
        <v>#NAME?</v>
      </c>
      <c r="H36" t="e">
        <f ca="1">IMAGE("https://m.media-amazon.com/images/I/71cD9OhfdnL._AC_UL320_.jpg")</f>
        <v>#NAME?</v>
      </c>
      <c r="I36" t="s">
        <v>174</v>
      </c>
      <c r="J36">
        <v>79.989999999999995</v>
      </c>
      <c r="K36" s="2" t="s">
        <v>25</v>
      </c>
      <c r="L36">
        <v>4.8</v>
      </c>
      <c r="M36">
        <v>10</v>
      </c>
      <c r="O36" t="s">
        <v>33</v>
      </c>
      <c r="P36" t="s">
        <v>26</v>
      </c>
      <c r="Q36" t="s">
        <v>175</v>
      </c>
    </row>
    <row r="37" spans="1:17" ht="15.75" x14ac:dyDescent="0.25">
      <c r="A37" s="3" t="str">
        <f>HYPERLINK("https://www.als.com/peakre-food-homestyle-chkn--rice/p?skuId=659790", "https://www.als.com/peakre-food-homestyle-chkn--rice/p?skuId=659790")</f>
        <v>https://www.als.com/peakre-food-homestyle-chkn--rice/p?skuId=659790</v>
      </c>
      <c r="B37" s="3" t="str">
        <f>HYPERLINK("https://www.als.com/peakre-food-homestyle-chkn--rice/p", "https://www.als.com/peakre-food-homestyle-chkn--rice/p")</f>
        <v>https://www.als.com/peakre-food-homestyle-chkn--rice/p</v>
      </c>
      <c r="C37" t="s">
        <v>123</v>
      </c>
      <c r="D37" t="s">
        <v>176</v>
      </c>
      <c r="E37" s="3" t="str">
        <f>HYPERLINK("https://www.amazon.com/Peak-Refuel-Chicken-Broccoli-Backpacking/dp/B09ZC3Q1XH/ref=sr_1_4?keywords=Peak+Refuel+Homestyle+Chicken+Rice+Freeze+Dried+Meal&amp;qid=1695124137&amp;sr=8-4", "https://www.amazon.com/Peak-Refuel-Chicken-Broccoli-Backpacking/dp/B09ZC3Q1XH/ref=sr_1_4?keywords=Peak+Refuel+Homestyle+Chicken+Rice+Freeze+Dried+Meal&amp;qid=1695124137&amp;sr=8-4")</f>
        <v>https://www.amazon.com/Peak-Refuel-Chicken-Broccoli-Backpacking/dp/B09ZC3Q1XH/ref=sr_1_4?keywords=Peak+Refuel+Homestyle+Chicken+Rice+Freeze+Dried+Meal&amp;qid=1695124137&amp;sr=8-4</v>
      </c>
      <c r="F37" t="s">
        <v>177</v>
      </c>
      <c r="G37" t="e">
        <f ca="1">IMAGE("https://alssports.vtexassets.com/arquivos/ids/623992-800-auto?v=637546235937930000&amp;width=800&amp;height=auto&amp;aspect=true")</f>
        <v>#NAME?</v>
      </c>
      <c r="H37" t="e">
        <f ca="1">IMAGE("https://m.media-amazon.com/images/I/81B8ZoMzgFL._AC_UL320_.jpg")</f>
        <v>#NAME?</v>
      </c>
      <c r="I37" t="s">
        <v>99</v>
      </c>
      <c r="J37">
        <v>13.99</v>
      </c>
      <c r="K37" s="2" t="s">
        <v>25</v>
      </c>
      <c r="L37">
        <v>4.5</v>
      </c>
      <c r="M37">
        <v>313</v>
      </c>
      <c r="O37" t="s">
        <v>33</v>
      </c>
      <c r="P37" t="s">
        <v>26</v>
      </c>
      <c r="Q37" t="s">
        <v>126</v>
      </c>
    </row>
    <row r="38" spans="1:17" ht="15.75" x14ac:dyDescent="0.25">
      <c r="A38" s="3" t="str">
        <f>HYPERLINK("https://www.als.com/radar-bag-paddedd-slalom/p?skuId=990289", "https://www.als.com/radar-bag-paddedd-slalom/p?skuId=990289")</f>
        <v>https://www.als.com/radar-bag-paddedd-slalom/p?skuId=990289</v>
      </c>
      <c r="B38" s="3" t="str">
        <f>HYPERLINK("https://www.als.com/radar-bag-paddedd-slalom/p", "https://www.als.com/radar-bag-paddedd-slalom/p")</f>
        <v>https://www.als.com/radar-bag-paddedd-slalom/p</v>
      </c>
      <c r="C38" t="s">
        <v>171</v>
      </c>
      <c r="D38" t="s">
        <v>178</v>
      </c>
      <c r="E38" s="3" t="str">
        <f>HYPERLINK("https://www.amazon.com/Radar-Womens-Padded-Slalom-Inches/dp/B09JQ5V2WH/ref=sr_1_1?keywords=Radar+Padded+Slalom+Bag&amp;qid=1695124458&amp;sr=8-1", "https://www.amazon.com/Radar-Womens-Padded-Slalom-Inches/dp/B09JQ5V2WH/ref=sr_1_1?keywords=Radar+Padded+Slalom+Bag&amp;qid=1695124458&amp;sr=8-1")</f>
        <v>https://www.amazon.com/Radar-Womens-Padded-Slalom-Inches/dp/B09JQ5V2WH/ref=sr_1_1?keywords=Radar+Padded+Slalom+Bag&amp;qid=1695124458&amp;sr=8-1</v>
      </c>
      <c r="F38" t="s">
        <v>179</v>
      </c>
      <c r="G38" t="e">
        <f ca="1">IMAGE("https://alssports.vtexassets.com/arquivos/ids/1030669-800-auto?v=637833051661300000&amp;width=800&amp;height=auto&amp;aspect=true")</f>
        <v>#NAME?</v>
      </c>
      <c r="H38" t="e">
        <f ca="1">IMAGE("https://m.media-amazon.com/images/I/719LtFsfiZL._AC_UL320_.jpg")</f>
        <v>#NAME?</v>
      </c>
      <c r="I38" t="s">
        <v>174</v>
      </c>
      <c r="J38">
        <v>79.989999999999995</v>
      </c>
      <c r="K38" s="2" t="s">
        <v>25</v>
      </c>
      <c r="L38">
        <v>5</v>
      </c>
      <c r="M38">
        <v>2</v>
      </c>
      <c r="O38" t="s">
        <v>33</v>
      </c>
      <c r="P38" t="s">
        <v>26</v>
      </c>
      <c r="Q38" t="s">
        <v>175</v>
      </c>
    </row>
    <row r="39" spans="1:17" ht="15.75" x14ac:dyDescent="0.25">
      <c r="A39" s="3" t="str">
        <f>HYPERLINK("https://www.als.com/peakre-food-homestyle-chkn--rice/p?skuId=659790", "https://www.als.com/peakre-food-homestyle-chkn--rice/p?skuId=659790")</f>
        <v>https://www.als.com/peakre-food-homestyle-chkn--rice/p?skuId=659790</v>
      </c>
      <c r="B39" s="3" t="str">
        <f>HYPERLINK("https://www.als.com/peakre-food-homestyle-chkn--rice/p", "https://www.als.com/peakre-food-homestyle-chkn--rice/p")</f>
        <v>https://www.als.com/peakre-food-homestyle-chkn--rice/p</v>
      </c>
      <c r="C39" t="s">
        <v>123</v>
      </c>
      <c r="D39" t="s">
        <v>180</v>
      </c>
      <c r="E39" s="3" t="str">
        <f>HYPERLINK("https://www.amazon.com/Peak-Refuel-Chicken-Backpacking-Camping/dp/B07VXKB34L/ref=sr_1_5?keywords=Peak+Refuel+Homestyle+Chicken+Rice+Freeze+Dried+Meal&amp;qid=1695124137&amp;sr=8-5", "https://www.amazon.com/Peak-Refuel-Chicken-Backpacking-Camping/dp/B07VXKB34L/ref=sr_1_5?keywords=Peak+Refuel+Homestyle+Chicken+Rice+Freeze+Dried+Meal&amp;qid=1695124137&amp;sr=8-5")</f>
        <v>https://www.amazon.com/Peak-Refuel-Chicken-Backpacking-Camping/dp/B07VXKB34L/ref=sr_1_5?keywords=Peak+Refuel+Homestyle+Chicken+Rice+Freeze+Dried+Meal&amp;qid=1695124137&amp;sr=8-5</v>
      </c>
      <c r="F39" t="s">
        <v>181</v>
      </c>
      <c r="G39" t="e">
        <f ca="1">IMAGE("https://alssports.vtexassets.com/arquivos/ids/623992-800-auto?v=637546235937930000&amp;width=800&amp;height=auto&amp;aspect=true")</f>
        <v>#NAME?</v>
      </c>
      <c r="H39" t="e">
        <f ca="1">IMAGE("https://m.media-amazon.com/images/I/71E1VEorPqL._AC_UL320_.jpg")</f>
        <v>#NAME?</v>
      </c>
      <c r="I39" t="s">
        <v>99</v>
      </c>
      <c r="J39">
        <v>13.99</v>
      </c>
      <c r="K39" s="2" t="s">
        <v>25</v>
      </c>
      <c r="L39">
        <v>4.5999999999999996</v>
      </c>
      <c r="M39">
        <v>999</v>
      </c>
      <c r="O39" t="s">
        <v>33</v>
      </c>
      <c r="P39" t="s">
        <v>26</v>
      </c>
      <c r="Q39" t="s">
        <v>126</v>
      </c>
    </row>
    <row r="40" spans="1:17" ht="15.75" x14ac:dyDescent="0.25">
      <c r="A40" s="3" t="str">
        <f>HYPERLINK("https://www.als.com/scient-line-amplitude-smooth-trout/p?skuId=481208", "https://www.als.com/scient-line-amplitude-smooth-trout/p?skuId=481208")</f>
        <v>https://www.als.com/scient-line-amplitude-smooth-trout/p?skuId=481208</v>
      </c>
      <c r="B40" s="3" t="str">
        <f>HYPERLINK("https://www.als.com/scient-line-amplitude-smooth-trout/p", "https://www.als.com/scient-line-amplitude-smooth-trout/p")</f>
        <v>https://www.als.com/scient-line-amplitude-smooth-trout/p</v>
      </c>
      <c r="C40" t="s">
        <v>29</v>
      </c>
      <c r="D40" t="s">
        <v>182</v>
      </c>
      <c r="E40" s="3" t="str">
        <f>HYPERLINK("https://www.amazon.com/AMPLITUDE-SMOOTH-CREEK-TROUT-WF3F/dp/B08J9VTC5L/ref=sr_1_2?keywords=Scientific+Anglers+Amplitude+Smooth+Trout+Fly+Line&amp;qid=1695124414&amp;sr=8-2", "https://www.amazon.com/AMPLITUDE-SMOOTH-CREEK-TROUT-WF3F/dp/B08J9VTC5L/ref=sr_1_2?keywords=Scientific+Anglers+Amplitude+Smooth+Trout+Fly+Line&amp;qid=1695124414&amp;sr=8-2")</f>
        <v>https://www.amazon.com/AMPLITUDE-SMOOTH-CREEK-TROUT-WF3F/dp/B08J9VTC5L/ref=sr_1_2?keywords=Scientific+Anglers+Amplitude+Smooth+Trout+Fly+Line&amp;qid=1695124414&amp;sr=8-2</v>
      </c>
      <c r="F40" t="s">
        <v>183</v>
      </c>
      <c r="G40" t="e">
        <f ca="1">IMAGE("https://alssports.vtexassets.com/arquivos/ids/1138376-800-auto?v=637993875297330000&amp;width=800&amp;height=auto&amp;aspect=true")</f>
        <v>#NAME?</v>
      </c>
      <c r="H40" t="e">
        <f ca="1">IMAGE("https://m.media-amazon.com/images/I/51X1IE9ws-L._AC_UL320_.jpg")</f>
        <v>#NAME?</v>
      </c>
      <c r="I40" t="s">
        <v>32</v>
      </c>
      <c r="J40">
        <v>99.95</v>
      </c>
      <c r="K40" s="2" t="s">
        <v>25</v>
      </c>
      <c r="L40">
        <v>4.7</v>
      </c>
      <c r="M40">
        <v>21</v>
      </c>
      <c r="O40" t="s">
        <v>33</v>
      </c>
      <c r="P40" t="s">
        <v>26</v>
      </c>
      <c r="Q40" t="s">
        <v>34</v>
      </c>
    </row>
    <row r="41" spans="1:17" ht="15.75" x14ac:dyDescent="0.25">
      <c r="A41" s="3" t="str">
        <f>HYPERLINK("https://www.als.com/scient-line-amplitude-smooth-trout/p?skuId=481208", "https://www.als.com/scient-line-amplitude-smooth-trout/p?skuId=481208")</f>
        <v>https://www.als.com/scient-line-amplitude-smooth-trout/p?skuId=481208</v>
      </c>
      <c r="B41" s="3" t="str">
        <f>HYPERLINK("https://www.als.com/scient-line-amplitude-smooth-trout/p", "https://www.als.com/scient-line-amplitude-smooth-trout/p")</f>
        <v>https://www.als.com/scient-line-amplitude-smooth-trout/p</v>
      </c>
      <c r="C41" t="s">
        <v>29</v>
      </c>
      <c r="D41" t="s">
        <v>184</v>
      </c>
      <c r="E41" s="3" t="str">
        <f>HYPERLINK("https://www.amazon.com/Scientific-Anglers-Amplitude-Smooth-WF-5-F/dp/B07DV5FZHW/ref=sr_1_1?keywords=Scientific+Anglers+Amplitude+Smooth+Trout+Fly+Line&amp;qid=1695124414&amp;sr=8-1", "https://www.amazon.com/Scientific-Anglers-Amplitude-Smooth-WF-5-F/dp/B07DV5FZHW/ref=sr_1_1?keywords=Scientific+Anglers+Amplitude+Smooth+Trout+Fly+Line&amp;qid=1695124414&amp;sr=8-1")</f>
        <v>https://www.amazon.com/Scientific-Anglers-Amplitude-Smooth-WF-5-F/dp/B07DV5FZHW/ref=sr_1_1?keywords=Scientific+Anglers+Amplitude+Smooth+Trout+Fly+Line&amp;qid=1695124414&amp;sr=8-1</v>
      </c>
      <c r="F41" t="s">
        <v>185</v>
      </c>
      <c r="G41" t="e">
        <f ca="1">IMAGE("https://alssports.vtexassets.com/arquivos/ids/1138376-800-auto?v=637993875297330000&amp;width=800&amp;height=auto&amp;aspect=true")</f>
        <v>#NAME?</v>
      </c>
      <c r="H41" t="e">
        <f ca="1">IMAGE("https://m.media-amazon.com/images/I/51j9NKkqGRL._AC_UL320_.jpg")</f>
        <v>#NAME?</v>
      </c>
      <c r="I41" t="s">
        <v>32</v>
      </c>
      <c r="J41">
        <v>99.95</v>
      </c>
      <c r="K41" s="2" t="s">
        <v>25</v>
      </c>
      <c r="L41">
        <v>4.3</v>
      </c>
      <c r="M41">
        <v>30</v>
      </c>
      <c r="O41" t="s">
        <v>33</v>
      </c>
      <c r="P41" t="s">
        <v>26</v>
      </c>
      <c r="Q41" t="s">
        <v>34</v>
      </c>
    </row>
    <row r="42" spans="1:17" ht="15.75" x14ac:dyDescent="0.25">
      <c r="A42" s="3" t="str">
        <f>HYPERLINK("https://www.als.com/smitho-goggle-skyline/p?skuId=1073396", "https://www.als.com/smitho-goggle-skyline/p?skuId=1073396")</f>
        <v>https://www.als.com/smitho-goggle-skyline/p?skuId=1073396</v>
      </c>
      <c r="B42" s="3" t="str">
        <f>HYPERLINK("https://www.als.com/smitho-goggle-skyline/p", "https://www.als.com/smitho-goggle-skyline/p")</f>
        <v>https://www.als.com/smitho-goggle-skyline/p</v>
      </c>
      <c r="C42" t="s">
        <v>186</v>
      </c>
      <c r="D42" t="s">
        <v>187</v>
      </c>
      <c r="E42" s="3" t="str">
        <f>HYPERLINK("https://www.amazon.com/SMITH-Showcase-Asia-Snow-Goggle/dp/B097FD4VJQ/ref=sr_1_31?keywords=Smith+Optics+Skyline+Snow+Goggle&amp;qid=1695124362&amp;sr=8-31", "https://www.amazon.com/SMITH-Showcase-Asia-Snow-Goggle/dp/B097FD4VJQ/ref=sr_1_31?keywords=Smith+Optics+Skyline+Snow+Goggle&amp;qid=1695124362&amp;sr=8-31")</f>
        <v>https://www.amazon.com/SMITH-Showcase-Asia-Snow-Goggle/dp/B097FD4VJQ/ref=sr_1_31?keywords=Smith+Optics+Skyline+Snow+Goggle&amp;qid=1695124362&amp;sr=8-31</v>
      </c>
      <c r="F42" t="s">
        <v>188</v>
      </c>
      <c r="G42" t="e">
        <f ca="1">IMAGE("https://alssports.vtexassets.com/arquivos/ids/1173752-800-auto?v=638042496618870000&amp;width=800&amp;height=auto&amp;aspect=true")</f>
        <v>#NAME?</v>
      </c>
      <c r="H42" t="e">
        <f ca="1">IMAGE("https://m.media-amazon.com/images/I/41LKTiXDNTL._AC_UL320_.jpg")</f>
        <v>#NAME?</v>
      </c>
      <c r="I42" t="s">
        <v>189</v>
      </c>
      <c r="J42">
        <v>59.99</v>
      </c>
      <c r="K42" s="2" t="s">
        <v>190</v>
      </c>
      <c r="L42">
        <v>4.4000000000000004</v>
      </c>
      <c r="M42">
        <v>8</v>
      </c>
      <c r="O42" t="s">
        <v>33</v>
      </c>
      <c r="P42" t="s">
        <v>191</v>
      </c>
      <c r="Q42" t="s">
        <v>192</v>
      </c>
    </row>
    <row r="43" spans="1:17" ht="15.75" x14ac:dyDescent="0.25">
      <c r="A43" s="3" t="str">
        <f>HYPERLINK("https://www.als.com/laspor-shoe-climb-tc-pro/p?skuId=860394", "https://www.als.com/laspor-shoe-climb-tc-pro/p?skuId=860394")</f>
        <v>https://www.als.com/laspor-shoe-climb-tc-pro/p?skuId=860394</v>
      </c>
      <c r="B43" s="3" t="str">
        <f>HYPERLINK("https://www.als.com/laspor-shoe-climb-tc-pro/p", "https://www.als.com/laspor-shoe-climb-tc-pro/p")</f>
        <v>https://www.als.com/laspor-shoe-climb-tc-pro/p</v>
      </c>
      <c r="C43" t="s">
        <v>193</v>
      </c>
      <c r="D43" t="s">
        <v>194</v>
      </c>
      <c r="E43" s="3" t="str">
        <f>HYPERLINK("https://www.amazon.com/Sportiva-Pro-Olive-42-5-Mens/dp/B099QKGL6C/ref=sr_1_6?keywords=La+Sportiva+TC+PRO+Vibram+Edge+Climbing+Shoe+-+Mens&amp;qid=1695124454&amp;sr=8-6", "https://www.amazon.com/Sportiva-Pro-Olive-42-5-Mens/dp/B099QKGL6C/ref=sr_1_6?keywords=La+Sportiva+TC+PRO+Vibram+Edge+Climbing+Shoe+-+Mens&amp;qid=1695124454&amp;sr=8-6")</f>
        <v>https://www.amazon.com/Sportiva-Pro-Olive-42-5-Mens/dp/B099QKGL6C/ref=sr_1_6?keywords=La+Sportiva+TC+PRO+Vibram+Edge+Climbing+Shoe+-+Mens&amp;qid=1695124454&amp;sr=8-6</v>
      </c>
      <c r="F43" t="s">
        <v>195</v>
      </c>
      <c r="G43" t="e">
        <f ca="1">IMAGE("https://alssports.vtexassets.com/arquivos/ids/914959-800-auto?v=637673990018800000&amp;width=800&amp;height=auto&amp;aspect=true")</f>
        <v>#NAME?</v>
      </c>
      <c r="H43" t="e">
        <f ca="1">IMAGE("https://m.media-amazon.com/images/I/61oJVDU+CqL._AC_UL320_.jpg")</f>
        <v>#NAME?</v>
      </c>
      <c r="I43" t="s">
        <v>196</v>
      </c>
      <c r="J43">
        <v>218.95</v>
      </c>
      <c r="K43" s="2" t="s">
        <v>190</v>
      </c>
      <c r="L43">
        <v>5</v>
      </c>
      <c r="M43">
        <v>1</v>
      </c>
      <c r="O43" t="s">
        <v>33</v>
      </c>
      <c r="P43" t="s">
        <v>26</v>
      </c>
      <c r="Q43" t="s">
        <v>197</v>
      </c>
    </row>
    <row r="44" spans="1:17" ht="15.75" x14ac:dyDescent="0.25">
      <c r="A44" s="3" t="str">
        <f>HYPERLINK("https://www.als.com/laspor-shoe-climb-tc-pro/p?skuId=860394", "https://www.als.com/laspor-shoe-climb-tc-pro/p?skuId=860394")</f>
        <v>https://www.als.com/laspor-shoe-climb-tc-pro/p?skuId=860394</v>
      </c>
      <c r="B44" s="3" t="str">
        <f>HYPERLINK("https://www.als.com/laspor-shoe-climb-tc-pro/p", "https://www.als.com/laspor-shoe-climb-tc-pro/p")</f>
        <v>https://www.als.com/laspor-shoe-climb-tc-pro/p</v>
      </c>
      <c r="C44" t="s">
        <v>193</v>
      </c>
      <c r="D44" t="s">
        <v>198</v>
      </c>
      <c r="E44" s="3" t="str">
        <f>HYPERLINK("https://www.amazon.com/Sportiva-Pro-Olive-44-5-Mens/dp/B099QK3BPX/ref=sr_1_4?keywords=La+Sportiva+TC+PRO+Vibram+Edge+Climbing+Shoe+-+Mens&amp;qid=1695124454&amp;sr=8-4", "https://www.amazon.com/Sportiva-Pro-Olive-44-5-Mens/dp/B099QK3BPX/ref=sr_1_4?keywords=La+Sportiva+TC+PRO+Vibram+Edge+Climbing+Shoe+-+Mens&amp;qid=1695124454&amp;sr=8-4")</f>
        <v>https://www.amazon.com/Sportiva-Pro-Olive-44-5-Mens/dp/B099QK3BPX/ref=sr_1_4?keywords=La+Sportiva+TC+PRO+Vibram+Edge+Climbing+Shoe+-+Mens&amp;qid=1695124454&amp;sr=8-4</v>
      </c>
      <c r="F44" t="s">
        <v>199</v>
      </c>
      <c r="G44" t="e">
        <f ca="1">IMAGE("https://alssports.vtexassets.com/arquivos/ids/914959-800-auto?v=637673990018800000&amp;width=800&amp;height=auto&amp;aspect=true")</f>
        <v>#NAME?</v>
      </c>
      <c r="H44" t="e">
        <f ca="1">IMAGE("https://m.media-amazon.com/images/I/61oJVDU+CqL._AC_UL320_.jpg")</f>
        <v>#NAME?</v>
      </c>
      <c r="I44" t="s">
        <v>196</v>
      </c>
      <c r="J44">
        <v>218.95</v>
      </c>
      <c r="K44" s="2" t="s">
        <v>190</v>
      </c>
      <c r="L44">
        <v>5</v>
      </c>
      <c r="M44">
        <v>1</v>
      </c>
      <c r="O44" t="s">
        <v>33</v>
      </c>
      <c r="P44" t="s">
        <v>26</v>
      </c>
      <c r="Q44" t="s">
        <v>197</v>
      </c>
    </row>
    <row r="45" spans="1:17" ht="15.75" x14ac:dyDescent="0.25">
      <c r="A45" s="3" t="str">
        <f>HYPERLINK("https://www.als.com/mizuno-w-wave-sky-6/p?skuId=1262559", "https://www.als.com/mizuno-w-wave-sky-6/p?skuId=1262559")</f>
        <v>https://www.als.com/mizuno-w-wave-sky-6/p?skuId=1262559</v>
      </c>
      <c r="B45" s="3" t="str">
        <f>HYPERLINK("https://www.als.com/mizuno-w-wave-sky-6/p", "https://www.als.com/mizuno-w-wave-sky-6/p")</f>
        <v>https://www.als.com/mizuno-w-wave-sky-6/p</v>
      </c>
      <c r="C45" t="s">
        <v>200</v>
      </c>
      <c r="D45" t="s">
        <v>201</v>
      </c>
      <c r="E45" s="3" t="str">
        <f>HYPERLINK("https://www.amazon.com/Mizuno-Womens-Wave-Running-Black-Silverstar/dp/B0BLR8CP7J/ref=sr_1_3?keywords=Mizuno+Wave+Sky+6+Running+Shoe+-+Women%27s&amp;qid=1695124449&amp;sr=8-3", "https://www.amazon.com/Mizuno-Womens-Wave-Running-Black-Silverstar/dp/B0BLR8CP7J/ref=sr_1_3?keywords=Mizuno+Wave+Sky+6+Running+Shoe+-+Women%27s&amp;qid=1695124449&amp;sr=8-3")</f>
        <v>https://www.amazon.com/Mizuno-Womens-Wave-Running-Black-Silverstar/dp/B0BLR8CP7J/ref=sr_1_3?keywords=Mizuno+Wave+Sky+6+Running+Shoe+-+Women%27s&amp;qid=1695124449&amp;sr=8-3</v>
      </c>
      <c r="F45" t="s">
        <v>202</v>
      </c>
      <c r="G45" t="e">
        <f ca="1">IMAGE("https://alssports.vtexassets.com/arquivos/ids/1277387-800-auto?v=638152938174200000&amp;width=800&amp;height=auto&amp;aspect=true")</f>
        <v>#NAME?</v>
      </c>
      <c r="H45" t="e">
        <f ca="1">IMAGE("https://m.media-amazon.com/images/I/71jrmkJBvkL._AC_UL320_.jpg")</f>
        <v>#NAME?</v>
      </c>
      <c r="I45" t="s">
        <v>164</v>
      </c>
      <c r="J45">
        <v>169.95</v>
      </c>
      <c r="K45" s="2" t="s">
        <v>190</v>
      </c>
      <c r="L45">
        <v>4.4000000000000004</v>
      </c>
      <c r="M45">
        <v>16</v>
      </c>
      <c r="O45" t="s">
        <v>33</v>
      </c>
      <c r="P45" t="s">
        <v>191</v>
      </c>
      <c r="Q45" t="s">
        <v>203</v>
      </c>
    </row>
    <row r="46" spans="1:17" ht="15.75" x14ac:dyDescent="0.25">
      <c r="A46" s="3" t="str">
        <f>HYPERLINK("https://www.als.com/mizuno-m-wave-sky-6/p?skuId=1249127", "https://www.als.com/mizuno-m-wave-sky-6/p?skuId=1249127")</f>
        <v>https://www.als.com/mizuno-m-wave-sky-6/p?skuId=1249127</v>
      </c>
      <c r="B46" s="3" t="str">
        <f>HYPERLINK("https://www.als.com/mizuno-m-wave-sky-6/p", "https://www.als.com/mizuno-m-wave-sky-6/p")</f>
        <v>https://www.als.com/mizuno-m-wave-sky-6/p</v>
      </c>
      <c r="C46" t="s">
        <v>204</v>
      </c>
      <c r="D46" t="s">
        <v>205</v>
      </c>
      <c r="E46" s="3" t="str">
        <f>HYPERLINK("https://www.amazon.com/Mizuno-Mens-Running-Black-Glacial-Ridge/dp/B0BLR5RJ14/ref=sr_1_10?keywords=Mizuno+Wave+Sky+6+Wide+Running+Shoe+-+Mens&amp;qid=1695124408&amp;sr=8-10", "https://www.amazon.com/Mizuno-Mens-Running-Black-Glacial-Ridge/dp/B0BLR5RJ14/ref=sr_1_10?keywords=Mizuno+Wave+Sky+6+Wide+Running+Shoe+-+Mens&amp;qid=1695124408&amp;sr=8-10")</f>
        <v>https://www.amazon.com/Mizuno-Mens-Running-Black-Glacial-Ridge/dp/B0BLR5RJ14/ref=sr_1_10?keywords=Mizuno+Wave+Sky+6+Wide+Running+Shoe+-+Mens&amp;qid=1695124408&amp;sr=8-10</v>
      </c>
      <c r="F46" t="s">
        <v>206</v>
      </c>
      <c r="G46" t="e">
        <f ca="1">IMAGE("https://alssports.vtexassets.com/arquivos/ids/1277484-800-auto?v=638152954723900000&amp;width=800&amp;height=auto&amp;aspect=true")</f>
        <v>#NAME?</v>
      </c>
      <c r="H46" t="e">
        <f ca="1">IMAGE("https://m.media-amazon.com/images/I/71Lok2QFNQL._AC_UL320_.jpg")</f>
        <v>#NAME?</v>
      </c>
      <c r="I46" t="s">
        <v>164</v>
      </c>
      <c r="J46">
        <v>169.95</v>
      </c>
      <c r="K46" s="2" t="s">
        <v>190</v>
      </c>
      <c r="L46">
        <v>4.5</v>
      </c>
      <c r="M46">
        <v>21</v>
      </c>
      <c r="O46" t="s">
        <v>33</v>
      </c>
      <c r="P46" t="s">
        <v>164</v>
      </c>
      <c r="Q46" t="s">
        <v>207</v>
      </c>
    </row>
    <row r="47" spans="1:17" ht="15.75" x14ac:dyDescent="0.25">
      <c r="A47" s="3" t="str">
        <f>HYPERLINK("https://www.als.com/jr286-gloves-vapor-jet-70/p?skuId=990406", "https://www.als.com/jr286-gloves-vapor-jet-70/p?skuId=990406")</f>
        <v>https://www.als.com/jr286-gloves-vapor-jet-70/p?skuId=990406</v>
      </c>
      <c r="B47" s="3" t="str">
        <f>HYPERLINK("https://www.als.com/jr286-gloves-vapor-jet-70/p", "https://www.als.com/jr286-gloves-vapor-jet-70/p")</f>
        <v>https://www.als.com/jr286-gloves-vapor-jet-70/p</v>
      </c>
      <c r="C47" t="s">
        <v>208</v>
      </c>
      <c r="D47" t="s">
        <v>209</v>
      </c>
      <c r="E47" s="3" t="str">
        <f>HYPERLINK("https://www.amazon.com/Nike-Youth-Vapor-Football-Gloves/dp/B09BKB3Q6M/ref=sr_1_2?keywords=Nike+Vapor+Jet+7.0+Football+Glove&amp;qid=1695124146&amp;sr=8-2", "https://www.amazon.com/Nike-Youth-Vapor-Football-Gloves/dp/B09BKB3Q6M/ref=sr_1_2?keywords=Nike+Vapor+Jet+7.0+Football+Glove&amp;qid=1695124146&amp;sr=8-2")</f>
        <v>https://www.amazon.com/Nike-Youth-Vapor-Football-Gloves/dp/B09BKB3Q6M/ref=sr_1_2?keywords=Nike+Vapor+Jet+7.0+Football+Glove&amp;qid=1695124146&amp;sr=8-2</v>
      </c>
      <c r="F47" t="s">
        <v>210</v>
      </c>
      <c r="G47" t="e">
        <f ca="1">IMAGE("https://alssports.vtexassets.com/arquivos/ids/1070522-800-auto?v=637897203028930000&amp;width=800&amp;height=auto&amp;aspect=true")</f>
        <v>#NAME?</v>
      </c>
      <c r="H47" t="e">
        <f ca="1">IMAGE("https://m.media-amazon.com/images/I/51CdyNVWuhL._AC_UL320_.jpg")</f>
        <v>#NAME?</v>
      </c>
      <c r="I47" t="s">
        <v>211</v>
      </c>
      <c r="J47">
        <v>39.99</v>
      </c>
      <c r="K47" s="2" t="s">
        <v>190</v>
      </c>
      <c r="L47">
        <v>4.3</v>
      </c>
      <c r="M47">
        <v>82</v>
      </c>
      <c r="O47" t="s">
        <v>33</v>
      </c>
      <c r="P47" t="s">
        <v>212</v>
      </c>
      <c r="Q47" t="s">
        <v>213</v>
      </c>
    </row>
    <row r="48" spans="1:17" ht="15.75" x14ac:dyDescent="0.25">
      <c r="A48" s="3" t="str">
        <f>HYPERLINK("https://www.als.com/laspor-shoe-climb-tc-pro/p?skuId=860394", "https://www.als.com/laspor-shoe-climb-tc-pro/p?skuId=860394")</f>
        <v>https://www.als.com/laspor-shoe-climb-tc-pro/p?skuId=860394</v>
      </c>
      <c r="B48" s="3" t="str">
        <f>HYPERLINK("https://www.als.com/laspor-shoe-climb-tc-pro/p", "https://www.als.com/laspor-shoe-climb-tc-pro/p")</f>
        <v>https://www.als.com/laspor-shoe-climb-tc-pro/p</v>
      </c>
      <c r="C48" t="s">
        <v>193</v>
      </c>
      <c r="D48" t="s">
        <v>214</v>
      </c>
      <c r="E48" s="3" t="str">
        <f>HYPERLINK("https://www.amazon.com/Sportiva-TC-Pro-Olive-Mens/dp/B099QL9NHD/ref=sr_1_1?keywords=La+Sportiva+TC+PRO+Vibram+Edge+Climbing+Shoe+-+Mens&amp;qid=1695124454&amp;sr=8-1", "https://www.amazon.com/Sportiva-TC-Pro-Olive-Mens/dp/B099QL9NHD/ref=sr_1_1?keywords=La+Sportiva+TC+PRO+Vibram+Edge+Climbing+Shoe+-+Mens&amp;qid=1695124454&amp;sr=8-1")</f>
        <v>https://www.amazon.com/Sportiva-TC-Pro-Olive-Mens/dp/B099QL9NHD/ref=sr_1_1?keywords=La+Sportiva+TC+PRO+Vibram+Edge+Climbing+Shoe+-+Mens&amp;qid=1695124454&amp;sr=8-1</v>
      </c>
      <c r="F48" t="s">
        <v>215</v>
      </c>
      <c r="G48" t="e">
        <f ca="1">IMAGE("https://alssports.vtexassets.com/arquivos/ids/914959-800-auto?v=637673990018800000&amp;width=800&amp;height=auto&amp;aspect=true")</f>
        <v>#NAME?</v>
      </c>
      <c r="H48" t="e">
        <f ca="1">IMAGE("https://m.media-amazon.com/images/I/61oJVDU+CqL._AC_UL320_.jpg")</f>
        <v>#NAME?</v>
      </c>
      <c r="I48" t="s">
        <v>196</v>
      </c>
      <c r="J48">
        <v>218.94</v>
      </c>
      <c r="K48" s="2" t="s">
        <v>216</v>
      </c>
      <c r="L48">
        <v>4.8</v>
      </c>
      <c r="M48">
        <v>12</v>
      </c>
      <c r="O48" t="s">
        <v>33</v>
      </c>
      <c r="P48" t="s">
        <v>26</v>
      </c>
      <c r="Q48" t="s">
        <v>197</v>
      </c>
    </row>
    <row r="49" spans="1:17" ht="15.75" x14ac:dyDescent="0.25">
      <c r="A49" s="3" t="str">
        <f>HYPERLINK("https://www.als.com/laspor-shoe-approach-tx4-r/p?skuId=1282021", "https://www.als.com/laspor-shoe-approach-tx4-r/p?skuId=1282021")</f>
        <v>https://www.als.com/laspor-shoe-approach-tx4-r/p?skuId=1282021</v>
      </c>
      <c r="B49" s="3" t="str">
        <f>HYPERLINK("https://www.als.com/laspor-shoe-approach-tx4-r/p", "https://www.als.com/laspor-shoe-approach-tx4-r/p")</f>
        <v>https://www.als.com/laspor-shoe-approach-tx4-r/p</v>
      </c>
      <c r="C49" t="s">
        <v>217</v>
      </c>
      <c r="D49" t="s">
        <v>218</v>
      </c>
      <c r="E49" s="3" t="str">
        <f>HYPERLINK("https://www.amazon.com/Sportiva-Approach-Hiking-Turchese-Giallo/dp/B0BRJW1S2C/ref=sr_1_1?keywords=La+Sportiva+TX4+Shoe+-+Mens&amp;qid=1695124396&amp;sr=8-1", "https://www.amazon.com/Sportiva-Approach-Hiking-Turchese-Giallo/dp/B0BRJW1S2C/ref=sr_1_1?keywords=La+Sportiva+TX4+Shoe+-+Mens&amp;qid=1695124396&amp;sr=8-1")</f>
        <v>https://www.amazon.com/Sportiva-Approach-Hiking-Turchese-Giallo/dp/B0BRJW1S2C/ref=sr_1_1?keywords=La+Sportiva+TX4+Shoe+-+Mens&amp;qid=1695124396&amp;sr=8-1</v>
      </c>
      <c r="F49" t="s">
        <v>219</v>
      </c>
      <c r="G49" t="e">
        <f ca="1">IMAGE("https://alssports.vtexassets.com/arquivos/ids/1257651-800-auto?v=638134817479900000&amp;width=800&amp;height=auto&amp;aspect=true")</f>
        <v>#NAME?</v>
      </c>
      <c r="H49" t="e">
        <f ca="1">IMAGE("https://m.media-amazon.com/images/I/51QaU8cM9HL._AC_UL320_.jpg")</f>
        <v>#NAME?</v>
      </c>
      <c r="I49" t="s">
        <v>220</v>
      </c>
      <c r="J49">
        <v>178.95</v>
      </c>
      <c r="K49" s="2" t="s">
        <v>216</v>
      </c>
      <c r="L49">
        <v>5</v>
      </c>
      <c r="M49">
        <v>2</v>
      </c>
      <c r="O49" t="s">
        <v>33</v>
      </c>
      <c r="P49" t="s">
        <v>26</v>
      </c>
      <c r="Q49" t="s">
        <v>221</v>
      </c>
    </row>
    <row r="50" spans="1:17" ht="15.75" x14ac:dyDescent="0.25">
      <c r="A50" s="3" t="str">
        <f>HYPERLINK("https://www.als.com/oakley-fl-xm-balsam-grey-camo/p?skuId=1333142", "https://www.als.com/oakley-fl-xm-balsam-grey-camo/p?skuId=1333142")</f>
        <v>https://www.als.com/oakley-fl-xm-balsam-grey-camo/p?skuId=1333142</v>
      </c>
      <c r="B50" s="3" t="str">
        <f>HYPERLINK("https://www.als.com/oakley-fl-xm-balsam-grey-camo/p", "https://www.als.com/oakley-fl-xm-balsam-grey-camo/p")</f>
        <v>https://www.als.com/oakley-fl-xm-balsam-grey-camo/p</v>
      </c>
      <c r="C50" t="s">
        <v>222</v>
      </c>
      <c r="D50" t="s">
        <v>223</v>
      </c>
      <c r="E50" s="3" t="str">
        <f>HYPERLINK("https://www.amazon.com/Oakley-Miner-Matte-White-Persimmon/dp/B08HLMDZVD/ref=sr_1_35?keywords=Oakley+Fall+Line+M+Goggle&amp;qid=1695124131&amp;sr=8-35", "https://www.amazon.com/Oakley-Miner-Matte-White-Persimmon/dp/B08HLMDZVD/ref=sr_1_35?keywords=Oakley+Fall+Line+M+Goggle&amp;qid=1695124131&amp;sr=8-35")</f>
        <v>https://www.amazon.com/Oakley-Miner-Matte-White-Persimmon/dp/B08HLMDZVD/ref=sr_1_35?keywords=Oakley+Fall+Line+M+Goggle&amp;qid=1695124131&amp;sr=8-35</v>
      </c>
      <c r="F50" t="s">
        <v>224</v>
      </c>
      <c r="G50" t="e">
        <f ca="1">IMAGE("https://alssports.vtexassets.com/arquivos/ids/1291312-800-auto?v=638167436632970000&amp;width=800&amp;height=auto&amp;aspect=true")</f>
        <v>#NAME?</v>
      </c>
      <c r="H50" t="e">
        <f ca="1">IMAGE("https://m.media-amazon.com/images/I/71mezjW2DCL._AC_UL320_.jpg")</f>
        <v>#NAME?</v>
      </c>
      <c r="I50" t="s">
        <v>225</v>
      </c>
      <c r="J50">
        <v>69.97</v>
      </c>
      <c r="K50" s="2" t="s">
        <v>216</v>
      </c>
      <c r="L50">
        <v>4.5999999999999996</v>
      </c>
      <c r="M50">
        <v>2</v>
      </c>
      <c r="O50" t="s">
        <v>33</v>
      </c>
      <c r="P50" t="s">
        <v>226</v>
      </c>
      <c r="Q50" t="s">
        <v>227</v>
      </c>
    </row>
    <row r="51" spans="1:17" ht="15.75" x14ac:dyDescent="0.25">
      <c r="A51" s="3" t="str">
        <f>HYPERLINK("https://www.als.com/under-m-ua-training-vent-20-ss/p?skuId=857892", "https://www.als.com/under-m-ua-training-vent-20-ss/p?skuId=857892")</f>
        <v>https://www.als.com/under-m-ua-training-vent-20-ss/p?skuId=857892</v>
      </c>
      <c r="B51" s="3" t="str">
        <f>HYPERLINK("https://www.als.com/under-m-ua-training-vent-20-ss/p", "https://www.als.com/under-m-ua-training-vent-20-ss/p")</f>
        <v>https://www.als.com/under-m-ua-training-vent-20-ss/p</v>
      </c>
      <c r="C51" t="s">
        <v>228</v>
      </c>
      <c r="D51" t="s">
        <v>229</v>
      </c>
      <c r="E51" s="3" t="str">
        <f>HYPERLINK("https://www.amazon.com/Under-Armour-T-Shirt-Key-Lime-X-Large/dp/B0BK2775Z3/ref=sr_1_34?keywords=Under+Armour+Training+Vent+2.0+Short+Sleeve+Shirt+-+Mens&amp;qid=1695124314&amp;sr=8-34", "https://www.amazon.com/Under-Armour-T-Shirt-Key-Lime-X-Large/dp/B0BK2775Z3/ref=sr_1_34?keywords=Under+Armour+Training+Vent+2.0+Short+Sleeve+Shirt+-+Mens&amp;qid=1695124314&amp;sr=8-34")</f>
        <v>https://www.amazon.com/Under-Armour-T-Shirt-Key-Lime-X-Large/dp/B0BK2775Z3/ref=sr_1_34?keywords=Under+Armour+Training+Vent+2.0+Short+Sleeve+Shirt+-+Mens&amp;qid=1695124314&amp;sr=8-34</v>
      </c>
      <c r="F51" t="s">
        <v>230</v>
      </c>
      <c r="G51" t="e">
        <f ca="1">IMAGE("https://alssports.vtexassets.com/arquivos/ids/1216263-800-auto?v=638098285417900000&amp;width=800&amp;height=auto&amp;aspect=true")</f>
        <v>#NAME?</v>
      </c>
      <c r="H51" t="e">
        <f ca="1">IMAGE("https://m.media-amazon.com/images/I/51EMvGjT-dL._AC_UL320_.jpg")</f>
        <v>#NAME?</v>
      </c>
      <c r="I51" t="s">
        <v>231</v>
      </c>
      <c r="J51">
        <v>20.99</v>
      </c>
      <c r="K51" s="2" t="s">
        <v>232</v>
      </c>
      <c r="L51">
        <v>4.5</v>
      </c>
      <c r="M51">
        <v>5</v>
      </c>
      <c r="O51" t="s">
        <v>33</v>
      </c>
      <c r="P51" t="s">
        <v>233</v>
      </c>
      <c r="Q51" t="s">
        <v>234</v>
      </c>
    </row>
    <row r="52" spans="1:17" ht="15.75" x14ac:dyDescent="0.25">
      <c r="A52" s="3" t="str">
        <f>HYPERLINK("https://www.als.com/under-m-ua-training-vent-20-ss/p?skuId=857892", "https://www.als.com/under-m-ua-training-vent-20-ss/p?skuId=857892")</f>
        <v>https://www.als.com/under-m-ua-training-vent-20-ss/p?skuId=857892</v>
      </c>
      <c r="B52" s="3" t="str">
        <f>HYPERLINK("https://www.als.com/under-m-ua-training-vent-20-ss/p", "https://www.als.com/under-m-ua-training-vent-20-ss/p")</f>
        <v>https://www.als.com/under-m-ua-training-vent-20-ss/p</v>
      </c>
      <c r="C52" t="s">
        <v>228</v>
      </c>
      <c r="D52" t="s">
        <v>235</v>
      </c>
      <c r="E52" s="3" t="str">
        <f>HYPERLINK("https://www.amazon.com/Under-Armour-Locker-Sleeve-Midnight/dp/B07BHVWF9X/ref=sr_1_45?keywords=Under+Armour+Training+Vent+2.0+Short+Sleeve+Shirt+-+Mens&amp;qid=1695124314&amp;sr=8-45", "https://www.amazon.com/Under-Armour-Locker-Sleeve-Midnight/dp/B07BHVWF9X/ref=sr_1_45?keywords=Under+Armour+Training+Vent+2.0+Short+Sleeve+Shirt+-+Mens&amp;qid=1695124314&amp;sr=8-45")</f>
        <v>https://www.amazon.com/Under-Armour-Locker-Sleeve-Midnight/dp/B07BHVWF9X/ref=sr_1_45?keywords=Under+Armour+Training+Vent+2.0+Short+Sleeve+Shirt+-+Mens&amp;qid=1695124314&amp;sr=8-45</v>
      </c>
      <c r="F52" t="s">
        <v>236</v>
      </c>
      <c r="G52" t="e">
        <f ca="1">IMAGE("https://alssports.vtexassets.com/arquivos/ids/1216263-800-auto?v=638098285417900000&amp;width=800&amp;height=auto&amp;aspect=true")</f>
        <v>#NAME?</v>
      </c>
      <c r="H52" t="e">
        <f ca="1">IMAGE("https://m.media-amazon.com/images/I/614h19wE67L._AC_UL320_.jpg")</f>
        <v>#NAME?</v>
      </c>
      <c r="I52" t="s">
        <v>231</v>
      </c>
      <c r="J52">
        <v>20.99</v>
      </c>
      <c r="K52" s="2" t="s">
        <v>232</v>
      </c>
      <c r="L52">
        <v>4.3</v>
      </c>
      <c r="M52">
        <v>3180</v>
      </c>
      <c r="O52" t="s">
        <v>33</v>
      </c>
      <c r="P52" t="s">
        <v>233</v>
      </c>
      <c r="Q52" t="s">
        <v>234</v>
      </c>
    </row>
    <row r="53" spans="1:17" ht="15.75" x14ac:dyDescent="0.25">
      <c r="A53" s="3" t="str">
        <f>HYPERLINK("https://www.als.com/carhar-m-workwear-pocket-ss-tee/p?skuId=1200098", "https://www.als.com/carhar-m-workwear-pocket-ss-tee/p?skuId=1200098")</f>
        <v>https://www.als.com/carhar-m-workwear-pocket-ss-tee/p?skuId=1200098</v>
      </c>
      <c r="B53" s="3" t="str">
        <f>HYPERLINK("https://www.als.com/carhar-m-workwear-pocket-ss-tee/p", "https://www.als.com/carhar-m-workwear-pocket-ss-tee/p")</f>
        <v>https://www.als.com/carhar-m-workwear-pocket-ss-tee/p</v>
      </c>
      <c r="C53" t="s">
        <v>237</v>
      </c>
      <c r="D53" t="s">
        <v>238</v>
      </c>
      <c r="E53" s="3" t="str">
        <f>HYPERLINK("https://www.amazon.com/Carhartt-Heavyweight-Short-Sleeve-Graphic-T-Shirt/dp/B09RX4BYRQ/ref=sr_1_41?keywords=Carhartt+Workwear+Loose+Fit+Pocket+Short-Sleeve+T-Shirt+-+Men%27s&amp;qid=1695124338&amp;sr=8-41", "https://www.amazon.com/Carhartt-Heavyweight-Short-Sleeve-Graphic-T-Shirt/dp/B09RX4BYRQ/ref=sr_1_41?keywords=Carhartt+Workwear+Loose+Fit+Pocket+Short-Sleeve+T-Shirt+-+Men%27s&amp;qid=1695124338&amp;sr=8-41")</f>
        <v>https://www.amazon.com/Carhartt-Heavyweight-Short-Sleeve-Graphic-T-Shirt/dp/B09RX4BYRQ/ref=sr_1_41?keywords=Carhartt+Workwear+Loose+Fit+Pocket+Short-Sleeve+T-Shirt+-+Men%27s&amp;qid=1695124338&amp;sr=8-41</v>
      </c>
      <c r="F53" t="s">
        <v>239</v>
      </c>
      <c r="G53" t="e">
        <f ca="1">IMAGE("https://alssports.vtexassets.com/arquivos/ids/1430829-800-auto?v=638285166341500000&amp;width=800&amp;height=auto&amp;aspect=true")</f>
        <v>#NAME?</v>
      </c>
      <c r="H53" t="e">
        <f ca="1">IMAGE("https://m.media-amazon.com/images/I/51DO5150dTL._AC_UL320_.jpg")</f>
        <v>#NAME?</v>
      </c>
      <c r="I53" t="s">
        <v>240</v>
      </c>
      <c r="J53">
        <v>19.98</v>
      </c>
      <c r="K53" s="2" t="s">
        <v>232</v>
      </c>
      <c r="L53">
        <v>4.0999999999999996</v>
      </c>
      <c r="M53">
        <v>5</v>
      </c>
      <c r="O53" t="s">
        <v>33</v>
      </c>
      <c r="P53" t="s">
        <v>26</v>
      </c>
      <c r="Q53" t="s">
        <v>241</v>
      </c>
    </row>
    <row r="54" spans="1:17" ht="15.75" x14ac:dyDescent="0.25">
      <c r="A54" s="3" t="str">
        <f>HYPERLINK("https://www.als.com/camel-bottle-podium-chill/p?skuId=507099", "https://www.als.com/camel-bottle-podium-chill/p?skuId=507099")</f>
        <v>https://www.als.com/camel-bottle-podium-chill/p?skuId=507099</v>
      </c>
      <c r="B54" s="3" t="str">
        <f>HYPERLINK("https://www.als.com/camel-bottle-podium-chill/p", "https://www.als.com/camel-bottle-podium-chill/p")</f>
        <v>https://www.als.com/camel-bottle-podium-chill/p</v>
      </c>
      <c r="C54" t="s">
        <v>242</v>
      </c>
      <c r="D54" t="s">
        <v>243</v>
      </c>
      <c r="E54" s="3" t="str">
        <f>HYPERLINK("https://www.amazon.com/Podium-Chill-24oz-Blue-Dot/dp/B07KPCBZ1X/ref=sr_1_2?keywords=CamelBak+Podium+Chill+24oz+Bike+Bottle&amp;qid=1695124311&amp;sr=8-2", "https://www.amazon.com/Podium-Chill-24oz-Blue-Dot/dp/B07KPCBZ1X/ref=sr_1_2?keywords=CamelBak+Podium+Chill+24oz+Bike+Bottle&amp;qid=1695124311&amp;sr=8-2")</f>
        <v>https://www.amazon.com/Podium-Chill-24oz-Blue-Dot/dp/B07KPCBZ1X/ref=sr_1_2?keywords=CamelBak+Podium+Chill+24oz+Bike+Bottle&amp;qid=1695124311&amp;sr=8-2</v>
      </c>
      <c r="F54" t="s">
        <v>244</v>
      </c>
      <c r="G54" t="e">
        <f ca="1">IMAGE("https://alssports.vtexassets.com/arquivos/ids/234175-800-auto?v=636967507056470000&amp;width=800&amp;height=auto&amp;aspect=true")</f>
        <v>#NAME?</v>
      </c>
      <c r="H54" t="e">
        <f ca="1">IMAGE("https://m.media-amazon.com/images/I/71HhCcAzQxL._AC_UL320_.jpg")</f>
        <v>#NAME?</v>
      </c>
      <c r="I54" t="s">
        <v>245</v>
      </c>
      <c r="J54">
        <v>17.989999999999998</v>
      </c>
      <c r="K54" s="2" t="s">
        <v>246</v>
      </c>
      <c r="L54">
        <v>4.5999999999999996</v>
      </c>
      <c r="M54">
        <v>60</v>
      </c>
      <c r="O54" t="s">
        <v>33</v>
      </c>
      <c r="P54" t="s">
        <v>26</v>
      </c>
      <c r="Q54" t="s">
        <v>247</v>
      </c>
    </row>
    <row r="55" spans="1:17" ht="15.75" x14ac:dyDescent="0.25">
      <c r="A55" s="3" t="str">
        <f>HYPERLINK("https://www.als.com/under-m-shirt-new-freedom-flag/p?skuId=857665", "https://www.als.com/under-m-shirt-new-freedom-flag/p?skuId=857665")</f>
        <v>https://www.als.com/under-m-shirt-new-freedom-flag/p?skuId=857665</v>
      </c>
      <c r="B55" s="3" t="str">
        <f>HYPERLINK("https://www.als.com/under-m-shirt-new-freedom-flag/p", "https://www.als.com/under-m-shirt-new-freedom-flag/p")</f>
        <v>https://www.als.com/under-m-shirt-new-freedom-flag/p</v>
      </c>
      <c r="C55" t="s">
        <v>248</v>
      </c>
      <c r="D55" t="s">
        <v>249</v>
      </c>
      <c r="E55" s="3" t="str">
        <f>HYPERLINK("https://www.amazon.com/Under-Armour-Sleeve-T-Shirt-Graphite/dp/B0785VXRX2/ref=sr_1_41?keywords=Under+Armour+Freedom+Flag+T-Shirt+-+Men%27s&amp;qid=1695124359&amp;sr=8-41", "https://www.amazon.com/Under-Armour-Sleeve-T-Shirt-Graphite/dp/B0785VXRX2/ref=sr_1_41?keywords=Under+Armour+Freedom+Flag+T-Shirt+-+Men%27s&amp;qid=1695124359&amp;sr=8-41")</f>
        <v>https://www.amazon.com/Under-Armour-Sleeve-T-Shirt-Graphite/dp/B0785VXRX2/ref=sr_1_41?keywords=Under+Armour+Freedom+Flag+T-Shirt+-+Men%27s&amp;qid=1695124359&amp;sr=8-41</v>
      </c>
      <c r="F55" t="s">
        <v>250</v>
      </c>
      <c r="G55" t="e">
        <f ca="1">IMAGE("https://alssports.vtexassets.com/arquivos/ids/1045548-800-auto?v=637853795707530000&amp;width=800&amp;height=auto&amp;aspect=true")</f>
        <v>#NAME?</v>
      </c>
      <c r="H55" t="e">
        <f ca="1">IMAGE("https://m.media-amazon.com/images/I/51lcBQJtssL._AC_UL320_.jpg")</f>
        <v>#NAME?</v>
      </c>
      <c r="I55" t="s">
        <v>245</v>
      </c>
      <c r="J55">
        <v>17.989999999999998</v>
      </c>
      <c r="K55" s="2" t="s">
        <v>246</v>
      </c>
      <c r="L55">
        <v>4.5</v>
      </c>
      <c r="M55">
        <v>79898</v>
      </c>
      <c r="O55" t="s">
        <v>33</v>
      </c>
      <c r="P55" t="s">
        <v>251</v>
      </c>
      <c r="Q55" t="s">
        <v>252</v>
      </c>
    </row>
    <row r="56" spans="1:17" ht="15.75" x14ac:dyDescent="0.25">
      <c r="A56" s="3" t="str">
        <f>HYPERLINK("https://www.als.com/under-m-ua-tech-tee-ss/p?skuId=424906", "https://www.als.com/under-m-ua-tech-tee-ss/p?skuId=424906")</f>
        <v>https://www.als.com/under-m-ua-tech-tee-ss/p?skuId=424906</v>
      </c>
      <c r="B56" s="3" t="str">
        <f>HYPERLINK("https://www.als.com/under-m-ua-tech-tee-ss/p", "https://www.als.com/under-m-ua-tech-tee-ss/p")</f>
        <v>https://www.als.com/under-m-ua-tech-tee-ss/p</v>
      </c>
      <c r="C56" t="s">
        <v>253</v>
      </c>
      <c r="D56" t="s">
        <v>254</v>
      </c>
      <c r="E56" s="3" t="str">
        <f>HYPERLINK("https://www.amazon.com/Under-Armour-Sleeve-T-Shirt-XX-Large/dp/B0943DN6MX/ref=sr_1_38?keywords=Under+Armour+Tech+2.0+Short-Sleeve+Shirt+-+Men%27s&amp;qid=1695124334&amp;sr=8-38", "https://www.amazon.com/Under-Armour-Sleeve-T-Shirt-XX-Large/dp/B0943DN6MX/ref=sr_1_38?keywords=Under+Armour+Tech+2.0+Short-Sleeve+Shirt+-+Men%27s&amp;qid=1695124334&amp;sr=8-38")</f>
        <v>https://www.amazon.com/Under-Armour-Sleeve-T-Shirt-XX-Large/dp/B0943DN6MX/ref=sr_1_38?keywords=Under+Armour+Tech+2.0+Short-Sleeve+Shirt+-+Men%27s&amp;qid=1695124334&amp;sr=8-38</v>
      </c>
      <c r="F56" t="s">
        <v>255</v>
      </c>
      <c r="G56" t="e">
        <f ca="1">IMAGE("https://alssports.vtexassets.com/arquivos/ids/1109031-800-auto?v=637949810454900000&amp;width=800&amp;height=auto&amp;aspect=true")</f>
        <v>#NAME?</v>
      </c>
      <c r="H56" t="e">
        <f ca="1">IMAGE("https://m.media-amazon.com/images/I/81-qh61S9pL._AC_UL320_.jpg")</f>
        <v>#NAME?</v>
      </c>
      <c r="I56" t="s">
        <v>256</v>
      </c>
      <c r="J56">
        <v>14.99</v>
      </c>
      <c r="K56" s="2" t="s">
        <v>257</v>
      </c>
      <c r="L56">
        <v>3.9</v>
      </c>
      <c r="M56">
        <v>6</v>
      </c>
      <c r="O56" t="s">
        <v>33</v>
      </c>
      <c r="P56" t="s">
        <v>258</v>
      </c>
      <c r="Q56" t="s">
        <v>259</v>
      </c>
    </row>
    <row r="57" spans="1:17" ht="15.75" x14ac:dyDescent="0.25">
      <c r="A57" s="3" t="str">
        <f>HYPERLINK("https://www.als.com/sitka-m-pant-mountain-optifade/p?skuId=90738", "https://www.als.com/sitka-m-pant-mountain-optifade/p?skuId=90738")</f>
        <v>https://www.als.com/sitka-m-pant-mountain-optifade/p?skuId=90738</v>
      </c>
      <c r="B57" s="3" t="str">
        <f>HYPERLINK("https://www.als.com/sitka-m-pant-mountain-optifade/p", "https://www.als.com/sitka-m-pant-mountain-optifade/p")</f>
        <v>https://www.als.com/sitka-m-pant-mountain-optifade/p</v>
      </c>
      <c r="C57" t="s">
        <v>260</v>
      </c>
      <c r="D57" t="s">
        <v>261</v>
      </c>
      <c r="E57" s="3" t="str">
        <f>HYPERLINK("https://www.amazon.com/SITKA-Gear-Timberline-Optifade-Subalpine/dp/B01MCXP0V3/ref=sr_1_3?keywords=Sitka+Mountain+Pant+-+Mens&amp;qid=1695124392&amp;sr=8-3", "https://www.amazon.com/SITKA-Gear-Timberline-Optifade-Subalpine/dp/B01MCXP0V3/ref=sr_1_3?keywords=Sitka+Mountain+Pant+-+Mens&amp;qid=1695124392&amp;sr=8-3")</f>
        <v>https://www.amazon.com/SITKA-Gear-Timberline-Optifade-Subalpine/dp/B01MCXP0V3/ref=sr_1_3?keywords=Sitka+Mountain+Pant+-+Mens&amp;qid=1695124392&amp;sr=8-3</v>
      </c>
      <c r="F57" t="s">
        <v>262</v>
      </c>
      <c r="G57" t="e">
        <f ca="1">IMAGE("https://alssports.vtexassets.com/arquivos/ids/1369099-800-auto?v=638242004529500000&amp;width=800&amp;height=auto&amp;aspect=true")</f>
        <v>#NAME?</v>
      </c>
      <c r="H57" t="e">
        <f ca="1">IMAGE("https://m.media-amazon.com/images/I/61BF1uxbG7L._AC_UL320_.jpg")</f>
        <v>#NAME?</v>
      </c>
      <c r="I57" t="s">
        <v>263</v>
      </c>
      <c r="J57">
        <v>208.86</v>
      </c>
      <c r="K57" s="2" t="s">
        <v>257</v>
      </c>
      <c r="L57">
        <v>4.9000000000000004</v>
      </c>
      <c r="M57">
        <v>19</v>
      </c>
      <c r="O57" t="s">
        <v>33</v>
      </c>
      <c r="P57" t="s">
        <v>26</v>
      </c>
      <c r="Q57" t="s">
        <v>264</v>
      </c>
    </row>
    <row r="58" spans="1:17" ht="15.75" x14ac:dyDescent="0.25">
      <c r="A58" s="3" t="str">
        <f>HYPERLINK("https://www.als.com/chaco-m-sandal-z2-classic/p?skuId=932109", "https://www.als.com/chaco-m-sandal-z2-classic/p?skuId=932109")</f>
        <v>https://www.als.com/chaco-m-sandal-z2-classic/p?skuId=932109</v>
      </c>
      <c r="B58" s="3" t="str">
        <f>HYPERLINK("https://www.als.com/chaco-m-sandal-z2-classic/p", "https://www.als.com/chaco-m-sandal-z2-classic/p")</f>
        <v>https://www.als.com/chaco-m-sandal-z2-classic/p</v>
      </c>
      <c r="C58" t="s">
        <v>265</v>
      </c>
      <c r="D58" t="s">
        <v>266</v>
      </c>
      <c r="E58" s="3" t="str">
        <f>HYPERLINK("https://www.amazon.com/Chaco-Z1-Classic-Sport-Sandal/dp/B012RQBWF6/ref=sr_1_2?keywords=Chaco+Z%2F2+Classic+Sandal+-+Mens&amp;qid=1695124330&amp;sr=8-2", "https://www.amazon.com/Chaco-Z1-Classic-Sport-Sandal/dp/B012RQBWF6/ref=sr_1_2?keywords=Chaco+Z%2F2+Classic+Sandal+-+Mens&amp;qid=1695124330&amp;sr=8-2")</f>
        <v>https://www.amazon.com/Chaco-Z1-Classic-Sport-Sandal/dp/B012RQBWF6/ref=sr_1_2?keywords=Chaco+Z%2F2+Classic+Sandal+-+Mens&amp;qid=1695124330&amp;sr=8-2</v>
      </c>
      <c r="F58" t="s">
        <v>267</v>
      </c>
      <c r="G58" t="e">
        <f ca="1">IMAGE("https://alssports.vtexassets.com/arquivos/ids/1340421-800-auto?v=638216154610800000&amp;width=800&amp;height=auto&amp;aspect=true")</f>
        <v>#NAME?</v>
      </c>
      <c r="H58" t="e">
        <f ca="1">IMAGE("https://m.media-amazon.com/images/I/71OSUmy60rL._AC_UL320_.jpg")</f>
        <v>#NAME?</v>
      </c>
      <c r="I58" t="s">
        <v>268</v>
      </c>
      <c r="J58">
        <v>41.95</v>
      </c>
      <c r="K58" s="2" t="s">
        <v>257</v>
      </c>
      <c r="L58">
        <v>4.5</v>
      </c>
      <c r="M58">
        <v>4514</v>
      </c>
      <c r="O58" t="s">
        <v>26</v>
      </c>
      <c r="P58" t="s">
        <v>269</v>
      </c>
      <c r="Q58" t="s">
        <v>270</v>
      </c>
    </row>
    <row r="59" spans="1:17" ht="15.75" x14ac:dyDescent="0.25">
      <c r="A59" s="3" t="str">
        <f>HYPERLINK("https://www.als.com/vans-shoe-old-skool-classic/p?skuId=486101", "https://www.als.com/vans-shoe-old-skool-classic/p?skuId=486101")</f>
        <v>https://www.als.com/vans-shoe-old-skool-classic/p?skuId=486101</v>
      </c>
      <c r="B59" s="3" t="str">
        <f>HYPERLINK("https://www.als.com/vans-shoe-old-skool-classic/p", "https://www.als.com/vans-shoe-old-skool-classic/p")</f>
        <v>https://www.als.com/vans-shoe-old-skool-classic/p</v>
      </c>
      <c r="C59" t="s">
        <v>271</v>
      </c>
      <c r="D59" t="s">
        <v>272</v>
      </c>
      <c r="E59" s="3" t="str">
        <f>HYPERLINK("https://www.amazon.com/Vans-Old-Skool-us_Footwear_Size_System-Numeric_9/dp/B09MBVXZ2L/ref=sr_1_20?keywords=Vans+Old+Skool+Skate+Shoe&amp;qid=1695124126&amp;sr=8-20", "https://www.amazon.com/Vans-Old-Skool-us_Footwear_Size_System-Numeric_9/dp/B09MBVXZ2L/ref=sr_1_20?keywords=Vans+Old+Skool+Skate+Shoe&amp;qid=1695124126&amp;sr=8-20")</f>
        <v>https://www.amazon.com/Vans-Old-Skool-us_Footwear_Size_System-Numeric_9/dp/B09MBVXZ2L/ref=sr_1_20?keywords=Vans+Old+Skool+Skate+Shoe&amp;qid=1695124126&amp;sr=8-20</v>
      </c>
      <c r="F59" t="s">
        <v>273</v>
      </c>
      <c r="G59" t="e">
        <f ca="1">IMAGE("https://alssports.vtexassets.com/arquivos/ids/1076563-800-auto?v=637904803557770000&amp;width=800&amp;height=auto&amp;aspect=true")</f>
        <v>#NAME?</v>
      </c>
      <c r="H59" t="e">
        <f ca="1">IMAGE("https://m.media-amazon.com/images/I/61Ec1iYDzWL._AC_UL320_.jpg")</f>
        <v>#NAME?</v>
      </c>
      <c r="I59" t="s">
        <v>274</v>
      </c>
      <c r="J59">
        <v>69.900000000000006</v>
      </c>
      <c r="K59" s="2" t="s">
        <v>257</v>
      </c>
      <c r="L59">
        <v>3.5</v>
      </c>
      <c r="M59">
        <v>2</v>
      </c>
      <c r="O59" t="s">
        <v>33</v>
      </c>
      <c r="P59" t="s">
        <v>32</v>
      </c>
      <c r="Q59" t="s">
        <v>275</v>
      </c>
    </row>
    <row r="60" spans="1:17" ht="15.75" x14ac:dyDescent="0.25">
      <c r="A60" s="3" t="str">
        <f>HYPERLINK("https://www.als.com/camel-bottle-chute-mag-32-oz/p?skuId=928888", "https://www.als.com/camel-bottle-chute-mag-32-oz/p?skuId=928888")</f>
        <v>https://www.als.com/camel-bottle-chute-mag-32-oz/p?skuId=928888</v>
      </c>
      <c r="B60" s="3" t="str">
        <f>HYPERLINK("https://www.als.com/camel-bottle-chute-mag-32-oz/p", "https://www.als.com/camel-bottle-chute-mag-32-oz/p")</f>
        <v>https://www.als.com/camel-bottle-chute-mag-32-oz/p</v>
      </c>
      <c r="C60" t="s">
        <v>276</v>
      </c>
      <c r="D60" t="s">
        <v>277</v>
      </c>
      <c r="E60" s="3" t="str">
        <f>HYPERLINK("https://www.amazon.com/CamelBak-Water-Bottle-Tritan-Renew/dp/B08QV59NB5/ref=sr_1_6?keywords=CamelBak+Chute+Mag+32oz+Bottle+w%2F+Tritan+Renew&amp;qid=1695124346&amp;sr=8-6", "https://www.amazon.com/CamelBak-Water-Bottle-Tritan-Renew/dp/B08QV59NB5/ref=sr_1_6?keywords=CamelBak+Chute+Mag+32oz+Bottle+w%2F+Tritan+Renew&amp;qid=1695124346&amp;sr=8-6")</f>
        <v>https://www.amazon.com/CamelBak-Water-Bottle-Tritan-Renew/dp/B08QV59NB5/ref=sr_1_6?keywords=CamelBak+Chute+Mag+32oz+Bottle+w%2F+Tritan+Renew&amp;qid=1695124346&amp;sr=8-6</v>
      </c>
      <c r="F60" t="s">
        <v>278</v>
      </c>
      <c r="G60" t="e">
        <f ca="1">IMAGE("https://alssports.vtexassets.com/arquivos/ids/1010032-800-auto?v=637812554939530000&amp;width=800&amp;height=auto&amp;aspect=true")</f>
        <v>#NAME?</v>
      </c>
      <c r="H60" t="e">
        <f ca="1">IMAGE("https://m.media-amazon.com/images/I/61PfiQIXC0L._AC_UL320_.jpg")</f>
        <v>#NAME?</v>
      </c>
      <c r="I60" t="s">
        <v>279</v>
      </c>
      <c r="J60">
        <v>13.59</v>
      </c>
      <c r="K60" s="2" t="s">
        <v>257</v>
      </c>
      <c r="L60">
        <v>4.5999999999999996</v>
      </c>
      <c r="M60">
        <v>506</v>
      </c>
      <c r="O60" t="s">
        <v>33</v>
      </c>
      <c r="P60" t="s">
        <v>280</v>
      </c>
      <c r="Q60" t="s">
        <v>281</v>
      </c>
    </row>
    <row r="61" spans="1:17" ht="15.75" x14ac:dyDescent="0.25">
      <c r="A61" s="3" t="str">
        <f>HYPERLINK("https://www.als.com/keen-m-koven-mid-wp/p?skuId=1240445", "https://www.als.com/keen-m-koven-mid-wp/p?skuId=1240445")</f>
        <v>https://www.als.com/keen-m-koven-mid-wp/p?skuId=1240445</v>
      </c>
      <c r="B61" s="3" t="str">
        <f>HYPERLINK("https://www.als.com/keen-m-koven-mid-wp/p", "https://www.als.com/keen-m-koven-mid-wp/p")</f>
        <v>https://www.als.com/keen-m-koven-mid-wp/p</v>
      </c>
      <c r="C61" t="s">
        <v>282</v>
      </c>
      <c r="D61" t="s">
        <v>283</v>
      </c>
      <c r="E61" s="3" t="str">
        <f>HYPERLINK("https://www.amazon.com/KEEN-Mens-Steens-Hiking-Brown/dp/B07TBR35X8/ref=sr_1_11?keywords=KEEN+Koven+Mid+Waterproof+Hiking+Boot+-+Men%27s&amp;qid=1695124140&amp;sr=8-11", "https://www.amazon.com/KEEN-Mens-Steens-Hiking-Brown/dp/B07TBR35X8/ref=sr_1_11?keywords=KEEN+Koven+Mid+Waterproof+Hiking+Boot+-+Men%27s&amp;qid=1695124140&amp;sr=8-11")</f>
        <v>https://www.amazon.com/KEEN-Mens-Steens-Hiking-Brown/dp/B07TBR35X8/ref=sr_1_11?keywords=KEEN+Koven+Mid+Waterproof+Hiking+Boot+-+Men%27s&amp;qid=1695124140&amp;sr=8-11</v>
      </c>
      <c r="F61" t="s">
        <v>284</v>
      </c>
      <c r="G61" t="e">
        <f ca="1">IMAGE("https://alssports.vtexassets.com/arquivos/ids/1363221-800-auto?v=638236488805200000&amp;width=800&amp;height=auto&amp;aspect=true")</f>
        <v>#NAME?</v>
      </c>
      <c r="H61" t="e">
        <f ca="1">IMAGE("https://m.media-amazon.com/images/I/816PxuUmcjL._AC_UL320_.jpg")</f>
        <v>#NAME?</v>
      </c>
      <c r="I61" t="s">
        <v>285</v>
      </c>
      <c r="J61">
        <v>139.86000000000001</v>
      </c>
      <c r="K61" s="2" t="s">
        <v>286</v>
      </c>
      <c r="L61">
        <v>4.4000000000000004</v>
      </c>
      <c r="M61">
        <v>579</v>
      </c>
      <c r="O61" t="s">
        <v>33</v>
      </c>
      <c r="P61" t="s">
        <v>26</v>
      </c>
      <c r="Q61" t="s">
        <v>287</v>
      </c>
    </row>
    <row r="62" spans="1:17" ht="15.75" x14ac:dyDescent="0.25">
      <c r="A62" s="3" t="str">
        <f>HYPERLINK("https://www.als.com/nike-a-shinguard-j-guard/p?skuId=63059", "https://www.als.com/nike-a-shinguard-j-guard/p?skuId=63059")</f>
        <v>https://www.als.com/nike-a-shinguard-j-guard/p?skuId=63059</v>
      </c>
      <c r="B62" s="3" t="str">
        <f>HYPERLINK("https://www.als.com/nike-a-shinguard-j-guard/p", "https://www.als.com/nike-a-shinguard-j-guard/p")</f>
        <v>https://www.als.com/nike-a-shinguard-j-guard/p</v>
      </c>
      <c r="C62" t="s">
        <v>288</v>
      </c>
      <c r="D62" t="s">
        <v>289</v>
      </c>
      <c r="E62" s="3" t="str">
        <f>HYPERLINK("https://www.amazon.com/YOURJOY-Perforated-Breathable-Protective-Teenagers/dp/B07GBZ47XS/ref=sr_1_31?keywords=Nike+Soccer+Shin+Guard&amp;qid=1695124450&amp;sr=8-31", "https://www.amazon.com/YOURJOY-Perforated-Breathable-Protective-Teenagers/dp/B07GBZ47XS/ref=sr_1_31?keywords=Nike+Soccer+Shin+Guard&amp;qid=1695124450&amp;sr=8-31")</f>
        <v>https://www.amazon.com/YOURJOY-Perforated-Breathable-Protective-Teenagers/dp/B07GBZ47XS/ref=sr_1_31?keywords=Nike+Soccer+Shin+Guard&amp;qid=1695124450&amp;sr=8-31</v>
      </c>
      <c r="F62" t="s">
        <v>290</v>
      </c>
      <c r="G62" t="e">
        <f ca="1">IMAGE("https://alssports.vtexassets.com/arquivos/ids/1107656-800-auto?v=637947424417900000&amp;width=800&amp;height=auto&amp;aspect=true")</f>
        <v>#NAME?</v>
      </c>
      <c r="H62" t="e">
        <f ca="1">IMAGE("https://m.media-amazon.com/images/I/51SCcddQU-L._AC_UL320_.jpg")</f>
        <v>#NAME?</v>
      </c>
      <c r="I62" t="s">
        <v>291</v>
      </c>
      <c r="J62">
        <v>9.99</v>
      </c>
      <c r="K62" s="2" t="s">
        <v>292</v>
      </c>
      <c r="L62">
        <v>4</v>
      </c>
      <c r="M62">
        <v>461</v>
      </c>
      <c r="O62" t="s">
        <v>26</v>
      </c>
      <c r="P62" t="s">
        <v>293</v>
      </c>
      <c r="Q62" t="s">
        <v>294</v>
      </c>
    </row>
    <row r="63" spans="1:17" ht="15.75" x14ac:dyDescent="0.25">
      <c r="A63" s="3" t="str">
        <f>HYPERLINK("https://www.als.com/outres-hat-sombriolet-sun-hat/p?skuId=54000", "https://www.als.com/outres-hat-sombriolet-sun-hat/p?skuId=54000")</f>
        <v>https://www.als.com/outres-hat-sombriolet-sun-hat/p?skuId=54000</v>
      </c>
      <c r="B63" s="3" t="str">
        <f>HYPERLINK("https://www.als.com/outres-hat-sombriolet-sun-hat/p", "https://www.als.com/outres-hat-sombriolet-sun-hat/p")</f>
        <v>https://www.als.com/outres-hat-sombriolet-sun-hat/p</v>
      </c>
      <c r="C63" t="s">
        <v>295</v>
      </c>
      <c r="D63" t="s">
        <v>296</v>
      </c>
      <c r="E63" s="3" t="str">
        <f>HYPERLINK("https://www.amazon.com/Outdoor-Research-Womens-Oasis-Sombrero/dp/B0BQMHVS29/ref=sr_1_15?keywords=Outdoor+Research+Sombriolet+Sun+Hat&amp;qid=1695124354&amp;sr=8-15", "https://www.amazon.com/Outdoor-Research-Womens-Oasis-Sombrero/dp/B0BQMHVS29/ref=sr_1_15?keywords=Outdoor+Research+Sombriolet+Sun+Hat&amp;qid=1695124354&amp;sr=8-15")</f>
        <v>https://www.amazon.com/Outdoor-Research-Womens-Oasis-Sombrero/dp/B0BQMHVS29/ref=sr_1_15?keywords=Outdoor+Research+Sombriolet+Sun+Hat&amp;qid=1695124354&amp;sr=8-15</v>
      </c>
      <c r="F63" t="s">
        <v>297</v>
      </c>
      <c r="G63" t="e">
        <f ca="1">IMAGE("https://alssports.vtexassets.com/arquivos/ids/1085324-800-auto?v=637917182267970000&amp;width=800&amp;height=auto&amp;aspect=true")</f>
        <v>#NAME?</v>
      </c>
      <c r="H63" t="e">
        <f ca="1">IMAGE("https://m.media-amazon.com/images/I/71KKEs+vHDL._AC_UL320_.jpg")</f>
        <v>#NAME?</v>
      </c>
      <c r="I63" t="s">
        <v>298</v>
      </c>
      <c r="J63">
        <v>26.97</v>
      </c>
      <c r="K63" s="2" t="s">
        <v>299</v>
      </c>
      <c r="L63">
        <v>4</v>
      </c>
      <c r="M63">
        <v>1</v>
      </c>
      <c r="O63" t="s">
        <v>26</v>
      </c>
      <c r="P63" t="s">
        <v>300</v>
      </c>
      <c r="Q63" t="s">
        <v>301</v>
      </c>
    </row>
    <row r="64" spans="1:17" ht="15.75" x14ac:dyDescent="0.25">
      <c r="A64" s="3" t="str">
        <f>HYPERLINK("https://www.als.com/jr286-gloves-vapor-jet-70/p?skuId=990406", "https://www.als.com/jr286-gloves-vapor-jet-70/p?skuId=990406")</f>
        <v>https://www.als.com/jr286-gloves-vapor-jet-70/p?skuId=990406</v>
      </c>
      <c r="B64" s="3" t="str">
        <f>HYPERLINK("https://www.als.com/jr286-gloves-vapor-jet-70/p", "https://www.als.com/jr286-gloves-vapor-jet-70/p")</f>
        <v>https://www.als.com/jr286-gloves-vapor-jet-70/p</v>
      </c>
      <c r="C64" t="s">
        <v>208</v>
      </c>
      <c r="D64" t="s">
        <v>302</v>
      </c>
      <c r="E64" s="3" t="str">
        <f>HYPERLINK("https://www.amazon.com/Vapor-Football-University-Chrome-Medium/dp/B079Y7G62Q/ref=sr_1_27?keywords=Nike+Vapor+Jet+7.0+Football+Glove&amp;qid=1695124146&amp;sr=8-27", "https://www.amazon.com/Vapor-Football-University-Chrome-Medium/dp/B079Y7G62Q/ref=sr_1_27?keywords=Nike+Vapor+Jet+7.0+Football+Glove&amp;qid=1695124146&amp;sr=8-27")</f>
        <v>https://www.amazon.com/Vapor-Football-University-Chrome-Medium/dp/B079Y7G62Q/ref=sr_1_27?keywords=Nike+Vapor+Jet+7.0+Football+Glove&amp;qid=1695124146&amp;sr=8-27</v>
      </c>
      <c r="F64" t="s">
        <v>303</v>
      </c>
      <c r="G64" t="e">
        <f ca="1">IMAGE("https://alssports.vtexassets.com/arquivos/ids/1070522-800-auto?v=637897203028930000&amp;width=800&amp;height=auto&amp;aspect=true")</f>
        <v>#NAME?</v>
      </c>
      <c r="H64" t="e">
        <f ca="1">IMAGE("https://m.media-amazon.com/images/I/8132IbWokPL._AC_UL320_.jpg")</f>
        <v>#NAME?</v>
      </c>
      <c r="I64" t="s">
        <v>211</v>
      </c>
      <c r="J64">
        <v>39.950000000000003</v>
      </c>
      <c r="K64" s="2" t="s">
        <v>304</v>
      </c>
      <c r="L64">
        <v>4.3</v>
      </c>
      <c r="M64">
        <v>18</v>
      </c>
      <c r="O64" t="s">
        <v>33</v>
      </c>
      <c r="P64" t="s">
        <v>212</v>
      </c>
      <c r="Q64" t="s">
        <v>213</v>
      </c>
    </row>
    <row r="65" spans="1:17" ht="15.75" x14ac:dyDescent="0.25">
      <c r="A65" s="3" t="str">
        <f>HYPERLINK("https://www.als.com/hurley-boardshort-one-and-only-solid/p?skuId=1333862", "https://www.als.com/hurley-boardshort-one-and-only-solid/p?skuId=1333862")</f>
        <v>https://www.als.com/hurley-boardshort-one-and-only-solid/p?skuId=1333862</v>
      </c>
      <c r="B65" s="3" t="str">
        <f>HYPERLINK("https://www.als.com/hurley-boardshort-one-and-only-solid/p", "https://www.als.com/hurley-boardshort-one-and-only-solid/p")</f>
        <v>https://www.als.com/hurley-boardshort-one-and-only-solid/p</v>
      </c>
      <c r="C65" t="s">
        <v>305</v>
      </c>
      <c r="D65" t="s">
        <v>306</v>
      </c>
      <c r="E65" s="3" t="str">
        <f>HYPERLINK("https://www.amazon.com/Hurley-Mens-Board-Shorts-Mystic/dp/B07R6DVKGQ/ref=sr_1_42?keywords=Hurley+One+And+Only+Solid+Boardshort+-+Men%27s&amp;qid=1695124435&amp;sr=8-42", "https://www.amazon.com/Hurley-Mens-Board-Shorts-Mystic/dp/B07R6DVKGQ/ref=sr_1_42?keywords=Hurley+One+And+Only+Solid+Boardshort+-+Men%27s&amp;qid=1695124435&amp;sr=8-42")</f>
        <v>https://www.amazon.com/Hurley-Mens-Board-Shorts-Mystic/dp/B07R6DVKGQ/ref=sr_1_42?keywords=Hurley+One+And+Only+Solid+Boardshort+-+Men%27s&amp;qid=1695124435&amp;sr=8-42</v>
      </c>
      <c r="F65" t="s">
        <v>307</v>
      </c>
      <c r="G65" t="e">
        <f ca="1">IMAGE("https://alssports.vtexassets.com/arquivos/ids/1302714-800-auto?v=638180324007330000&amp;width=800&amp;height=auto&amp;aspect=true")</f>
        <v>#NAME?</v>
      </c>
      <c r="H65" t="e">
        <f ca="1">IMAGE("https://m.media-amazon.com/images/I/71FmoUoWfYL._MCnd_AC_UL320_.jpg")</f>
        <v>#NAME?</v>
      </c>
      <c r="I65" t="s">
        <v>211</v>
      </c>
      <c r="J65">
        <v>39.950000000000003</v>
      </c>
      <c r="K65" s="2" t="s">
        <v>304</v>
      </c>
      <c r="L65">
        <v>4</v>
      </c>
      <c r="M65">
        <v>27</v>
      </c>
      <c r="O65" t="s">
        <v>33</v>
      </c>
      <c r="P65" t="s">
        <v>26</v>
      </c>
      <c r="Q65" t="s">
        <v>308</v>
      </c>
    </row>
    <row r="66" spans="1:17" ht="15.75" x14ac:dyDescent="0.25">
      <c r="A66" s="3" t="str">
        <f>HYPERLINK("https://www.als.com/hurley-boardshort-one-and-only-solid/p?skuId=1333862", "https://www.als.com/hurley-boardshort-one-and-only-solid/p?skuId=1333862")</f>
        <v>https://www.als.com/hurley-boardshort-one-and-only-solid/p?skuId=1333862</v>
      </c>
      <c r="B66" s="3" t="str">
        <f>HYPERLINK("https://www.als.com/hurley-boardshort-one-and-only-solid/p", "https://www.als.com/hurley-boardshort-one-and-only-solid/p")</f>
        <v>https://www.als.com/hurley-boardshort-one-and-only-solid/p</v>
      </c>
      <c r="C66" t="s">
        <v>305</v>
      </c>
      <c r="D66" t="s">
        <v>309</v>
      </c>
      <c r="E66" s="3" t="str">
        <f>HYPERLINK("https://www.amazon.com/Hurley-Only-Solid-Boardshorts-Green/dp/B09LCYPYM3/ref=sr_1_3?keywords=Hurley+One+And+Only+Solid+Boardshort+-+Men%27s&amp;qid=1695124435&amp;sr=8-3", "https://www.amazon.com/Hurley-Only-Solid-Boardshorts-Green/dp/B09LCYPYM3/ref=sr_1_3?keywords=Hurley+One+And+Only+Solid+Boardshort+-+Men%27s&amp;qid=1695124435&amp;sr=8-3")</f>
        <v>https://www.amazon.com/Hurley-Only-Solid-Boardshorts-Green/dp/B09LCYPYM3/ref=sr_1_3?keywords=Hurley+One+And+Only+Solid+Boardshort+-+Men%27s&amp;qid=1695124435&amp;sr=8-3</v>
      </c>
      <c r="F66" t="s">
        <v>310</v>
      </c>
      <c r="G66" t="e">
        <f ca="1">IMAGE("https://alssports.vtexassets.com/arquivos/ids/1302714-800-auto?v=638180324007330000&amp;width=800&amp;height=auto&amp;aspect=true")</f>
        <v>#NAME?</v>
      </c>
      <c r="H66" t="e">
        <f ca="1">IMAGE("https://m.media-amazon.com/images/I/51h3OvRnHSL._MCnd_AC_UL320_.jpg")</f>
        <v>#NAME?</v>
      </c>
      <c r="I66" t="s">
        <v>211</v>
      </c>
      <c r="J66">
        <v>39.950000000000003</v>
      </c>
      <c r="K66" s="2" t="s">
        <v>304</v>
      </c>
      <c r="L66">
        <v>4.5999999999999996</v>
      </c>
      <c r="M66">
        <v>8</v>
      </c>
      <c r="O66" t="s">
        <v>33</v>
      </c>
      <c r="P66" t="s">
        <v>26</v>
      </c>
      <c r="Q66" t="s">
        <v>308</v>
      </c>
    </row>
    <row r="67" spans="1:17" ht="15.75" x14ac:dyDescent="0.25">
      <c r="A67" s="3" t="str">
        <f>HYPERLINK("https://www.als.com/hurley-boardshort-one-and-only-solid/p?skuId=1333862", "https://www.als.com/hurley-boardshort-one-and-only-solid/p?skuId=1333862")</f>
        <v>https://www.als.com/hurley-boardshort-one-and-only-solid/p?skuId=1333862</v>
      </c>
      <c r="B67" s="3" t="str">
        <f>HYPERLINK("https://www.als.com/hurley-boardshort-one-and-only-solid/p", "https://www.als.com/hurley-boardshort-one-and-only-solid/p")</f>
        <v>https://www.als.com/hurley-boardshort-one-and-only-solid/p</v>
      </c>
      <c r="C67" t="s">
        <v>305</v>
      </c>
      <c r="D67" t="s">
        <v>311</v>
      </c>
      <c r="E67" s="3" t="str">
        <f>HYPERLINK("https://www.amazon.com/Hurley-Mens-Only-Boardshorts-Hyper/dp/B01CKNUAUE/ref=sr_1_6?keywords=Hurley+One+And+Only+Solid+Boardshort+-+Men%27s&amp;qid=1695124435&amp;sr=8-6", "https://www.amazon.com/Hurley-Mens-Only-Boardshorts-Hyper/dp/B01CKNUAUE/ref=sr_1_6?keywords=Hurley+One+And+Only+Solid+Boardshort+-+Men%27s&amp;qid=1695124435&amp;sr=8-6")</f>
        <v>https://www.amazon.com/Hurley-Mens-Only-Boardshorts-Hyper/dp/B01CKNUAUE/ref=sr_1_6?keywords=Hurley+One+And+Only+Solid+Boardshort+-+Men%27s&amp;qid=1695124435&amp;sr=8-6</v>
      </c>
      <c r="F67" t="s">
        <v>312</v>
      </c>
      <c r="G67" t="e">
        <f ca="1">IMAGE("https://alssports.vtexassets.com/arquivos/ids/1302714-800-auto?v=638180324007330000&amp;width=800&amp;height=auto&amp;aspect=true")</f>
        <v>#NAME?</v>
      </c>
      <c r="H67" t="e">
        <f ca="1">IMAGE("https://m.media-amazon.com/images/I/71yA8sz1gWL._MCnd_AC_UL320_.jpg")</f>
        <v>#NAME?</v>
      </c>
      <c r="I67" t="s">
        <v>211</v>
      </c>
      <c r="J67">
        <v>39.950000000000003</v>
      </c>
      <c r="K67" s="2" t="s">
        <v>304</v>
      </c>
      <c r="L67">
        <v>4.5</v>
      </c>
      <c r="M67">
        <v>9796</v>
      </c>
      <c r="O67" t="s">
        <v>33</v>
      </c>
      <c r="P67" t="s">
        <v>26</v>
      </c>
      <c r="Q67" t="s">
        <v>308</v>
      </c>
    </row>
    <row r="68" spans="1:17" ht="15.75" x14ac:dyDescent="0.25">
      <c r="A68" s="3" t="str">
        <f>HYPERLINK("https://www.als.com/chaco-w-sandal-lowdown/p?skuId=804270", "https://www.als.com/chaco-w-sandal-lowdown/p?skuId=804270")</f>
        <v>https://www.als.com/chaco-w-sandal-lowdown/p?skuId=804270</v>
      </c>
      <c r="B68" s="3" t="str">
        <f>HYPERLINK("https://www.als.com/chaco-w-sandal-lowdown/p", "https://www.als.com/chaco-w-sandal-lowdown/p")</f>
        <v>https://www.als.com/chaco-w-sandal-lowdown/p</v>
      </c>
      <c r="C68" t="s">
        <v>313</v>
      </c>
      <c r="D68" t="s">
        <v>314</v>
      </c>
      <c r="E68" s="3" t="str">
        <f>HYPERLINK("https://www.amazon.com/Chaco-Womens-Chillos-Slide-Boost/dp/B09BW5CGR9/ref=sr_1_24?keywords=Chaco+Lowdown+Sandal+-+Womens&amp;qid=1695124089&amp;sr=8-24", "https://www.amazon.com/Chaco-Womens-Chillos-Slide-Boost/dp/B09BW5CGR9/ref=sr_1_24?keywords=Chaco+Lowdown+Sandal+-+Womens&amp;qid=1695124089&amp;sr=8-24")</f>
        <v>https://www.amazon.com/Chaco-Womens-Chillos-Slide-Boost/dp/B09BW5CGR9/ref=sr_1_24?keywords=Chaco+Lowdown+Sandal+-+Womens&amp;qid=1695124089&amp;sr=8-24</v>
      </c>
      <c r="F68" t="s">
        <v>315</v>
      </c>
      <c r="G68" t="e">
        <f ca="1">IMAGE("https://alssports.vtexassets.com/arquivos/ids/1370449-800-auto?v=638260922659930000&amp;width=800&amp;height=auto&amp;aspect=true")</f>
        <v>#NAME?</v>
      </c>
      <c r="H68" t="e">
        <f ca="1">IMAGE("https://m.media-amazon.com/images/I/71DhO37y-2L._AC_UL320_.jpg")</f>
        <v>#NAME?</v>
      </c>
      <c r="I68" t="s">
        <v>93</v>
      </c>
      <c r="J68">
        <v>29.95</v>
      </c>
      <c r="K68" s="2" t="s">
        <v>316</v>
      </c>
      <c r="L68">
        <v>4.3</v>
      </c>
      <c r="M68">
        <v>314</v>
      </c>
      <c r="O68" t="s">
        <v>33</v>
      </c>
      <c r="P68" t="s">
        <v>274</v>
      </c>
      <c r="Q68" t="s">
        <v>317</v>
      </c>
    </row>
    <row r="69" spans="1:17" ht="15.75" x14ac:dyDescent="0.25">
      <c r="A69" s="3" t="str">
        <f>HYPERLINK("https://www.als.com/adidaa-soccer-ball-tiro-league-tb/p?skuId=1299343", "https://www.als.com/adidaa-soccer-ball-tiro-league-tb/p?skuId=1299343")</f>
        <v>https://www.als.com/adidaa-soccer-ball-tiro-league-tb/p?skuId=1299343</v>
      </c>
      <c r="B69" s="3" t="str">
        <f>HYPERLINK("https://www.als.com/adidaa-soccer-ball-tiro-league-tb/p", "https://www.als.com/adidaa-soccer-ball-tiro-league-tb/p")</f>
        <v>https://www.als.com/adidaa-soccer-ball-tiro-league-tb/p</v>
      </c>
      <c r="C69" t="s">
        <v>318</v>
      </c>
      <c r="D69" t="s">
        <v>319</v>
      </c>
      <c r="E69" s="3" t="str">
        <f>HYPERLINK("https://www.amazon.com/adidas-Tiro-League-Soccer-Ball/dp/B0BTZT4Y21/ref=sr_1_7?keywords=adidas+Tiro+League+Thermal+Bonded+Soccer+Ball&amp;qid=1695124423&amp;sr=8-7", "https://www.amazon.com/adidas-Tiro-League-Soccer-Ball/dp/B0BTZT4Y21/ref=sr_1_7?keywords=adidas+Tiro+League+Thermal+Bonded+Soccer+Ball&amp;qid=1695124423&amp;sr=8-7")</f>
        <v>https://www.amazon.com/adidas-Tiro-League-Soccer-Ball/dp/B0BTZT4Y21/ref=sr_1_7?keywords=adidas+Tiro+League+Thermal+Bonded+Soccer+Ball&amp;qid=1695124423&amp;sr=8-7</v>
      </c>
      <c r="F69" t="s">
        <v>320</v>
      </c>
      <c r="G69" t="e">
        <f ca="1">IMAGE("https://alssports.vtexassets.com/arquivos/ids/1287062-800-auto?v=638163091787330000&amp;width=800&amp;height=auto&amp;aspect=true")</f>
        <v>#NAME?</v>
      </c>
      <c r="H69" t="e">
        <f ca="1">IMAGE("https://m.media-amazon.com/images/I/819g1aQQlKL._AC_UL320_.jpg")</f>
        <v>#NAME?</v>
      </c>
      <c r="I69" t="s">
        <v>321</v>
      </c>
      <c r="J69">
        <v>23.95</v>
      </c>
      <c r="K69" s="2" t="s">
        <v>322</v>
      </c>
      <c r="L69">
        <v>5</v>
      </c>
      <c r="M69">
        <v>1</v>
      </c>
      <c r="O69" t="s">
        <v>33</v>
      </c>
      <c r="P69" t="s">
        <v>211</v>
      </c>
      <c r="Q69" t="s">
        <v>323</v>
      </c>
    </row>
    <row r="70" spans="1:17" ht="15.75" x14ac:dyDescent="0.25">
      <c r="A70" s="3" t="str">
        <f>HYPERLINK("https://www.als.com/gerber-multi-tool-armbarslim-drive/p?skuId=1281978", "https://www.als.com/gerber-multi-tool-armbarslim-drive/p?skuId=1281978")</f>
        <v>https://www.als.com/gerber-multi-tool-armbarslim-drive/p?skuId=1281978</v>
      </c>
      <c r="B70" s="3" t="str">
        <f>HYPERLINK("https://www.als.com/gerber-multi-tool-armbarslim-drive/p", "https://www.als.com/gerber-multi-tool-armbarslim-drive/p")</f>
        <v>https://www.als.com/gerber-multi-tool-armbarslim-drive/p</v>
      </c>
      <c r="C70" t="s">
        <v>324</v>
      </c>
      <c r="D70" t="s">
        <v>325</v>
      </c>
      <c r="E70" s="3" t="str">
        <f>HYPERLINK("https://www.amazon.com/Sheath-Gerber-Armbar-Multitool-included/dp/B09C5NM5FM/ref=sr_1_10?keywords=Gerber+Armbar+Slim+Drive+Multi+Tool&amp;qid=1695124330&amp;sr=8-10", "https://www.amazon.com/Sheath-Gerber-Armbar-Multitool-included/dp/B09C5NM5FM/ref=sr_1_10?keywords=Gerber+Armbar+Slim+Drive+Multi+Tool&amp;qid=1695124330&amp;sr=8-10")</f>
        <v>https://www.amazon.com/Sheath-Gerber-Armbar-Multitool-included/dp/B09C5NM5FM/ref=sr_1_10?keywords=Gerber+Armbar+Slim+Drive+Multi+Tool&amp;qid=1695124330&amp;sr=8-10</v>
      </c>
      <c r="F70" t="s">
        <v>326</v>
      </c>
      <c r="G70" t="e">
        <f ca="1">IMAGE("https://alssports.vtexassets.com/arquivos/ids/1353176-800-auto?v=638228967004600000&amp;width=800&amp;height=auto&amp;aspect=true")</f>
        <v>#NAME?</v>
      </c>
      <c r="H70" t="e">
        <f ca="1">IMAGE("https://m.media-amazon.com/images/I/41j7AELPhmL._AC_UL320_.jpg")</f>
        <v>#NAME?</v>
      </c>
      <c r="I70" t="s">
        <v>240</v>
      </c>
      <c r="J70">
        <v>19.95</v>
      </c>
      <c r="K70" s="2" t="s">
        <v>327</v>
      </c>
      <c r="L70">
        <v>4.3</v>
      </c>
      <c r="M70">
        <v>63</v>
      </c>
      <c r="O70" t="s">
        <v>33</v>
      </c>
      <c r="P70" t="s">
        <v>211</v>
      </c>
      <c r="Q70" t="s">
        <v>328</v>
      </c>
    </row>
    <row r="71" spans="1:17" ht="15.75" x14ac:dyDescent="0.25">
      <c r="A71" s="3" t="str">
        <f>HYPERLINK("https://www.als.com/enzo-chamios-cream-jar/p?skuId=188874", "https://www.als.com/enzo-chamios-cream-jar/p?skuId=188874")</f>
        <v>https://www.als.com/enzo-chamios-cream-jar/p?skuId=188874</v>
      </c>
      <c r="B71" s="3" t="str">
        <f>HYPERLINK("https://www.als.com/enzo-chamios-cream-jar/p", "https://www.als.com/enzo-chamios-cream-jar/p")</f>
        <v>https://www.als.com/enzo-chamios-cream-jar/p</v>
      </c>
      <c r="C71" t="s">
        <v>329</v>
      </c>
      <c r="D71" t="s">
        <v>330</v>
      </c>
      <c r="E71" s="3" t="str">
        <f>HYPERLINK("https://www.amazon.com/Enzos-ButtonHole-Chamois-Cream-8oz/dp/B00BA1EPK4/ref=sr_1_1?keywords=Enzo+Button+Hole+Chamois+Cream&amp;qid=1695124407&amp;sr=8-1", "https://www.amazon.com/Enzos-ButtonHole-Chamois-Cream-8oz/dp/B00BA1EPK4/ref=sr_1_1?keywords=Enzo+Button+Hole+Chamois+Cream&amp;qid=1695124407&amp;sr=8-1")</f>
        <v>https://www.amazon.com/Enzos-ButtonHole-Chamois-Cream-8oz/dp/B00BA1EPK4/ref=sr_1_1?keywords=Enzo+Button+Hole+Chamois+Cream&amp;qid=1695124407&amp;sr=8-1</v>
      </c>
      <c r="F71" t="s">
        <v>331</v>
      </c>
      <c r="G71" t="e">
        <f ca="1">IMAGE("https://alssports.vtexassets.com/arquivos/ids/227968-800-auto?v=636964292791930000&amp;width=800&amp;height=auto&amp;aspect=true")</f>
        <v>#NAME?</v>
      </c>
      <c r="H71" t="e">
        <f ca="1">IMAGE("https://m.media-amazon.com/images/I/61ICT1W1pvL._AC_UL320_.jpg")</f>
        <v>#NAME?</v>
      </c>
      <c r="I71" t="s">
        <v>240</v>
      </c>
      <c r="J71">
        <v>19.95</v>
      </c>
      <c r="K71" s="2" t="s">
        <v>327</v>
      </c>
      <c r="L71">
        <v>4.7</v>
      </c>
      <c r="M71">
        <v>541</v>
      </c>
      <c r="O71" t="s">
        <v>33</v>
      </c>
      <c r="P71" t="s">
        <v>26</v>
      </c>
      <c r="Q71" t="s">
        <v>332</v>
      </c>
    </row>
    <row r="72" spans="1:17" ht="15.75" x14ac:dyDescent="0.25">
      <c r="A72" s="3" t="str">
        <f>HYPERLINK("https://www.als.com/prana-legging-becksa-78-wmns/p?skuId=1040263", "https://www.als.com/prana-legging-becksa-78-wmns/p?skuId=1040263")</f>
        <v>https://www.als.com/prana-legging-becksa-78-wmns/p?skuId=1040263</v>
      </c>
      <c r="B72" s="3" t="str">
        <f>HYPERLINK("https://www.als.com/prana-legging-becksa-78-wmns/p", "https://www.als.com/prana-legging-becksa-78-wmns/p")</f>
        <v>https://www.als.com/prana-legging-becksa-78-wmns/p</v>
      </c>
      <c r="C72" t="s">
        <v>333</v>
      </c>
      <c r="D72" t="s">
        <v>334</v>
      </c>
      <c r="E72" s="3" t="str">
        <f>HYPERLINK("https://www.amazon.com/prAna-Standard-Transform-Legging-Charcoal/dp/B0B35DN37N/ref=sr_1_17?keywords=prAna+Becksa+7%2F8+Legging+-+Womens&amp;qid=1695124418&amp;sr=8-17", "https://www.amazon.com/prAna-Standard-Transform-Legging-Charcoal/dp/B0B35DN37N/ref=sr_1_17?keywords=prAna+Becksa+7%2F8+Legging+-+Womens&amp;qid=1695124418&amp;sr=8-17")</f>
        <v>https://www.amazon.com/prAna-Standard-Transform-Legging-Charcoal/dp/B0B35DN37N/ref=sr_1_17?keywords=prAna+Becksa+7%2F8+Legging+-+Womens&amp;qid=1695124418&amp;sr=8-17</v>
      </c>
      <c r="F72" t="s">
        <v>335</v>
      </c>
      <c r="G72" t="e">
        <f ca="1">IMAGE("https://alssports.vtexassets.com/arquivos/ids/1237578-800-auto?v=638116819757870000&amp;width=800&amp;height=auto&amp;aspect=true")</f>
        <v>#NAME?</v>
      </c>
      <c r="H72" t="e">
        <f ca="1">IMAGE("https://m.media-amazon.com/images/I/51DGs-U92aL._AC_UL320_.jpg")</f>
        <v>#NAME?</v>
      </c>
      <c r="I72" t="s">
        <v>336</v>
      </c>
      <c r="J72">
        <v>39.5</v>
      </c>
      <c r="K72" s="2" t="s">
        <v>337</v>
      </c>
      <c r="L72">
        <v>4.2</v>
      </c>
      <c r="M72">
        <v>17</v>
      </c>
      <c r="O72" t="s">
        <v>33</v>
      </c>
      <c r="P72" t="s">
        <v>338</v>
      </c>
      <c r="Q72" t="s">
        <v>339</v>
      </c>
    </row>
    <row r="73" spans="1:17" ht="15.75" x14ac:dyDescent="0.25">
      <c r="A73" s="3" t="str">
        <f>HYPERLINK("https://www.als.com/peakre-food-cheesy-brccli-chkn--rice/p?skuId=1085059", "https://www.als.com/peakre-food-cheesy-brccli-chkn--rice/p?skuId=1085059")</f>
        <v>https://www.als.com/peakre-food-cheesy-brccli-chkn--rice/p?skuId=1085059</v>
      </c>
      <c r="B73" s="3" t="str">
        <f>HYPERLINK("https://www.als.com/peakre-food-cheesy-brccli-chkn--rice/p", "https://www.als.com/peakre-food-cheesy-brccli-chkn--rice/p")</f>
        <v>https://www.als.com/peakre-food-cheesy-brccli-chkn--rice/p</v>
      </c>
      <c r="C73" t="s">
        <v>340</v>
      </c>
      <c r="D73" t="s">
        <v>341</v>
      </c>
      <c r="E73" s="3" t="str">
        <f>HYPERLINK("https://www.amazon.com/Peak-Refuel-Chicken-Alfredo-Backpacking/dp/B07BR2J6FH/ref=sr_1_5?keywords=Peak+Refuel+Cheesy+Chicken&amp;qid=1695124122&amp;sr=8-5", "https://www.amazon.com/Peak-Refuel-Chicken-Alfredo-Backpacking/dp/B07BR2J6FH/ref=sr_1_5?keywords=Peak+Refuel+Cheesy+Chicken&amp;qid=1695124122&amp;sr=8-5")</f>
        <v>https://www.amazon.com/Peak-Refuel-Chicken-Alfredo-Backpacking/dp/B07BR2J6FH/ref=sr_1_5?keywords=Peak+Refuel+Cheesy+Chicken&amp;qid=1695124122&amp;sr=8-5</v>
      </c>
      <c r="F73" t="s">
        <v>342</v>
      </c>
      <c r="G73" t="e">
        <f ca="1">IMAGE("https://alssports.vtexassets.com/arquivos/ids/1089880-800-auto?v=637923217788500000&amp;width=800&amp;height=auto&amp;aspect=true")</f>
        <v>#NAME?</v>
      </c>
      <c r="H73" t="e">
        <f ca="1">IMAGE("https://m.media-amazon.com/images/I/71A9PV8GNwL._AC_UL320_.jpg")</f>
        <v>#NAME?</v>
      </c>
      <c r="I73" t="s">
        <v>99</v>
      </c>
      <c r="J73">
        <v>13.95</v>
      </c>
      <c r="K73" s="2" t="s">
        <v>343</v>
      </c>
      <c r="L73">
        <v>4.5999999999999996</v>
      </c>
      <c r="M73">
        <v>1403</v>
      </c>
      <c r="O73" t="s">
        <v>33</v>
      </c>
      <c r="P73" t="s">
        <v>26</v>
      </c>
      <c r="Q73" t="s">
        <v>344</v>
      </c>
    </row>
    <row r="74" spans="1:17" ht="15.75" x14ac:dyDescent="0.25">
      <c r="A74" s="3" t="str">
        <f>HYPERLINK("https://www.als.com/peakre-food-sweet-pork--rice/p?skuId=576077", "https://www.als.com/peakre-food-sweet-pork--rice/p?skuId=576077")</f>
        <v>https://www.als.com/peakre-food-sweet-pork--rice/p?skuId=576077</v>
      </c>
      <c r="B74" s="3" t="str">
        <f>HYPERLINK("https://www.als.com/peakre-food-sweet-pork--rice/p", "https://www.als.com/peakre-food-sweet-pork--rice/p")</f>
        <v>https://www.als.com/peakre-food-sweet-pork--rice/p</v>
      </c>
      <c r="C74" t="s">
        <v>345</v>
      </c>
      <c r="D74" t="s">
        <v>346</v>
      </c>
      <c r="E74" s="3" t="str">
        <f>HYPERLINK("https://www.amazon.com/Peak-Refuel-Chicken-Teriyaki-Backpacking/dp/B07BQYXWX1/ref=sr_1_1?keywords=Peak+Refuel+Sweet+Pork+Rice+Freeze+Dried+Meal&amp;qid=1695124119&amp;sr=8-1", "https://www.amazon.com/Peak-Refuel-Chicken-Teriyaki-Backpacking/dp/B07BQYXWX1/ref=sr_1_1?keywords=Peak+Refuel+Sweet+Pork+Rice+Freeze+Dried+Meal&amp;qid=1695124119&amp;sr=8-1")</f>
        <v>https://www.amazon.com/Peak-Refuel-Chicken-Teriyaki-Backpacking/dp/B07BQYXWX1/ref=sr_1_1?keywords=Peak+Refuel+Sweet+Pork+Rice+Freeze+Dried+Meal&amp;qid=1695124119&amp;sr=8-1</v>
      </c>
      <c r="F74" t="s">
        <v>347</v>
      </c>
      <c r="G74" t="e">
        <f ca="1">IMAGE("https://alssports.vtexassets.com/arquivos/ids/1082241-800-auto?v=637913618044470000&amp;width=800&amp;height=auto&amp;aspect=true")</f>
        <v>#NAME?</v>
      </c>
      <c r="H74" t="e">
        <f ca="1">IMAGE("https://m.media-amazon.com/images/I/71WiQFZNGvL._AC_UL320_.jpg")</f>
        <v>#NAME?</v>
      </c>
      <c r="I74" t="s">
        <v>99</v>
      </c>
      <c r="J74">
        <v>13.95</v>
      </c>
      <c r="K74" s="2" t="s">
        <v>343</v>
      </c>
      <c r="L74">
        <v>4.5</v>
      </c>
      <c r="M74">
        <v>1371</v>
      </c>
      <c r="O74" t="s">
        <v>33</v>
      </c>
      <c r="P74" t="s">
        <v>26</v>
      </c>
      <c r="Q74" t="s">
        <v>348</v>
      </c>
    </row>
    <row r="75" spans="1:17" ht="15.75" x14ac:dyDescent="0.25">
      <c r="A75" s="3" t="str">
        <f>HYPERLINK("https://www.als.com/peakre-food-breakfast-skillet/p?skuId=576078", "https://www.als.com/peakre-food-breakfast-skillet/p?skuId=576078")</f>
        <v>https://www.als.com/peakre-food-breakfast-skillet/p?skuId=576078</v>
      </c>
      <c r="B75" s="3" t="str">
        <f>HYPERLINK("https://www.als.com/peakre-food-breakfast-skillet/p", "https://www.als.com/peakre-food-breakfast-skillet/p")</f>
        <v>https://www.als.com/peakre-food-breakfast-skillet/p</v>
      </c>
      <c r="C75" t="s">
        <v>96</v>
      </c>
      <c r="D75" t="s">
        <v>341</v>
      </c>
      <c r="E75" s="3" t="str">
        <f>HYPERLINK("https://www.amazon.com/Peak-Refuel-Chicken-Alfredo-Backpacking/dp/B07BR2J6FH/ref=sr_1_9?keywords=Peak+Refuel+Breakfast+Skillet+Freeze+Dried+Meal&amp;qid=1695124134&amp;sr=8-9", "https://www.amazon.com/Peak-Refuel-Chicken-Alfredo-Backpacking/dp/B07BR2J6FH/ref=sr_1_9?keywords=Peak+Refuel+Breakfast+Skillet+Freeze+Dried+Meal&amp;qid=1695124134&amp;sr=8-9")</f>
        <v>https://www.amazon.com/Peak-Refuel-Chicken-Alfredo-Backpacking/dp/B07BR2J6FH/ref=sr_1_9?keywords=Peak+Refuel+Breakfast+Skillet+Freeze+Dried+Meal&amp;qid=1695124134&amp;sr=8-9</v>
      </c>
      <c r="F75" t="s">
        <v>342</v>
      </c>
      <c r="G75" t="e">
        <f ca="1">IMAGE("https://alssports.vtexassets.com/arquivos/ids/1082240-800-auto?v=637913616562400000&amp;width=800&amp;height=auto&amp;aspect=true")</f>
        <v>#NAME?</v>
      </c>
      <c r="H75" t="e">
        <f ca="1">IMAGE("https://m.media-amazon.com/images/I/71A9PV8GNwL._AC_UL320_.jpg")</f>
        <v>#NAME?</v>
      </c>
      <c r="I75" t="s">
        <v>99</v>
      </c>
      <c r="J75">
        <v>13.95</v>
      </c>
      <c r="K75" s="2" t="s">
        <v>343</v>
      </c>
      <c r="L75">
        <v>4.5999999999999996</v>
      </c>
      <c r="M75">
        <v>1403</v>
      </c>
      <c r="O75" t="s">
        <v>33</v>
      </c>
      <c r="P75" t="s">
        <v>26</v>
      </c>
      <c r="Q75" t="s">
        <v>100</v>
      </c>
    </row>
    <row r="76" spans="1:17" ht="15.75" x14ac:dyDescent="0.25">
      <c r="A76" s="3" t="str">
        <f>HYPERLINK("https://www.als.com/peakre-food-chicken-teriyaki/p?skuId=659789", "https://www.als.com/peakre-food-chicken-teriyaki/p?skuId=659789")</f>
        <v>https://www.als.com/peakre-food-chicken-teriyaki/p?skuId=659789</v>
      </c>
      <c r="B76" s="3" t="str">
        <f>HYPERLINK("https://www.als.com/peakre-food-chicken-teriyaki/p", "https://www.als.com/peakre-food-chicken-teriyaki/p")</f>
        <v>https://www.als.com/peakre-food-chicken-teriyaki/p</v>
      </c>
      <c r="C76" t="s">
        <v>349</v>
      </c>
      <c r="D76" t="s">
        <v>346</v>
      </c>
      <c r="E76" s="3" t="str">
        <f>HYPERLINK("https://www.amazon.com/Peak-Refuel-Chicken-Teriyaki-Backpacking/dp/B07BQYXWX1/ref=sr_1_1?keywords=Peak+Refuel+Chicken+Teriyaki+Rice+Freeze+Dried+Meal&amp;qid=1695124120&amp;sr=8-1", "https://www.amazon.com/Peak-Refuel-Chicken-Teriyaki-Backpacking/dp/B07BQYXWX1/ref=sr_1_1?keywords=Peak+Refuel+Chicken+Teriyaki+Rice+Freeze+Dried+Meal&amp;qid=1695124120&amp;sr=8-1")</f>
        <v>https://www.amazon.com/Peak-Refuel-Chicken-Teriyaki-Backpacking/dp/B07BQYXWX1/ref=sr_1_1?keywords=Peak+Refuel+Chicken+Teriyaki+Rice+Freeze+Dried+Meal&amp;qid=1695124120&amp;sr=8-1</v>
      </c>
      <c r="F76" t="s">
        <v>347</v>
      </c>
      <c r="G76" t="e">
        <f ca="1">IMAGE("https://alssports.vtexassets.com/arquivos/ids/362691-800-auto?v=637193616145330000&amp;width=800&amp;height=auto&amp;aspect=true")</f>
        <v>#NAME?</v>
      </c>
      <c r="H76" t="e">
        <f ca="1">IMAGE("https://m.media-amazon.com/images/I/71WiQFZNGvL._AC_UL320_.jpg")</f>
        <v>#NAME?</v>
      </c>
      <c r="I76" t="s">
        <v>99</v>
      </c>
      <c r="J76">
        <v>13.95</v>
      </c>
      <c r="K76" s="2" t="s">
        <v>343</v>
      </c>
      <c r="L76">
        <v>4.5</v>
      </c>
      <c r="M76">
        <v>1371</v>
      </c>
      <c r="O76" t="s">
        <v>33</v>
      </c>
      <c r="P76" t="s">
        <v>26</v>
      </c>
      <c r="Q76" t="s">
        <v>350</v>
      </c>
    </row>
    <row r="77" spans="1:17" ht="15.75" x14ac:dyDescent="0.25">
      <c r="A77" s="3" t="str">
        <f>HYPERLINK("https://www.als.com/peakre-food-cheesy-brccli-chkn--rice/p?skuId=1085059", "https://www.als.com/peakre-food-cheesy-brccli-chkn--rice/p?skuId=1085059")</f>
        <v>https://www.als.com/peakre-food-cheesy-brccli-chkn--rice/p?skuId=1085059</v>
      </c>
      <c r="B77" s="3" t="str">
        <f>HYPERLINK("https://www.als.com/peakre-food-cheesy-brccli-chkn--rice/p", "https://www.als.com/peakre-food-cheesy-brccli-chkn--rice/p")</f>
        <v>https://www.als.com/peakre-food-cheesy-brccli-chkn--rice/p</v>
      </c>
      <c r="C77" t="s">
        <v>340</v>
      </c>
      <c r="D77" t="s">
        <v>351</v>
      </c>
      <c r="E77" s="3" t="str">
        <f>HYPERLINK("https://www.amazon.com/Peak-Refuel-Chicken-Coconut-Backpacking/dp/B091KK5JFR/ref=sr_1_4?keywords=Peak+Refuel+Cheesy+Chicken&amp;qid=1695124122&amp;sr=8-4", "https://www.amazon.com/Peak-Refuel-Chicken-Coconut-Backpacking/dp/B091KK5JFR/ref=sr_1_4?keywords=Peak+Refuel+Cheesy+Chicken&amp;qid=1695124122&amp;sr=8-4")</f>
        <v>https://www.amazon.com/Peak-Refuel-Chicken-Coconut-Backpacking/dp/B091KK5JFR/ref=sr_1_4?keywords=Peak+Refuel+Cheesy+Chicken&amp;qid=1695124122&amp;sr=8-4</v>
      </c>
      <c r="F77" t="s">
        <v>352</v>
      </c>
      <c r="G77" t="e">
        <f ca="1">IMAGE("https://alssports.vtexassets.com/arquivos/ids/1089880-800-auto?v=637923217788500000&amp;width=800&amp;height=auto&amp;aspect=true")</f>
        <v>#NAME?</v>
      </c>
      <c r="H77" t="e">
        <f ca="1">IMAGE("https://m.media-amazon.com/images/I/81Xg+lcOWlL._AC_UL320_.jpg")</f>
        <v>#NAME?</v>
      </c>
      <c r="I77" t="s">
        <v>99</v>
      </c>
      <c r="J77">
        <v>13.95</v>
      </c>
      <c r="K77" s="2" t="s">
        <v>343</v>
      </c>
      <c r="L77">
        <v>4.5999999999999996</v>
      </c>
      <c r="M77">
        <v>766</v>
      </c>
      <c r="O77" t="s">
        <v>33</v>
      </c>
      <c r="P77" t="s">
        <v>26</v>
      </c>
      <c r="Q77" t="s">
        <v>344</v>
      </c>
    </row>
    <row r="78" spans="1:17" ht="15.75" x14ac:dyDescent="0.25">
      <c r="A78" s="3" t="str">
        <f>HYPERLINK("https://www.als.com/peakre-food-thai-coconut-curry/p?skuId=837531", "https://www.als.com/peakre-food-thai-coconut-curry/p?skuId=837531")</f>
        <v>https://www.als.com/peakre-food-thai-coconut-curry/p?skuId=837531</v>
      </c>
      <c r="B78" s="3" t="str">
        <f>HYPERLINK("https://www.als.com/peakre-food-thai-coconut-curry/p", "https://www.als.com/peakre-food-thai-coconut-curry/p")</f>
        <v>https://www.als.com/peakre-food-thai-coconut-curry/p</v>
      </c>
      <c r="C78" t="s">
        <v>353</v>
      </c>
      <c r="D78" t="s">
        <v>351</v>
      </c>
      <c r="E78" s="3" t="str">
        <f>HYPERLINK("https://www.amazon.com/Peak-Refuel-Chicken-Coconut-Backpacking/dp/B091KK5JFR/ref=sr_1_1?keywords=Peak+Refuel+Chicken+Coconut+Curry+Freeze-Dried+Meal&amp;qid=1695124111&amp;sr=8-1", "https://www.amazon.com/Peak-Refuel-Chicken-Coconut-Backpacking/dp/B091KK5JFR/ref=sr_1_1?keywords=Peak+Refuel+Chicken+Coconut+Curry+Freeze-Dried+Meal&amp;qid=1695124111&amp;sr=8-1")</f>
        <v>https://www.amazon.com/Peak-Refuel-Chicken-Coconut-Backpacking/dp/B091KK5JFR/ref=sr_1_1?keywords=Peak+Refuel+Chicken+Coconut+Curry+Freeze-Dried+Meal&amp;qid=1695124111&amp;sr=8-1</v>
      </c>
      <c r="F78" t="s">
        <v>352</v>
      </c>
      <c r="G78" t="e">
        <f ca="1">IMAGE("https://alssports.vtexassets.com/arquivos/ids/1089885-800-auto?v=637923222212670000&amp;width=800&amp;height=auto&amp;aspect=true")</f>
        <v>#NAME?</v>
      </c>
      <c r="H78" t="e">
        <f ca="1">IMAGE("https://m.media-amazon.com/images/I/81Xg+lcOWlL._AC_UL320_.jpg")</f>
        <v>#NAME?</v>
      </c>
      <c r="I78" t="s">
        <v>99</v>
      </c>
      <c r="J78">
        <v>13.95</v>
      </c>
      <c r="K78" s="2" t="s">
        <v>343</v>
      </c>
      <c r="L78">
        <v>4.5999999999999996</v>
      </c>
      <c r="M78">
        <v>766</v>
      </c>
      <c r="O78" t="s">
        <v>33</v>
      </c>
      <c r="P78" t="s">
        <v>26</v>
      </c>
      <c r="Q78" t="s">
        <v>354</v>
      </c>
    </row>
    <row r="79" spans="1:17" ht="15.75" x14ac:dyDescent="0.25">
      <c r="A79" s="3" t="str">
        <f>HYPERLINK("https://www.als.com/peakre-food-homestyle-chkn--rice/p?skuId=659790", "https://www.als.com/peakre-food-homestyle-chkn--rice/p?skuId=659790")</f>
        <v>https://www.als.com/peakre-food-homestyle-chkn--rice/p?skuId=659790</v>
      </c>
      <c r="B79" s="3" t="str">
        <f>HYPERLINK("https://www.als.com/peakre-food-homestyle-chkn--rice/p", "https://www.als.com/peakre-food-homestyle-chkn--rice/p")</f>
        <v>https://www.als.com/peakre-food-homestyle-chkn--rice/p</v>
      </c>
      <c r="C79" t="s">
        <v>123</v>
      </c>
      <c r="D79" t="s">
        <v>341</v>
      </c>
      <c r="E79" s="3" t="str">
        <f>HYPERLINK("https://www.amazon.com/Peak-Refuel-Chicken-Alfredo-Backpacking/dp/B07BR2J6FH/ref=sr_1_6?keywords=Peak+Refuel+Homestyle+Chicken+Rice+Freeze+Dried+Meal&amp;qid=1695124137&amp;sr=8-6", "https://www.amazon.com/Peak-Refuel-Chicken-Alfredo-Backpacking/dp/B07BR2J6FH/ref=sr_1_6?keywords=Peak+Refuel+Homestyle+Chicken+Rice+Freeze+Dried+Meal&amp;qid=1695124137&amp;sr=8-6")</f>
        <v>https://www.amazon.com/Peak-Refuel-Chicken-Alfredo-Backpacking/dp/B07BR2J6FH/ref=sr_1_6?keywords=Peak+Refuel+Homestyle+Chicken+Rice+Freeze+Dried+Meal&amp;qid=1695124137&amp;sr=8-6</v>
      </c>
      <c r="F79" t="s">
        <v>342</v>
      </c>
      <c r="G79" t="e">
        <f ca="1">IMAGE("https://alssports.vtexassets.com/arquivos/ids/623992-800-auto?v=637546235937930000&amp;width=800&amp;height=auto&amp;aspect=true")</f>
        <v>#NAME?</v>
      </c>
      <c r="H79" t="e">
        <f ca="1">IMAGE("https://m.media-amazon.com/images/I/71A9PV8GNwL._AC_UL320_.jpg")</f>
        <v>#NAME?</v>
      </c>
      <c r="I79" t="s">
        <v>99</v>
      </c>
      <c r="J79">
        <v>13.95</v>
      </c>
      <c r="K79" s="2" t="s">
        <v>343</v>
      </c>
      <c r="L79">
        <v>4.5999999999999996</v>
      </c>
      <c r="M79">
        <v>1403</v>
      </c>
      <c r="O79" t="s">
        <v>33</v>
      </c>
      <c r="P79" t="s">
        <v>26</v>
      </c>
      <c r="Q79" t="s">
        <v>126</v>
      </c>
    </row>
    <row r="80" spans="1:17" ht="15.75" x14ac:dyDescent="0.25">
      <c r="A80" s="3" t="str">
        <f>HYPERLINK("https://www.als.com/peakre-food-chicken-teriyaki/p?skuId=659789", "https://www.als.com/peakre-food-chicken-teriyaki/p?skuId=659789")</f>
        <v>https://www.als.com/peakre-food-chicken-teriyaki/p?skuId=659789</v>
      </c>
      <c r="B80" s="3" t="str">
        <f>HYPERLINK("https://www.als.com/peakre-food-chicken-teriyaki/p", "https://www.als.com/peakre-food-chicken-teriyaki/p")</f>
        <v>https://www.als.com/peakre-food-chicken-teriyaki/p</v>
      </c>
      <c r="C80" t="s">
        <v>349</v>
      </c>
      <c r="D80" t="s">
        <v>341</v>
      </c>
      <c r="E80" s="3" t="str">
        <f>HYPERLINK("https://www.amazon.com/Peak-Refuel-Chicken-Alfredo-Backpacking/dp/B07BR2J6FH/ref=sr_1_5?keywords=Peak+Refuel+Chicken+Teriyaki+Rice+Freeze+Dried+Meal&amp;qid=1695124120&amp;sr=8-5", "https://www.amazon.com/Peak-Refuel-Chicken-Alfredo-Backpacking/dp/B07BR2J6FH/ref=sr_1_5?keywords=Peak+Refuel+Chicken+Teriyaki+Rice+Freeze+Dried+Meal&amp;qid=1695124120&amp;sr=8-5")</f>
        <v>https://www.amazon.com/Peak-Refuel-Chicken-Alfredo-Backpacking/dp/B07BR2J6FH/ref=sr_1_5?keywords=Peak+Refuel+Chicken+Teriyaki+Rice+Freeze+Dried+Meal&amp;qid=1695124120&amp;sr=8-5</v>
      </c>
      <c r="F80" t="s">
        <v>342</v>
      </c>
      <c r="G80" t="e">
        <f ca="1">IMAGE("https://alssports.vtexassets.com/arquivos/ids/362691-800-auto?v=637193616145330000&amp;width=800&amp;height=auto&amp;aspect=true")</f>
        <v>#NAME?</v>
      </c>
      <c r="H80" t="e">
        <f ca="1">IMAGE("https://m.media-amazon.com/images/I/71A9PV8GNwL._AC_UL320_.jpg")</f>
        <v>#NAME?</v>
      </c>
      <c r="I80" t="s">
        <v>99</v>
      </c>
      <c r="J80">
        <v>13.95</v>
      </c>
      <c r="K80" s="2" t="s">
        <v>343</v>
      </c>
      <c r="L80">
        <v>4.5999999999999996</v>
      </c>
      <c r="M80">
        <v>1403</v>
      </c>
      <c r="O80" t="s">
        <v>33</v>
      </c>
      <c r="P80" t="s">
        <v>26</v>
      </c>
      <c r="Q80" t="s">
        <v>350</v>
      </c>
    </row>
    <row r="81" spans="1:17" ht="15.75" x14ac:dyDescent="0.25">
      <c r="A81" s="3" t="str">
        <f>HYPERLINK("https://www.als.com/peakre-food-chicken-pesto-pasta/p?skuId=576079", "https://www.als.com/peakre-food-chicken-pesto-pasta/p?skuId=576079")</f>
        <v>https://www.als.com/peakre-food-chicken-pesto-pasta/p?skuId=576079</v>
      </c>
      <c r="B81" s="3" t="str">
        <f>HYPERLINK("https://www.als.com/peakre-food-chicken-pesto-pasta/p", "https://www.als.com/peakre-food-chicken-pesto-pasta/p")</f>
        <v>https://www.als.com/peakre-food-chicken-pesto-pasta/p</v>
      </c>
      <c r="C81" t="s">
        <v>355</v>
      </c>
      <c r="D81" t="s">
        <v>341</v>
      </c>
      <c r="E81" s="3" t="str">
        <f>HYPERLINK("https://www.amazon.com/Peak-Refuel-Chicken-Alfredo-Backpacking/dp/B07BR2J6FH/ref=sr_1_2?keywords=Peak+Refuel+Chicken+Pesto+Pasta+Freeze+Dried+Meal&amp;qid=1695124118&amp;sr=8-2", "https://www.amazon.com/Peak-Refuel-Chicken-Alfredo-Backpacking/dp/B07BR2J6FH/ref=sr_1_2?keywords=Peak+Refuel+Chicken+Pesto+Pasta+Freeze+Dried+Meal&amp;qid=1695124118&amp;sr=8-2")</f>
        <v>https://www.amazon.com/Peak-Refuel-Chicken-Alfredo-Backpacking/dp/B07BR2J6FH/ref=sr_1_2?keywords=Peak+Refuel+Chicken+Pesto+Pasta+Freeze+Dried+Meal&amp;qid=1695124118&amp;sr=8-2</v>
      </c>
      <c r="F81" t="s">
        <v>342</v>
      </c>
      <c r="G81" t="e">
        <f ca="1">IMAGE("https://alssports.vtexassets.com/arquivos/ids/1093795-800-auto?v=637932771811330000&amp;width=800&amp;height=auto&amp;aspect=true")</f>
        <v>#NAME?</v>
      </c>
      <c r="H81" t="e">
        <f ca="1">IMAGE("https://m.media-amazon.com/images/I/71A9PV8GNwL._AC_UL320_.jpg")</f>
        <v>#NAME?</v>
      </c>
      <c r="I81" t="s">
        <v>99</v>
      </c>
      <c r="J81">
        <v>13.95</v>
      </c>
      <c r="K81" s="2" t="s">
        <v>343</v>
      </c>
      <c r="L81">
        <v>4.5999999999999996</v>
      </c>
      <c r="M81">
        <v>1403</v>
      </c>
      <c r="O81" t="s">
        <v>33</v>
      </c>
      <c r="P81" t="s">
        <v>26</v>
      </c>
      <c r="Q81" t="s">
        <v>356</v>
      </c>
    </row>
    <row r="82" spans="1:17" ht="15.75" x14ac:dyDescent="0.25">
      <c r="A82" s="3" t="str">
        <f>HYPERLINK("https://www.als.com/peakre-food-beef-stroganoff/p?skuId=659791", "https://www.als.com/peakre-food-beef-stroganoff/p?skuId=659791")</f>
        <v>https://www.als.com/peakre-food-beef-stroganoff/p?skuId=659791</v>
      </c>
      <c r="B82" s="3" t="str">
        <f>HYPERLINK("https://www.als.com/peakre-food-beef-stroganoff/p", "https://www.als.com/peakre-food-beef-stroganoff/p")</f>
        <v>https://www.als.com/peakre-food-beef-stroganoff/p</v>
      </c>
      <c r="C82" t="s">
        <v>357</v>
      </c>
      <c r="D82" t="s">
        <v>346</v>
      </c>
      <c r="E82" s="3" t="str">
        <f>HYPERLINK("https://www.amazon.com/Peak-Refuel-Chicken-Teriyaki-Backpacking/dp/B07BQYXWX1/ref=sr_1_12?keywords=Peak+Refuel+Beef+Stroganoff+Freeze+Dried+Meal&amp;qid=1695124119&amp;sr=8-12", "https://www.amazon.com/Peak-Refuel-Chicken-Teriyaki-Backpacking/dp/B07BQYXWX1/ref=sr_1_12?keywords=Peak+Refuel+Beef+Stroganoff+Freeze+Dried+Meal&amp;qid=1695124119&amp;sr=8-12")</f>
        <v>https://www.amazon.com/Peak-Refuel-Chicken-Teriyaki-Backpacking/dp/B07BQYXWX1/ref=sr_1_12?keywords=Peak+Refuel+Beef+Stroganoff+Freeze+Dried+Meal&amp;qid=1695124119&amp;sr=8-12</v>
      </c>
      <c r="F82" t="s">
        <v>347</v>
      </c>
      <c r="G82" t="e">
        <f ca="1">IMAGE("https://alssports.vtexassets.com/arquivos/ids/362697-800-auto?v=637193625962630000&amp;width=800&amp;height=auto&amp;aspect=true")</f>
        <v>#NAME?</v>
      </c>
      <c r="H82" t="e">
        <f ca="1">IMAGE("https://m.media-amazon.com/images/I/71WiQFZNGvL._AC_UL320_.jpg")</f>
        <v>#NAME?</v>
      </c>
      <c r="I82" t="s">
        <v>99</v>
      </c>
      <c r="J82">
        <v>13.95</v>
      </c>
      <c r="K82" s="2" t="s">
        <v>343</v>
      </c>
      <c r="L82">
        <v>4.5</v>
      </c>
      <c r="M82">
        <v>1371</v>
      </c>
      <c r="O82" t="s">
        <v>33</v>
      </c>
      <c r="P82" t="s">
        <v>26</v>
      </c>
      <c r="Q82" t="s">
        <v>358</v>
      </c>
    </row>
    <row r="83" spans="1:17" ht="15.75" x14ac:dyDescent="0.25">
      <c r="A83" s="3" t="str">
        <f>HYPERLINK("https://www.als.com/peakre-food-cheesy-brccli-chkn--rice/p?skuId=1085059", "https://www.als.com/peakre-food-cheesy-brccli-chkn--rice/p?skuId=1085059")</f>
        <v>https://www.als.com/peakre-food-cheesy-brccli-chkn--rice/p?skuId=1085059</v>
      </c>
      <c r="B83" s="3" t="str">
        <f>HYPERLINK("https://www.als.com/peakre-food-cheesy-brccli-chkn--rice/p", "https://www.als.com/peakre-food-cheesy-brccli-chkn--rice/p")</f>
        <v>https://www.als.com/peakre-food-cheesy-brccli-chkn--rice/p</v>
      </c>
      <c r="C83" t="s">
        <v>340</v>
      </c>
      <c r="D83" t="s">
        <v>359</v>
      </c>
      <c r="E83" s="3" t="str">
        <f>HYPERLINK("https://www.amazon.com/Peak-Refuel-Biscuits-Sausage-Backpacking/dp/B091KJY648/ref=sr_1_11?keywords=Peak+Refuel+Cheesy+Chicken&amp;qid=1695124122&amp;sr=8-11", "https://www.amazon.com/Peak-Refuel-Biscuits-Sausage-Backpacking/dp/B091KJY648/ref=sr_1_11?keywords=Peak+Refuel+Cheesy+Chicken&amp;qid=1695124122&amp;sr=8-11")</f>
        <v>https://www.amazon.com/Peak-Refuel-Biscuits-Sausage-Backpacking/dp/B091KJY648/ref=sr_1_11?keywords=Peak+Refuel+Cheesy+Chicken&amp;qid=1695124122&amp;sr=8-11</v>
      </c>
      <c r="F83" t="s">
        <v>360</v>
      </c>
      <c r="G83" t="e">
        <f ca="1">IMAGE("https://alssports.vtexassets.com/arquivos/ids/1089880-800-auto?v=637923217788500000&amp;width=800&amp;height=auto&amp;aspect=true")</f>
        <v>#NAME?</v>
      </c>
      <c r="H83" t="e">
        <f ca="1">IMAGE("https://m.media-amazon.com/images/I/819TAnKBPBL._AC_UL320_.jpg")</f>
        <v>#NAME?</v>
      </c>
      <c r="I83" t="s">
        <v>99</v>
      </c>
      <c r="J83">
        <v>13.95</v>
      </c>
      <c r="K83" s="2" t="s">
        <v>343</v>
      </c>
      <c r="L83">
        <v>4.5</v>
      </c>
      <c r="M83">
        <v>993</v>
      </c>
      <c r="O83" t="s">
        <v>33</v>
      </c>
      <c r="P83" t="s">
        <v>26</v>
      </c>
      <c r="Q83" t="s">
        <v>344</v>
      </c>
    </row>
    <row r="84" spans="1:17" ht="15.75" x14ac:dyDescent="0.25">
      <c r="A84" s="3" t="str">
        <f>HYPERLINK("https://www.als.com/peakre-food-cheesy-brccli-chkn--rice/p?skuId=1085059", "https://www.als.com/peakre-food-cheesy-brccli-chkn--rice/p?skuId=1085059")</f>
        <v>https://www.als.com/peakre-food-cheesy-brccli-chkn--rice/p?skuId=1085059</v>
      </c>
      <c r="B84" s="3" t="str">
        <f>HYPERLINK("https://www.als.com/peakre-food-cheesy-brccli-chkn--rice/p", "https://www.als.com/peakre-food-cheesy-brccli-chkn--rice/p")</f>
        <v>https://www.als.com/peakre-food-cheesy-brccli-chkn--rice/p</v>
      </c>
      <c r="C84" t="s">
        <v>340</v>
      </c>
      <c r="D84" t="s">
        <v>346</v>
      </c>
      <c r="E84" s="3" t="str">
        <f>HYPERLINK("https://www.amazon.com/Peak-Refuel-Chicken-Teriyaki-Backpacking/dp/B07BQYXWX1/ref=sr_1_7?keywords=Peak+Refuel+Cheesy+Chicken&amp;qid=1695124122&amp;sr=8-7", "https://www.amazon.com/Peak-Refuel-Chicken-Teriyaki-Backpacking/dp/B07BQYXWX1/ref=sr_1_7?keywords=Peak+Refuel+Cheesy+Chicken&amp;qid=1695124122&amp;sr=8-7")</f>
        <v>https://www.amazon.com/Peak-Refuel-Chicken-Teriyaki-Backpacking/dp/B07BQYXWX1/ref=sr_1_7?keywords=Peak+Refuel+Cheesy+Chicken&amp;qid=1695124122&amp;sr=8-7</v>
      </c>
      <c r="F84" t="s">
        <v>347</v>
      </c>
      <c r="G84" t="e">
        <f ca="1">IMAGE("https://alssports.vtexassets.com/arquivos/ids/1089880-800-auto?v=637923217788500000&amp;width=800&amp;height=auto&amp;aspect=true")</f>
        <v>#NAME?</v>
      </c>
      <c r="H84" t="e">
        <f ca="1">IMAGE("https://m.media-amazon.com/images/I/71WiQFZNGvL._AC_UL320_.jpg")</f>
        <v>#NAME?</v>
      </c>
      <c r="I84" t="s">
        <v>99</v>
      </c>
      <c r="J84">
        <v>13.95</v>
      </c>
      <c r="K84" s="2" t="s">
        <v>343</v>
      </c>
      <c r="L84">
        <v>4.5</v>
      </c>
      <c r="M84">
        <v>1371</v>
      </c>
      <c r="O84" t="s">
        <v>33</v>
      </c>
      <c r="P84" t="s">
        <v>26</v>
      </c>
      <c r="Q84" t="s">
        <v>344</v>
      </c>
    </row>
    <row r="85" spans="1:17" ht="15.75" x14ac:dyDescent="0.25">
      <c r="A85" s="3" t="str">
        <f>HYPERLINK("https://www.als.com/peakre-food-cheesy-brccli-chkn--rice/p?skuId=1085059", "https://www.als.com/peakre-food-cheesy-brccli-chkn--rice/p?skuId=1085059")</f>
        <v>https://www.als.com/peakre-food-cheesy-brccli-chkn--rice/p?skuId=1085059</v>
      </c>
      <c r="B85" s="3" t="str">
        <f>HYPERLINK("https://www.als.com/peakre-food-cheesy-brccli-chkn--rice/p", "https://www.als.com/peakre-food-cheesy-brccli-chkn--rice/p")</f>
        <v>https://www.als.com/peakre-food-cheesy-brccli-chkn--rice/p</v>
      </c>
      <c r="C85" t="s">
        <v>340</v>
      </c>
      <c r="D85" t="s">
        <v>361</v>
      </c>
      <c r="E85" s="3" t="str">
        <f>HYPERLINK("https://www.amazon.com/Peak-Refuel-Marinara-Serving-Backpacking/dp/B07BR7WY5G/ref=sr_1_9?keywords=Peak+Refuel+Cheesy+Chicken&amp;qid=1695124122&amp;sr=8-9", "https://www.amazon.com/Peak-Refuel-Marinara-Serving-Backpacking/dp/B07BR7WY5G/ref=sr_1_9?keywords=Peak+Refuel+Cheesy+Chicken&amp;qid=1695124122&amp;sr=8-9")</f>
        <v>https://www.amazon.com/Peak-Refuel-Marinara-Serving-Backpacking/dp/B07BR7WY5G/ref=sr_1_9?keywords=Peak+Refuel+Cheesy+Chicken&amp;qid=1695124122&amp;sr=8-9</v>
      </c>
      <c r="F85" t="s">
        <v>362</v>
      </c>
      <c r="G85" t="e">
        <f ca="1">IMAGE("https://alssports.vtexassets.com/arquivos/ids/1089880-800-auto?v=637923217788500000&amp;width=800&amp;height=auto&amp;aspect=true")</f>
        <v>#NAME?</v>
      </c>
      <c r="H85" t="e">
        <f ca="1">IMAGE("https://m.media-amazon.com/images/I/71k3BorgUZL._AC_UL320_.jpg")</f>
        <v>#NAME?</v>
      </c>
      <c r="I85" t="s">
        <v>99</v>
      </c>
      <c r="J85">
        <v>13.95</v>
      </c>
      <c r="K85" s="2" t="s">
        <v>343</v>
      </c>
      <c r="L85">
        <v>4.4000000000000004</v>
      </c>
      <c r="M85">
        <v>901</v>
      </c>
      <c r="O85" t="s">
        <v>33</v>
      </c>
      <c r="P85" t="s">
        <v>26</v>
      </c>
      <c r="Q85" t="s">
        <v>344</v>
      </c>
    </row>
    <row r="86" spans="1:17" ht="15.75" x14ac:dyDescent="0.25">
      <c r="A86" s="3" t="str">
        <f>HYPERLINK("https://www.als.com/peakre-food-thai-coconut-curry/p?skuId=837531", "https://www.als.com/peakre-food-thai-coconut-curry/p?skuId=837531")</f>
        <v>https://www.als.com/peakre-food-thai-coconut-curry/p?skuId=837531</v>
      </c>
      <c r="B86" s="3" t="str">
        <f>HYPERLINK("https://www.als.com/peakre-food-thai-coconut-curry/p", "https://www.als.com/peakre-food-thai-coconut-curry/p")</f>
        <v>https://www.als.com/peakre-food-thai-coconut-curry/p</v>
      </c>
      <c r="C86" t="s">
        <v>353</v>
      </c>
      <c r="D86" t="s">
        <v>341</v>
      </c>
      <c r="E86" s="3" t="str">
        <f>HYPERLINK("https://www.amazon.com/Peak-Refuel-Chicken-Alfredo-Backpacking/dp/B07BR2J6FH/ref=sr_1_5?keywords=Peak+Refuel+Chicken+Coconut+Curry+Freeze-Dried+Meal&amp;qid=1695124111&amp;sr=8-5", "https://www.amazon.com/Peak-Refuel-Chicken-Alfredo-Backpacking/dp/B07BR2J6FH/ref=sr_1_5?keywords=Peak+Refuel+Chicken+Coconut+Curry+Freeze-Dried+Meal&amp;qid=1695124111&amp;sr=8-5")</f>
        <v>https://www.amazon.com/Peak-Refuel-Chicken-Alfredo-Backpacking/dp/B07BR2J6FH/ref=sr_1_5?keywords=Peak+Refuel+Chicken+Coconut+Curry+Freeze-Dried+Meal&amp;qid=1695124111&amp;sr=8-5</v>
      </c>
      <c r="F86" t="s">
        <v>342</v>
      </c>
      <c r="G86" t="e">
        <f ca="1">IMAGE("https://alssports.vtexassets.com/arquivos/ids/1089885-800-auto?v=637923222212670000&amp;width=800&amp;height=auto&amp;aspect=true")</f>
        <v>#NAME?</v>
      </c>
      <c r="H86" t="e">
        <f ca="1">IMAGE("https://m.media-amazon.com/images/I/71A9PV8GNwL._AC_UL320_.jpg")</f>
        <v>#NAME?</v>
      </c>
      <c r="I86" t="s">
        <v>99</v>
      </c>
      <c r="J86">
        <v>13.95</v>
      </c>
      <c r="K86" s="2" t="s">
        <v>343</v>
      </c>
      <c r="L86">
        <v>4.5999999999999996</v>
      </c>
      <c r="M86">
        <v>1403</v>
      </c>
      <c r="O86" t="s">
        <v>33</v>
      </c>
      <c r="P86" t="s">
        <v>26</v>
      </c>
      <c r="Q86" t="s">
        <v>354</v>
      </c>
    </row>
    <row r="87" spans="1:17" ht="15.75" x14ac:dyDescent="0.25">
      <c r="A87" s="3" t="str">
        <f>HYPERLINK("https://www.als.com/peakre-food-beef-stroganoff/p?skuId=659791", "https://www.als.com/peakre-food-beef-stroganoff/p?skuId=659791")</f>
        <v>https://www.als.com/peakre-food-beef-stroganoff/p?skuId=659791</v>
      </c>
      <c r="B87" s="3" t="str">
        <f>HYPERLINK("https://www.als.com/peakre-food-beef-stroganoff/p", "https://www.als.com/peakre-food-beef-stroganoff/p")</f>
        <v>https://www.als.com/peakre-food-beef-stroganoff/p</v>
      </c>
      <c r="C87" t="s">
        <v>357</v>
      </c>
      <c r="D87" t="s">
        <v>363</v>
      </c>
      <c r="E87" s="3" t="str">
        <f>HYPERLINK("https://www.amazon.com/Peak-Refuel-Stroganoff-Backpacking-Camping/dp/B07VVF5V5Z/ref=sr_1_1?keywords=Peak+Refuel+Beef+Stroganoff+Freeze+Dried+Meal&amp;qid=1695124119&amp;sr=8-1", "https://www.amazon.com/Peak-Refuel-Stroganoff-Backpacking-Camping/dp/B07VVF5V5Z/ref=sr_1_1?keywords=Peak+Refuel+Beef+Stroganoff+Freeze+Dried+Meal&amp;qid=1695124119&amp;sr=8-1")</f>
        <v>https://www.amazon.com/Peak-Refuel-Stroganoff-Backpacking-Camping/dp/B07VVF5V5Z/ref=sr_1_1?keywords=Peak+Refuel+Beef+Stroganoff+Freeze+Dried+Meal&amp;qid=1695124119&amp;sr=8-1</v>
      </c>
      <c r="F87" t="s">
        <v>364</v>
      </c>
      <c r="G87" t="e">
        <f ca="1">IMAGE("https://alssports.vtexassets.com/arquivos/ids/362697-800-auto?v=637193625962630000&amp;width=800&amp;height=auto&amp;aspect=true")</f>
        <v>#NAME?</v>
      </c>
      <c r="H87" t="e">
        <f ca="1">IMAGE("https://m.media-amazon.com/images/I/71Ja9OVuQyL._AC_UL320_.jpg")</f>
        <v>#NAME?</v>
      </c>
      <c r="I87" t="s">
        <v>99</v>
      </c>
      <c r="J87">
        <v>13.95</v>
      </c>
      <c r="K87" s="2" t="s">
        <v>343</v>
      </c>
      <c r="L87">
        <v>4.4000000000000004</v>
      </c>
      <c r="M87">
        <v>1335</v>
      </c>
      <c r="O87" t="s">
        <v>33</v>
      </c>
      <c r="P87" t="s">
        <v>26</v>
      </c>
      <c r="Q87" t="s">
        <v>358</v>
      </c>
    </row>
    <row r="88" spans="1:17" ht="15.75" x14ac:dyDescent="0.25">
      <c r="A88" s="3" t="str">
        <f>HYPERLINK("https://www.als.com/peakre-food-beef-stroganoff/p?skuId=659791", "https://www.als.com/peakre-food-beef-stroganoff/p?skuId=659791")</f>
        <v>https://www.als.com/peakre-food-beef-stroganoff/p?skuId=659791</v>
      </c>
      <c r="B88" s="3" t="str">
        <f>HYPERLINK("https://www.als.com/peakre-food-beef-stroganoff/p", "https://www.als.com/peakre-food-beef-stroganoff/p")</f>
        <v>https://www.als.com/peakre-food-beef-stroganoff/p</v>
      </c>
      <c r="C88" t="s">
        <v>357</v>
      </c>
      <c r="D88" t="s">
        <v>341</v>
      </c>
      <c r="E88" s="3" t="str">
        <f>HYPERLINK("https://www.amazon.com/Peak-Refuel-Chicken-Alfredo-Backpacking/dp/B07BR2J6FH/ref=sr_1_3?keywords=Peak+Refuel+Beef+Stroganoff+Freeze+Dried+Meal&amp;qid=1695124119&amp;sr=8-3", "https://www.amazon.com/Peak-Refuel-Chicken-Alfredo-Backpacking/dp/B07BR2J6FH/ref=sr_1_3?keywords=Peak+Refuel+Beef+Stroganoff+Freeze+Dried+Meal&amp;qid=1695124119&amp;sr=8-3")</f>
        <v>https://www.amazon.com/Peak-Refuel-Chicken-Alfredo-Backpacking/dp/B07BR2J6FH/ref=sr_1_3?keywords=Peak+Refuel+Beef+Stroganoff+Freeze+Dried+Meal&amp;qid=1695124119&amp;sr=8-3</v>
      </c>
      <c r="F88" t="s">
        <v>342</v>
      </c>
      <c r="G88" t="e">
        <f ca="1">IMAGE("https://alssports.vtexassets.com/arquivos/ids/362697-800-auto?v=637193625962630000&amp;width=800&amp;height=auto&amp;aspect=true")</f>
        <v>#NAME?</v>
      </c>
      <c r="H88" t="e">
        <f ca="1">IMAGE("https://m.media-amazon.com/images/I/71A9PV8GNwL._AC_UL320_.jpg")</f>
        <v>#NAME?</v>
      </c>
      <c r="I88" t="s">
        <v>99</v>
      </c>
      <c r="J88">
        <v>13.95</v>
      </c>
      <c r="K88" s="2" t="s">
        <v>343</v>
      </c>
      <c r="L88">
        <v>4.5999999999999996</v>
      </c>
      <c r="M88">
        <v>1403</v>
      </c>
      <c r="O88" t="s">
        <v>33</v>
      </c>
      <c r="P88" t="s">
        <v>26</v>
      </c>
      <c r="Q88" t="s">
        <v>358</v>
      </c>
    </row>
    <row r="89" spans="1:17" ht="15.75" x14ac:dyDescent="0.25">
      <c r="A89" s="3" t="str">
        <f>HYPERLINK("https://www.als.com/peakre-food-breakfast-skillet/p?skuId=576078", "https://www.als.com/peakre-food-breakfast-skillet/p?skuId=576078")</f>
        <v>https://www.als.com/peakre-food-breakfast-skillet/p?skuId=576078</v>
      </c>
      <c r="B89" s="3" t="str">
        <f>HYPERLINK("https://www.als.com/peakre-food-breakfast-skillet/p", "https://www.als.com/peakre-food-breakfast-skillet/p")</f>
        <v>https://www.als.com/peakre-food-breakfast-skillet/p</v>
      </c>
      <c r="C89" t="s">
        <v>96</v>
      </c>
      <c r="D89" t="s">
        <v>346</v>
      </c>
      <c r="E89" s="3" t="str">
        <f>HYPERLINK("https://www.amazon.com/Peak-Refuel-Chicken-Teriyaki-Backpacking/dp/B07BQYXWX1/ref=sr_1_8?keywords=Peak+Refuel+Breakfast+Skillet+Freeze+Dried+Meal&amp;qid=1695124134&amp;sr=8-8", "https://www.amazon.com/Peak-Refuel-Chicken-Teriyaki-Backpacking/dp/B07BQYXWX1/ref=sr_1_8?keywords=Peak+Refuel+Breakfast+Skillet+Freeze+Dried+Meal&amp;qid=1695124134&amp;sr=8-8")</f>
        <v>https://www.amazon.com/Peak-Refuel-Chicken-Teriyaki-Backpacking/dp/B07BQYXWX1/ref=sr_1_8?keywords=Peak+Refuel+Breakfast+Skillet+Freeze+Dried+Meal&amp;qid=1695124134&amp;sr=8-8</v>
      </c>
      <c r="F89" t="s">
        <v>347</v>
      </c>
      <c r="G89" t="e">
        <f ca="1">IMAGE("https://alssports.vtexassets.com/arquivos/ids/1082240-800-auto?v=637913616562400000&amp;width=800&amp;height=auto&amp;aspect=true")</f>
        <v>#NAME?</v>
      </c>
      <c r="H89" t="e">
        <f ca="1">IMAGE("https://m.media-amazon.com/images/I/71WiQFZNGvL._AC_UL320_.jpg")</f>
        <v>#NAME?</v>
      </c>
      <c r="I89" t="s">
        <v>99</v>
      </c>
      <c r="J89">
        <v>13.95</v>
      </c>
      <c r="K89" s="2" t="s">
        <v>343</v>
      </c>
      <c r="L89">
        <v>4.5</v>
      </c>
      <c r="M89">
        <v>1371</v>
      </c>
      <c r="O89" t="s">
        <v>33</v>
      </c>
      <c r="P89" t="s">
        <v>26</v>
      </c>
      <c r="Q89" t="s">
        <v>100</v>
      </c>
    </row>
    <row r="90" spans="1:17" ht="15.75" x14ac:dyDescent="0.25">
      <c r="A90" s="3" t="str">
        <f>HYPERLINK("https://www.als.com/peakre-food-beef-stroganoff/p?skuId=659791", "https://www.als.com/peakre-food-beef-stroganoff/p?skuId=659791")</f>
        <v>https://www.als.com/peakre-food-beef-stroganoff/p?skuId=659791</v>
      </c>
      <c r="B90" s="3" t="str">
        <f>HYPERLINK("https://www.als.com/peakre-food-beef-stroganoff/p", "https://www.als.com/peakre-food-beef-stroganoff/p")</f>
        <v>https://www.als.com/peakre-food-beef-stroganoff/p</v>
      </c>
      <c r="C90" t="s">
        <v>357</v>
      </c>
      <c r="D90" t="s">
        <v>359</v>
      </c>
      <c r="E90" s="3" t="str">
        <f>HYPERLINK("https://www.amazon.com/Peak-Refuel-Biscuits-Sausage-Backpacking/dp/B091KJY648/ref=sr_1_9?keywords=Peak+Refuel+Beef+Stroganoff+Freeze+Dried+Meal&amp;qid=1695124119&amp;sr=8-9", "https://www.amazon.com/Peak-Refuel-Biscuits-Sausage-Backpacking/dp/B091KJY648/ref=sr_1_9?keywords=Peak+Refuel+Beef+Stroganoff+Freeze+Dried+Meal&amp;qid=1695124119&amp;sr=8-9")</f>
        <v>https://www.amazon.com/Peak-Refuel-Biscuits-Sausage-Backpacking/dp/B091KJY648/ref=sr_1_9?keywords=Peak+Refuel+Beef+Stroganoff+Freeze+Dried+Meal&amp;qid=1695124119&amp;sr=8-9</v>
      </c>
      <c r="F90" t="s">
        <v>360</v>
      </c>
      <c r="G90" t="e">
        <f ca="1">IMAGE("https://alssports.vtexassets.com/arquivos/ids/362697-800-auto?v=637193625962630000&amp;width=800&amp;height=auto&amp;aspect=true")</f>
        <v>#NAME?</v>
      </c>
      <c r="H90" t="e">
        <f ca="1">IMAGE("https://m.media-amazon.com/images/I/819TAnKBPBL._AC_UL320_.jpg")</f>
        <v>#NAME?</v>
      </c>
      <c r="I90" t="s">
        <v>99</v>
      </c>
      <c r="J90">
        <v>13.95</v>
      </c>
      <c r="K90" s="2" t="s">
        <v>343</v>
      </c>
      <c r="L90">
        <v>4.5</v>
      </c>
      <c r="M90">
        <v>993</v>
      </c>
      <c r="O90" t="s">
        <v>33</v>
      </c>
      <c r="P90" t="s">
        <v>26</v>
      </c>
      <c r="Q90" t="s">
        <v>358</v>
      </c>
    </row>
    <row r="91" spans="1:17" ht="15.75" x14ac:dyDescent="0.25">
      <c r="A91" s="3" t="str">
        <f>HYPERLINK("https://www.als.com/peakre-food-breakfast-skillet/p?skuId=576078", "https://www.als.com/peakre-food-breakfast-skillet/p?skuId=576078")</f>
        <v>https://www.als.com/peakre-food-breakfast-skillet/p?skuId=576078</v>
      </c>
      <c r="B91" s="3" t="str">
        <f>HYPERLINK("https://www.als.com/peakre-food-breakfast-skillet/p", "https://www.als.com/peakre-food-breakfast-skillet/p")</f>
        <v>https://www.als.com/peakre-food-breakfast-skillet/p</v>
      </c>
      <c r="C91" t="s">
        <v>96</v>
      </c>
      <c r="D91" t="s">
        <v>363</v>
      </c>
      <c r="E91" s="3" t="str">
        <f>HYPERLINK("https://www.amazon.com/Peak-Refuel-Stroganoff-Backpacking-Camping/dp/B07VVF5V5Z/ref=sr_1_7?keywords=Peak+Refuel+Breakfast+Skillet+Freeze+Dried+Meal&amp;qid=1695124134&amp;sr=8-7", "https://www.amazon.com/Peak-Refuel-Stroganoff-Backpacking-Camping/dp/B07VVF5V5Z/ref=sr_1_7?keywords=Peak+Refuel+Breakfast+Skillet+Freeze+Dried+Meal&amp;qid=1695124134&amp;sr=8-7")</f>
        <v>https://www.amazon.com/Peak-Refuel-Stroganoff-Backpacking-Camping/dp/B07VVF5V5Z/ref=sr_1_7?keywords=Peak+Refuel+Breakfast+Skillet+Freeze+Dried+Meal&amp;qid=1695124134&amp;sr=8-7</v>
      </c>
      <c r="F91" t="s">
        <v>364</v>
      </c>
      <c r="G91" t="e">
        <f ca="1">IMAGE("https://alssports.vtexassets.com/arquivos/ids/1082240-800-auto?v=637913616562400000&amp;width=800&amp;height=auto&amp;aspect=true")</f>
        <v>#NAME?</v>
      </c>
      <c r="H91" t="e">
        <f ca="1">IMAGE("https://m.media-amazon.com/images/I/71Ja9OVuQyL._AC_UL320_.jpg")</f>
        <v>#NAME?</v>
      </c>
      <c r="I91" t="s">
        <v>99</v>
      </c>
      <c r="J91">
        <v>13.95</v>
      </c>
      <c r="K91" s="2" t="s">
        <v>343</v>
      </c>
      <c r="L91">
        <v>4.4000000000000004</v>
      </c>
      <c r="M91">
        <v>1335</v>
      </c>
      <c r="O91" t="s">
        <v>33</v>
      </c>
      <c r="P91" t="s">
        <v>26</v>
      </c>
      <c r="Q91" t="s">
        <v>100</v>
      </c>
    </row>
    <row r="92" spans="1:17" ht="15.75" x14ac:dyDescent="0.25">
      <c r="A92" s="3" t="str">
        <f>HYPERLINK("https://www.als.com/peakre-food-thai-coconut-curry/p?skuId=837531", "https://www.als.com/peakre-food-thai-coconut-curry/p?skuId=837531")</f>
        <v>https://www.als.com/peakre-food-thai-coconut-curry/p?skuId=837531</v>
      </c>
      <c r="B92" s="3" t="str">
        <f>HYPERLINK("https://www.als.com/peakre-food-thai-coconut-curry/p", "https://www.als.com/peakre-food-thai-coconut-curry/p")</f>
        <v>https://www.als.com/peakre-food-thai-coconut-curry/p</v>
      </c>
      <c r="C92" t="s">
        <v>353</v>
      </c>
      <c r="D92" t="s">
        <v>346</v>
      </c>
      <c r="E92" s="3" t="str">
        <f>HYPERLINK("https://www.amazon.com/Peak-Refuel-Chicken-Teriyaki-Backpacking/dp/B07BQYXWX1/ref=sr_1_3?keywords=Peak+Refuel+Chicken+Coconut+Curry+Freeze-Dried+Meal&amp;qid=1695124111&amp;sr=8-3", "https://www.amazon.com/Peak-Refuel-Chicken-Teriyaki-Backpacking/dp/B07BQYXWX1/ref=sr_1_3?keywords=Peak+Refuel+Chicken+Coconut+Curry+Freeze-Dried+Meal&amp;qid=1695124111&amp;sr=8-3")</f>
        <v>https://www.amazon.com/Peak-Refuel-Chicken-Teriyaki-Backpacking/dp/B07BQYXWX1/ref=sr_1_3?keywords=Peak+Refuel+Chicken+Coconut+Curry+Freeze-Dried+Meal&amp;qid=1695124111&amp;sr=8-3</v>
      </c>
      <c r="F92" t="s">
        <v>347</v>
      </c>
      <c r="G92" t="e">
        <f ca="1">IMAGE("https://alssports.vtexassets.com/arquivos/ids/1089885-800-auto?v=637923222212670000&amp;width=800&amp;height=auto&amp;aspect=true")</f>
        <v>#NAME?</v>
      </c>
      <c r="H92" t="e">
        <f ca="1">IMAGE("https://m.media-amazon.com/images/I/71WiQFZNGvL._AC_UL320_.jpg")</f>
        <v>#NAME?</v>
      </c>
      <c r="I92" t="s">
        <v>99</v>
      </c>
      <c r="J92">
        <v>13.95</v>
      </c>
      <c r="K92" s="2" t="s">
        <v>343</v>
      </c>
      <c r="L92">
        <v>4.5</v>
      </c>
      <c r="M92">
        <v>1371</v>
      </c>
      <c r="O92" t="s">
        <v>33</v>
      </c>
      <c r="P92" t="s">
        <v>26</v>
      </c>
      <c r="Q92" t="s">
        <v>354</v>
      </c>
    </row>
    <row r="93" spans="1:17" ht="15.75" x14ac:dyDescent="0.25">
      <c r="A93" s="3" t="str">
        <f>HYPERLINK("https://www.als.com/peakre-food-breakfast-skillet/p?skuId=576078", "https://www.als.com/peakre-food-breakfast-skillet/p?skuId=576078")</f>
        <v>https://www.als.com/peakre-food-breakfast-skillet/p?skuId=576078</v>
      </c>
      <c r="B93" s="3" t="str">
        <f>HYPERLINK("https://www.als.com/peakre-food-breakfast-skillet/p", "https://www.als.com/peakre-food-breakfast-skillet/p")</f>
        <v>https://www.als.com/peakre-food-breakfast-skillet/p</v>
      </c>
      <c r="C93" t="s">
        <v>96</v>
      </c>
      <c r="D93" t="s">
        <v>359</v>
      </c>
      <c r="E93" s="3" t="str">
        <f>HYPERLINK("https://www.amazon.com/Peak-Refuel-Biscuits-Sausage-Backpacking/dp/B091KJY648/ref=sr_1_4?keywords=Peak+Refuel+Breakfast+Skillet+Freeze+Dried+Meal&amp;qid=1695124134&amp;sr=8-4", "https://www.amazon.com/Peak-Refuel-Biscuits-Sausage-Backpacking/dp/B091KJY648/ref=sr_1_4?keywords=Peak+Refuel+Breakfast+Skillet+Freeze+Dried+Meal&amp;qid=1695124134&amp;sr=8-4")</f>
        <v>https://www.amazon.com/Peak-Refuel-Biscuits-Sausage-Backpacking/dp/B091KJY648/ref=sr_1_4?keywords=Peak+Refuel+Breakfast+Skillet+Freeze+Dried+Meal&amp;qid=1695124134&amp;sr=8-4</v>
      </c>
      <c r="F93" t="s">
        <v>360</v>
      </c>
      <c r="G93" t="e">
        <f ca="1">IMAGE("https://alssports.vtexassets.com/arquivos/ids/1082240-800-auto?v=637913616562400000&amp;width=800&amp;height=auto&amp;aspect=true")</f>
        <v>#NAME?</v>
      </c>
      <c r="H93" t="e">
        <f ca="1">IMAGE("https://m.media-amazon.com/images/I/819TAnKBPBL._AC_UL320_.jpg")</f>
        <v>#NAME?</v>
      </c>
      <c r="I93" t="s">
        <v>99</v>
      </c>
      <c r="J93">
        <v>13.95</v>
      </c>
      <c r="K93" s="2" t="s">
        <v>343</v>
      </c>
      <c r="L93">
        <v>4.5</v>
      </c>
      <c r="M93">
        <v>993</v>
      </c>
      <c r="O93" t="s">
        <v>33</v>
      </c>
      <c r="P93" t="s">
        <v>26</v>
      </c>
      <c r="Q93" t="s">
        <v>100</v>
      </c>
    </row>
    <row r="94" spans="1:17" ht="15.75" x14ac:dyDescent="0.25">
      <c r="A94" s="3" t="str">
        <f>HYPERLINK("https://www.als.com/peakre-food-biscuits--gravy/p?skuId=837530", "https://www.als.com/peakre-food-biscuits--gravy/p?skuId=837530")</f>
        <v>https://www.als.com/peakre-food-biscuits--gravy/p?skuId=837530</v>
      </c>
      <c r="B94" s="3" t="str">
        <f>HYPERLINK("https://www.als.com/peakre-food-biscuits--gravy/p", "https://www.als.com/peakre-food-biscuits--gravy/p")</f>
        <v>https://www.als.com/peakre-food-biscuits--gravy/p</v>
      </c>
      <c r="C94" t="s">
        <v>365</v>
      </c>
      <c r="D94" t="s">
        <v>359</v>
      </c>
      <c r="E94" s="3" t="str">
        <f>HYPERLINK("https://www.amazon.com/Peak-Refuel-Biscuits-Sausage-Backpacking/dp/B091KJY648/ref=sr_1_1?keywords=Peak+Refuel+Biscuits&amp;qid=1695124117&amp;sr=8-1", "https://www.amazon.com/Peak-Refuel-Biscuits-Sausage-Backpacking/dp/B091KJY648/ref=sr_1_1?keywords=Peak+Refuel+Biscuits&amp;qid=1695124117&amp;sr=8-1")</f>
        <v>https://www.amazon.com/Peak-Refuel-Biscuits-Sausage-Backpacking/dp/B091KJY648/ref=sr_1_1?keywords=Peak+Refuel+Biscuits&amp;qid=1695124117&amp;sr=8-1</v>
      </c>
      <c r="F94" t="s">
        <v>360</v>
      </c>
      <c r="G94" t="e">
        <f ca="1">IMAGE("https://alssports.vtexassets.com/arquivos/ids/1089883-800-auto?v=637923219546630000&amp;width=800&amp;height=auto&amp;aspect=true")</f>
        <v>#NAME?</v>
      </c>
      <c r="H94" t="e">
        <f ca="1">IMAGE("https://m.media-amazon.com/images/I/819TAnKBPBL._AC_UL320_.jpg")</f>
        <v>#NAME?</v>
      </c>
      <c r="I94" t="s">
        <v>99</v>
      </c>
      <c r="J94">
        <v>13.95</v>
      </c>
      <c r="K94" s="2" t="s">
        <v>343</v>
      </c>
      <c r="L94">
        <v>4.5</v>
      </c>
      <c r="M94">
        <v>993</v>
      </c>
      <c r="O94" t="s">
        <v>33</v>
      </c>
      <c r="P94" t="s">
        <v>26</v>
      </c>
      <c r="Q94" t="s">
        <v>366</v>
      </c>
    </row>
    <row r="95" spans="1:17" ht="15.75" x14ac:dyDescent="0.25">
      <c r="A95" s="3" t="str">
        <f>HYPERLINK("https://www.als.com/peakre-food-homestyle-chkn--rice/p?skuId=659790", "https://www.als.com/peakre-food-homestyle-chkn--rice/p?skuId=659790")</f>
        <v>https://www.als.com/peakre-food-homestyle-chkn--rice/p?skuId=659790</v>
      </c>
      <c r="B95" s="3" t="str">
        <f>HYPERLINK("https://www.als.com/peakre-food-homestyle-chkn--rice/p", "https://www.als.com/peakre-food-homestyle-chkn--rice/p")</f>
        <v>https://www.als.com/peakre-food-homestyle-chkn--rice/p</v>
      </c>
      <c r="C95" t="s">
        <v>123</v>
      </c>
      <c r="D95" t="s">
        <v>346</v>
      </c>
      <c r="E95" s="3" t="str">
        <f>HYPERLINK("https://www.amazon.com/Peak-Refuel-Chicken-Teriyaki-Backpacking/dp/B07BQYXWX1/ref=sr_1_2?keywords=Peak+Refuel+Homestyle+Chicken+Rice+Freeze+Dried+Meal&amp;qid=1695124137&amp;sr=8-2", "https://www.amazon.com/Peak-Refuel-Chicken-Teriyaki-Backpacking/dp/B07BQYXWX1/ref=sr_1_2?keywords=Peak+Refuel+Homestyle+Chicken+Rice+Freeze+Dried+Meal&amp;qid=1695124137&amp;sr=8-2")</f>
        <v>https://www.amazon.com/Peak-Refuel-Chicken-Teriyaki-Backpacking/dp/B07BQYXWX1/ref=sr_1_2?keywords=Peak+Refuel+Homestyle+Chicken+Rice+Freeze+Dried+Meal&amp;qid=1695124137&amp;sr=8-2</v>
      </c>
      <c r="F95" t="s">
        <v>347</v>
      </c>
      <c r="G95" t="e">
        <f ca="1">IMAGE("https://alssports.vtexassets.com/arquivos/ids/623992-800-auto?v=637546235937930000&amp;width=800&amp;height=auto&amp;aspect=true")</f>
        <v>#NAME?</v>
      </c>
      <c r="H95" t="e">
        <f ca="1">IMAGE("https://m.media-amazon.com/images/I/71WiQFZNGvL._AC_UL320_.jpg")</f>
        <v>#NAME?</v>
      </c>
      <c r="I95" t="s">
        <v>99</v>
      </c>
      <c r="J95">
        <v>13.95</v>
      </c>
      <c r="K95" s="2" t="s">
        <v>343</v>
      </c>
      <c r="L95">
        <v>4.5</v>
      </c>
      <c r="M95">
        <v>1371</v>
      </c>
      <c r="O95" t="s">
        <v>33</v>
      </c>
      <c r="P95" t="s">
        <v>26</v>
      </c>
      <c r="Q95" t="s">
        <v>126</v>
      </c>
    </row>
    <row r="96" spans="1:17" ht="15.75" x14ac:dyDescent="0.25">
      <c r="A96" s="3" t="str">
        <f>HYPERLINK("https://www.als.com/peakre-food-chicken-pesto-pasta/p?skuId=576079", "https://www.als.com/peakre-food-chicken-pesto-pasta/p?skuId=576079")</f>
        <v>https://www.als.com/peakre-food-chicken-pesto-pasta/p?skuId=576079</v>
      </c>
      <c r="B96" s="3" t="str">
        <f>HYPERLINK("https://www.als.com/peakre-food-chicken-pesto-pasta/p", "https://www.als.com/peakre-food-chicken-pesto-pasta/p")</f>
        <v>https://www.als.com/peakre-food-chicken-pesto-pasta/p</v>
      </c>
      <c r="C96" t="s">
        <v>355</v>
      </c>
      <c r="D96" t="s">
        <v>346</v>
      </c>
      <c r="E96" s="3" t="str">
        <f>HYPERLINK("https://www.amazon.com/Peak-Refuel-Chicken-Teriyaki-Backpacking/dp/B07BQYXWX1/ref=sr_1_3?keywords=Peak+Refuel+Chicken+Pesto+Pasta+Freeze+Dried+Meal&amp;qid=1695124118&amp;sr=8-3", "https://www.amazon.com/Peak-Refuel-Chicken-Teriyaki-Backpacking/dp/B07BQYXWX1/ref=sr_1_3?keywords=Peak+Refuel+Chicken+Pesto+Pasta+Freeze+Dried+Meal&amp;qid=1695124118&amp;sr=8-3")</f>
        <v>https://www.amazon.com/Peak-Refuel-Chicken-Teriyaki-Backpacking/dp/B07BQYXWX1/ref=sr_1_3?keywords=Peak+Refuel+Chicken+Pesto+Pasta+Freeze+Dried+Meal&amp;qid=1695124118&amp;sr=8-3</v>
      </c>
      <c r="F96" t="s">
        <v>347</v>
      </c>
      <c r="G96" t="e">
        <f ca="1">IMAGE("https://alssports.vtexassets.com/arquivos/ids/1093795-800-auto?v=637932771811330000&amp;width=800&amp;height=auto&amp;aspect=true")</f>
        <v>#NAME?</v>
      </c>
      <c r="H96" t="e">
        <f ca="1">IMAGE("https://m.media-amazon.com/images/I/71WiQFZNGvL._AC_UL320_.jpg")</f>
        <v>#NAME?</v>
      </c>
      <c r="I96" t="s">
        <v>99</v>
      </c>
      <c r="J96">
        <v>13.95</v>
      </c>
      <c r="K96" s="2" t="s">
        <v>343</v>
      </c>
      <c r="L96">
        <v>4.5</v>
      </c>
      <c r="M96">
        <v>1371</v>
      </c>
      <c r="O96" t="s">
        <v>33</v>
      </c>
      <c r="P96" t="s">
        <v>26</v>
      </c>
      <c r="Q96" t="s">
        <v>356</v>
      </c>
    </row>
    <row r="97" spans="1:17" ht="15.75" x14ac:dyDescent="0.25">
      <c r="A97" s="3" t="str">
        <f>HYPERLINK("https://www.als.com/chaco-w-bodhi/p?skuId=1196759", "https://www.als.com/chaco-w-bodhi/p?skuId=1196759")</f>
        <v>https://www.als.com/chaco-w-bodhi/p?skuId=1196759</v>
      </c>
      <c r="B97" s="3" t="str">
        <f>HYPERLINK("https://www.als.com/chaco-w-bodhi/p", "https://www.als.com/chaco-w-bodhi/p")</f>
        <v>https://www.als.com/chaco-w-bodhi/p</v>
      </c>
      <c r="C97" t="s">
        <v>367</v>
      </c>
      <c r="D97" t="s">
        <v>368</v>
      </c>
      <c r="E97" s="3" t="str">
        <f>HYPERLINK("https://www.amazon.com/Chaco-Lowdown-Slide-Black-9/dp/B07ZPMRCWQ/ref=sr_1_13?keywords=Chaco+Bodhi+Sandal+-+Women%27s&amp;qid=1695124386&amp;sr=8-13", "https://www.amazon.com/Chaco-Lowdown-Slide-Black-9/dp/B07ZPMRCWQ/ref=sr_1_13?keywords=Chaco+Bodhi+Sandal+-+Women%27s&amp;qid=1695124386&amp;sr=8-13")</f>
        <v>https://www.amazon.com/Chaco-Lowdown-Slide-Black-9/dp/B07ZPMRCWQ/ref=sr_1_13?keywords=Chaco+Bodhi+Sandal+-+Women%27s&amp;qid=1695124386&amp;sr=8-13</v>
      </c>
      <c r="F97" t="s">
        <v>369</v>
      </c>
      <c r="G97" t="e">
        <f ca="1">IMAGE("https://alssports.vtexassets.com/arquivos/ids/1222611-800-auto?v=638103009944700000&amp;width=800&amp;height=auto&amp;aspect=true")</f>
        <v>#NAME?</v>
      </c>
      <c r="H97" t="e">
        <f ca="1">IMAGE("https://m.media-amazon.com/images/I/61k6U6gWuJL._AC_UL320_.jpg")</f>
        <v>#NAME?</v>
      </c>
      <c r="I97" t="s">
        <v>370</v>
      </c>
      <c r="J97">
        <v>39.82</v>
      </c>
      <c r="K97" s="2" t="s">
        <v>371</v>
      </c>
      <c r="L97">
        <v>4.4000000000000004</v>
      </c>
      <c r="M97">
        <v>800</v>
      </c>
      <c r="O97" t="s">
        <v>33</v>
      </c>
      <c r="P97" t="s">
        <v>32</v>
      </c>
      <c r="Q97" t="s">
        <v>372</v>
      </c>
    </row>
    <row r="98" spans="1:17" ht="15.75" x14ac:dyDescent="0.25">
      <c r="A98" s="3" t="str">
        <f>HYPERLINK("https://www.als.com/chaco-w-bodhi/p?skuId=1196759", "https://www.als.com/chaco-w-bodhi/p?skuId=1196759")</f>
        <v>https://www.als.com/chaco-w-bodhi/p?skuId=1196759</v>
      </c>
      <c r="B98" s="3" t="str">
        <f>HYPERLINK("https://www.als.com/chaco-w-bodhi/p", "https://www.als.com/chaco-w-bodhi/p")</f>
        <v>https://www.als.com/chaco-w-bodhi/p</v>
      </c>
      <c r="C98" t="s">
        <v>367</v>
      </c>
      <c r="D98" t="s">
        <v>373</v>
      </c>
      <c r="E98" s="3" t="str">
        <f>HYPERLINK("https://www.amazon.com/Chaco-Womens-Lowdown-Sandal-Black/dp/B07ZPMVDR9/ref=sr_1_7?keywords=Chaco+Bodhi+Sandal+-+Women%27s&amp;qid=1695124386&amp;sr=8-7", "https://www.amazon.com/Chaco-Womens-Lowdown-Sandal-Black/dp/B07ZPMVDR9/ref=sr_1_7?keywords=Chaco+Bodhi+Sandal+-+Women%27s&amp;qid=1695124386&amp;sr=8-7")</f>
        <v>https://www.amazon.com/Chaco-Womens-Lowdown-Sandal-Black/dp/B07ZPMVDR9/ref=sr_1_7?keywords=Chaco+Bodhi+Sandal+-+Women%27s&amp;qid=1695124386&amp;sr=8-7</v>
      </c>
      <c r="F98" t="s">
        <v>374</v>
      </c>
      <c r="G98" t="e">
        <f ca="1">IMAGE("https://alssports.vtexassets.com/arquivos/ids/1222611-800-auto?v=638103009944700000&amp;width=800&amp;height=auto&amp;aspect=true")</f>
        <v>#NAME?</v>
      </c>
      <c r="H98" t="e">
        <f ca="1">IMAGE("https://m.media-amazon.com/images/I/71lvlAwfUvL._AC_UL320_.jpg")</f>
        <v>#NAME?</v>
      </c>
      <c r="I98" t="s">
        <v>370</v>
      </c>
      <c r="J98">
        <v>39.78</v>
      </c>
      <c r="K98" s="2" t="s">
        <v>375</v>
      </c>
      <c r="L98">
        <v>4.3</v>
      </c>
      <c r="M98">
        <v>1192</v>
      </c>
      <c r="O98" t="s">
        <v>33</v>
      </c>
      <c r="P98" t="s">
        <v>32</v>
      </c>
      <c r="Q98" t="s">
        <v>372</v>
      </c>
    </row>
    <row r="99" spans="1:17" ht="15.75" x14ac:dyDescent="0.25">
      <c r="A99" s="3" t="str">
        <f>HYPERLINK("https://www.als.com/gerber-knife-folding-zilch/p?skuId=1274435", "https://www.als.com/gerber-knife-folding-zilch/p?skuId=1274435")</f>
        <v>https://www.als.com/gerber-knife-folding-zilch/p?skuId=1274435</v>
      </c>
      <c r="B99" s="3" t="str">
        <f>HYPERLINK("https://www.als.com/gerber-knife-folding-zilch/p", "https://www.als.com/gerber-knife-folding-zilch/p")</f>
        <v>https://www.als.com/gerber-knife-folding-zilch/p</v>
      </c>
      <c r="C99" t="s">
        <v>376</v>
      </c>
      <c r="D99" t="s">
        <v>377</v>
      </c>
      <c r="E99" s="3" t="str">
        <f>HYPERLINK("https://www.amazon.com/Gerber-Paraframe-Knife-Stainless-22-48485/dp/B000KSCEH4/ref=sr_1_7?keywords=Gerber+Zilch+Folding+Knife&amp;qid=1695124144&amp;sr=8-7", "https://www.amazon.com/Gerber-Paraframe-Knife-Stainless-22-48485/dp/B000KSCEH4/ref=sr_1_7?keywords=Gerber+Zilch+Folding+Knife&amp;qid=1695124144&amp;sr=8-7")</f>
        <v>https://www.amazon.com/Gerber-Paraframe-Knife-Stainless-22-48485/dp/B000KSCEH4/ref=sr_1_7?keywords=Gerber+Zilch+Folding+Knife&amp;qid=1695124144&amp;sr=8-7</v>
      </c>
      <c r="F99" t="s">
        <v>378</v>
      </c>
      <c r="G99" t="e">
        <f ca="1">IMAGE("https://alssports.vtexassets.com/arquivos/ids/1284234-800-auto?v=638159027287270000&amp;width=800&amp;height=auto&amp;aspect=true")</f>
        <v>#NAME?</v>
      </c>
      <c r="H99" t="e">
        <f ca="1">IMAGE("https://m.media-amazon.com/images/I/51ylg16IkyL._AC_UL320_.jpg")</f>
        <v>#NAME?</v>
      </c>
      <c r="I99" t="s">
        <v>130</v>
      </c>
      <c r="J99">
        <v>9.94</v>
      </c>
      <c r="K99" s="2" t="s">
        <v>375</v>
      </c>
      <c r="L99">
        <v>4.5</v>
      </c>
      <c r="M99">
        <v>16345</v>
      </c>
      <c r="O99" t="s">
        <v>33</v>
      </c>
      <c r="P99" t="s">
        <v>251</v>
      </c>
      <c r="Q99" t="s">
        <v>379</v>
      </c>
    </row>
    <row r="100" spans="1:17" ht="15.75" x14ac:dyDescent="0.25">
      <c r="A100" s="3" t="str">
        <f>HYPERLINK("https://www.als.com/on-m-shoe-cloud-x-3/p?skuId=1045296", "https://www.als.com/on-m-shoe-cloud-x-3/p?skuId=1045296")</f>
        <v>https://www.als.com/on-m-shoe-cloud-x-3/p?skuId=1045296</v>
      </c>
      <c r="B100" s="3" t="str">
        <f>HYPERLINK("https://www.als.com/on-m-shoe-cloud-x-3/p", "https://www.als.com/on-m-shoe-cloud-x-3/p")</f>
        <v>https://www.als.com/on-m-shoe-cloud-x-3/p</v>
      </c>
      <c r="C100" t="s">
        <v>380</v>
      </c>
      <c r="D100" t="s">
        <v>381</v>
      </c>
      <c r="E100" s="3" t="str">
        <f>HYPERLINK("https://www.amazon.com/Mens-Cloud-Sneakers-Pewter-White/dp/B0B2F2P3R9/ref=sr_1_2?keywords=On+Cloud+X+3+Running+Shoe+-+Mens&amp;qid=1695124135&amp;sr=8-2", "https://www.amazon.com/Mens-Cloud-Sneakers-Pewter-White/dp/B0B2F2P3R9/ref=sr_1_2?keywords=On+Cloud+X+3+Running+Shoe+-+Mens&amp;qid=1695124135&amp;sr=8-2")</f>
        <v>https://www.amazon.com/Mens-Cloud-Sneakers-Pewter-White/dp/B0B2F2P3R9/ref=sr_1_2?keywords=On+Cloud+X+3+Running+Shoe+-+Mens&amp;qid=1695124135&amp;sr=8-2</v>
      </c>
      <c r="F100" t="s">
        <v>382</v>
      </c>
      <c r="G100" t="e">
        <f ca="1">IMAGE("https://alssports.vtexassets.com/arquivos/ids/1224675-800-auto?v=638104295224200000&amp;width=800&amp;height=auto&amp;aspect=true")</f>
        <v>#NAME?</v>
      </c>
      <c r="H100" t="e">
        <f ca="1">IMAGE("https://m.media-amazon.com/images/I/61x6DpNQmIL._AC_UL320_.jpg")</f>
        <v>#NAME?</v>
      </c>
      <c r="I100" t="s">
        <v>44</v>
      </c>
      <c r="J100">
        <v>148.9</v>
      </c>
      <c r="K100" s="2" t="s">
        <v>383</v>
      </c>
      <c r="L100">
        <v>4.5999999999999996</v>
      </c>
      <c r="M100">
        <v>152</v>
      </c>
      <c r="O100" t="s">
        <v>33</v>
      </c>
      <c r="P100" t="s">
        <v>26</v>
      </c>
      <c r="Q100" t="s">
        <v>384</v>
      </c>
    </row>
    <row r="101" spans="1:17" ht="15.75" x14ac:dyDescent="0.25">
      <c r="A101" s="3" t="str">
        <f>HYPERLINK("https://www.als.com/sitka-m-jacket-jetstream/p?skuId=990959", "https://www.als.com/sitka-m-jacket-jetstream/p?skuId=990959")</f>
        <v>https://www.als.com/sitka-m-jacket-jetstream/p?skuId=990959</v>
      </c>
      <c r="B101" s="3" t="str">
        <f>HYPERLINK("https://www.als.com/sitka-m-jacket-jetstream/p", "https://www.als.com/sitka-m-jacket-jetstream/p")</f>
        <v>https://www.als.com/sitka-m-jacket-jetstream/p</v>
      </c>
      <c r="C101" t="s">
        <v>385</v>
      </c>
      <c r="D101" t="s">
        <v>386</v>
      </c>
      <c r="E101" s="3" t="str">
        <f>HYPERLINK("https://www.amazon.com/SITKA-Gear-Traverse-Hunting-Elevated/dp/B0BJ6HRL89/ref=sr_1_16?keywords=Sitka+Jetstream+Jacket+-+Men%27s&amp;qid=1695124152&amp;sr=8-16", "https://www.amazon.com/SITKA-Gear-Traverse-Hunting-Elevated/dp/B0BJ6HRL89/ref=sr_1_16?keywords=Sitka+Jetstream+Jacket+-+Men%27s&amp;qid=1695124152&amp;sr=8-16")</f>
        <v>https://www.amazon.com/SITKA-Gear-Traverse-Hunting-Elevated/dp/B0BJ6HRL89/ref=sr_1_16?keywords=Sitka+Jetstream+Jacket+-+Men%27s&amp;qid=1695124152&amp;sr=8-16</v>
      </c>
      <c r="F101" t="s">
        <v>387</v>
      </c>
      <c r="G101" t="e">
        <f ca="1">IMAGE("https://alssports.vtexassets.com/arquivos/ids/1369506-800-auto?v=638242519630400000&amp;width=800&amp;height=auto&amp;aspect=true")</f>
        <v>#NAME?</v>
      </c>
      <c r="H101" t="e">
        <f ca="1">IMAGE("https://m.media-amazon.com/images/I/71Fd+i8dgRL._AC_UL320_.jpg")</f>
        <v>#NAME?</v>
      </c>
      <c r="I101" t="s">
        <v>388</v>
      </c>
      <c r="J101">
        <v>148.63</v>
      </c>
      <c r="K101" s="2" t="s">
        <v>389</v>
      </c>
      <c r="L101">
        <v>4.7</v>
      </c>
      <c r="M101">
        <v>22</v>
      </c>
      <c r="O101" t="s">
        <v>26</v>
      </c>
      <c r="P101" t="s">
        <v>390</v>
      </c>
      <c r="Q101" t="s">
        <v>391</v>
      </c>
    </row>
    <row r="102" spans="1:17" ht="15.75" x14ac:dyDescent="0.25">
      <c r="A102" s="3" t="str">
        <f>HYPERLINK("https://www.als.com/adidas-w-shoe-4dfwd-2/p?skuId=1285989", "https://www.als.com/adidas-w-shoe-4dfwd-2/p?skuId=1285989")</f>
        <v>https://www.als.com/adidas-w-shoe-4dfwd-2/p?skuId=1285989</v>
      </c>
      <c r="B102" s="3" t="str">
        <f>HYPERLINK("https://www.als.com/adidas-w-shoe-4dfwd-2/p", "https://www.als.com/adidas-w-shoe-4dfwd-2/p")</f>
        <v>https://www.als.com/adidas-w-shoe-4dfwd-2/p</v>
      </c>
      <c r="C102" t="s">
        <v>392</v>
      </c>
      <c r="D102" t="s">
        <v>393</v>
      </c>
      <c r="E102" s="3" t="str">
        <f>HYPERLINK("https://www.amazon.com/adidas-Womens-Fluidflow-Running-Almost/dp/B091LC9N83/ref=sr_1_15?keywords=adidas+4DFWD+2+Shoe+-+Women%27s&amp;qid=1695124326&amp;sr=8-15", "https://www.amazon.com/adidas-Womens-Fluidflow-Running-Almost/dp/B091LC9N83/ref=sr_1_15?keywords=adidas+4DFWD+2+Shoe+-+Women%27s&amp;qid=1695124326&amp;sr=8-15")</f>
        <v>https://www.amazon.com/adidas-Womens-Fluidflow-Running-Almost/dp/B091LC9N83/ref=sr_1_15?keywords=adidas+4DFWD+2+Shoe+-+Women%27s&amp;qid=1695124326&amp;sr=8-15</v>
      </c>
      <c r="F102" t="s">
        <v>394</v>
      </c>
      <c r="G102" t="e">
        <f ca="1">IMAGE("https://alssports.vtexassets.com/arquivos/ids/1396854-800-auto?v=638260048905170000&amp;width=800&amp;height=auto&amp;aspect=true")</f>
        <v>#NAME?</v>
      </c>
      <c r="H102" t="e">
        <f ca="1">IMAGE("https://m.media-amazon.com/images/I/71Zqea+-O6L._AC_UL320_.jpg")</f>
        <v>#NAME?</v>
      </c>
      <c r="I102" t="s">
        <v>395</v>
      </c>
      <c r="J102">
        <v>79.239999999999995</v>
      </c>
      <c r="K102" s="2" t="s">
        <v>396</v>
      </c>
      <c r="L102">
        <v>4.3</v>
      </c>
      <c r="M102">
        <v>906</v>
      </c>
      <c r="O102" t="s">
        <v>33</v>
      </c>
      <c r="P102" t="s">
        <v>73</v>
      </c>
      <c r="Q102" t="s">
        <v>397</v>
      </c>
    </row>
    <row r="103" spans="1:17" ht="15.75" x14ac:dyDescent="0.25">
      <c r="A103" s="3" t="str">
        <f>HYPERLINK("https://www.als.com/camel-womens-mule-12/p?skuId=928900", "https://www.als.com/camel-womens-mule-12/p?skuId=928900")</f>
        <v>https://www.als.com/camel-womens-mule-12/p?skuId=928900</v>
      </c>
      <c r="B103" s="3" t="str">
        <f>HYPERLINK("https://www.als.com/camel-womens-mule-12/p", "https://www.als.com/camel-womens-mule-12/p")</f>
        <v>https://www.als.com/camel-womens-mule-12/p</v>
      </c>
      <c r="C103" t="s">
        <v>398</v>
      </c>
      <c r="D103" t="s">
        <v>399</v>
      </c>
      <c r="E103" s="3" t="str">
        <f>HYPERLINK("https://www.amazon.com/CamelBak-M-U-L-Hydration-Backpack-Hiking/dp/B0BG8FVFGP/ref=sr_1_12?keywords=CamelBak+M.U.L.E.+12+Hydration+Pack+-+Womens&amp;qid=1695124412&amp;sr=8-12", "https://www.amazon.com/CamelBak-M-U-L-Hydration-Backpack-Hiking/dp/B0BG8FVFGP/ref=sr_1_12?keywords=CamelBak+M.U.L.E.+12+Hydration+Pack+-+Womens&amp;qid=1695124412&amp;sr=8-12")</f>
        <v>https://www.amazon.com/CamelBak-M-U-L-Hydration-Backpack-Hiking/dp/B0BG8FVFGP/ref=sr_1_12?keywords=CamelBak+M.U.L.E.+12+Hydration+Pack+-+Womens&amp;qid=1695124412&amp;sr=8-12</v>
      </c>
      <c r="F103" t="s">
        <v>400</v>
      </c>
      <c r="G103" t="e">
        <f ca="1">IMAGE("https://alssports.vtexassets.com/arquivos/ids/1344859-800-auto?v=638222065082070000&amp;width=800&amp;height=auto&amp;aspect=true")</f>
        <v>#NAME?</v>
      </c>
      <c r="H103" t="e">
        <f ca="1">IMAGE("https://m.media-amazon.com/images/I/91yCvXWExGL._AC_UL320_.jpg")</f>
        <v>#NAME?</v>
      </c>
      <c r="I103" t="s">
        <v>401</v>
      </c>
      <c r="J103">
        <v>59.39</v>
      </c>
      <c r="K103" s="2" t="s">
        <v>402</v>
      </c>
      <c r="L103">
        <v>4.8</v>
      </c>
      <c r="M103">
        <v>45</v>
      </c>
      <c r="O103" t="s">
        <v>33</v>
      </c>
      <c r="P103" t="s">
        <v>403</v>
      </c>
      <c r="Q103" t="s">
        <v>404</v>
      </c>
    </row>
    <row r="104" spans="1:17" ht="15.75" x14ac:dyDescent="0.25">
      <c r="A104" s="3" t="str">
        <f>HYPERLINK("https://www.als.com/outcap-m-kryptek-boonie-hat/p?skuId=1182457", "https://www.als.com/outcap-m-kryptek-boonie-hat/p?skuId=1182457")</f>
        <v>https://www.als.com/outcap-m-kryptek-boonie-hat/p?skuId=1182457</v>
      </c>
      <c r="B104" s="3" t="str">
        <f>HYPERLINK("https://www.als.com/outcap-m-kryptek-boonie-hat/p", "https://www.als.com/outcap-m-kryptek-boonie-hat/p")</f>
        <v>https://www.als.com/outcap-m-kryptek-boonie-hat/p</v>
      </c>
      <c r="C104" t="s">
        <v>405</v>
      </c>
      <c r="D104" t="s">
        <v>406</v>
      </c>
      <c r="E104" s="3" t="str">
        <f>HYPERLINK("https://www.amazon.com/Fishing-Foldable-Adjustable-Military-Outdoor/dp/B0BNL721GP/ref=sr_1_20?keywords=Outdoor+Cap+Boonie+Hat&amp;qid=1695124476&amp;sr=8-20", "https://www.amazon.com/Fishing-Foldable-Adjustable-Military-Outdoor/dp/B0BNL721GP/ref=sr_1_20?keywords=Outdoor+Cap+Boonie+Hat&amp;qid=1695124476&amp;sr=8-20")</f>
        <v>https://www.amazon.com/Fishing-Foldable-Adjustable-Military-Outdoor/dp/B0BNL721GP/ref=sr_1_20?keywords=Outdoor+Cap+Boonie+Hat&amp;qid=1695124476&amp;sr=8-20</v>
      </c>
      <c r="F104" t="s">
        <v>407</v>
      </c>
      <c r="G104" t="e">
        <f ca="1">IMAGE("https://alssports.vtexassets.com/arquivos/ids/1301206-800-auto?v=638177020209500000&amp;width=800&amp;height=auto&amp;aspect=true")</f>
        <v>#NAME?</v>
      </c>
      <c r="H104" t="e">
        <f ca="1">IMAGE("https://m.media-amazon.com/images/I/71phguNGZ9L._AC_UL320_.jpg")</f>
        <v>#NAME?</v>
      </c>
      <c r="I104" t="s">
        <v>408</v>
      </c>
      <c r="J104">
        <v>10.99</v>
      </c>
      <c r="K104" s="2" t="s">
        <v>409</v>
      </c>
      <c r="L104">
        <v>3.8</v>
      </c>
      <c r="M104">
        <v>9</v>
      </c>
      <c r="O104" t="s">
        <v>33</v>
      </c>
      <c r="P104" t="s">
        <v>410</v>
      </c>
      <c r="Q104" t="s">
        <v>411</v>
      </c>
    </row>
    <row r="105" spans="1:17" ht="15.75" x14ac:dyDescent="0.25">
      <c r="A105" s="3" t="str">
        <f>HYPERLINK("https://www.als.com/columbia-snuggly-bunny-bunting-snowsuit-infant-125453/p?skuId=1400162", "https://www.als.com/columbia-snuggly-bunny-bunting-snowsuit-infant-125453/p?skuId=1400162")</f>
        <v>https://www.als.com/columbia-snuggly-bunny-bunting-snowsuit-infant-125453/p?skuId=1400162</v>
      </c>
      <c r="B105" s="3" t="str">
        <f>HYPERLINK("https://www.als.com/columbia-snuggly-bunny-bunting-snowsuit-infant-125453/p", "https://www.als.com/columbia-snuggly-bunny-bunting-snowsuit-infant-125453/p")</f>
        <v>https://www.als.com/columbia-snuggly-bunny-bunting-snowsuit-infant-125453/p</v>
      </c>
      <c r="C105" t="s">
        <v>412</v>
      </c>
      <c r="D105" t="s">
        <v>413</v>
      </c>
      <c r="E105" s="3" t="str">
        <f>HYPERLINK("https://www.amazon.com/Columbia-Snuggly-Bunny-Bunting-Blush/dp/B09KMLRN1H/ref=sr_1_5?keywords=Columbia+Snuggly+Bunny+Bunting+-+Infant&amp;qid=1695124478&amp;sr=8-5", "https://www.amazon.com/Columbia-Snuggly-Bunny-Bunting-Blush/dp/B09KMLRN1H/ref=sr_1_5?keywords=Columbia+Snuggly+Bunny+Bunting+-+Infant&amp;qid=1695124478&amp;sr=8-5")</f>
        <v>https://www.amazon.com/Columbia-Snuggly-Bunny-Bunting-Blush/dp/B09KMLRN1H/ref=sr_1_5?keywords=Columbia+Snuggly+Bunny+Bunting+-+Infant&amp;qid=1695124478&amp;sr=8-5</v>
      </c>
      <c r="F105" t="s">
        <v>414</v>
      </c>
      <c r="G105" t="e">
        <f ca="1">IMAGE("https://alssports.vtexassets.com/arquivos/ids/1431685-800-auto?v=638285717173730000&amp;width=800&amp;height=auto&amp;aspect=true")</f>
        <v>#NAME?</v>
      </c>
      <c r="H105" t="e">
        <f ca="1">IMAGE("https://m.media-amazon.com/images/I/6175xbEVazL._AC_UL320_.jpg")</f>
        <v>#NAME?</v>
      </c>
      <c r="I105" t="s">
        <v>174</v>
      </c>
      <c r="J105">
        <v>79.09</v>
      </c>
      <c r="K105" s="2" t="s">
        <v>415</v>
      </c>
      <c r="L105">
        <v>3.2</v>
      </c>
      <c r="M105">
        <v>5</v>
      </c>
      <c r="O105" t="s">
        <v>33</v>
      </c>
      <c r="P105" t="s">
        <v>416</v>
      </c>
      <c r="Q105" t="s">
        <v>417</v>
      </c>
    </row>
    <row r="106" spans="1:17" ht="15.75" x14ac:dyDescent="0.25">
      <c r="A106" s="3" t="str">
        <f>HYPERLINK("https://www.als.com/sal-sh-ws-shoe-sense-ride-4/p?skuId=907808", "https://www.als.com/sal-sh-ws-shoe-sense-ride-4/p?skuId=907808")</f>
        <v>https://www.als.com/sal-sh-ws-shoe-sense-ride-4/p?skuId=907808</v>
      </c>
      <c r="B106" s="3" t="str">
        <f>HYPERLINK("https://www.als.com/sal-sh-ws-shoe-sense-ride-4/p", "https://www.als.com/sal-sh-ws-shoe-sense-ride-4/p")</f>
        <v>https://www.als.com/sal-sh-ws-shoe-sense-ride-4/p</v>
      </c>
      <c r="C106" t="s">
        <v>418</v>
      </c>
      <c r="D106" t="s">
        <v>419</v>
      </c>
      <c r="E106" s="3" t="str">
        <f>HYPERLINK("https://www.amazon.com/Salomon-Womens-Running-Sirocco-Peachy/dp/B0984V3NPW/ref=sr_1_1?keywords=Salomon+Sense+Ride+4+Trail+Running+Shoe+-+Women%27s&amp;qid=1695124388&amp;sr=8-1", "https://www.amazon.com/Salomon-Womens-Running-Sirocco-Peachy/dp/B0984V3NPW/ref=sr_1_1?keywords=Salomon+Sense+Ride+4+Trail+Running+Shoe+-+Women%27s&amp;qid=1695124388&amp;sr=8-1")</f>
        <v>https://www.amazon.com/Salomon-Womens-Running-Sirocco-Peachy/dp/B0984V3NPW/ref=sr_1_1?keywords=Salomon+Sense+Ride+4+Trail+Running+Shoe+-+Women%27s&amp;qid=1695124388&amp;sr=8-1</v>
      </c>
      <c r="F106" t="s">
        <v>420</v>
      </c>
      <c r="G106" t="e">
        <f ca="1">IMAGE("https://alssports.vtexassets.com/arquivos/ids/1032207-800-auto?v=637835127791270000&amp;width=800&amp;height=auto&amp;aspect=true")</f>
        <v>#NAME?</v>
      </c>
      <c r="H106" t="e">
        <f ca="1">IMAGE("https://m.media-amazon.com/images/I/71VlK1oCbPL._AC_UL320_.jpg")</f>
        <v>#NAME?</v>
      </c>
      <c r="I106" t="s">
        <v>421</v>
      </c>
      <c r="J106">
        <v>71.02</v>
      </c>
      <c r="K106" s="2" t="s">
        <v>422</v>
      </c>
      <c r="L106">
        <v>4.3</v>
      </c>
      <c r="M106">
        <v>262</v>
      </c>
      <c r="O106" t="s">
        <v>33</v>
      </c>
      <c r="P106" t="s">
        <v>423</v>
      </c>
      <c r="Q106" t="s">
        <v>424</v>
      </c>
    </row>
    <row r="107" spans="1:17" ht="15.75" x14ac:dyDescent="0.25">
      <c r="A107" s="3" t="str">
        <f>HYPERLINK("https://www.als.com/heydud-w-shoe-wendy-rise-woven/p?skuId=1317686", "https://www.als.com/heydud-w-shoe-wendy-rise-woven/p?skuId=1317686")</f>
        <v>https://www.als.com/heydud-w-shoe-wendy-rise-woven/p?skuId=1317686</v>
      </c>
      <c r="B107" s="3" t="str">
        <f>HYPERLINK("https://www.als.com/heydud-w-shoe-wendy-rise-woven/p", "https://www.als.com/heydud-w-shoe-wendy-rise-woven/p")</f>
        <v>https://www.als.com/heydud-w-shoe-wendy-rise-woven/p</v>
      </c>
      <c r="C107" t="s">
        <v>425</v>
      </c>
      <c r="D107" t="s">
        <v>426</v>
      </c>
      <c r="E107" s="3" t="str">
        <f>HYPERLINK("https://www.amazon.com/Hey-Dude-Loafers-Comfortable-Light-Weight/dp/B0C5R4VPJK/ref=sr_1_5?keywords=Hey+Dude+Wendy+Rise+Woven+Shoe+-+Womens&amp;qid=1695124483&amp;sr=8-5", "https://www.amazon.com/Hey-Dude-Loafers-Comfortable-Light-Weight/dp/B0C5R4VPJK/ref=sr_1_5?keywords=Hey+Dude+Wendy+Rise+Woven+Shoe+-+Womens&amp;qid=1695124483&amp;sr=8-5")</f>
        <v>https://www.amazon.com/Hey-Dude-Loafers-Comfortable-Light-Weight/dp/B0C5R4VPJK/ref=sr_1_5?keywords=Hey+Dude+Wendy+Rise+Woven+Shoe+-+Womens&amp;qid=1695124483&amp;sr=8-5</v>
      </c>
      <c r="F107" t="s">
        <v>427</v>
      </c>
      <c r="G107" t="e">
        <f ca="1">IMAGE("https://alssports.vtexassets.com/arquivos/ids/1387367-800-auto?v=638255482261930000&amp;width=800&amp;height=auto&amp;aspect=true")</f>
        <v>#NAME?</v>
      </c>
      <c r="H107" t="e">
        <f ca="1">IMAGE("https://m.media-amazon.com/images/I/51+G6kzNW2L._AC_UL320_.jpg")</f>
        <v>#NAME?</v>
      </c>
      <c r="I107" t="s">
        <v>58</v>
      </c>
      <c r="J107">
        <v>64.08</v>
      </c>
      <c r="K107" s="2" t="s">
        <v>428</v>
      </c>
      <c r="L107">
        <v>4.8</v>
      </c>
      <c r="M107">
        <v>66</v>
      </c>
      <c r="O107" t="s">
        <v>33</v>
      </c>
      <c r="P107" t="s">
        <v>26</v>
      </c>
      <c r="Q107" t="s">
        <v>429</v>
      </c>
    </row>
    <row r="108" spans="1:17" ht="15.75" x14ac:dyDescent="0.25">
      <c r="A108" s="3" t="str">
        <f>HYPERLINK("https://www.als.com/vans-shoe-classic-slip-on/p?skuId=226085", "https://www.als.com/vans-shoe-classic-slip-on/p?skuId=226085")</f>
        <v>https://www.als.com/vans-shoe-classic-slip-on/p?skuId=226085</v>
      </c>
      <c r="B108" s="3" t="str">
        <f>HYPERLINK("https://www.als.com/vans-shoe-classic-slip-on/p", "https://www.als.com/vans-shoe-classic-slip-on/p")</f>
        <v>https://www.als.com/vans-shoe-classic-slip-on/p</v>
      </c>
      <c r="C108" t="s">
        <v>430</v>
      </c>
      <c r="D108" t="s">
        <v>431</v>
      </c>
      <c r="E108" s="3" t="str">
        <f>HYPERLINK("https://www.amazon.com/Vans-Slip-Classics-Womens-Medium/dp/B000K7CACY/ref=sr_1_20?keywords=Vans+Classic+Slip-On+Shoe&amp;qid=1695124089&amp;sr=8-20", "https://www.amazon.com/Vans-Slip-Classics-Womens-Medium/dp/B000K7CACY/ref=sr_1_20?keywords=Vans+Classic+Slip-On+Shoe&amp;qid=1695124089&amp;sr=8-20")</f>
        <v>https://www.amazon.com/Vans-Slip-Classics-Womens-Medium/dp/B000K7CACY/ref=sr_1_20?keywords=Vans+Classic+Slip-On+Shoe&amp;qid=1695124089&amp;sr=8-20</v>
      </c>
      <c r="F108" t="s">
        <v>432</v>
      </c>
      <c r="G108" t="e">
        <f ca="1">IMAGE("https://alssports.vtexassets.com/arquivos/ids/1443076-800-auto?v=638292000890400000&amp;width=800&amp;height=auto&amp;aspect=true")</f>
        <v>#NAME?</v>
      </c>
      <c r="H108" t="e">
        <f ca="1">IMAGE("https://m.media-amazon.com/images/I/71gpFHJlnoL._AC_UL320_.jpg")</f>
        <v>#NAME?</v>
      </c>
      <c r="I108" t="s">
        <v>169</v>
      </c>
      <c r="J108">
        <v>59.14</v>
      </c>
      <c r="K108" s="2" t="s">
        <v>433</v>
      </c>
      <c r="L108">
        <v>4.5999999999999996</v>
      </c>
      <c r="M108">
        <v>1698</v>
      </c>
      <c r="O108" t="s">
        <v>33</v>
      </c>
      <c r="P108" t="s">
        <v>26</v>
      </c>
      <c r="Q108" t="s">
        <v>434</v>
      </c>
    </row>
    <row r="109" spans="1:17" ht="15.75" x14ac:dyDescent="0.25">
      <c r="A109" s="3" t="str">
        <f>HYPERLINK("https://www.als.com/osprey-backpack-poco-lt-child-carrier/p?skuId=804276", "https://www.als.com/osprey-backpack-poco-lt-child-carrier/p?skuId=804276")</f>
        <v>https://www.als.com/osprey-backpack-poco-lt-child-carrier/p?skuId=804276</v>
      </c>
      <c r="B109" s="3" t="str">
        <f>HYPERLINK("https://www.als.com/osprey-backpack-poco-lt-child-carrier/p", "https://www.als.com/osprey-backpack-poco-lt-child-carrier/p")</f>
        <v>https://www.als.com/osprey-backpack-poco-lt-child-carrier/p</v>
      </c>
      <c r="C109" t="s">
        <v>435</v>
      </c>
      <c r="D109" t="s">
        <v>436</v>
      </c>
      <c r="E109" s="3" t="str">
        <f>HYPERLINK("https://www.amazon.com/Osprey-10002372-Poco-Child-Carrier/dp/B07Z9Z5W23/ref=sr_1_4?keywords=Osprey+Poco+LT+Child+Carrier+Backpack&amp;qid=1695124430&amp;sr=8-4", "https://www.amazon.com/Osprey-10002372-Poco-Child-Carrier/dp/B07Z9Z5W23/ref=sr_1_4?keywords=Osprey+Poco+LT+Child+Carrier+Backpack&amp;qid=1695124430&amp;sr=8-4")</f>
        <v>https://www.amazon.com/Osprey-10002372-Poco-Child-Carrier/dp/B07Z9Z5W23/ref=sr_1_4?keywords=Osprey+Poco+LT+Child+Carrier+Backpack&amp;qid=1695124430&amp;sr=8-4</v>
      </c>
      <c r="F109" t="s">
        <v>437</v>
      </c>
      <c r="G109" t="e">
        <f ca="1">IMAGE("https://alssports.vtexassets.com/arquivos/ids/1063030-800-auto?v=637881558219570000&amp;width=800&amp;height=auto&amp;aspect=true")</f>
        <v>#NAME?</v>
      </c>
      <c r="H109" t="e">
        <f ca="1">IMAGE("https://m.media-amazon.com/images/I/81cQWWcxt0L._AC_UL320_.jpg")</f>
        <v>#NAME?</v>
      </c>
      <c r="I109" t="s">
        <v>438</v>
      </c>
      <c r="J109">
        <v>295.79000000000002</v>
      </c>
      <c r="K109" s="2" t="s">
        <v>439</v>
      </c>
      <c r="L109">
        <v>4.9000000000000004</v>
      </c>
      <c r="M109">
        <v>745</v>
      </c>
      <c r="O109" t="s">
        <v>33</v>
      </c>
      <c r="P109" t="s">
        <v>26</v>
      </c>
      <c r="Q109" t="s">
        <v>440</v>
      </c>
    </row>
    <row r="110" spans="1:17" ht="15.75" x14ac:dyDescent="0.25">
      <c r="A110" s="3" t="str">
        <f>HYPERLINK("https://www.als.com/adidas-w-slide-adilette-comfort/p?skuId=1286469", "https://www.als.com/adidas-w-slide-adilette-comfort/p?skuId=1286469")</f>
        <v>https://www.als.com/adidas-w-slide-adilette-comfort/p?skuId=1286469</v>
      </c>
      <c r="B110" s="3" t="str">
        <f>HYPERLINK("https://www.als.com/adidas-w-slide-adilette-comfort/p", "https://www.als.com/adidas-w-slide-adilette-comfort/p")</f>
        <v>https://www.als.com/adidas-w-slide-adilette-comfort/p</v>
      </c>
      <c r="C110" t="s">
        <v>441</v>
      </c>
      <c r="D110" t="s">
        <v>442</v>
      </c>
      <c r="E110" s="3" t="str">
        <f>HYPERLINK("https://www.amazon.com/adidas-Unisex-Adilette-Comfort-Sandal/dp/B09DZ3SD2C/ref=sr_1_11?keywords=Adidas+Adilette+Comfort+Sandal+-+Women%27s&amp;qid=1695124352&amp;sr=8-11", "https://www.amazon.com/adidas-Unisex-Adilette-Comfort-Sandal/dp/B09DZ3SD2C/ref=sr_1_11?keywords=Adidas+Adilette+Comfort+Sandal+-+Women%27s&amp;qid=1695124352&amp;sr=8-11")</f>
        <v>https://www.amazon.com/adidas-Unisex-Adilette-Comfort-Sandal/dp/B09DZ3SD2C/ref=sr_1_11?keywords=Adidas+Adilette+Comfort+Sandal+-+Women%27s&amp;qid=1695124352&amp;sr=8-11</v>
      </c>
      <c r="F110" t="s">
        <v>443</v>
      </c>
      <c r="G110" t="e">
        <f ca="1">IMAGE("https://alssports.vtexassets.com/arquivos/ids/1250704-800-auto?v=638128818653670000&amp;width=800&amp;height=auto&amp;aspect=true")</f>
        <v>#NAME?</v>
      </c>
      <c r="H110" t="e">
        <f ca="1">IMAGE("https://m.media-amazon.com/images/I/61b+x94lyDL._AC_UL320_.jpg")</f>
        <v>#NAME?</v>
      </c>
      <c r="I110" t="s">
        <v>444</v>
      </c>
      <c r="J110">
        <v>27.57</v>
      </c>
      <c r="K110" s="2" t="s">
        <v>439</v>
      </c>
      <c r="L110">
        <v>4.7</v>
      </c>
      <c r="M110">
        <v>1071</v>
      </c>
      <c r="O110" t="s">
        <v>33</v>
      </c>
      <c r="P110" t="s">
        <v>140</v>
      </c>
      <c r="Q110" t="s">
        <v>445</v>
      </c>
    </row>
    <row r="111" spans="1:17" ht="15.75" x14ac:dyDescent="0.25">
      <c r="A111" s="3" t="str">
        <f>HYPERLINK("https://www.als.com/birken-ws-sandal-arizona-soft-ftbed/p?skuId=254551", "https://www.als.com/birken-ws-sandal-arizona-soft-ftbed/p?skuId=254551")</f>
        <v>https://www.als.com/birken-ws-sandal-arizona-soft-ftbed/p?skuId=254551</v>
      </c>
      <c r="B111" s="3" t="str">
        <f>HYPERLINK("https://www.als.com/birken-ws-sandal-arizona-soft-ftbed/p", "https://www.als.com/birken-ws-sandal-arizona-soft-ftbed/p")</f>
        <v>https://www.als.com/birken-ws-sandal-arizona-soft-ftbed/p</v>
      </c>
      <c r="C111" t="s">
        <v>446</v>
      </c>
      <c r="D111" t="s">
        <v>447</v>
      </c>
      <c r="E111" s="3" t="str">
        <f>HYPERLINK("https://www.amazon.com/Birkenstock-Arizona-Footbed-Sandals-10-10-5/dp/B079K3Y7LH/ref=sr_1_7?keywords=Birkenstock+Arizona+Soft+Footbed+Sandal&amp;qid=1695124328&amp;sr=8-7", "https://www.amazon.com/Birkenstock-Arizona-Footbed-Sandals-10-10-5/dp/B079K3Y7LH/ref=sr_1_7?keywords=Birkenstock+Arizona+Soft+Footbed+Sandal&amp;qid=1695124328&amp;sr=8-7")</f>
        <v>https://www.amazon.com/Birkenstock-Arizona-Footbed-Sandals-10-10-5/dp/B079K3Y7LH/ref=sr_1_7?keywords=Birkenstock+Arizona+Soft+Footbed+Sandal&amp;qid=1695124328&amp;sr=8-7</v>
      </c>
      <c r="F111" t="s">
        <v>448</v>
      </c>
      <c r="G111" t="e">
        <f ca="1">IMAGE("https://alssports.vtexassets.com/arquivos/ids/1316883-800-auto?v=638198562145970000&amp;width=800&amp;height=auto&amp;aspect=true")</f>
        <v>#NAME?</v>
      </c>
      <c r="H111" t="e">
        <f ca="1">IMAGE("https://m.media-amazon.com/images/I/71GdAPK-6wL._AC_UL320_.jpg")</f>
        <v>#NAME?</v>
      </c>
      <c r="I111" t="s">
        <v>449</v>
      </c>
      <c r="J111">
        <v>133.1</v>
      </c>
      <c r="K111" s="2" t="s">
        <v>450</v>
      </c>
      <c r="L111">
        <v>4.3</v>
      </c>
      <c r="M111">
        <v>27</v>
      </c>
      <c r="O111" t="s">
        <v>33</v>
      </c>
      <c r="P111" t="s">
        <v>26</v>
      </c>
      <c r="Q111" t="s">
        <v>451</v>
      </c>
    </row>
    <row r="112" spans="1:17" ht="15.75" x14ac:dyDescent="0.25">
      <c r="A112" s="3" t="str">
        <f>HYPERLINK("https://www.als.com/under-ua-drive-pant/p?skuId=997492", "https://www.als.com/under-ua-drive-pant/p?skuId=997492")</f>
        <v>https://www.als.com/under-ua-drive-pant/p?skuId=997492</v>
      </c>
      <c r="B112" s="3" t="str">
        <f>HYPERLINK("https://www.als.com/under-ua-drive-pant/p", "https://www.als.com/under-ua-drive-pant/p")</f>
        <v>https://www.als.com/under-ua-drive-pant/p</v>
      </c>
      <c r="C112" t="s">
        <v>452</v>
      </c>
      <c r="D112" t="s">
        <v>453</v>
      </c>
      <c r="E112" s="3" t="str">
        <f>HYPERLINK("https://www.amazon.com/Under-Armour-Mens-Pants-Black/dp/B01FXGVBIA/ref=sr_1_12?keywords=Under+Armour+Drive+Pant+-+Men%27s&amp;qid=1695124299&amp;sr=8-12", "https://www.amazon.com/Under-Armour-Mens-Pants-Black/dp/B01FXGVBIA/ref=sr_1_12?keywords=Under+Armour+Drive+Pant+-+Men%27s&amp;qid=1695124299&amp;sr=8-12")</f>
        <v>https://www.amazon.com/Under-Armour-Mens-Pants-Black/dp/B01FXGVBIA/ref=sr_1_12?keywords=Under+Armour+Drive+Pant+-+Men%27s&amp;qid=1695124299&amp;sr=8-12</v>
      </c>
      <c r="F112" t="s">
        <v>454</v>
      </c>
      <c r="G112" t="e">
        <f ca="1">IMAGE("https://alssports.vtexassets.com/arquivos/ids/1442508-800-auto?v=638291812057330000&amp;width=800&amp;height=auto&amp;aspect=true")</f>
        <v>#NAME?</v>
      </c>
      <c r="H112" t="e">
        <f ca="1">IMAGE("https://m.media-amazon.com/images/I/41a9VaT2mJL._AC_UL320_.jpg")</f>
        <v>#NAME?</v>
      </c>
      <c r="I112" t="s">
        <v>455</v>
      </c>
      <c r="J112">
        <v>50.23</v>
      </c>
      <c r="K112" s="2" t="s">
        <v>456</v>
      </c>
      <c r="L112">
        <v>4.0999999999999996</v>
      </c>
      <c r="M112">
        <v>445</v>
      </c>
      <c r="O112" t="s">
        <v>26</v>
      </c>
      <c r="P112" t="s">
        <v>457</v>
      </c>
      <c r="Q112" t="s">
        <v>458</v>
      </c>
    </row>
    <row r="113" spans="1:17" ht="15.75" x14ac:dyDescent="0.25">
      <c r="A113" s="3" t="str">
        <f>HYPERLINK("https://www.als.com/owala-bottle-free-sip-32-oz/p?skuId=1326138", "https://www.als.com/owala-bottle-free-sip-32-oz/p?skuId=1326138")</f>
        <v>https://www.als.com/owala-bottle-free-sip-32-oz/p?skuId=1326138</v>
      </c>
      <c r="B113" s="3" t="str">
        <f>HYPERLINK("https://www.als.com/owala-bottle-free-sip-32-oz/p", "https://www.als.com/owala-bottle-free-sip-32-oz/p")</f>
        <v>https://www.als.com/owala-bottle-free-sip-32-oz/p</v>
      </c>
      <c r="C113" t="s">
        <v>459</v>
      </c>
      <c r="D113" t="s">
        <v>460</v>
      </c>
      <c r="E113" s="3" t="str">
        <f>HYPERLINK("https://www.amazon.com/Owala-Insulated-Stainless-Steel-Locking-32-Ounce/dp/B085DVDBZW/ref=sr_1_7?keywords=Owala+FreeSip+Stainless+Steel+Water+Bottle+-+32oz&amp;qid=1695124104&amp;sr=8-7", "https://www.amazon.com/Owala-Insulated-Stainless-Steel-Locking-32-Ounce/dp/B085DVDBZW/ref=sr_1_7?keywords=Owala+FreeSip+Stainless+Steel+Water+Bottle+-+32oz&amp;qid=1695124104&amp;sr=8-7")</f>
        <v>https://www.amazon.com/Owala-Insulated-Stainless-Steel-Locking-32-Ounce/dp/B085DVDBZW/ref=sr_1_7?keywords=Owala+FreeSip+Stainless+Steel+Water+Bottle+-+32oz&amp;qid=1695124104&amp;sr=8-7</v>
      </c>
      <c r="F113" t="s">
        <v>461</v>
      </c>
      <c r="G113" t="e">
        <f ca="1">IMAGE("https://alssports.vtexassets.com/arquivos/ids/1355955-800-auto?v=638230513195900000&amp;width=800&amp;height=auto&amp;aspect=true")</f>
        <v>#NAME?</v>
      </c>
      <c r="H113" t="e">
        <f ca="1">IMAGE("https://m.media-amazon.com/images/I/71t0YTVfZxL._AC_UL320_.jpg")</f>
        <v>#NAME?</v>
      </c>
      <c r="I113" t="s">
        <v>462</v>
      </c>
      <c r="J113">
        <v>32.479999999999997</v>
      </c>
      <c r="K113" s="2" t="s">
        <v>463</v>
      </c>
      <c r="L113">
        <v>4.5</v>
      </c>
      <c r="M113">
        <v>355</v>
      </c>
      <c r="O113" t="s">
        <v>33</v>
      </c>
      <c r="P113" t="s">
        <v>26</v>
      </c>
      <c r="Q113" t="s">
        <v>464</v>
      </c>
    </row>
    <row r="114" spans="1:17" ht="15.75" x14ac:dyDescent="0.25">
      <c r="A114" s="3" t="str">
        <f>HYPERLINK("https://www.als.com/owala-ss-32oz-freesip-h2o-bottle/p?skuId=1195209", "https://www.als.com/owala-ss-32oz-freesip-h2o-bottle/p?skuId=1195209")</f>
        <v>https://www.als.com/owala-ss-32oz-freesip-h2o-bottle/p?skuId=1195209</v>
      </c>
      <c r="B114" s="3" t="str">
        <f>HYPERLINK("https://www.als.com/owala-ss-32oz-freesip-h2o-bottle/p", "https://www.als.com/owala-ss-32oz-freesip-h2o-bottle/p")</f>
        <v>https://www.als.com/owala-ss-32oz-freesip-h2o-bottle/p</v>
      </c>
      <c r="C114" t="s">
        <v>465</v>
      </c>
      <c r="D114" t="s">
        <v>460</v>
      </c>
      <c r="E114" s="3" t="str">
        <f>HYPERLINK("https://www.amazon.com/Owala-Insulated-Stainless-Steel-Locking-32-Ounce/dp/B085DVDBZW/ref=sr_1_2?keywords=Owala+Free+Sip+Stainless+Steel+Water+Bottle+-+32oz&amp;qid=1695124108&amp;sr=8-2", "https://www.amazon.com/Owala-Insulated-Stainless-Steel-Locking-32-Ounce/dp/B085DVDBZW/ref=sr_1_2?keywords=Owala+Free+Sip+Stainless+Steel+Water+Bottle+-+32oz&amp;qid=1695124108&amp;sr=8-2")</f>
        <v>https://www.amazon.com/Owala-Insulated-Stainless-Steel-Locking-32-Ounce/dp/B085DVDBZW/ref=sr_1_2?keywords=Owala+Free+Sip+Stainless+Steel+Water+Bottle+-+32oz&amp;qid=1695124108&amp;sr=8-2</v>
      </c>
      <c r="F114" t="s">
        <v>461</v>
      </c>
      <c r="G114" t="e">
        <f ca="1">IMAGE("https://alssports.vtexassets.com/arquivos/ids/1363762-800-auto?v=638236670706530000&amp;width=800&amp;height=auto&amp;aspect=true")</f>
        <v>#NAME?</v>
      </c>
      <c r="H114" t="e">
        <f ca="1">IMAGE("https://m.media-amazon.com/images/I/71t0YTVfZxL._AC_UL320_.jpg")</f>
        <v>#NAME?</v>
      </c>
      <c r="I114" t="s">
        <v>462</v>
      </c>
      <c r="J114">
        <v>32.479999999999997</v>
      </c>
      <c r="K114" s="2" t="s">
        <v>463</v>
      </c>
      <c r="L114">
        <v>4.5</v>
      </c>
      <c r="M114">
        <v>355</v>
      </c>
      <c r="O114" t="s">
        <v>33</v>
      </c>
      <c r="P114" t="s">
        <v>26</v>
      </c>
      <c r="Q114" t="s">
        <v>466</v>
      </c>
    </row>
    <row r="115" spans="1:17" ht="15.75" x14ac:dyDescent="0.25">
      <c r="A115" s="3" t="str">
        <f>HYPERLINK("https://www.als.com/owala-bottle-free-sip-32-oz/p?skuId=1326138", "https://www.als.com/owala-bottle-free-sip-32-oz/p?skuId=1326138")</f>
        <v>https://www.als.com/owala-bottle-free-sip-32-oz/p?skuId=1326138</v>
      </c>
      <c r="B115" s="3" t="str">
        <f>HYPERLINK("https://www.als.com/owala-bottle-free-sip-32-oz/p", "https://www.als.com/owala-bottle-free-sip-32-oz/p")</f>
        <v>https://www.als.com/owala-bottle-free-sip-32-oz/p</v>
      </c>
      <c r="C115" t="s">
        <v>459</v>
      </c>
      <c r="D115" t="s">
        <v>467</v>
      </c>
      <c r="E115" s="3" t="str">
        <f>HYPERLINK("https://www.amazon.com/Owala-Insulated-Stainless-Steel-Push-Button-Marshmallow/dp/B085DVNHHK/ref=sr_1_1?keywords=Owala+FreeSip+Stainless+Steel+Water+Bottle+-+32oz&amp;qid=1695124104&amp;sr=8-1", "https://www.amazon.com/Owala-Insulated-Stainless-Steel-Push-Button-Marshmallow/dp/B085DVNHHK/ref=sr_1_1?keywords=Owala+FreeSip+Stainless+Steel+Water+Bottle+-+32oz&amp;qid=1695124104&amp;sr=8-1")</f>
        <v>https://www.amazon.com/Owala-Insulated-Stainless-Steel-Push-Button-Marshmallow/dp/B085DVNHHK/ref=sr_1_1?keywords=Owala+FreeSip+Stainless+Steel+Water+Bottle+-+32oz&amp;qid=1695124104&amp;sr=8-1</v>
      </c>
      <c r="F115" t="s">
        <v>468</v>
      </c>
      <c r="G115" t="e">
        <f ca="1">IMAGE("https://alssports.vtexassets.com/arquivos/ids/1355955-800-auto?v=638230513195900000&amp;width=800&amp;height=auto&amp;aspect=true")</f>
        <v>#NAME?</v>
      </c>
      <c r="H115" t="e">
        <f ca="1">IMAGE("https://m.media-amazon.com/images/I/71XJK6bWJKL._AC_UL320_.jpg")</f>
        <v>#NAME?</v>
      </c>
      <c r="I115" t="s">
        <v>462</v>
      </c>
      <c r="J115">
        <v>32.47</v>
      </c>
      <c r="K115" s="2" t="s">
        <v>469</v>
      </c>
      <c r="L115">
        <v>4.8</v>
      </c>
      <c r="M115">
        <v>22865</v>
      </c>
      <c r="O115" t="s">
        <v>33</v>
      </c>
      <c r="P115" t="s">
        <v>26</v>
      </c>
      <c r="Q115" t="s">
        <v>464</v>
      </c>
    </row>
    <row r="116" spans="1:17" ht="15.75" x14ac:dyDescent="0.25">
      <c r="A116" s="3" t="str">
        <f>HYPERLINK("https://www.als.com/billab-m-range-ls/p?skuId=1309700", "https://www.als.com/billab-m-range-ls/p?skuId=1309700")</f>
        <v>https://www.als.com/billab-m-range-ls/p?skuId=1309700</v>
      </c>
      <c r="B116" s="3" t="str">
        <f>HYPERLINK("https://www.als.com/billab-m-range-ls/p", "https://www.als.com/billab-m-range-ls/p")</f>
        <v>https://www.als.com/billab-m-range-ls/p</v>
      </c>
      <c r="C116" t="s">
        <v>470</v>
      </c>
      <c r="D116" t="s">
        <v>471</v>
      </c>
      <c r="E116" s="3" t="str">
        <f>HYPERLINK("https://www.amazon.com/Billabong-Range-Long-Sleeve-Off-White/dp/B0B9XHCB1H/ref=sr_1_1?keywords=Billabong+A%2FDiv+Range+Long-Sleeve+T-Shirt+-+Men%27s&amp;qid=1695124331&amp;sr=8-1", "https://www.amazon.com/Billabong-Range-Long-Sleeve-Off-White/dp/B0B9XHCB1H/ref=sr_1_1?keywords=Billabong+A%2FDiv+Range+Long-Sleeve+T-Shirt+-+Men%27s&amp;qid=1695124331&amp;sr=8-1")</f>
        <v>https://www.amazon.com/Billabong-Range-Long-Sleeve-Off-White/dp/B0B9XHCB1H/ref=sr_1_1?keywords=Billabong+A%2FDiv+Range+Long-Sleeve+T-Shirt+-+Men%27s&amp;qid=1695124331&amp;sr=8-1</v>
      </c>
      <c r="F116" t="s">
        <v>472</v>
      </c>
      <c r="G116" t="e">
        <f ca="1">IMAGE("https://alssports.vtexassets.com/arquivos/ids/1335774-800-auto?v=638212333997870000&amp;width=800&amp;height=auto&amp;aspect=true")</f>
        <v>#NAME?</v>
      </c>
      <c r="H116" t="e">
        <f ca="1">IMAGE("https://m.media-amazon.com/images/I/61qGfYh-2bL._AC_UL320_.jpg")</f>
        <v>#NAME?</v>
      </c>
      <c r="I116" t="s">
        <v>473</v>
      </c>
      <c r="J116">
        <v>22.36</v>
      </c>
      <c r="K116" s="2" t="s">
        <v>474</v>
      </c>
      <c r="L116">
        <v>4.7</v>
      </c>
      <c r="M116">
        <v>4</v>
      </c>
      <c r="O116" t="s">
        <v>33</v>
      </c>
      <c r="P116" t="s">
        <v>475</v>
      </c>
      <c r="Q116" t="s">
        <v>476</v>
      </c>
    </row>
    <row r="117" spans="1:17" ht="15.75" x14ac:dyDescent="0.25">
      <c r="A117" s="3" t="str">
        <f>HYPERLINK("https://www.als.com/adidas-m-shoe-ultraboost-22/p?skuId=1085421", "https://www.als.com/adidas-m-shoe-ultraboost-22/p?skuId=1085421")</f>
        <v>https://www.als.com/adidas-m-shoe-ultraboost-22/p?skuId=1085421</v>
      </c>
      <c r="B117" s="3" t="str">
        <f>HYPERLINK("https://www.als.com/adidas-m-shoe-ultraboost-22/p", "https://www.als.com/adidas-m-shoe-ultraboost-22/p")</f>
        <v>https://www.als.com/adidas-m-shoe-ultraboost-22/p</v>
      </c>
      <c r="C117" t="s">
        <v>477</v>
      </c>
      <c r="D117" t="s">
        <v>478</v>
      </c>
      <c r="E117" s="3" t="str">
        <f>HYPERLINK("https://www.amazon.com/adidas-Pureboost-Running-Black-Yellow/dp/B09KMHRMPN/ref=sr_1_13?keywords=adidas+Ultraboost+22+Running+Shoe+-+Mens&amp;qid=1695124353&amp;sr=8-13", "https://www.amazon.com/adidas-Pureboost-Running-Black-Yellow/dp/B09KMHRMPN/ref=sr_1_13?keywords=adidas+Ultraboost+22+Running+Shoe+-+Mens&amp;qid=1695124353&amp;sr=8-13")</f>
        <v>https://www.amazon.com/adidas-Pureboost-Running-Black-Yellow/dp/B09KMHRMPN/ref=sr_1_13?keywords=adidas+Ultraboost+22+Running+Shoe+-+Mens&amp;qid=1695124353&amp;sr=8-13</v>
      </c>
      <c r="F117" t="s">
        <v>479</v>
      </c>
      <c r="G117" t="e">
        <f ca="1">IMAGE("https://alssports.vtexassets.com/arquivos/ids/1159986-800-auto?v=638023104026230000&amp;width=800&amp;height=auto&amp;aspect=true")</f>
        <v>#NAME?</v>
      </c>
      <c r="H117" t="e">
        <f ca="1">IMAGE("https://m.media-amazon.com/images/I/71brn+PzBpL._AC_UL320_.jpg")</f>
        <v>#NAME?</v>
      </c>
      <c r="I117" t="s">
        <v>480</v>
      </c>
      <c r="J117">
        <v>74.510000000000005</v>
      </c>
      <c r="K117" s="2" t="s">
        <v>481</v>
      </c>
      <c r="L117">
        <v>4.5999999999999996</v>
      </c>
      <c r="M117">
        <v>152</v>
      </c>
      <c r="O117" t="s">
        <v>33</v>
      </c>
      <c r="P117" t="s">
        <v>482</v>
      </c>
      <c r="Q117" t="s">
        <v>483</v>
      </c>
    </row>
    <row r="118" spans="1:17" ht="15.75" x14ac:dyDescent="0.25">
      <c r="A118" s="3" t="str">
        <f>HYPERLINK("https://www.als.com/jetboi-stove-flash/p?skuId=416626", "https://www.als.com/jetboi-stove-flash/p?skuId=416626")</f>
        <v>https://www.als.com/jetboi-stove-flash/p?skuId=416626</v>
      </c>
      <c r="B118" s="3" t="str">
        <f>HYPERLINK("https://www.als.com/jetboi-stove-flash/p", "https://www.als.com/jetboi-stove-flash/p")</f>
        <v>https://www.als.com/jetboi-stove-flash/p</v>
      </c>
      <c r="C118" t="s">
        <v>484</v>
      </c>
      <c r="D118" t="s">
        <v>485</v>
      </c>
      <c r="E118" s="3" t="str">
        <f>HYPERLINK("https://www.amazon.com/Jetboil-Flash-Camping-Cooking-System/dp/B07N1SNHJJ/ref=sr_1_1?keywords=Jetboil+Flash+Stove+Cooking+System&amp;qid=1695124341&amp;sr=8-1", "https://www.amazon.com/Jetboil-Flash-Camping-Cooking-System/dp/B07N1SNHJJ/ref=sr_1_1?keywords=Jetboil+Flash+Stove+Cooking+System&amp;qid=1695124341&amp;sr=8-1")</f>
        <v>https://www.amazon.com/Jetboil-Flash-Camping-Cooking-System/dp/B07N1SNHJJ/ref=sr_1_1?keywords=Jetboil+Flash+Stove+Cooking+System&amp;qid=1695124341&amp;sr=8-1</v>
      </c>
      <c r="F118" t="s">
        <v>486</v>
      </c>
      <c r="G118" t="e">
        <f ca="1">IMAGE("https://alssports.vtexassets.com/arquivos/ids/996877-800-auto?v=637790103902500000&amp;width=800&amp;height=auto&amp;aspect=true")</f>
        <v>#NAME?</v>
      </c>
      <c r="H118" t="e">
        <f ca="1">IMAGE("https://m.media-amazon.com/images/I/71ylC+taWrL._AC_UY218_.jpg")</f>
        <v>#NAME?</v>
      </c>
      <c r="I118" t="s">
        <v>487</v>
      </c>
      <c r="J118">
        <v>122.53</v>
      </c>
      <c r="K118" s="2" t="s">
        <v>488</v>
      </c>
      <c r="L118">
        <v>4.8</v>
      </c>
      <c r="M118">
        <v>3104</v>
      </c>
      <c r="O118" t="s">
        <v>33</v>
      </c>
      <c r="P118" t="s">
        <v>26</v>
      </c>
      <c r="Q118" t="s">
        <v>489</v>
      </c>
    </row>
    <row r="119" spans="1:17" ht="15.75" x14ac:dyDescent="0.25">
      <c r="A119" s="3" t="str">
        <f>HYPERLINK("https://www.als.com/under-ua-drive-pant/p?skuId=997492", "https://www.als.com/under-ua-drive-pant/p?skuId=997492")</f>
        <v>https://www.als.com/under-ua-drive-pant/p?skuId=997492</v>
      </c>
      <c r="B119" s="3" t="str">
        <f>HYPERLINK("https://www.als.com/under-ua-drive-pant/p", "https://www.als.com/under-ua-drive-pant/p")</f>
        <v>https://www.als.com/under-ua-drive-pant/p</v>
      </c>
      <c r="C119" t="s">
        <v>452</v>
      </c>
      <c r="D119" t="s">
        <v>490</v>
      </c>
      <c r="E119" s="3" t="str">
        <f>HYPERLINK("https://www.amazon.com/Under-Armour-Pique-Track-Pants/dp/B08LNVF2JJ/ref=sr_1_35?keywords=Under+Armour+Drive+Pant+-+Men%27s&amp;qid=1695124299&amp;sr=8-35", "https://www.amazon.com/Under-Armour-Pique-Track-Pants/dp/B08LNVF2JJ/ref=sr_1_35?keywords=Under+Armour+Drive+Pant+-+Men%27s&amp;qid=1695124299&amp;sr=8-35")</f>
        <v>https://www.amazon.com/Under-Armour-Pique-Track-Pants/dp/B08LNVF2JJ/ref=sr_1_35?keywords=Under+Armour+Drive+Pant+-+Men%27s&amp;qid=1695124299&amp;sr=8-35</v>
      </c>
      <c r="F119" t="s">
        <v>491</v>
      </c>
      <c r="G119" t="e">
        <f ca="1">IMAGE("https://alssports.vtexassets.com/arquivos/ids/1442508-800-auto?v=638291812057330000&amp;width=800&amp;height=auto&amp;aspect=true")</f>
        <v>#NAME?</v>
      </c>
      <c r="H119" t="e">
        <f ca="1">IMAGE("https://m.media-amazon.com/images/I/51Y13mxusrL._AC_UL320_.jpg")</f>
        <v>#NAME?</v>
      </c>
      <c r="I119" t="s">
        <v>455</v>
      </c>
      <c r="J119">
        <v>50</v>
      </c>
      <c r="K119" s="2" t="s">
        <v>492</v>
      </c>
      <c r="L119">
        <v>4.5</v>
      </c>
      <c r="M119">
        <v>298</v>
      </c>
      <c r="O119" t="s">
        <v>26</v>
      </c>
      <c r="P119" t="s">
        <v>457</v>
      </c>
      <c r="Q119" t="s">
        <v>458</v>
      </c>
    </row>
    <row r="120" spans="1:17" ht="15.75" x14ac:dyDescent="0.25">
      <c r="A120" s="3" t="str">
        <f>HYPERLINK("https://www.als.com/under-ua-drive-pant/p?skuId=997492", "https://www.als.com/under-ua-drive-pant/p?skuId=997492")</f>
        <v>https://www.als.com/under-ua-drive-pant/p?skuId=997492</v>
      </c>
      <c r="B120" s="3" t="str">
        <f>HYPERLINK("https://www.als.com/under-ua-drive-pant/p", "https://www.als.com/under-ua-drive-pant/p")</f>
        <v>https://www.als.com/under-ua-drive-pant/p</v>
      </c>
      <c r="C120" t="s">
        <v>452</v>
      </c>
      <c r="D120" t="s">
        <v>493</v>
      </c>
      <c r="E120" s="3" t="str">
        <f>HYPERLINK("https://www.amazon.com/Under-Armour-Waist_Inseam-Numeric_40-Numeric_32/dp/B0C9N51MGY/ref=sr_1_36?keywords=Under+Armour+Drive+Pant+-+Men%27s&amp;qid=1695124299&amp;sr=8-36", "https://www.amazon.com/Under-Armour-Waist_Inseam-Numeric_40-Numeric_32/dp/B0C9N51MGY/ref=sr_1_36?keywords=Under+Armour+Drive+Pant+-+Men%27s&amp;qid=1695124299&amp;sr=8-36")</f>
        <v>https://www.amazon.com/Under-Armour-Waist_Inseam-Numeric_40-Numeric_32/dp/B0C9N51MGY/ref=sr_1_36?keywords=Under+Armour+Drive+Pant+-+Men%27s&amp;qid=1695124299&amp;sr=8-36</v>
      </c>
      <c r="F120" t="s">
        <v>494</v>
      </c>
      <c r="G120" t="e">
        <f ca="1">IMAGE("https://alssports.vtexassets.com/arquivos/ids/1442508-800-auto?v=638291812057330000&amp;width=800&amp;height=auto&amp;aspect=true")</f>
        <v>#NAME?</v>
      </c>
      <c r="H120" t="e">
        <f ca="1">IMAGE("https://m.media-amazon.com/images/I/61hGSeqXjDL._AC_UL320_.jpg")</f>
        <v>#NAME?</v>
      </c>
      <c r="I120" t="s">
        <v>455</v>
      </c>
      <c r="J120">
        <v>50</v>
      </c>
      <c r="K120" s="2" t="s">
        <v>492</v>
      </c>
      <c r="L120">
        <v>5</v>
      </c>
      <c r="M120">
        <v>1</v>
      </c>
      <c r="O120" t="s">
        <v>26</v>
      </c>
      <c r="P120" t="s">
        <v>457</v>
      </c>
      <c r="Q120" t="s">
        <v>458</v>
      </c>
    </row>
    <row r="121" spans="1:17" ht="15.75" x14ac:dyDescent="0.25">
      <c r="A121" s="3" t="str">
        <f>HYPERLINK("https://www.als.com/chaco-m-sandal-z2-classic/p?skuId=932109", "https://www.als.com/chaco-m-sandal-z2-classic/p?skuId=932109")</f>
        <v>https://www.als.com/chaco-m-sandal-z2-classic/p?skuId=932109</v>
      </c>
      <c r="B121" s="3" t="str">
        <f>HYPERLINK("https://www.als.com/chaco-m-sandal-z2-classic/p", "https://www.als.com/chaco-m-sandal-z2-classic/p")</f>
        <v>https://www.als.com/chaco-m-sandal-z2-classic/p</v>
      </c>
      <c r="C121" t="s">
        <v>265</v>
      </c>
      <c r="D121" t="s">
        <v>495</v>
      </c>
      <c r="E121" s="3" t="str">
        <f>HYPERLINK("https://www.amazon.com/Chaco-ZCLOUD-Womens-Sandals-Oculi/dp/B08C2L7BXK/ref=sr_1_13?keywords=Chaco+Z%2F2+Classic+Sandal+-+Mens&amp;qid=1695124330&amp;sr=8-13", "https://www.amazon.com/Chaco-ZCLOUD-Womens-Sandals-Oculi/dp/B08C2L7BXK/ref=sr_1_13?keywords=Chaco+Z%2F2+Classic+Sandal+-+Mens&amp;qid=1695124330&amp;sr=8-13")</f>
        <v>https://www.amazon.com/Chaco-ZCLOUD-Womens-Sandals-Oculi/dp/B08C2L7BXK/ref=sr_1_13?keywords=Chaco+Z%2F2+Classic+Sandal+-+Mens&amp;qid=1695124330&amp;sr=8-13</v>
      </c>
      <c r="F121" t="s">
        <v>496</v>
      </c>
      <c r="G121" t="e">
        <f ca="1">IMAGE("https://alssports.vtexassets.com/arquivos/ids/1340421-800-auto?v=638216154610800000&amp;width=800&amp;height=auto&amp;aspect=true")</f>
        <v>#NAME?</v>
      </c>
      <c r="H121" t="e">
        <f ca="1">IMAGE("https://m.media-amazon.com/images/I/71OS28EHelL._AC_UL320_.jpg")</f>
        <v>#NAME?</v>
      </c>
      <c r="I121" t="s">
        <v>268</v>
      </c>
      <c r="J121">
        <v>41.1</v>
      </c>
      <c r="K121" s="2" t="s">
        <v>497</v>
      </c>
      <c r="L121">
        <v>4.5</v>
      </c>
      <c r="M121">
        <v>643</v>
      </c>
      <c r="O121" t="s">
        <v>26</v>
      </c>
      <c r="P121" t="s">
        <v>269</v>
      </c>
      <c r="Q121" t="s">
        <v>270</v>
      </c>
    </row>
    <row r="122" spans="1:17" ht="15.75" x14ac:dyDescent="0.25">
      <c r="A122" s="3" t="str">
        <f>HYPERLINK("https://www.als.com/laspor-shoe-approach-tx4-r/p?skuId=1282021", "https://www.als.com/laspor-shoe-approach-tx4-r/p?skuId=1282021")</f>
        <v>https://www.als.com/laspor-shoe-approach-tx4-r/p?skuId=1282021</v>
      </c>
      <c r="B122" s="3" t="str">
        <f>HYPERLINK("https://www.als.com/laspor-shoe-approach-tx4-r/p", "https://www.als.com/laspor-shoe-approach-tx4-r/p")</f>
        <v>https://www.als.com/laspor-shoe-approach-tx4-r/p</v>
      </c>
      <c r="C122" t="s">
        <v>217</v>
      </c>
      <c r="D122" t="s">
        <v>498</v>
      </c>
      <c r="E122" s="3" t="str">
        <f>HYPERLINK("https://www.amazon.com/La-Sportiva-Usa-Wildcat-2-0/dp/B07F8WVXBK/ref=sr_1_4?keywords=La+Sportiva+TX4+Shoe+-+Mens&amp;qid=1695124396&amp;sr=8-4", "https://www.amazon.com/La-Sportiva-Usa-Wildcat-2-0/dp/B07F8WVXBK/ref=sr_1_4?keywords=La+Sportiva+TX4+Shoe+-+Mens&amp;qid=1695124396&amp;sr=8-4")</f>
        <v>https://www.amazon.com/La-Sportiva-Usa-Wildcat-2-0/dp/B07F8WVXBK/ref=sr_1_4?keywords=La+Sportiva+TX4+Shoe+-+Mens&amp;qid=1695124396&amp;sr=8-4</v>
      </c>
      <c r="F122" t="s">
        <v>499</v>
      </c>
      <c r="G122" t="e">
        <f ca="1">IMAGE("https://alssports.vtexassets.com/arquivos/ids/1257651-800-auto?v=638134817479900000&amp;width=800&amp;height=auto&amp;aspect=true")</f>
        <v>#NAME?</v>
      </c>
      <c r="H122" t="e">
        <f ca="1">IMAGE("https://m.media-amazon.com/images/I/71AVA0hQxnL._AC_UL320_.jpg")</f>
        <v>#NAME?</v>
      </c>
      <c r="I122" t="s">
        <v>220</v>
      </c>
      <c r="J122">
        <v>174.95</v>
      </c>
      <c r="K122" s="2" t="s">
        <v>500</v>
      </c>
      <c r="L122">
        <v>4</v>
      </c>
      <c r="M122">
        <v>94</v>
      </c>
      <c r="O122" t="s">
        <v>33</v>
      </c>
      <c r="P122" t="s">
        <v>26</v>
      </c>
      <c r="Q122" t="s">
        <v>221</v>
      </c>
    </row>
    <row r="123" spans="1:17" ht="15.75" x14ac:dyDescent="0.25">
      <c r="A123" s="3" t="str">
        <f>HYPERLINK("https://www.als.com/heydud-m-shoe-wally-washed-canvas/p?skuId=1317816", "https://www.als.com/heydud-m-shoe-wally-washed-canvas/p?skuId=1317816")</f>
        <v>https://www.als.com/heydud-m-shoe-wally-washed-canvas/p?skuId=1317816</v>
      </c>
      <c r="B123" s="3" t="str">
        <f>HYPERLINK("https://www.als.com/heydud-m-shoe-wally-washed-canvas/p", "https://www.als.com/heydud-m-shoe-wally-washed-canvas/p")</f>
        <v>https://www.als.com/heydud-m-shoe-wally-washed-canvas/p</v>
      </c>
      <c r="C123" t="s">
        <v>501</v>
      </c>
      <c r="D123" t="s">
        <v>502</v>
      </c>
      <c r="E123" s="3" t="str">
        <f>HYPERLINK("https://www.amazon.com/Hey-Dude-Wally-Washed-Comfortable/dp/B08SVZ8Y17/ref=sr_1_10?keywords=Hey+Dude+Wally+Washed+Canvas+Shoe+-+Mens&amp;qid=1695124460&amp;sr=8-10", "https://www.amazon.com/Hey-Dude-Wally-Washed-Comfortable/dp/B08SVZ8Y17/ref=sr_1_10?keywords=Hey+Dude+Wally+Washed+Canvas+Shoe+-+Mens&amp;qid=1695124460&amp;sr=8-10")</f>
        <v>https://www.amazon.com/Hey-Dude-Wally-Washed-Comfortable/dp/B08SVZ8Y17/ref=sr_1_10?keywords=Hey+Dude+Wally+Washed+Canvas+Shoe+-+Mens&amp;qid=1695124460&amp;sr=8-10</v>
      </c>
      <c r="F123" t="s">
        <v>503</v>
      </c>
      <c r="G123" t="e">
        <f ca="1">IMAGE("https://alssports.vtexassets.com/arquivos/ids/1388214-800-auto?v=638255521966130000&amp;width=800&amp;height=auto&amp;aspect=true")</f>
        <v>#NAME?</v>
      </c>
      <c r="H123" t="e">
        <f ca="1">IMAGE("https://m.media-amazon.com/images/I/81JAQbII63L._AC_UL320_.jpg")</f>
        <v>#NAME?</v>
      </c>
      <c r="I123" t="s">
        <v>58</v>
      </c>
      <c r="J123">
        <v>63.45</v>
      </c>
      <c r="K123" s="2" t="s">
        <v>504</v>
      </c>
      <c r="L123">
        <v>4.5999999999999996</v>
      </c>
      <c r="M123">
        <v>1611</v>
      </c>
      <c r="O123" t="s">
        <v>33</v>
      </c>
      <c r="P123" t="s">
        <v>26</v>
      </c>
      <c r="Q123" t="s">
        <v>505</v>
      </c>
    </row>
    <row r="124" spans="1:17" ht="15.75" x14ac:dyDescent="0.25">
      <c r="A124" s="3" t="str">
        <f>HYPERLINK("https://www.als.com/heydud-m-shoe-wally-braided/p?skuId=599445", "https://www.als.com/heydud-m-shoe-wally-braided/p?skuId=599445")</f>
        <v>https://www.als.com/heydud-m-shoe-wally-braided/p?skuId=599445</v>
      </c>
      <c r="B124" s="3" t="str">
        <f>HYPERLINK("https://www.als.com/heydud-m-shoe-wally-braided/p", "https://www.als.com/heydud-m-shoe-wally-braided/p")</f>
        <v>https://www.als.com/heydud-m-shoe-wally-braided/p</v>
      </c>
      <c r="C124" t="s">
        <v>506</v>
      </c>
      <c r="D124" t="s">
        <v>502</v>
      </c>
      <c r="E124" s="3" t="str">
        <f>HYPERLINK("https://www.amazon.com/Hey-Dude-Wally-Washed-Comfortable/dp/B08SVZ8Y17/ref=sr_1_13?keywords=Hey+Dude+Wally+Braided+Shoe+-+Mens&amp;qid=1695124451&amp;sr=8-13", "https://www.amazon.com/Hey-Dude-Wally-Washed-Comfortable/dp/B08SVZ8Y17/ref=sr_1_13?keywords=Hey+Dude+Wally+Braided+Shoe+-+Mens&amp;qid=1695124451&amp;sr=8-13")</f>
        <v>https://www.amazon.com/Hey-Dude-Wally-Washed-Comfortable/dp/B08SVZ8Y17/ref=sr_1_13?keywords=Hey+Dude+Wally+Braided+Shoe+-+Mens&amp;qid=1695124451&amp;sr=8-13</v>
      </c>
      <c r="F124" t="s">
        <v>503</v>
      </c>
      <c r="G124" t="e">
        <f ca="1">IMAGE("https://alssports.vtexassets.com/arquivos/ids/1386107-800-auto?v=638254870959300000&amp;width=800&amp;height=auto&amp;aspect=true")</f>
        <v>#NAME?</v>
      </c>
      <c r="H124" t="e">
        <f ca="1">IMAGE("https://m.media-amazon.com/images/I/81JAQbII63L._AC_UL320_.jpg")</f>
        <v>#NAME?</v>
      </c>
      <c r="I124" t="s">
        <v>58</v>
      </c>
      <c r="J124">
        <v>63.45</v>
      </c>
      <c r="K124" s="2" t="s">
        <v>504</v>
      </c>
      <c r="L124">
        <v>4.5999999999999996</v>
      </c>
      <c r="M124">
        <v>1611</v>
      </c>
      <c r="O124" t="s">
        <v>33</v>
      </c>
      <c r="P124" t="s">
        <v>26</v>
      </c>
      <c r="Q124" t="s">
        <v>507</v>
      </c>
    </row>
    <row r="125" spans="1:17" ht="15.75" x14ac:dyDescent="0.25">
      <c r="A125" s="3" t="str">
        <f>HYPERLINK("https://www.als.com/chaco-m-sandal-z2-classic/p?skuId=932109", "https://www.als.com/chaco-m-sandal-z2-classic/p?skuId=932109")</f>
        <v>https://www.als.com/chaco-m-sandal-z2-classic/p?skuId=932109</v>
      </c>
      <c r="B125" s="3" t="str">
        <f>HYPERLINK("https://www.als.com/chaco-m-sandal-z2-classic/p", "https://www.als.com/chaco-m-sandal-z2-classic/p")</f>
        <v>https://www.als.com/chaco-m-sandal-z2-classic/p</v>
      </c>
      <c r="C125" t="s">
        <v>265</v>
      </c>
      <c r="D125" t="s">
        <v>508</v>
      </c>
      <c r="E125" s="3" t="str">
        <f>HYPERLINK("https://www.amazon.com/Chaco-12366106-Classic-Men-11/dp/B071K9C5HD/ref=sr_1_1?keywords=Chaco+Z%2F2+Classic+Sandal+-+Mens&amp;qid=1695124330&amp;sr=8-1", "https://www.amazon.com/Chaco-12366106-Classic-Men-11/dp/B071K9C5HD/ref=sr_1_1?keywords=Chaco+Z%2F2+Classic+Sandal+-+Mens&amp;qid=1695124330&amp;sr=8-1")</f>
        <v>https://www.amazon.com/Chaco-12366106-Classic-Men-11/dp/B071K9C5HD/ref=sr_1_1?keywords=Chaco+Z%2F2+Classic+Sandal+-+Mens&amp;qid=1695124330&amp;sr=8-1</v>
      </c>
      <c r="F125" t="s">
        <v>509</v>
      </c>
      <c r="G125" t="e">
        <f ca="1">IMAGE("https://alssports.vtexassets.com/arquivos/ids/1340421-800-auto?v=638216154610800000&amp;width=800&amp;height=auto&amp;aspect=true")</f>
        <v>#NAME?</v>
      </c>
      <c r="H125" t="e">
        <f ca="1">IMAGE("https://m.media-amazon.com/images/I/71IAWRAbpcL._AC_UL320_.jpg")</f>
        <v>#NAME?</v>
      </c>
      <c r="I125" t="s">
        <v>268</v>
      </c>
      <c r="J125">
        <v>41</v>
      </c>
      <c r="K125" s="2" t="s">
        <v>510</v>
      </c>
      <c r="L125">
        <v>4.4000000000000004</v>
      </c>
      <c r="M125">
        <v>3136</v>
      </c>
      <c r="O125" t="s">
        <v>26</v>
      </c>
      <c r="P125" t="s">
        <v>269</v>
      </c>
      <c r="Q125" t="s">
        <v>270</v>
      </c>
    </row>
    <row r="126" spans="1:17" ht="15.75" x14ac:dyDescent="0.25">
      <c r="A126" s="3" t="str">
        <f>HYPERLINK("https://www.als.com/sram-cassette-nx-eagle-pg-1230/p?skuId=495741", "https://www.als.com/sram-cassette-nx-eagle-pg-1230/p?skuId=495741")</f>
        <v>https://www.als.com/sram-cassette-nx-eagle-pg-1230/p?skuId=495741</v>
      </c>
      <c r="B126" s="3" t="str">
        <f>HYPERLINK("https://www.als.com/sram-cassette-nx-eagle-pg-1230/p", "https://www.als.com/sram-cassette-nx-eagle-pg-1230/p")</f>
        <v>https://www.als.com/sram-cassette-nx-eagle-pg-1230/p</v>
      </c>
      <c r="C126" t="s">
        <v>511</v>
      </c>
      <c r="D126" t="s">
        <v>512</v>
      </c>
      <c r="E126" s="3" t="str">
        <f>HYPERLINK("https://www.amazon.com/SRAM-PG-1230-12-Speed-Cassette-11-50t/dp/B07DQP71JS/ref=sr_1_1?keywords=Sram+NX+Eagle+Pg-1230+Cassette&amp;qid=1695124410&amp;sr=8-1", "https://www.amazon.com/SRAM-PG-1230-12-Speed-Cassette-11-50t/dp/B07DQP71JS/ref=sr_1_1?keywords=Sram+NX+Eagle+Pg-1230+Cassette&amp;qid=1695124410&amp;sr=8-1")</f>
        <v>https://www.amazon.com/SRAM-PG-1230-12-Speed-Cassette-11-50t/dp/B07DQP71JS/ref=sr_1_1?keywords=Sram+NX+Eagle+Pg-1230+Cassette&amp;qid=1695124410&amp;sr=8-1</v>
      </c>
      <c r="F126" t="s">
        <v>513</v>
      </c>
      <c r="G126" t="e">
        <f ca="1">IMAGE("https://alssports.vtexassets.com/arquivos/ids/685030-800-auto?v=637571183522830000&amp;width=800&amp;height=auto&amp;aspect=true")</f>
        <v>#NAME?</v>
      </c>
      <c r="H126" t="e">
        <f ca="1">IMAGE("https://m.media-amazon.com/images/I/61Ctij+bPVL._AC_UL320_.jpg")</f>
        <v>#NAME?</v>
      </c>
      <c r="I126" t="s">
        <v>514</v>
      </c>
      <c r="J126">
        <v>105.28</v>
      </c>
      <c r="K126" s="2" t="s">
        <v>515</v>
      </c>
      <c r="L126">
        <v>4.7</v>
      </c>
      <c r="M126">
        <v>834</v>
      </c>
      <c r="O126" t="s">
        <v>33</v>
      </c>
      <c r="P126" t="s">
        <v>26</v>
      </c>
      <c r="Q126" t="s">
        <v>516</v>
      </c>
    </row>
    <row r="127" spans="1:17" ht="15.75" x14ac:dyDescent="0.25">
      <c r="A127" s="3" t="str">
        <f>HYPERLINK("https://www.als.com/adid-o-m-boot-free-hiker-2/p?skuId=1087944", "https://www.als.com/adid-o-m-boot-free-hiker-2/p?skuId=1087944")</f>
        <v>https://www.als.com/adid-o-m-boot-free-hiker-2/p?skuId=1087944</v>
      </c>
      <c r="B127" s="3" t="str">
        <f>HYPERLINK("https://www.als.com/adid-o-m-boot-free-hiker-2/p", "https://www.als.com/adid-o-m-boot-free-hiker-2/p")</f>
        <v>https://www.als.com/adid-o-m-boot-free-hiker-2/p</v>
      </c>
      <c r="C127" t="s">
        <v>517</v>
      </c>
      <c r="D127" t="s">
        <v>518</v>
      </c>
      <c r="E127" s="3" t="str">
        <f>HYPERLINK("https://www.amazon.com/adidas-Terrex-Wander-Hiker-Hiking/dp/B09VCJHQ87/ref=sr_1_13?keywords=adidas+Terrex+Free+Hiker+2+Hiking+Shoe+-+Men%27s&amp;qid=1695124155&amp;sr=8-13", "https://www.amazon.com/adidas-Terrex-Wander-Hiker-Hiking/dp/B09VCJHQ87/ref=sr_1_13?keywords=adidas+Terrex+Free+Hiker+2+Hiking+Shoe+-+Men%27s&amp;qid=1695124155&amp;sr=8-13")</f>
        <v>https://www.amazon.com/adidas-Terrex-Wander-Hiker-Hiking/dp/B09VCJHQ87/ref=sr_1_13?keywords=adidas+Terrex+Free+Hiker+2+Hiking+Shoe+-+Men%27s&amp;qid=1695124155&amp;sr=8-13</v>
      </c>
      <c r="F127" t="s">
        <v>519</v>
      </c>
      <c r="G127" t="e">
        <f ca="1">IMAGE("https://alssports.vtexassets.com/arquivos/ids/1086542-800-auto?v=637920243388070000&amp;width=800&amp;height=auto&amp;aspect=true")</f>
        <v>#NAME?</v>
      </c>
      <c r="H127" t="e">
        <f ca="1">IMAGE("https://m.media-amazon.com/images/I/51M3bVNZ-0L._AC_UL320_.jpg")</f>
        <v>#NAME?</v>
      </c>
      <c r="I127" t="s">
        <v>520</v>
      </c>
      <c r="J127">
        <v>97.35</v>
      </c>
      <c r="K127" s="2" t="s">
        <v>521</v>
      </c>
      <c r="L127">
        <v>5</v>
      </c>
      <c r="M127">
        <v>1</v>
      </c>
      <c r="O127" t="s">
        <v>33</v>
      </c>
      <c r="P127" t="s">
        <v>73</v>
      </c>
      <c r="Q127" t="s">
        <v>522</v>
      </c>
    </row>
    <row r="128" spans="1:17" ht="15.75" x14ac:dyDescent="0.25">
      <c r="A128" s="3" t="str">
        <f>HYPERLINK("https://www.als.com/adid-o-m-boot-free-hiker-2/p?skuId=1087944", "https://www.als.com/adid-o-m-boot-free-hiker-2/p?skuId=1087944")</f>
        <v>https://www.als.com/adid-o-m-boot-free-hiker-2/p?skuId=1087944</v>
      </c>
      <c r="B128" s="3" t="str">
        <f>HYPERLINK("https://www.als.com/adid-o-m-boot-free-hiker-2/p", "https://www.als.com/adid-o-m-boot-free-hiker-2/p")</f>
        <v>https://www.als.com/adid-o-m-boot-free-hiker-2/p</v>
      </c>
      <c r="C128" t="s">
        <v>517</v>
      </c>
      <c r="D128" t="s">
        <v>523</v>
      </c>
      <c r="E128" s="3" t="str">
        <f>HYPERLINK("https://www.amazon.com/adidas-Terrex-Wander-Hiker-Hiking/dp/B09VCMLB3F/ref=sr_1_9?keywords=adidas+Terrex+Free+Hiker+2+Hiking+Shoe+-+Men%27s&amp;qid=1695124155&amp;sr=8-9", "https://www.amazon.com/adidas-Terrex-Wander-Hiker-Hiking/dp/B09VCMLB3F/ref=sr_1_9?keywords=adidas+Terrex+Free+Hiker+2+Hiking+Shoe+-+Men%27s&amp;qid=1695124155&amp;sr=8-9")</f>
        <v>https://www.amazon.com/adidas-Terrex-Wander-Hiker-Hiking/dp/B09VCMLB3F/ref=sr_1_9?keywords=adidas+Terrex+Free+Hiker+2+Hiking+Shoe+-+Men%27s&amp;qid=1695124155&amp;sr=8-9</v>
      </c>
      <c r="F128" t="s">
        <v>524</v>
      </c>
      <c r="G128" t="e">
        <f ca="1">IMAGE("https://alssports.vtexassets.com/arquivos/ids/1086542-800-auto?v=637920243388070000&amp;width=800&amp;height=auto&amp;aspect=true")</f>
        <v>#NAME?</v>
      </c>
      <c r="H128" t="e">
        <f ca="1">IMAGE("https://m.media-amazon.com/images/I/51M3bVNZ-0L._AC_UL320_.jpg")</f>
        <v>#NAME?</v>
      </c>
      <c r="I128" t="s">
        <v>520</v>
      </c>
      <c r="J128">
        <v>97.35</v>
      </c>
      <c r="K128" s="2" t="s">
        <v>521</v>
      </c>
      <c r="L128">
        <v>3</v>
      </c>
      <c r="M128">
        <v>1</v>
      </c>
      <c r="O128" t="s">
        <v>33</v>
      </c>
      <c r="P128" t="s">
        <v>73</v>
      </c>
      <c r="Q128" t="s">
        <v>522</v>
      </c>
    </row>
    <row r="129" spans="1:17" ht="15.75" x14ac:dyDescent="0.25">
      <c r="A129" s="3" t="str">
        <f>HYPERLINK("https://www.als.com/hydrof-bottle-standard-mouth-21/p?skuId=255000", "https://www.als.com/hydrof-bottle-standard-mouth-21/p?skuId=255000")</f>
        <v>https://www.als.com/hydrof-bottle-standard-mouth-21/p?skuId=255000</v>
      </c>
      <c r="B129" s="3" t="str">
        <f>HYPERLINK("https://www.als.com/hydrof-bottle-standard-mouth-21/p", "https://www.als.com/hydrof-bottle-standard-mouth-21/p")</f>
        <v>https://www.als.com/hydrof-bottle-standard-mouth-21/p</v>
      </c>
      <c r="C129" t="s">
        <v>525</v>
      </c>
      <c r="D129" t="s">
        <v>526</v>
      </c>
      <c r="E129" s="3" t="str">
        <f>HYPERLINK("https://www.amazon.com/Coldest-Sports-Water-Insulated-Stainless/dp/B07CZTF111/ref=sr_1_42?keywords=Hydro+Flask+Standard+Mouth+Insulated+Bottle+-+21oz&amp;qid=1695124388&amp;sr=8-42", "https://www.amazon.com/Coldest-Sports-Water-Insulated-Stainless/dp/B07CZTF111/ref=sr_1_42?keywords=Hydro+Flask+Standard+Mouth+Insulated+Bottle+-+21oz&amp;qid=1695124388&amp;sr=8-42")</f>
        <v>https://www.amazon.com/Coldest-Sports-Water-Insulated-Stainless/dp/B07CZTF111/ref=sr_1_42?keywords=Hydro+Flask+Standard+Mouth+Insulated+Bottle+-+21oz&amp;qid=1695124388&amp;sr=8-42</v>
      </c>
      <c r="F129" t="s">
        <v>527</v>
      </c>
      <c r="G129" t="e">
        <f ca="1">IMAGE("https://alssports.vtexassets.com/arquivos/ids/1173834-800-auto?v=638042939420000000&amp;width=800&amp;height=auto&amp;aspect=true")</f>
        <v>#NAME?</v>
      </c>
      <c r="H129" t="e">
        <f ca="1">IMAGE("https://m.media-amazon.com/images/I/71WnAFrZSsL._AC_UL320_.jpg")</f>
        <v>#NAME?</v>
      </c>
      <c r="I129" t="s">
        <v>528</v>
      </c>
      <c r="J129">
        <v>33.950000000000003</v>
      </c>
      <c r="K129" s="2" t="s">
        <v>529</v>
      </c>
      <c r="L129">
        <v>4.4000000000000004</v>
      </c>
      <c r="M129">
        <v>6235</v>
      </c>
      <c r="O129" t="s">
        <v>33</v>
      </c>
      <c r="P129" t="s">
        <v>26</v>
      </c>
      <c r="Q129" t="s">
        <v>530</v>
      </c>
    </row>
    <row r="130" spans="1:17" ht="15.75" x14ac:dyDescent="0.25">
      <c r="A130" s="3" t="str">
        <f>HYPERLINK("https://www.als.com/under-m-cleat-harper-7-low-st/p?skuId=1310807", "https://www.als.com/under-m-cleat-harper-7-low-st/p?skuId=1310807")</f>
        <v>https://www.als.com/under-m-cleat-harper-7-low-st/p?skuId=1310807</v>
      </c>
      <c r="B130" s="3" t="str">
        <f>HYPERLINK("https://www.als.com/under-m-cleat-harper-7-low-st/p", "https://www.als.com/under-m-cleat-harper-7-low-st/p")</f>
        <v>https://www.als.com/under-m-cleat-harper-7-low-st/p</v>
      </c>
      <c r="C130" t="s">
        <v>531</v>
      </c>
      <c r="D130" t="s">
        <v>532</v>
      </c>
      <c r="E130" s="3" t="str">
        <f>HYPERLINK("https://www.amazon.com/Under-Armour-Harper-Cleats-Medium/dp/B0C1K3K11X/ref=sr_1_1?keywords=Under+Armour+Harper+7+Low+St+Baseball+Cleat+-+Mens&amp;qid=1695124327&amp;sr=8-1", "https://www.amazon.com/Under-Armour-Harper-Cleats-Medium/dp/B0C1K3K11X/ref=sr_1_1?keywords=Under+Armour+Harper+7+Low+St+Baseball+Cleat+-+Mens&amp;qid=1695124327&amp;sr=8-1")</f>
        <v>https://www.amazon.com/Under-Armour-Harper-Cleats-Medium/dp/B0C1K3K11X/ref=sr_1_1?keywords=Under+Armour+Harper+7+Low+St+Baseball+Cleat+-+Mens&amp;qid=1695124327&amp;sr=8-1</v>
      </c>
      <c r="F130" t="s">
        <v>533</v>
      </c>
      <c r="G130" t="e">
        <f ca="1">IMAGE("https://alssports.vtexassets.com/arquivos/ids/1282050-800-auto?v=638157909890300000&amp;width=800&amp;height=auto&amp;aspect=true")</f>
        <v>#NAME?</v>
      </c>
      <c r="H130" t="e">
        <f ca="1">IMAGE("https://m.media-amazon.com/images/I/71x11Qi8GcL._AC_UL320_.jpg")</f>
        <v>#NAME?</v>
      </c>
      <c r="I130" t="s">
        <v>534</v>
      </c>
      <c r="J130">
        <v>50.43</v>
      </c>
      <c r="K130" s="2" t="s">
        <v>535</v>
      </c>
      <c r="L130">
        <v>5</v>
      </c>
      <c r="M130">
        <v>1</v>
      </c>
      <c r="O130" t="s">
        <v>33</v>
      </c>
      <c r="P130" t="s">
        <v>536</v>
      </c>
      <c r="Q130" t="s">
        <v>537</v>
      </c>
    </row>
    <row r="131" spans="1:17" ht="15.75" x14ac:dyDescent="0.25">
      <c r="A131" s="3" t="str">
        <f>HYPERLINK("https://www.als.com/chaco-w-bodhi/p?skuId=1196759", "https://www.als.com/chaco-w-bodhi/p?skuId=1196759")</f>
        <v>https://www.als.com/chaco-w-bodhi/p?skuId=1196759</v>
      </c>
      <c r="B131" s="3" t="str">
        <f>HYPERLINK("https://www.als.com/chaco-w-bodhi/p", "https://www.als.com/chaco-w-bodhi/p")</f>
        <v>https://www.als.com/chaco-w-bodhi/p</v>
      </c>
      <c r="C131" t="s">
        <v>367</v>
      </c>
      <c r="D131" t="s">
        <v>538</v>
      </c>
      <c r="E131" s="3" t="str">
        <f>HYPERLINK("https://www.amazon.com/Chaco-Redrock-Hiking-Shoes-Black/dp/B000ZINDWY/ref=sr_1_9?keywords=Chaco+Bodhi+Sandal+-+Women%27s&amp;qid=1695124386&amp;sr=8-9", "https://www.amazon.com/Chaco-Redrock-Hiking-Shoes-Black/dp/B000ZINDWY/ref=sr_1_9?keywords=Chaco+Bodhi+Sandal+-+Women%27s&amp;qid=1695124386&amp;sr=8-9")</f>
        <v>https://www.amazon.com/Chaco-Redrock-Hiking-Shoes-Black/dp/B000ZINDWY/ref=sr_1_9?keywords=Chaco+Bodhi+Sandal+-+Women%27s&amp;qid=1695124386&amp;sr=8-9</v>
      </c>
      <c r="F131" t="s">
        <v>539</v>
      </c>
      <c r="G131" t="e">
        <f ca="1">IMAGE("https://alssports.vtexassets.com/arquivos/ids/1222611-800-auto?v=638103009944700000&amp;width=800&amp;height=auto&amp;aspect=true")</f>
        <v>#NAME?</v>
      </c>
      <c r="H131" t="e">
        <f ca="1">IMAGE("https://m.media-amazon.com/images/I/716r4CqpBnL._AC_UL320_.jpg")</f>
        <v>#NAME?</v>
      </c>
      <c r="I131" t="s">
        <v>370</v>
      </c>
      <c r="J131">
        <v>38.770000000000003</v>
      </c>
      <c r="K131" s="2" t="s">
        <v>540</v>
      </c>
      <c r="L131">
        <v>4.5</v>
      </c>
      <c r="M131">
        <v>3398</v>
      </c>
      <c r="O131" t="s">
        <v>33</v>
      </c>
      <c r="P131" t="s">
        <v>32</v>
      </c>
      <c r="Q131" t="s">
        <v>372</v>
      </c>
    </row>
    <row r="132" spans="1:17" ht="15.75" x14ac:dyDescent="0.25">
      <c r="A132" s="3" t="str">
        <f>HYPERLINK("https://www.als.com/shimab-pedal-pd-m9100-spd-cleat-pack/p?skuId=500218", "https://www.als.com/shimab-pedal-pd-m9100-spd-cleat-pack/p?skuId=500218")</f>
        <v>https://www.als.com/shimab-pedal-pd-m9100-spd-cleat-pack/p?skuId=500218</v>
      </c>
      <c r="B132" s="3" t="str">
        <f>HYPERLINK("https://www.als.com/shimab-pedal-pd-m9100-spd-cleat-pack/p", "https://www.als.com/shimab-pedal-pd-m9100-spd-cleat-pack/p")</f>
        <v>https://www.als.com/shimab-pedal-pd-m9100-spd-cleat-pack/p</v>
      </c>
      <c r="C132" t="s">
        <v>541</v>
      </c>
      <c r="D132" t="s">
        <v>542</v>
      </c>
      <c r="E132" s="3" t="str">
        <f>HYPERLINK("https://www.amazon.com/SHIMANO-PD-M9120-Pedal-Cleat-Included/dp/B07HF4Z2N2/ref=sr_1_11?keywords=Shimano+TR+PD-M9100+Pedal&amp;qid=1695124455&amp;sr=8-11", "https://www.amazon.com/SHIMANO-PD-M9120-Pedal-Cleat-Included/dp/B07HF4Z2N2/ref=sr_1_11?keywords=Shimano+TR+PD-M9100+Pedal&amp;qid=1695124455&amp;sr=8-11")</f>
        <v>https://www.amazon.com/SHIMANO-PD-M9120-Pedal-Cleat-Included/dp/B07HF4Z2N2/ref=sr_1_11?keywords=Shimano+TR+PD-M9100+Pedal&amp;qid=1695124455&amp;sr=8-11</v>
      </c>
      <c r="F132" t="s">
        <v>543</v>
      </c>
      <c r="G132" t="e">
        <f ca="1">IMAGE("https://alssports.vtexassets.com/arquivos/ids/1120618-800-auto?v=637969747990030000&amp;width=800&amp;height=auto&amp;aspect=true")</f>
        <v>#NAME?</v>
      </c>
      <c r="H132" t="e">
        <f ca="1">IMAGE("https://m.media-amazon.com/images/I/61RnlkVZK+L._AC_UL320_.jpg")</f>
        <v>#NAME?</v>
      </c>
      <c r="I132" t="s">
        <v>544</v>
      </c>
      <c r="J132">
        <v>173.95</v>
      </c>
      <c r="K132" s="2" t="s">
        <v>545</v>
      </c>
      <c r="L132">
        <v>4.8</v>
      </c>
      <c r="M132">
        <v>242</v>
      </c>
      <c r="O132" t="s">
        <v>33</v>
      </c>
      <c r="P132" t="s">
        <v>26</v>
      </c>
      <c r="Q132" t="s">
        <v>546</v>
      </c>
    </row>
    <row r="133" spans="1:17" ht="15.75" x14ac:dyDescent="0.25">
      <c r="A133" s="3" t="str">
        <f>HYPERLINK("https://www.als.com/sal-sh-m-shoe-speedcross-6/p?skuId=1067283", "https://www.als.com/sal-sh-m-shoe-speedcross-6/p?skuId=1067283")</f>
        <v>https://www.als.com/sal-sh-m-shoe-speedcross-6/p?skuId=1067283</v>
      </c>
      <c r="B133" s="3" t="str">
        <f>HYPERLINK("https://www.als.com/sal-sh-m-shoe-speedcross-6/p", "https://www.als.com/sal-sh-m-shoe-speedcross-6/p")</f>
        <v>https://www.als.com/sal-sh-m-shoe-speedcross-6/p</v>
      </c>
      <c r="C133" t="s">
        <v>547</v>
      </c>
      <c r="D133" t="s">
        <v>548</v>
      </c>
      <c r="E133" s="3" t="str">
        <f>HYPERLINK("https://www.amazon.com/Salomon-Speedcross-Trail-Running-Phantom/dp/B07CYXWTFV/ref=sr_1_9?keywords=Salomon+Speedcross+6+Trail+Running+Shoe+-+Men%27s&amp;qid=1695124304&amp;sr=8-9", "https://www.amazon.com/Salomon-Speedcross-Trail-Running-Phantom/dp/B07CYXWTFV/ref=sr_1_9?keywords=Salomon+Speedcross+6+Trail+Running+Shoe+-+Men%27s&amp;qid=1695124304&amp;sr=8-9")</f>
        <v>https://www.amazon.com/Salomon-Speedcross-Trail-Running-Phantom/dp/B07CYXWTFV/ref=sr_1_9?keywords=Salomon+Speedcross+6+Trail+Running+Shoe+-+Men%27s&amp;qid=1695124304&amp;sr=8-9</v>
      </c>
      <c r="F133" t="s">
        <v>549</v>
      </c>
      <c r="G133" t="e">
        <f ca="1">IMAGE("https://alssports.vtexassets.com/arquivos/ids/1132465-800-auto?v=637986345574970000&amp;width=800&amp;height=auto&amp;aspect=true")</f>
        <v>#NAME?</v>
      </c>
      <c r="H133" t="e">
        <f ca="1">IMAGE("https://m.media-amazon.com/images/I/71nJ48O6aFL._AC_UL320_.jpg")</f>
        <v>#NAME?</v>
      </c>
      <c r="I133" t="s">
        <v>550</v>
      </c>
      <c r="J133">
        <v>139.94999999999999</v>
      </c>
      <c r="K133" s="2" t="s">
        <v>551</v>
      </c>
      <c r="L133">
        <v>4.7</v>
      </c>
      <c r="M133">
        <v>11485</v>
      </c>
      <c r="O133" t="s">
        <v>33</v>
      </c>
      <c r="P133" t="s">
        <v>552</v>
      </c>
      <c r="Q133" t="s">
        <v>553</v>
      </c>
    </row>
    <row r="134" spans="1:17" ht="15.75" x14ac:dyDescent="0.25">
      <c r="A134" s="3" t="str">
        <f>HYPERLINK("https://www.als.com/adidas-w-slide-adilette-comfort/p?skuId=1286469", "https://www.als.com/adidas-w-slide-adilette-comfort/p?skuId=1286469")</f>
        <v>https://www.als.com/adidas-w-slide-adilette-comfort/p?skuId=1286469</v>
      </c>
      <c r="B134" s="3" t="str">
        <f>HYPERLINK("https://www.als.com/adidas-w-slide-adilette-comfort/p", "https://www.als.com/adidas-w-slide-adilette-comfort/p")</f>
        <v>https://www.als.com/adidas-w-slide-adilette-comfort/p</v>
      </c>
      <c r="C134" t="s">
        <v>441</v>
      </c>
      <c r="D134" t="s">
        <v>554</v>
      </c>
      <c r="E134" s="3" t="str">
        <f>HYPERLINK("https://www.amazon.com/adidas-Womens-Adilette-Comfort-Sandals/dp/B0921G1T5C/ref=sr_1_10?keywords=Adidas+Adilette+Comfort+Sandal+-+Women%27s&amp;qid=1695124352&amp;sr=8-10", "https://www.amazon.com/adidas-Womens-Adilette-Comfort-Sandals/dp/B0921G1T5C/ref=sr_1_10?keywords=Adidas+Adilette+Comfort+Sandal+-+Women%27s&amp;qid=1695124352&amp;sr=8-10")</f>
        <v>https://www.amazon.com/adidas-Womens-Adilette-Comfort-Sandals/dp/B0921G1T5C/ref=sr_1_10?keywords=Adidas+Adilette+Comfort+Sandal+-+Women%27s&amp;qid=1695124352&amp;sr=8-10</v>
      </c>
      <c r="F134" t="s">
        <v>555</v>
      </c>
      <c r="G134" t="e">
        <f ca="1">IMAGE("https://alssports.vtexassets.com/arquivos/ids/1250704-800-auto?v=638128818653670000&amp;width=800&amp;height=auto&amp;aspect=true")</f>
        <v>#NAME?</v>
      </c>
      <c r="H134" t="e">
        <f ca="1">IMAGE("https://m.media-amazon.com/images/I/71Za4v-EXwL._AC_UL320_.jpg")</f>
        <v>#NAME?</v>
      </c>
      <c r="I134" t="s">
        <v>444</v>
      </c>
      <c r="J134">
        <v>26.99</v>
      </c>
      <c r="K134" s="2" t="s">
        <v>556</v>
      </c>
      <c r="L134">
        <v>4.0999999999999996</v>
      </c>
      <c r="M134">
        <v>38</v>
      </c>
      <c r="O134" t="s">
        <v>33</v>
      </c>
      <c r="P134" t="s">
        <v>140</v>
      </c>
      <c r="Q134" t="s">
        <v>445</v>
      </c>
    </row>
    <row r="135" spans="1:17" ht="15.75" x14ac:dyDescent="0.25">
      <c r="A135" s="3" t="str">
        <f>HYPERLINK("https://www.als.com/merrel-ms-shoe-moab-speed-mid-gtx/p?skuId=1206412", "https://www.als.com/merrel-ms-shoe-moab-speed-mid-gtx/p?skuId=1206412")</f>
        <v>https://www.als.com/merrel-ms-shoe-moab-speed-mid-gtx/p?skuId=1206412</v>
      </c>
      <c r="B135" s="3" t="str">
        <f>HYPERLINK("https://www.als.com/merrel-ms-shoe-moab-speed-mid-gtx/p", "https://www.als.com/merrel-ms-shoe-moab-speed-mid-gtx/p")</f>
        <v>https://www.als.com/merrel-ms-shoe-moab-speed-mid-gtx/p</v>
      </c>
      <c r="C135" t="s">
        <v>557</v>
      </c>
      <c r="D135" t="s">
        <v>558</v>
      </c>
      <c r="E135" s="3" t="str">
        <f>HYPERLINK("https://www.amazon.com/Merrell-Mens-Moab-Hiking-Beluga/dp/B01HFAD216/ref=sr_1_2?keywords=Merrell+Moab+Speed+Mid+GTX+Shoe+-+Men%27s&amp;qid=1695124445&amp;sr=8-2", "https://www.amazon.com/Merrell-Mens-Moab-Hiking-Beluga/dp/B01HFAD216/ref=sr_1_2?keywords=Merrell+Moab+Speed+Mid+GTX+Shoe+-+Men%27s&amp;qid=1695124445&amp;sr=8-2")</f>
        <v>https://www.amazon.com/Merrell-Mens-Moab-Hiking-Beluga/dp/B01HFAD216/ref=sr_1_2?keywords=Merrell+Moab+Speed+Mid+GTX+Shoe+-+Men%27s&amp;qid=1695124445&amp;sr=8-2</v>
      </c>
      <c r="F135" t="s">
        <v>559</v>
      </c>
      <c r="G135" t="e">
        <f ca="1">IMAGE("https://alssports.vtexassets.com/arquivos/ids/1363214-800-auto?v=638236487384000000&amp;width=800&amp;height=auto&amp;aspect=true")</f>
        <v>#NAME?</v>
      </c>
      <c r="H135" t="e">
        <f ca="1">IMAGE("https://m.media-amazon.com/images/I/71oZHSAf85L._AC_UL320_.jpg")</f>
        <v>#NAME?</v>
      </c>
      <c r="I135" t="s">
        <v>560</v>
      </c>
      <c r="J135">
        <v>82.01</v>
      </c>
      <c r="K135" s="2" t="s">
        <v>561</v>
      </c>
      <c r="L135">
        <v>4.5</v>
      </c>
      <c r="M135">
        <v>8034</v>
      </c>
      <c r="O135" t="s">
        <v>33</v>
      </c>
      <c r="P135" t="s">
        <v>562</v>
      </c>
      <c r="Q135" t="s">
        <v>563</v>
      </c>
    </row>
    <row r="136" spans="1:17" ht="15.75" x14ac:dyDescent="0.25">
      <c r="A136" s="3" t="str">
        <f>HYPERLINK("https://www.als.com/chaco-w-sandal-mega-zcloud/p?skuId=932008", "https://www.als.com/chaco-w-sandal-mega-zcloud/p?skuId=932008")</f>
        <v>https://www.als.com/chaco-w-sandal-mega-zcloud/p?skuId=932008</v>
      </c>
      <c r="B136" s="3" t="str">
        <f>HYPERLINK("https://www.als.com/chaco-w-sandal-mega-zcloud/p", "https://www.als.com/chaco-w-sandal-mega-zcloud/p")</f>
        <v>https://www.als.com/chaco-w-sandal-mega-zcloud/p</v>
      </c>
      <c r="C136" t="s">
        <v>564</v>
      </c>
      <c r="D136" t="s">
        <v>565</v>
      </c>
      <c r="E136" s="3" t="str">
        <f>HYPERLINK("https://www.amazon.com/Chaco-Redrock-Hiking-Shoes-Lithic/dp/B000ZIGLOG/ref=sr_1_23?keywords=Chaco+Mega+Z%2FCloud+Sandal+-+Women%27s&amp;qid=1695124146&amp;sr=8-23", "https://www.amazon.com/Chaco-Redrock-Hiking-Shoes-Lithic/dp/B000ZIGLOG/ref=sr_1_23?keywords=Chaco+Mega+Z%2FCloud+Sandal+-+Women%27s&amp;qid=1695124146&amp;sr=8-23")</f>
        <v>https://www.amazon.com/Chaco-Redrock-Hiking-Shoes-Lithic/dp/B000ZIGLOG/ref=sr_1_23?keywords=Chaco+Mega+Z%2FCloud+Sandal+-+Women%27s&amp;qid=1695124146&amp;sr=8-23</v>
      </c>
      <c r="F136" t="s">
        <v>566</v>
      </c>
      <c r="G136" t="e">
        <f ca="1">IMAGE("https://alssports.vtexassets.com/arquivos/ids/1428304-800-auto?v=638283389320470000&amp;width=800&amp;height=auto&amp;aspect=true")</f>
        <v>#NAME?</v>
      </c>
      <c r="H136" t="e">
        <f ca="1">IMAGE("https://m.media-amazon.com/images/I/71AynMikauL._AC_UL320_.jpg")</f>
        <v>#NAME?</v>
      </c>
      <c r="I136" t="s">
        <v>268</v>
      </c>
      <c r="J136">
        <v>40.5</v>
      </c>
      <c r="K136" s="2" t="s">
        <v>567</v>
      </c>
      <c r="L136">
        <v>4.4000000000000004</v>
      </c>
      <c r="M136">
        <v>344</v>
      </c>
      <c r="O136" t="s">
        <v>33</v>
      </c>
      <c r="P136" t="s">
        <v>269</v>
      </c>
      <c r="Q136" t="s">
        <v>568</v>
      </c>
    </row>
    <row r="137" spans="1:17" ht="15.75" x14ac:dyDescent="0.25">
      <c r="A137" s="3" t="str">
        <f>HYPERLINK("https://www.als.com/chaco-w-sandal-z2-classic/p?skuId=931925", "https://www.als.com/chaco-w-sandal-z2-classic/p?skuId=931925")</f>
        <v>https://www.als.com/chaco-w-sandal-z2-classic/p?skuId=931925</v>
      </c>
      <c r="B137" s="3" t="str">
        <f>HYPERLINK("https://www.als.com/chaco-w-sandal-z2-classic/p", "https://www.als.com/chaco-w-sandal-z2-classic/p")</f>
        <v>https://www.als.com/chaco-w-sandal-z2-classic/p</v>
      </c>
      <c r="C137" t="s">
        <v>569</v>
      </c>
      <c r="D137" t="s">
        <v>565</v>
      </c>
      <c r="E137" s="3" t="str">
        <f>HYPERLINK("https://www.amazon.com/Chaco-Redrock-Hiking-Shoes-Lithic/dp/B000ZIGLOG/ref=sr_1_30?keywords=Chaco+Z%2F2+Classic+Sandal+-+Women%27s&amp;qid=1695124158&amp;sr=8-30", "https://www.amazon.com/Chaco-Redrock-Hiking-Shoes-Lithic/dp/B000ZIGLOG/ref=sr_1_30?keywords=Chaco+Z%2F2+Classic+Sandal+-+Women%27s&amp;qid=1695124158&amp;sr=8-30")</f>
        <v>https://www.amazon.com/Chaco-Redrock-Hiking-Shoes-Lithic/dp/B000ZIGLOG/ref=sr_1_30?keywords=Chaco+Z%2F2+Classic+Sandal+-+Women%27s&amp;qid=1695124158&amp;sr=8-30</v>
      </c>
      <c r="F137" t="s">
        <v>566</v>
      </c>
      <c r="G137" t="e">
        <f ca="1">IMAGE("https://alssports.vtexassets.com/arquivos/ids/1041595-800-auto?v=637847825645570000&amp;width=800&amp;height=auto&amp;aspect=true")</f>
        <v>#NAME?</v>
      </c>
      <c r="H137" t="e">
        <f ca="1">IMAGE("https://m.media-amazon.com/images/I/71AynMikauL._AC_UL320_.jpg")</f>
        <v>#NAME?</v>
      </c>
      <c r="I137" t="s">
        <v>268</v>
      </c>
      <c r="J137">
        <v>40.5</v>
      </c>
      <c r="K137" s="2" t="s">
        <v>567</v>
      </c>
      <c r="L137">
        <v>4.4000000000000004</v>
      </c>
      <c r="M137">
        <v>344</v>
      </c>
      <c r="O137" t="s">
        <v>33</v>
      </c>
      <c r="P137" t="s">
        <v>269</v>
      </c>
      <c r="Q137" t="s">
        <v>570</v>
      </c>
    </row>
    <row r="138" spans="1:17" ht="15.75" x14ac:dyDescent="0.25">
      <c r="A138" s="3" t="str">
        <f>HYPERLINK("https://www.als.com/brooks-m-shoe-hyperion/p?skuId=1327074", "https://www.als.com/brooks-m-shoe-hyperion/p?skuId=1327074")</f>
        <v>https://www.als.com/brooks-m-shoe-hyperion/p?skuId=1327074</v>
      </c>
      <c r="B138" s="3" t="str">
        <f>HYPERLINK("https://www.als.com/brooks-m-shoe-hyperion/p", "https://www.als.com/brooks-m-shoe-hyperion/p")</f>
        <v>https://www.als.com/brooks-m-shoe-hyperion/p</v>
      </c>
      <c r="C138" t="s">
        <v>571</v>
      </c>
      <c r="D138" t="s">
        <v>572</v>
      </c>
      <c r="E138" s="3" t="str">
        <f>HYPERLINK("https://www.amazon.com/Brooks-Levitate-Mens-Supportive-Running/dp/B08LQXJV99/ref=sr_1_33?keywords=Brooks+Hyperion+Running+Shoe+-+Men%27s&amp;qid=1695124104&amp;sr=8-33", "https://www.amazon.com/Brooks-Levitate-Mens-Supportive-Running/dp/B08LQXJV99/ref=sr_1_33?keywords=Brooks+Hyperion+Running+Shoe+-+Men%27s&amp;qid=1695124104&amp;sr=8-33")</f>
        <v>https://www.amazon.com/Brooks-Levitate-Mens-Supportive-Running/dp/B08LQXJV99/ref=sr_1_33?keywords=Brooks+Hyperion+Running+Shoe+-+Men%27s&amp;qid=1695124104&amp;sr=8-33</v>
      </c>
      <c r="F138" t="s">
        <v>573</v>
      </c>
      <c r="G138" t="e">
        <f ca="1">IMAGE("https://alssports.vtexassets.com/arquivos/ids/1377944-800-auto?v=638248725248900000&amp;width=800&amp;height=auto&amp;aspect=true")</f>
        <v>#NAME?</v>
      </c>
      <c r="H138" t="e">
        <f ca="1">IMAGE("https://m.media-amazon.com/images/I/81MJU+-9m6L._AC_UL320_.jpg")</f>
        <v>#NAME?</v>
      </c>
      <c r="I138" t="s">
        <v>119</v>
      </c>
      <c r="J138">
        <v>134.99</v>
      </c>
      <c r="K138" s="2" t="s">
        <v>574</v>
      </c>
      <c r="L138">
        <v>4.5999999999999996</v>
      </c>
      <c r="M138">
        <v>403</v>
      </c>
      <c r="O138" t="s">
        <v>33</v>
      </c>
      <c r="P138" t="s">
        <v>26</v>
      </c>
      <c r="Q138" t="s">
        <v>575</v>
      </c>
    </row>
    <row r="139" spans="1:17" ht="15.75" x14ac:dyDescent="0.25">
      <c r="A139" s="3" t="str">
        <f>HYPERLINK("https://www.als.com/keen-m-koven-mid-wp/p?skuId=1240445", "https://www.als.com/keen-m-koven-mid-wp/p?skuId=1240445")</f>
        <v>https://www.als.com/keen-m-koven-mid-wp/p?skuId=1240445</v>
      </c>
      <c r="B139" s="3" t="str">
        <f>HYPERLINK("https://www.als.com/keen-m-koven-mid-wp/p", "https://www.als.com/keen-m-koven-mid-wp/p")</f>
        <v>https://www.als.com/keen-m-koven-mid-wp/p</v>
      </c>
      <c r="C139" t="s">
        <v>282</v>
      </c>
      <c r="D139" t="s">
        <v>576</v>
      </c>
      <c r="E139" s="3" t="str">
        <f>HYPERLINK("https://www.amazon.com/KEEN-Circadia-Comfortable-Waterproof-Canteen/dp/B0B2PNV12V/ref=sr_1_16?keywords=KEEN+Koven+Mid+Waterproof+Hiking+Boot+-+Men%27s&amp;qid=1695124140&amp;sr=8-16", "https://www.amazon.com/KEEN-Circadia-Comfortable-Waterproof-Canteen/dp/B0B2PNV12V/ref=sr_1_16?keywords=KEEN+Koven+Mid+Waterproof+Hiking+Boot+-+Men%27s&amp;qid=1695124140&amp;sr=8-16")</f>
        <v>https://www.amazon.com/KEEN-Circadia-Comfortable-Waterproof-Canteen/dp/B0B2PNV12V/ref=sr_1_16?keywords=KEEN+Koven+Mid+Waterproof+Hiking+Boot+-+Men%27s&amp;qid=1695124140&amp;sr=8-16</v>
      </c>
      <c r="F139" t="s">
        <v>577</v>
      </c>
      <c r="G139" t="e">
        <f ca="1">IMAGE("https://alssports.vtexassets.com/arquivos/ids/1363221-800-auto?v=638236488805200000&amp;width=800&amp;height=auto&amp;aspect=true")</f>
        <v>#NAME?</v>
      </c>
      <c r="H139" t="e">
        <f ca="1">IMAGE("https://m.media-amazon.com/images/I/81mH8W65LcL._AC_UL320_.jpg")</f>
        <v>#NAME?</v>
      </c>
      <c r="I139" t="s">
        <v>285</v>
      </c>
      <c r="J139">
        <v>135</v>
      </c>
      <c r="K139" s="2" t="s">
        <v>578</v>
      </c>
      <c r="L139">
        <v>3</v>
      </c>
      <c r="M139">
        <v>17</v>
      </c>
      <c r="O139" t="s">
        <v>33</v>
      </c>
      <c r="P139" t="s">
        <v>26</v>
      </c>
      <c r="Q139" t="s">
        <v>287</v>
      </c>
    </row>
    <row r="140" spans="1:17" ht="15.75" x14ac:dyDescent="0.25">
      <c r="A140" s="3" t="str">
        <f>HYPERLINK("https://www.als.com/outres-mens-ferrosi-pants/p?skuId=1113349", "https://www.als.com/outres-mens-ferrosi-pants/p?skuId=1113349")</f>
        <v>https://www.als.com/outres-mens-ferrosi-pants/p?skuId=1113349</v>
      </c>
      <c r="B140" s="3" t="str">
        <f>HYPERLINK("https://www.als.com/outres-mens-ferrosi-pants/p", "https://www.als.com/outres-mens-ferrosi-pants/p")</f>
        <v>https://www.als.com/outres-mens-ferrosi-pants/p</v>
      </c>
      <c r="C140" t="s">
        <v>579</v>
      </c>
      <c r="D140" t="s">
        <v>580</v>
      </c>
      <c r="E140" s="3" t="str">
        <f>HYPERLINK("https://www.amazon.com/Outdoor-Research-Mens-Voodoo-Pants/dp/B09QMRYMF8/ref=sr_1_34?keywords=Outdoor+Research+Ferrosi+Pant+-+Men%27s&amp;qid=1695124132&amp;sr=8-34", "https://www.amazon.com/Outdoor-Research-Mens-Voodoo-Pants/dp/B09QMRYMF8/ref=sr_1_34?keywords=Outdoor+Research+Ferrosi+Pant+-+Men%27s&amp;qid=1695124132&amp;sr=8-34")</f>
        <v>https://www.amazon.com/Outdoor-Research-Mens-Voodoo-Pants/dp/B09QMRYMF8/ref=sr_1_34?keywords=Outdoor+Research+Ferrosi+Pant+-+Men%27s&amp;qid=1695124132&amp;sr=8-34</v>
      </c>
      <c r="F140" t="s">
        <v>581</v>
      </c>
      <c r="G140" t="e">
        <f ca="1">IMAGE("https://alssports.vtexassets.com/arquivos/ids/1243751-800-auto?v=638121884180200000&amp;width=800&amp;height=auto&amp;aspect=true")</f>
        <v>#NAME?</v>
      </c>
      <c r="H140" t="e">
        <f ca="1">IMAGE("https://m.media-amazon.com/images/I/51UniPSouFL._AC_UL320_.jpg")</f>
        <v>#NAME?</v>
      </c>
      <c r="I140" t="s">
        <v>582</v>
      </c>
      <c r="J140">
        <v>64.319999999999993</v>
      </c>
      <c r="K140" s="2" t="s">
        <v>583</v>
      </c>
      <c r="L140">
        <v>4.4000000000000004</v>
      </c>
      <c r="M140">
        <v>3</v>
      </c>
      <c r="O140" t="s">
        <v>33</v>
      </c>
      <c r="P140" t="s">
        <v>584</v>
      </c>
      <c r="Q140" t="s">
        <v>585</v>
      </c>
    </row>
    <row r="141" spans="1:17" ht="15.75" x14ac:dyDescent="0.25">
      <c r="A141" s="3" t="str">
        <f>HYPERLINK("https://www.als.com/prana-lindores-shirt/p?skuId=986663", "https://www.als.com/prana-lindores-shirt/p?skuId=986663")</f>
        <v>https://www.als.com/prana-lindores-shirt/p?skuId=986663</v>
      </c>
      <c r="B141" s="3" t="str">
        <f>HYPERLINK("https://www.als.com/prana-lindores-shirt/p", "https://www.als.com/prana-lindores-shirt/p")</f>
        <v>https://www.als.com/prana-lindores-shirt/p</v>
      </c>
      <c r="C141" t="s">
        <v>586</v>
      </c>
      <c r="D141" t="s">
        <v>587</v>
      </c>
      <c r="E141" s="3" t="str">
        <f>HYPERLINK("https://www.amazon.com/prAna-Squeeze-Journeyman-Charcoal-Heather/dp/B07KQZKJJG/ref=sr_1_28?keywords=prAna+Lindores+Shirt+-+Men%27s&amp;qid=1695124473&amp;sr=8-28", "https://www.amazon.com/prAna-Squeeze-Journeyman-Charcoal-Heather/dp/B07KQZKJJG/ref=sr_1_28?keywords=prAna+Lindores+Shirt+-+Men%27s&amp;qid=1695124473&amp;sr=8-28")</f>
        <v>https://www.amazon.com/prAna-Squeeze-Journeyman-Charcoal-Heather/dp/B07KQZKJJG/ref=sr_1_28?keywords=prAna+Lindores+Shirt+-+Men%27s&amp;qid=1695124473&amp;sr=8-28</v>
      </c>
      <c r="F141" t="s">
        <v>588</v>
      </c>
      <c r="G141" t="e">
        <f ca="1">IMAGE("https://alssports.vtexassets.com/arquivos/ids/1012979-800-auto?v=637817020518400000&amp;width=800&amp;height=auto&amp;aspect=true")</f>
        <v>#NAME?</v>
      </c>
      <c r="H141" t="e">
        <f ca="1">IMAGE("https://m.media-amazon.com/images/I/71tbwjcIYxL._AC_UL320_.jpg")</f>
        <v>#NAME?</v>
      </c>
      <c r="I141" t="s">
        <v>589</v>
      </c>
      <c r="J141">
        <v>26.59</v>
      </c>
      <c r="K141" s="2" t="s">
        <v>590</v>
      </c>
      <c r="L141">
        <v>4.7</v>
      </c>
      <c r="M141">
        <v>56</v>
      </c>
      <c r="O141" t="s">
        <v>26</v>
      </c>
      <c r="P141" t="s">
        <v>591</v>
      </c>
      <c r="Q141" t="s">
        <v>592</v>
      </c>
    </row>
    <row r="142" spans="1:17" ht="15.75" x14ac:dyDescent="0.25">
      <c r="A142" s="3" t="str">
        <f>HYPERLINK("https://www.als.com/birken-ws-sandal-arizona-soft-ftbed/p?skuId=254551", "https://www.als.com/birken-ws-sandal-arizona-soft-ftbed/p?skuId=254551")</f>
        <v>https://www.als.com/birken-ws-sandal-arizona-soft-ftbed/p?skuId=254551</v>
      </c>
      <c r="B142" s="3" t="str">
        <f>HYPERLINK("https://www.als.com/birken-ws-sandal-arizona-soft-ftbed/p", "https://www.als.com/birken-ws-sandal-arizona-soft-ftbed/p")</f>
        <v>https://www.als.com/birken-ws-sandal-arizona-soft-ftbed/p</v>
      </c>
      <c r="C142" t="s">
        <v>446</v>
      </c>
      <c r="D142" t="s">
        <v>593</v>
      </c>
      <c r="E142" s="3" t="str">
        <f>HYPERLINK("https://www.amazon.com/Birkenstock-Unisex-Arizona-Leather-Sandals/dp/B00EE49478/ref=sr_1_29?keywords=Birkenstock+Arizona+Soft+Footbed+Sandal&amp;qid=1695124328&amp;sr=8-29", "https://www.amazon.com/Birkenstock-Unisex-Arizona-Leather-Sandals/dp/B00EE49478/ref=sr_1_29?keywords=Birkenstock+Arizona+Soft+Footbed+Sandal&amp;qid=1695124328&amp;sr=8-29")</f>
        <v>https://www.amazon.com/Birkenstock-Unisex-Arizona-Leather-Sandals/dp/B00EE49478/ref=sr_1_29?keywords=Birkenstock+Arizona+Soft+Footbed+Sandal&amp;qid=1695124328&amp;sr=8-29</v>
      </c>
      <c r="F142" t="s">
        <v>594</v>
      </c>
      <c r="G142" t="e">
        <f ca="1">IMAGE("https://alssports.vtexassets.com/arquivos/ids/1316883-800-auto?v=638198562145970000&amp;width=800&amp;height=auto&amp;aspect=true")</f>
        <v>#NAME?</v>
      </c>
      <c r="H142" t="e">
        <f ca="1">IMAGE("https://m.media-amazon.com/images/I/51+V-ySfSIL._AC_UL320_.jpg")</f>
        <v>#NAME?</v>
      </c>
      <c r="I142" t="s">
        <v>449</v>
      </c>
      <c r="J142">
        <v>130</v>
      </c>
      <c r="K142" s="2" t="s">
        <v>595</v>
      </c>
      <c r="L142">
        <v>4.4000000000000004</v>
      </c>
      <c r="M142">
        <v>37</v>
      </c>
      <c r="O142" t="s">
        <v>33</v>
      </c>
      <c r="P142" t="s">
        <v>26</v>
      </c>
      <c r="Q142" t="s">
        <v>451</v>
      </c>
    </row>
    <row r="143" spans="1:17" ht="15.75" x14ac:dyDescent="0.25">
      <c r="A143" s="3" t="str">
        <f>HYPERLINK("https://www.als.com/adidas-w-shoe-4dfwd-2/p?skuId=1285989", "https://www.als.com/adidas-w-shoe-4dfwd-2/p?skuId=1285989")</f>
        <v>https://www.als.com/adidas-w-shoe-4dfwd-2/p?skuId=1285989</v>
      </c>
      <c r="B143" s="3" t="str">
        <f>HYPERLINK("https://www.als.com/adidas-w-shoe-4dfwd-2/p", "https://www.als.com/adidas-w-shoe-4dfwd-2/p")</f>
        <v>https://www.als.com/adidas-w-shoe-4dfwd-2/p</v>
      </c>
      <c r="C143" t="s">
        <v>392</v>
      </c>
      <c r="D143" t="s">
        <v>596</v>
      </c>
      <c r="E143" s="3" t="str">
        <f>HYPERLINK("https://www.amazon.com/adidas-Womens-Sl20-2-Running-Signal/dp/B08S7RC8FL/ref=sr_1_10?keywords=adidas+4DFWD+2+Shoe+-+Women%27s&amp;qid=1695124326&amp;sr=8-10", "https://www.amazon.com/adidas-Womens-Sl20-2-Running-Signal/dp/B08S7RC8FL/ref=sr_1_10?keywords=adidas+4DFWD+2+Shoe+-+Women%27s&amp;qid=1695124326&amp;sr=8-10")</f>
        <v>https://www.amazon.com/adidas-Womens-Sl20-2-Running-Signal/dp/B08S7RC8FL/ref=sr_1_10?keywords=adidas+4DFWD+2+Shoe+-+Women%27s&amp;qid=1695124326&amp;sr=8-10</v>
      </c>
      <c r="F143" t="s">
        <v>597</v>
      </c>
      <c r="G143" t="e">
        <f ca="1">IMAGE("https://alssports.vtexassets.com/arquivos/ids/1396854-800-auto?v=638260048905170000&amp;width=800&amp;height=auto&amp;aspect=true")</f>
        <v>#NAME?</v>
      </c>
      <c r="H143" t="e">
        <f ca="1">IMAGE("https://m.media-amazon.com/images/I/71gq2QKIW1L._AC_UL320_.jpg")</f>
        <v>#NAME?</v>
      </c>
      <c r="I143" t="s">
        <v>395</v>
      </c>
      <c r="J143">
        <v>76.95</v>
      </c>
      <c r="K143" s="2" t="s">
        <v>598</v>
      </c>
      <c r="L143">
        <v>4.2</v>
      </c>
      <c r="M143">
        <v>124</v>
      </c>
      <c r="O143" t="s">
        <v>33</v>
      </c>
      <c r="P143" t="s">
        <v>73</v>
      </c>
      <c r="Q143" t="s">
        <v>397</v>
      </c>
    </row>
    <row r="144" spans="1:17" ht="15.75" x14ac:dyDescent="0.25">
      <c r="A144" s="3" t="str">
        <f>HYPERLINK("https://www.als.com/under-m-short-ua-training-stretch/p?skuId=817748", "https://www.als.com/under-m-short-ua-training-stretch/p?skuId=817748")</f>
        <v>https://www.als.com/under-m-short-ua-training-stretch/p?skuId=817748</v>
      </c>
      <c r="B144" s="3" t="str">
        <f>HYPERLINK("https://www.als.com/under-m-short-ua-training-stretch/p", "https://www.als.com/under-m-short-ua-training-stretch/p")</f>
        <v>https://www.als.com/under-m-short-ua-training-stretch/p</v>
      </c>
      <c r="C144" t="s">
        <v>599</v>
      </c>
      <c r="D144" t="s">
        <v>600</v>
      </c>
      <c r="E144" s="3" t="str">
        <f>HYPERLINK("https://www.amazon.com/Under-Armour-Shorts-Pitch-Black/dp/B0874WFWPM/ref=sr_1_9?keywords=Under+Armour+Training+Stretch+Short+-+Men%27s&amp;qid=1695124338&amp;sr=8-9", "https://www.amazon.com/Under-Armour-Shorts-Pitch-Black/dp/B0874WFWPM/ref=sr_1_9?keywords=Under+Armour+Training+Stretch+Short+-+Men%27s&amp;qid=1695124338&amp;sr=8-9")</f>
        <v>https://www.amazon.com/Under-Armour-Shorts-Pitch-Black/dp/B0874WFWPM/ref=sr_1_9?keywords=Under+Armour+Training+Stretch+Short+-+Men%27s&amp;qid=1695124338&amp;sr=8-9</v>
      </c>
      <c r="F144" t="s">
        <v>601</v>
      </c>
      <c r="G144" t="e">
        <f ca="1">IMAGE("https://alssports.vtexassets.com/arquivos/ids/1087251-800-auto?v=638271167205870000&amp;width=800&amp;height=auto&amp;aspect=true")</f>
        <v>#NAME?</v>
      </c>
      <c r="H144" t="e">
        <f ca="1">IMAGE("https://m.media-amazon.com/images/I/51qSgaDeJOL._AC_UL320_.jpg")</f>
        <v>#NAME?</v>
      </c>
      <c r="I144" t="s">
        <v>602</v>
      </c>
      <c r="J144">
        <v>17.3</v>
      </c>
      <c r="K144" s="2" t="s">
        <v>603</v>
      </c>
      <c r="L144">
        <v>4.5999999999999996</v>
      </c>
      <c r="M144">
        <v>8796</v>
      </c>
      <c r="O144" t="s">
        <v>33</v>
      </c>
      <c r="P144" t="s">
        <v>233</v>
      </c>
      <c r="Q144" t="s">
        <v>604</v>
      </c>
    </row>
    <row r="145" spans="1:17" ht="15.75" x14ac:dyDescent="0.25">
      <c r="A145" s="3" t="str">
        <f>HYPERLINK("https://www.als.com/under-m-cleat-harper-7-low-st/p?skuId=1310807", "https://www.als.com/under-m-cleat-harper-7-low-st/p?skuId=1310807")</f>
        <v>https://www.als.com/under-m-cleat-harper-7-low-st/p?skuId=1310807</v>
      </c>
      <c r="B145" s="3" t="str">
        <f>HYPERLINK("https://www.als.com/under-m-cleat-harper-7-low-st/p", "https://www.als.com/under-m-cleat-harper-7-low-st/p")</f>
        <v>https://www.als.com/under-m-cleat-harper-7-low-st/p</v>
      </c>
      <c r="C145" t="s">
        <v>531</v>
      </c>
      <c r="D145" t="s">
        <v>605</v>
      </c>
      <c r="E145" s="3" t="str">
        <f>HYPERLINK("https://www.amazon.com/Under-Armour-Harper-Rubber-Baseball/dp/B09LSC9251/ref=sr_1_2?keywords=Under+Armour+Harper+7+Low+St+Baseball+Cleat+-+Mens&amp;qid=1695124327&amp;sr=8-2", "https://www.amazon.com/Under-Armour-Harper-Rubber-Baseball/dp/B09LSC9251/ref=sr_1_2?keywords=Under+Armour+Harper+7+Low+St+Baseball+Cleat+-+Mens&amp;qid=1695124327&amp;sr=8-2")</f>
        <v>https://www.amazon.com/Under-Armour-Harper-Rubber-Baseball/dp/B09LSC9251/ref=sr_1_2?keywords=Under+Armour+Harper+7+Low+St+Baseball+Cleat+-+Mens&amp;qid=1695124327&amp;sr=8-2</v>
      </c>
      <c r="F145" t="s">
        <v>606</v>
      </c>
      <c r="G145" t="e">
        <f ca="1">IMAGE("https://alssports.vtexassets.com/arquivos/ids/1282050-800-auto?v=638157909890300000&amp;width=800&amp;height=auto&amp;aspect=true")</f>
        <v>#NAME?</v>
      </c>
      <c r="H145" t="e">
        <f ca="1">IMAGE("https://m.media-amazon.com/images/I/71gzdpPYdoL._AC_UL320_.jpg")</f>
        <v>#NAME?</v>
      </c>
      <c r="I145" t="s">
        <v>534</v>
      </c>
      <c r="J145">
        <v>49.98</v>
      </c>
      <c r="K145" s="2" t="s">
        <v>607</v>
      </c>
      <c r="L145">
        <v>4.5999999999999996</v>
      </c>
      <c r="M145">
        <v>782</v>
      </c>
      <c r="O145" t="s">
        <v>33</v>
      </c>
      <c r="P145" t="s">
        <v>536</v>
      </c>
      <c r="Q145" t="s">
        <v>537</v>
      </c>
    </row>
    <row r="146" spans="1:17" ht="15.75" x14ac:dyDescent="0.25">
      <c r="A146" s="3" t="str">
        <f>HYPERLINK("https://www.als.com/under-pant-rival-fleece-joggers-boys/p?skuId=668266", "https://www.als.com/under-pant-rival-fleece-joggers-boys/p?skuId=668266")</f>
        <v>https://www.als.com/under-pant-rival-fleece-joggers-boys/p?skuId=668266</v>
      </c>
      <c r="B146" s="3" t="str">
        <f>HYPERLINK("https://www.als.com/under-pant-rival-fleece-joggers-boys/p", "https://www.als.com/under-pant-rival-fleece-joggers-boys/p")</f>
        <v>https://www.als.com/under-pant-rival-fleece-joggers-boys/p</v>
      </c>
      <c r="C146" t="s">
        <v>608</v>
      </c>
      <c r="D146" t="s">
        <v>609</v>
      </c>
      <c r="E146" s="3" t="str">
        <f>HYPERLINK("https://www.amazon.com/Under-Armour-Printed-Designs-Embossed/dp/B0B7PBZ71D/ref=sr_1_18?keywords=Under+Armour+Rival+Fleece+Logo+Jogger+-+Boys&amp;qid=1695124343&amp;sr=8-18", "https://www.amazon.com/Under-Armour-Printed-Designs-Embossed/dp/B0B7PBZ71D/ref=sr_1_18?keywords=Under+Armour+Rival+Fleece+Logo+Jogger+-+Boys&amp;qid=1695124343&amp;sr=8-18")</f>
        <v>https://www.amazon.com/Under-Armour-Printed-Designs-Embossed/dp/B0B7PBZ71D/ref=sr_1_18?keywords=Under+Armour+Rival+Fleece+Logo+Jogger+-+Boys&amp;qid=1695124343&amp;sr=8-18</v>
      </c>
      <c r="F146" t="s">
        <v>610</v>
      </c>
      <c r="G146" t="e">
        <f ca="1">IMAGE("https://alssports.vtexassets.com/arquivos/ids/999825-800-auto?v=637796206548830000&amp;width=800&amp;height=auto&amp;aspect=true")</f>
        <v>#NAME?</v>
      </c>
      <c r="H146" t="e">
        <f ca="1">IMAGE("https://m.media-amazon.com/images/I/61C5sFGKq7L._AC_UL320_.jpg")</f>
        <v>#NAME?</v>
      </c>
      <c r="I146" t="s">
        <v>611</v>
      </c>
      <c r="J146">
        <v>23.06</v>
      </c>
      <c r="K146" s="2" t="s">
        <v>612</v>
      </c>
      <c r="L146">
        <v>4.7</v>
      </c>
      <c r="M146">
        <v>80</v>
      </c>
      <c r="O146" t="s">
        <v>33</v>
      </c>
      <c r="P146" t="s">
        <v>211</v>
      </c>
      <c r="Q146" t="s">
        <v>613</v>
      </c>
    </row>
    <row r="147" spans="1:17" ht="15.75" x14ac:dyDescent="0.25">
      <c r="A147" s="3" t="str">
        <f>HYPERLINK("https://www.als.com/worldf-chair-compact-collapsible/p?skuId=1015205", "https://www.als.com/worldf-chair-compact-collapsible/p?skuId=1015205")</f>
        <v>https://www.als.com/worldf-chair-compact-collapsible/p?skuId=1015205</v>
      </c>
      <c r="B147" s="3" t="str">
        <f>HYPERLINK("https://www.als.com/worldf-chair-compact-collapsible/p", "https://www.als.com/worldf-chair-compact-collapsible/p")</f>
        <v>https://www.als.com/worldf-chair-compact-collapsible/p</v>
      </c>
      <c r="C147" t="s">
        <v>614</v>
      </c>
      <c r="D147" t="s">
        <v>615</v>
      </c>
      <c r="E147" s="3" t="str">
        <f>HYPERLINK("https://www.amazon.com/World-Famous-Sports-Cupholder-Collapsible/dp/B00JMR9AUI/ref=sr_1_1?keywords=World+Famous+Sports+Compact+Collapsible+Chair&amp;qid=1695124141&amp;sr=8-1", "https://www.amazon.com/World-Famous-Sports-Cupholder-Collapsible/dp/B00JMR9AUI/ref=sr_1_1?keywords=World+Famous+Sports+Compact+Collapsible+Chair&amp;qid=1695124141&amp;sr=8-1")</f>
        <v>https://www.amazon.com/World-Famous-Sports-Cupholder-Collapsible/dp/B00JMR9AUI/ref=sr_1_1?keywords=World+Famous+Sports+Compact+Collapsible+Chair&amp;qid=1695124141&amp;sr=8-1</v>
      </c>
      <c r="F147" t="s">
        <v>616</v>
      </c>
      <c r="G147" t="e">
        <f ca="1">IMAGE("https://alssports.vtexassets.com/arquivos/ids/1049275-800-auto?v=637859969344300000&amp;width=800&amp;height=auto&amp;aspect=true")</f>
        <v>#NAME?</v>
      </c>
      <c r="H147" t="e">
        <f ca="1">IMAGE("https://m.media-amazon.com/images/I/71fDykbKWoL._AC_UL320_.jpg")</f>
        <v>#NAME?</v>
      </c>
      <c r="I147" t="s">
        <v>135</v>
      </c>
      <c r="J147">
        <v>23.99</v>
      </c>
      <c r="K147" s="2" t="s">
        <v>617</v>
      </c>
      <c r="L147">
        <v>3.2</v>
      </c>
      <c r="M147">
        <v>8</v>
      </c>
      <c r="O147" t="s">
        <v>33</v>
      </c>
      <c r="P147" t="s">
        <v>94</v>
      </c>
      <c r="Q147" t="s">
        <v>618</v>
      </c>
    </row>
    <row r="148" spans="1:17" ht="15.75" x14ac:dyDescent="0.25">
      <c r="A148" s="3" t="str">
        <f>HYPERLINK("https://www.als.com/adid-o-m-boot-free-hiker-2/p?skuId=1087944", "https://www.als.com/adid-o-m-boot-free-hiker-2/p?skuId=1087944")</f>
        <v>https://www.als.com/adid-o-m-boot-free-hiker-2/p?skuId=1087944</v>
      </c>
      <c r="B148" s="3" t="str">
        <f>HYPERLINK("https://www.als.com/adid-o-m-boot-free-hiker-2/p", "https://www.als.com/adid-o-m-boot-free-hiker-2/p")</f>
        <v>https://www.als.com/adid-o-m-boot-free-hiker-2/p</v>
      </c>
      <c r="C148" t="s">
        <v>517</v>
      </c>
      <c r="D148" t="s">
        <v>619</v>
      </c>
      <c r="E148" s="3" t="str">
        <f>HYPERLINK("https://www.amazon.com/adidas-Terrex-Skychaser-Gore-TEX-Hiking/dp/B09NCGSHYP/ref=sr_1_21?keywords=adidas+Terrex+Free+Hiker+2+Hiking+Shoe+-+Men%27s&amp;qid=1695124155&amp;sr=8-21", "https://www.amazon.com/adidas-Terrex-Skychaser-Gore-TEX-Hiking/dp/B09NCGSHYP/ref=sr_1_21?keywords=adidas+Terrex+Free+Hiker+2+Hiking+Shoe+-+Men%27s&amp;qid=1695124155&amp;sr=8-21")</f>
        <v>https://www.amazon.com/adidas-Terrex-Skychaser-Gore-TEX-Hiking/dp/B09NCGSHYP/ref=sr_1_21?keywords=adidas+Terrex+Free+Hiker+2+Hiking+Shoe+-+Men%27s&amp;qid=1695124155&amp;sr=8-21</v>
      </c>
      <c r="F148" t="s">
        <v>620</v>
      </c>
      <c r="G148" t="e">
        <f ca="1">IMAGE("https://alssports.vtexassets.com/arquivos/ids/1086542-800-auto?v=637920243388070000&amp;width=800&amp;height=auto&amp;aspect=true")</f>
        <v>#NAME?</v>
      </c>
      <c r="H148" t="e">
        <f ca="1">IMAGE("https://m.media-amazon.com/images/I/51ijQ57X11L._AC_UL320_.jpg")</f>
        <v>#NAME?</v>
      </c>
      <c r="I148" t="s">
        <v>520</v>
      </c>
      <c r="J148">
        <v>95.95</v>
      </c>
      <c r="K148" s="2" t="s">
        <v>621</v>
      </c>
      <c r="L148">
        <v>4.3</v>
      </c>
      <c r="M148">
        <v>12</v>
      </c>
      <c r="O148" t="s">
        <v>33</v>
      </c>
      <c r="P148" t="s">
        <v>73</v>
      </c>
      <c r="Q148" t="s">
        <v>522</v>
      </c>
    </row>
    <row r="149" spans="1:17" ht="15.75" x14ac:dyDescent="0.25">
      <c r="A149" s="3" t="str">
        <f>HYPERLINK("https://www.als.com/adid-o-m-boot-free-hiker-2-gtx/p?skuId=1276368", "https://www.als.com/adid-o-m-boot-free-hiker-2-gtx/p?skuId=1276368")</f>
        <v>https://www.als.com/adid-o-m-boot-free-hiker-2-gtx/p?skuId=1276368</v>
      </c>
      <c r="B149" s="3" t="str">
        <f>HYPERLINK("https://www.als.com/adid-o-m-boot-free-hiker-2-gtx/p", "https://www.als.com/adid-o-m-boot-free-hiker-2-gtx/p")</f>
        <v>https://www.als.com/adid-o-m-boot-free-hiker-2-gtx/p</v>
      </c>
      <c r="C149" t="s">
        <v>622</v>
      </c>
      <c r="D149" t="s">
        <v>623</v>
      </c>
      <c r="E149" s="3" t="str">
        <f>HYPERLINK("https://www.amazon.com/adidas-Trailmaker-Gore-Tex-Walking-Heather/dp/B0893ZSMR1/ref=sr_1_4?keywords=adidas+Terrex+Free+Hiker+Gore-Tex+2.0+Hiking+Shoe+-+Men%27s&amp;qid=1695124395&amp;sr=8-4", "https://www.amazon.com/adidas-Trailmaker-Gore-Tex-Walking-Heather/dp/B0893ZSMR1/ref=sr_1_4?keywords=adidas+Terrex+Free+Hiker+Gore-Tex+2.0+Hiking+Shoe+-+Men%27s&amp;qid=1695124395&amp;sr=8-4")</f>
        <v>https://www.amazon.com/adidas-Trailmaker-Gore-Tex-Walking-Heather/dp/B0893ZSMR1/ref=sr_1_4?keywords=adidas+Terrex+Free+Hiker+Gore-Tex+2.0+Hiking+Shoe+-+Men%27s&amp;qid=1695124395&amp;sr=8-4</v>
      </c>
      <c r="F149" t="s">
        <v>624</v>
      </c>
      <c r="G149" t="e">
        <f ca="1">IMAGE("https://alssports.vtexassets.com/arquivos/ids/1274061-800-auto?v=638150973883100000&amp;width=800&amp;height=auto&amp;aspect=true")</f>
        <v>#NAME?</v>
      </c>
      <c r="H149" t="e">
        <f ca="1">IMAGE("https://m.media-amazon.com/images/I/71VThxjMECS._AC_UL320_.jpg")</f>
        <v>#NAME?</v>
      </c>
      <c r="I149" t="s">
        <v>625</v>
      </c>
      <c r="J149">
        <v>110.29</v>
      </c>
      <c r="K149" s="2" t="s">
        <v>626</v>
      </c>
      <c r="L149">
        <v>4.4000000000000004</v>
      </c>
      <c r="M149">
        <v>285</v>
      </c>
      <c r="O149" t="s">
        <v>33</v>
      </c>
      <c r="P149" t="s">
        <v>627</v>
      </c>
      <c r="Q149" t="s">
        <v>628</v>
      </c>
    </row>
    <row r="150" spans="1:17" ht="15.75" x14ac:dyDescent="0.25">
      <c r="A150" s="3" t="str">
        <f>HYPERLINK("https://www.als.com/adid-o-m-boot-terrex-free-hiker-2-gtx/p?skuId=1087960", "https://www.als.com/adid-o-m-boot-terrex-free-hiker-2-gtx/p?skuId=1087960")</f>
        <v>https://www.als.com/adid-o-m-boot-terrex-free-hiker-2-gtx/p?skuId=1087960</v>
      </c>
      <c r="B150" s="3" t="str">
        <f>HYPERLINK("https://www.als.com/adid-o-m-boot-terrex-free-hiker-2-gtx/p", "https://www.als.com/adid-o-m-boot-terrex-free-hiker-2-gtx/p")</f>
        <v>https://www.als.com/adid-o-m-boot-terrex-free-hiker-2-gtx/p</v>
      </c>
      <c r="C150" t="s">
        <v>629</v>
      </c>
      <c r="D150" t="s">
        <v>623</v>
      </c>
      <c r="E150" s="3" t="str">
        <f>HYPERLINK("https://www.amazon.com/adidas-Trailmaker-Gore-Tex-Walking-Heather/dp/B0893ZSMR1/ref=sr_1_4?keywords=adidas+Terrex+Free+Hiker+2+Gore-Tex+Hiking+Shoe+-+Men%27s&amp;qid=1695124133&amp;sr=8-4", "https://www.amazon.com/adidas-Trailmaker-Gore-Tex-Walking-Heather/dp/B0893ZSMR1/ref=sr_1_4?keywords=adidas+Terrex+Free+Hiker+2+Gore-Tex+Hiking+Shoe+-+Men%27s&amp;qid=1695124133&amp;sr=8-4")</f>
        <v>https://www.amazon.com/adidas-Trailmaker-Gore-Tex-Walking-Heather/dp/B0893ZSMR1/ref=sr_1_4?keywords=adidas+Terrex+Free+Hiker+2+Gore-Tex+Hiking+Shoe+-+Men%27s&amp;qid=1695124133&amp;sr=8-4</v>
      </c>
      <c r="F150" t="s">
        <v>624</v>
      </c>
      <c r="G150" t="e">
        <f ca="1">IMAGE("https://alssports.vtexassets.com/arquivos/ids/1167770-800-auto?v=638032858310700000&amp;width=800&amp;height=auto&amp;aspect=true")</f>
        <v>#NAME?</v>
      </c>
      <c r="H150" t="e">
        <f ca="1">IMAGE("https://m.media-amazon.com/images/I/71VThxjMECS._AC_UL320_.jpg")</f>
        <v>#NAME?</v>
      </c>
      <c r="I150" t="s">
        <v>625</v>
      </c>
      <c r="J150">
        <v>110.29</v>
      </c>
      <c r="K150" s="2" t="s">
        <v>626</v>
      </c>
      <c r="L150">
        <v>4.4000000000000004</v>
      </c>
      <c r="M150">
        <v>285</v>
      </c>
      <c r="O150" t="s">
        <v>33</v>
      </c>
      <c r="P150" t="s">
        <v>627</v>
      </c>
      <c r="Q150" t="s">
        <v>630</v>
      </c>
    </row>
    <row r="151" spans="1:17" ht="15.75" x14ac:dyDescent="0.25">
      <c r="A151" s="3" t="str">
        <f>HYPERLINK("https://www.als.com/petzl-belay-grigri-assisted-braking/p?skuId=572368", "https://www.als.com/petzl-belay-grigri-assisted-braking/p?skuId=572368")</f>
        <v>https://www.als.com/petzl-belay-grigri-assisted-braking/p?skuId=572368</v>
      </c>
      <c r="B151" s="3" t="str">
        <f>HYPERLINK("https://www.als.com/petzl-belay-grigri-assisted-braking/p", "https://www.als.com/petzl-belay-grigri-assisted-braking/p")</f>
        <v>https://www.als.com/petzl-belay-grigri-assisted-braking/p</v>
      </c>
      <c r="C151" t="s">
        <v>631</v>
      </c>
      <c r="D151" t="s">
        <v>632</v>
      </c>
      <c r="E151" s="3" t="str">
        <f>HYPERLINK("https://www.amazon.com/Petzl-GRIGRI-Climbing-Belay-Device/dp/B07MHM92WJ/ref=sr_1_3?keywords=Petzl+GriGri+Belay+Device&amp;qid=1695124323&amp;sr=8-3", "https://www.amazon.com/Petzl-GRIGRI-Climbing-Belay-Device/dp/B07MHM92WJ/ref=sr_1_3?keywords=Petzl+GriGri+Belay+Device&amp;qid=1695124323&amp;sr=8-3")</f>
        <v>https://www.amazon.com/Petzl-GRIGRI-Climbing-Belay-Device/dp/B07MHM92WJ/ref=sr_1_3?keywords=Petzl+GriGri+Belay+Device&amp;qid=1695124323&amp;sr=8-3</v>
      </c>
      <c r="F151" t="s">
        <v>633</v>
      </c>
      <c r="G151" t="e">
        <f ca="1">IMAGE("https://alssports.vtexassets.com/arquivos/ids/1023632-800-auto?v=637823067748170000&amp;width=800&amp;height=auto&amp;aspect=true")</f>
        <v>#NAME?</v>
      </c>
      <c r="H151" t="e">
        <f ca="1">IMAGE("https://m.media-amazon.com/images/I/71oSt343e6L._AC_UY218_.jpg")</f>
        <v>#NAME?</v>
      </c>
      <c r="I151" t="s">
        <v>150</v>
      </c>
      <c r="J151">
        <v>105.45</v>
      </c>
      <c r="K151" s="2" t="s">
        <v>634</v>
      </c>
      <c r="L151">
        <v>4.9000000000000004</v>
      </c>
      <c r="M151">
        <v>93</v>
      </c>
      <c r="O151" t="s">
        <v>33</v>
      </c>
      <c r="P151" t="s">
        <v>26</v>
      </c>
      <c r="Q151" t="s">
        <v>635</v>
      </c>
    </row>
    <row r="152" spans="1:17" ht="15.75" x14ac:dyDescent="0.25">
      <c r="A152" s="3" t="str">
        <f>HYPERLINK("https://www.als.com/reding-reel-run/p?skuId=668675", "https://www.als.com/reding-reel-run/p?skuId=668675")</f>
        <v>https://www.als.com/reding-reel-run/p?skuId=668675</v>
      </c>
      <c r="B152" s="3" t="str">
        <f>HYPERLINK("https://www.als.com/reding-reel-run/p", "https://www.als.com/reding-reel-run/p")</f>
        <v>https://www.als.com/reding-reel-run/p</v>
      </c>
      <c r="C152" t="s">
        <v>636</v>
      </c>
      <c r="D152" t="s">
        <v>637</v>
      </c>
      <c r="E152" s="3" t="str">
        <f>HYPERLINK("https://www.amazon.com/Redington-Run-Fly-Reel-Black/dp/B08B54RSJ7/ref=sr_1_1?keywords=Redington+Run+Fishing+Reel&amp;qid=1695124368&amp;sr=8-1", "https://www.amazon.com/Redington-Run-Fly-Reel-Black/dp/B08B54RSJ7/ref=sr_1_1?keywords=Redington+Run+Fishing+Reel&amp;qid=1695124368&amp;sr=8-1")</f>
        <v>https://www.amazon.com/Redington-Run-Fly-Reel-Black/dp/B08B54RSJ7/ref=sr_1_1?keywords=Redington+Run+Fishing+Reel&amp;qid=1695124368&amp;sr=8-1</v>
      </c>
      <c r="F152" t="s">
        <v>638</v>
      </c>
      <c r="G152" t="e">
        <f ca="1">IMAGE("https://alssports.vtexassets.com/arquivos/ids/965822-800-auto?v=637738270480870000&amp;width=800&amp;height=auto&amp;aspect=true")</f>
        <v>#NAME?</v>
      </c>
      <c r="H152" t="e">
        <f ca="1">IMAGE("https://m.media-amazon.com/images/I/616kPmuvhiL._AC_UY218_.jpg")</f>
        <v>#NAME?</v>
      </c>
      <c r="I152" t="s">
        <v>639</v>
      </c>
      <c r="J152">
        <v>115</v>
      </c>
      <c r="K152" s="2" t="s">
        <v>640</v>
      </c>
      <c r="L152">
        <v>4.5999999999999996</v>
      </c>
      <c r="M152">
        <v>60</v>
      </c>
      <c r="O152" t="s">
        <v>33</v>
      </c>
      <c r="P152" t="s">
        <v>26</v>
      </c>
      <c r="Q152" t="s">
        <v>641</v>
      </c>
    </row>
    <row r="153" spans="1:17" ht="15.75" x14ac:dyDescent="0.25">
      <c r="A153" s="3" t="str">
        <f>HYPERLINK("https://www.als.com/reding-reel-run/p?skuId=668675", "https://www.als.com/reding-reel-run/p?skuId=668675")</f>
        <v>https://www.als.com/reding-reel-run/p?skuId=668675</v>
      </c>
      <c r="B153" s="3" t="str">
        <f>HYPERLINK("https://www.als.com/reding-reel-run/p", "https://www.als.com/reding-reel-run/p")</f>
        <v>https://www.als.com/reding-reel-run/p</v>
      </c>
      <c r="C153" t="s">
        <v>636</v>
      </c>
      <c r="D153" t="s">
        <v>642</v>
      </c>
      <c r="E153" s="3" t="str">
        <f>HYPERLINK("https://www.amazon.com/Redington-Link-790-4-Reel-Outfit/dp/B00B2VJS2W/ref=sr_1_4?keywords=Redington+Run+Fishing+Reel&amp;qid=1695124368&amp;sr=8-4", "https://www.amazon.com/Redington-Link-790-4-Reel-Outfit/dp/B00B2VJS2W/ref=sr_1_4?keywords=Redington+Run+Fishing+Reel&amp;qid=1695124368&amp;sr=8-4")</f>
        <v>https://www.amazon.com/Redington-Link-790-4-Reel-Outfit/dp/B00B2VJS2W/ref=sr_1_4?keywords=Redington+Run+Fishing+Reel&amp;qid=1695124368&amp;sr=8-4</v>
      </c>
      <c r="F153" t="s">
        <v>643</v>
      </c>
      <c r="G153" t="e">
        <f ca="1">IMAGE("https://alssports.vtexassets.com/arquivos/ids/965822-800-auto?v=637738270480870000&amp;width=800&amp;height=auto&amp;aspect=true")</f>
        <v>#NAME?</v>
      </c>
      <c r="H153" t="e">
        <f ca="1">IMAGE("https://m.media-amazon.com/images/I/61bvOJMHYqL._AC_UY218_.jpg")</f>
        <v>#NAME?</v>
      </c>
      <c r="I153" t="s">
        <v>639</v>
      </c>
      <c r="J153">
        <v>115</v>
      </c>
      <c r="K153" s="2" t="s">
        <v>640</v>
      </c>
      <c r="L153">
        <v>5</v>
      </c>
      <c r="M153">
        <v>1</v>
      </c>
      <c r="O153" t="s">
        <v>33</v>
      </c>
      <c r="P153" t="s">
        <v>26</v>
      </c>
      <c r="Q153" t="s">
        <v>641</v>
      </c>
    </row>
    <row r="154" spans="1:17" ht="15.75" x14ac:dyDescent="0.25">
      <c r="A154" s="3" t="str">
        <f>HYPERLINK("https://www.als.com/prana-legging-becksa-78-wmns/p?skuId=1040263", "https://www.als.com/prana-legging-becksa-78-wmns/p?skuId=1040263")</f>
        <v>https://www.als.com/prana-legging-becksa-78-wmns/p?skuId=1040263</v>
      </c>
      <c r="B154" s="3" t="str">
        <f>HYPERLINK("https://www.als.com/prana-legging-becksa-78-wmns/p", "https://www.als.com/prana-legging-becksa-78-wmns/p")</f>
        <v>https://www.als.com/prana-legging-becksa-78-wmns/p</v>
      </c>
      <c r="C154" t="s">
        <v>333</v>
      </c>
      <c r="D154" t="s">
        <v>644</v>
      </c>
      <c r="E154" s="3" t="str">
        <f>HYPERLINK("https://www.amazon.com/prAna-Transform-Leggings-Black-Womens/dp/B09PL771WJ/ref=sr_1_21?keywords=prAna+Becksa+7%2F8+Legging+-+Womens&amp;qid=1695124418&amp;sr=8-21", "https://www.amazon.com/prAna-Transform-Leggings-Black-Womens/dp/B09PL771WJ/ref=sr_1_21?keywords=prAna+Becksa+7%2F8+Legging+-+Womens&amp;qid=1695124418&amp;sr=8-21")</f>
        <v>https://www.amazon.com/prAna-Transform-Leggings-Black-Womens/dp/B09PL771WJ/ref=sr_1_21?keywords=prAna+Becksa+7%2F8+Legging+-+Womens&amp;qid=1695124418&amp;sr=8-21</v>
      </c>
      <c r="F154" t="s">
        <v>645</v>
      </c>
      <c r="G154" t="e">
        <f ca="1">IMAGE("https://alssports.vtexassets.com/arquivos/ids/1237578-800-auto?v=638116819757870000&amp;width=800&amp;height=auto&amp;aspect=true")</f>
        <v>#NAME?</v>
      </c>
      <c r="H154" t="e">
        <f ca="1">IMAGE("https://m.media-amazon.com/images/I/51Atmw-oGxL._AC_UL320_.jpg")</f>
        <v>#NAME?</v>
      </c>
      <c r="I154" t="s">
        <v>336</v>
      </c>
      <c r="J154">
        <v>37.880000000000003</v>
      </c>
      <c r="K154" s="2" t="s">
        <v>646</v>
      </c>
      <c r="L154">
        <v>4.3</v>
      </c>
      <c r="M154">
        <v>4</v>
      </c>
      <c r="O154" t="s">
        <v>33</v>
      </c>
      <c r="P154" t="s">
        <v>338</v>
      </c>
      <c r="Q154" t="s">
        <v>339</v>
      </c>
    </row>
    <row r="155" spans="1:17" ht="15.75" x14ac:dyDescent="0.25">
      <c r="A155" s="3" t="str">
        <f>HYPERLINK("https://www.als.com/vans-shoe-classic-slip-on/p?skuId=226085", "https://www.als.com/vans-shoe-classic-slip-on/p?skuId=226085")</f>
        <v>https://www.als.com/vans-shoe-classic-slip-on/p?skuId=226085</v>
      </c>
      <c r="B155" s="3" t="str">
        <f>HYPERLINK("https://www.als.com/vans-shoe-classic-slip-on/p", "https://www.als.com/vans-shoe-classic-slip-on/p")</f>
        <v>https://www.als.com/vans-shoe-classic-slip-on/p</v>
      </c>
      <c r="C155" t="s">
        <v>430</v>
      </c>
      <c r="D155" t="s">
        <v>647</v>
      </c>
      <c r="E155" s="3" t="str">
        <f>HYPERLINK("https://www.amazon.com/Vans-Slip-Galaxy-White-Unisex/dp/B08RXX47MD/ref=sr_1_16?keywords=Vans+Classic+Slip-On+Shoe&amp;qid=1695124089&amp;sr=8-16", "https://www.amazon.com/Vans-Slip-Galaxy-White-Unisex/dp/B08RXX47MD/ref=sr_1_16?keywords=Vans+Classic+Slip-On+Shoe&amp;qid=1695124089&amp;sr=8-16")</f>
        <v>https://www.amazon.com/Vans-Slip-Galaxy-White-Unisex/dp/B08RXX47MD/ref=sr_1_16?keywords=Vans+Classic+Slip-On+Shoe&amp;qid=1695124089&amp;sr=8-16</v>
      </c>
      <c r="F155" t="s">
        <v>648</v>
      </c>
      <c r="G155" t="e">
        <f ca="1">IMAGE("https://alssports.vtexassets.com/arquivos/ids/1443076-800-auto?v=638292000890400000&amp;width=800&amp;height=auto&amp;aspect=true")</f>
        <v>#NAME?</v>
      </c>
      <c r="H155" t="e">
        <f ca="1">IMAGE("https://m.media-amazon.com/images/I/61Eo9yibElL._AC_UL320_.jpg")</f>
        <v>#NAME?</v>
      </c>
      <c r="I155" t="s">
        <v>169</v>
      </c>
      <c r="J155">
        <v>57.32</v>
      </c>
      <c r="K155" s="2" t="s">
        <v>649</v>
      </c>
      <c r="L155">
        <v>4.3</v>
      </c>
      <c r="M155">
        <v>138</v>
      </c>
      <c r="O155" t="s">
        <v>33</v>
      </c>
      <c r="P155" t="s">
        <v>26</v>
      </c>
      <c r="Q155" t="s">
        <v>434</v>
      </c>
    </row>
    <row r="156" spans="1:17" ht="15.75" x14ac:dyDescent="0.25">
      <c r="A156" s="3" t="str">
        <f>HYPERLINK("https://www.als.com/adid-o-w-boot-free-hiker-2-gtx/p?skuId=1276361", "https://www.als.com/adid-o-w-boot-free-hiker-2-gtx/p?skuId=1276361")</f>
        <v>https://www.als.com/adid-o-w-boot-free-hiker-2-gtx/p?skuId=1276361</v>
      </c>
      <c r="B156" s="3" t="str">
        <f>HYPERLINK("https://www.als.com/adid-o-w-boot-free-hiker-2-gtx/p", "https://www.als.com/adid-o-w-boot-free-hiker-2-gtx/p")</f>
        <v>https://www.als.com/adid-o-w-boot-free-hiker-2-gtx/p</v>
      </c>
      <c r="C156" t="s">
        <v>650</v>
      </c>
      <c r="D156" t="s">
        <v>651</v>
      </c>
      <c r="E156" s="3" t="str">
        <f>HYPERLINK("https://www.amazon.com/adidas-Terrex-Hiker-Hiking-Womens/dp/B0BB6RYL5V/ref=sr_1_2?keywords=adidas+Terrex+Free+Hiker+Gore-Tex+2.0+Hiking+Shoe+-+Womens&amp;qid=1695124163&amp;sr=8-2", "https://www.amazon.com/adidas-Terrex-Hiker-Hiking-Womens/dp/B0BB6RYL5V/ref=sr_1_2?keywords=adidas+Terrex+Free+Hiker+Gore-Tex+2.0+Hiking+Shoe+-+Womens&amp;qid=1695124163&amp;sr=8-2")</f>
        <v>https://www.amazon.com/adidas-Terrex-Hiker-Hiking-Womens/dp/B0BB6RYL5V/ref=sr_1_2?keywords=adidas+Terrex+Free+Hiker+Gore-Tex+2.0+Hiking+Shoe+-+Womens&amp;qid=1695124163&amp;sr=8-2</v>
      </c>
      <c r="F156" t="s">
        <v>652</v>
      </c>
      <c r="G156" t="e">
        <f ca="1">IMAGE("https://alssports.vtexassets.com/arquivos/ids/1274057-800-auto?v=638150971944670000&amp;width=800&amp;height=auto&amp;aspect=true")</f>
        <v>#NAME?</v>
      </c>
      <c r="H156" t="e">
        <f ca="1">IMAGE("https://m.media-amazon.com/images/I/71Befd7qEFL._AC_UL320_.jpg")</f>
        <v>#NAME?</v>
      </c>
      <c r="I156" t="s">
        <v>625</v>
      </c>
      <c r="J156">
        <v>109.93</v>
      </c>
      <c r="K156" s="2" t="s">
        <v>649</v>
      </c>
      <c r="L156">
        <v>4.3</v>
      </c>
      <c r="M156">
        <v>15</v>
      </c>
      <c r="O156" t="s">
        <v>33</v>
      </c>
      <c r="P156" t="s">
        <v>627</v>
      </c>
      <c r="Q156" t="s">
        <v>653</v>
      </c>
    </row>
    <row r="157" spans="1:17" ht="15.75" x14ac:dyDescent="0.25">
      <c r="A157" s="3" t="str">
        <f>HYPERLINK("https://www.als.com/birken-ws-sandal-arizona-soft-ftbed/p?skuId=254551", "https://www.als.com/birken-ws-sandal-arizona-soft-ftbed/p?skuId=254551")</f>
        <v>https://www.als.com/birken-ws-sandal-arizona-soft-ftbed/p?skuId=254551</v>
      </c>
      <c r="B157" s="3" t="str">
        <f>HYPERLINK("https://www.als.com/birken-ws-sandal-arizona-soft-ftbed/p", "https://www.als.com/birken-ws-sandal-arizona-soft-ftbed/p")</f>
        <v>https://www.als.com/birken-ws-sandal-arizona-soft-ftbed/p</v>
      </c>
      <c r="C157" t="s">
        <v>446</v>
      </c>
      <c r="D157" t="s">
        <v>654</v>
      </c>
      <c r="E157" s="3" t="str">
        <f>HYPERLINK("https://www.amazon.com/Birkenstock-Arizona-Footbed-Sandals-11-11-5/dp/B079K6K415/ref=sr_1_6?keywords=Birkenstock+Arizona+Soft+Footbed+Sandal&amp;qid=1695124328&amp;sr=8-6", "https://www.amazon.com/Birkenstock-Arizona-Footbed-Sandals-11-11-5/dp/B079K6K415/ref=sr_1_6?keywords=Birkenstock+Arizona+Soft+Footbed+Sandal&amp;qid=1695124328&amp;sr=8-6")</f>
        <v>https://www.amazon.com/Birkenstock-Arizona-Footbed-Sandals-11-11-5/dp/B079K6K415/ref=sr_1_6?keywords=Birkenstock+Arizona+Soft+Footbed+Sandal&amp;qid=1695124328&amp;sr=8-6</v>
      </c>
      <c r="F157" t="s">
        <v>655</v>
      </c>
      <c r="G157" t="e">
        <f ca="1">IMAGE("https://alssports.vtexassets.com/arquivos/ids/1316883-800-auto?v=638198562145970000&amp;width=800&amp;height=auto&amp;aspect=true")</f>
        <v>#NAME?</v>
      </c>
      <c r="H157" t="e">
        <f ca="1">IMAGE("https://m.media-amazon.com/images/I/61aTTokpv7L._AC_UL320_.jpg")</f>
        <v>#NAME?</v>
      </c>
      <c r="I157" t="s">
        <v>449</v>
      </c>
      <c r="J157">
        <v>129</v>
      </c>
      <c r="K157" s="2" t="s">
        <v>656</v>
      </c>
      <c r="L157">
        <v>4</v>
      </c>
      <c r="M157">
        <v>96</v>
      </c>
      <c r="O157" t="s">
        <v>33</v>
      </c>
      <c r="P157" t="s">
        <v>26</v>
      </c>
      <c r="Q157" t="s">
        <v>451</v>
      </c>
    </row>
    <row r="158" spans="1:17" ht="15.75" x14ac:dyDescent="0.25">
      <c r="A158" s="3" t="str">
        <f>HYPERLINK("https://www.als.com/bearar-bow-alaskan/p?skuId=969734", "https://www.als.com/bearar-bow-alaskan/p?skuId=969734")</f>
        <v>https://www.als.com/bearar-bow-alaskan/p?skuId=969734</v>
      </c>
      <c r="B158" s="3" t="str">
        <f>HYPERLINK("https://www.als.com/bearar-bow-alaskan/p", "https://www.als.com/bearar-bow-alaskan/p")</f>
        <v>https://www.als.com/bearar-bow-alaskan/p</v>
      </c>
      <c r="C158" t="s">
        <v>657</v>
      </c>
      <c r="D158" t="s">
        <v>658</v>
      </c>
      <c r="E158" s="3" t="str">
        <f>HYPERLINK("https://www.amazon.com/Bear-Archery-Legit-Throwback-Package/dp/B08XW78Z4P/ref=sr_1_22?keywords=Bear+Archery+Alaskan+Compound+Bow&amp;qid=1695124371&amp;sr=8-22", "https://www.amazon.com/Bear-Archery-Legit-Throwback-Package/dp/B08XW78Z4P/ref=sr_1_22?keywords=Bear+Archery+Alaskan+Compound+Bow&amp;qid=1695124371&amp;sr=8-22")</f>
        <v>https://www.amazon.com/Bear-Archery-Legit-Throwback-Package/dp/B08XW78Z4P/ref=sr_1_22?keywords=Bear+Archery+Alaskan+Compound+Bow&amp;qid=1695124371&amp;sr=8-22</v>
      </c>
      <c r="F158" t="s">
        <v>659</v>
      </c>
      <c r="G158" t="e">
        <f ca="1">IMAGE("https://alssports.vtexassets.com/arquivos/ids/976192-800-auto?v=637754664177730000&amp;width=800&amp;height=auto&amp;aspect=true")</f>
        <v>#NAME?</v>
      </c>
      <c r="H158" t="e">
        <f ca="1">IMAGE("https://m.media-amazon.com/images/I/51JpsTkOIaL._AC_UL320_.jpg")</f>
        <v>#NAME?</v>
      </c>
      <c r="I158" t="s">
        <v>660</v>
      </c>
      <c r="J158">
        <v>429.99</v>
      </c>
      <c r="K158" s="2" t="s">
        <v>656</v>
      </c>
      <c r="L158">
        <v>4.5</v>
      </c>
      <c r="M158">
        <v>68</v>
      </c>
      <c r="O158" t="s">
        <v>33</v>
      </c>
      <c r="P158" t="s">
        <v>661</v>
      </c>
      <c r="Q158" t="s">
        <v>662</v>
      </c>
    </row>
    <row r="159" spans="1:17" ht="15.75" x14ac:dyDescent="0.25">
      <c r="A159" s="3" t="str">
        <f>HYPERLINK("https://www.als.com/carve-ws-swim-top-sanitas-reversibl/p?skuId=1322239", "https://www.als.com/carve-ws-swim-top-sanitas-reversibl/p?skuId=1322239")</f>
        <v>https://www.als.com/carve-ws-swim-top-sanitas-reversibl/p?skuId=1322239</v>
      </c>
      <c r="B159" s="3" t="str">
        <f>HYPERLINK("https://www.als.com/carve-ws-swim-top-sanitas-reversibl/p", "https://www.als.com/carve-ws-swim-top-sanitas-reversibl/p")</f>
        <v>https://www.als.com/carve-ws-swim-top-sanitas-reversibl/p</v>
      </c>
      <c r="C159" t="s">
        <v>663</v>
      </c>
      <c r="D159" t="s">
        <v>664</v>
      </c>
      <c r="E159" s="3" t="str">
        <f>HYPERLINK("https://www.amazon.com/CARVE-Designs-Sanitas-Bottom-Medium/dp/B0785G7YG6/ref=sr_1_1?keywords=Carve+Designs+Sanitas+Reversible+Swim+Top+-+Women%27s&amp;qid=1695124482&amp;sr=8-1", "https://www.amazon.com/CARVE-Designs-Sanitas-Bottom-Medium/dp/B0785G7YG6/ref=sr_1_1?keywords=Carve+Designs+Sanitas+Reversible+Swim+Top+-+Women%27s&amp;qid=1695124482&amp;sr=8-1")</f>
        <v>https://www.amazon.com/CARVE-Designs-Sanitas-Bottom-Medium/dp/B0785G7YG6/ref=sr_1_1?keywords=Carve+Designs+Sanitas+Reversible+Swim+Top+-+Women%27s&amp;qid=1695124482&amp;sr=8-1</v>
      </c>
      <c r="F159" t="s">
        <v>665</v>
      </c>
      <c r="G159" t="e">
        <f ca="1">IMAGE("https://alssports.vtexassets.com/arquivos/ids/1272388-800-auto?v=638150148052170000&amp;width=800&amp;height=auto&amp;aspect=true")</f>
        <v>#NAME?</v>
      </c>
      <c r="H159" t="e">
        <f ca="1">IMAGE("https://m.media-amazon.com/images/I/51JS4oIx6hL._MCnd_AC_UL320_.jpg")</f>
        <v>#NAME?</v>
      </c>
      <c r="I159" t="s">
        <v>189</v>
      </c>
      <c r="J159">
        <v>57.33</v>
      </c>
      <c r="K159" s="2" t="s">
        <v>666</v>
      </c>
      <c r="L159">
        <v>4.4000000000000004</v>
      </c>
      <c r="M159">
        <v>24</v>
      </c>
      <c r="O159" t="s">
        <v>33</v>
      </c>
      <c r="P159" t="s">
        <v>26</v>
      </c>
      <c r="Q159" t="s">
        <v>667</v>
      </c>
    </row>
    <row r="160" spans="1:17" ht="15.75" x14ac:dyDescent="0.25">
      <c r="A160" s="3" t="str">
        <f>HYPERLINK("https://www.als.com/vans-shoe-old-skool-classic/p?skuId=486101", "https://www.als.com/vans-shoe-old-skool-classic/p?skuId=486101")</f>
        <v>https://www.als.com/vans-shoe-old-skool-classic/p?skuId=486101</v>
      </c>
      <c r="B160" s="3" t="str">
        <f>HYPERLINK("https://www.als.com/vans-shoe-old-skool-classic/p", "https://www.als.com/vans-shoe-old-skool-classic/p")</f>
        <v>https://www.als.com/vans-shoe-old-skool-classic/p</v>
      </c>
      <c r="C160" t="s">
        <v>271</v>
      </c>
      <c r="D160" t="s">
        <v>668</v>
      </c>
      <c r="E160" s="3" t="str">
        <f>HYPERLINK("https://www.amazon.com/Vans-Unisex-Skool-Black-White/dp/B005B06TVS/ref=sr_1_48?keywords=Vans+Old+Skool+Skate+Shoe&amp;qid=1695124126&amp;sr=8-48", "https://www.amazon.com/Vans-Unisex-Skool-Black-White/dp/B005B06TVS/ref=sr_1_48?keywords=Vans+Old+Skool+Skate+Shoe&amp;qid=1695124126&amp;sr=8-48")</f>
        <v>https://www.amazon.com/Vans-Unisex-Skool-Black-White/dp/B005B06TVS/ref=sr_1_48?keywords=Vans+Old+Skool+Skate+Shoe&amp;qid=1695124126&amp;sr=8-48</v>
      </c>
      <c r="F160" t="s">
        <v>669</v>
      </c>
      <c r="G160" t="e">
        <f ca="1">IMAGE("https://alssports.vtexassets.com/arquivos/ids/1076563-800-auto?v=637904803557770000&amp;width=800&amp;height=auto&amp;aspect=true")</f>
        <v>#NAME?</v>
      </c>
      <c r="H160" t="e">
        <f ca="1">IMAGE("https://m.media-amazon.com/images/I/71WSLlYWnEL._AC_UL320_.jpg")</f>
        <v>#NAME?</v>
      </c>
      <c r="I160" t="s">
        <v>274</v>
      </c>
      <c r="J160">
        <v>66.8</v>
      </c>
      <c r="K160" s="2" t="s">
        <v>670</v>
      </c>
      <c r="L160">
        <v>4.5</v>
      </c>
      <c r="M160">
        <v>103</v>
      </c>
      <c r="O160" t="s">
        <v>33</v>
      </c>
      <c r="P160" t="s">
        <v>32</v>
      </c>
      <c r="Q160" t="s">
        <v>275</v>
      </c>
    </row>
    <row r="161" spans="1:17" ht="15.75" x14ac:dyDescent="0.25">
      <c r="A161" s="3" t="str">
        <f>HYPERLINK("https://www.als.com/saucon-m-triumph-19/p?skuId=1203462", "https://www.als.com/saucon-m-triumph-19/p?skuId=1203462")</f>
        <v>https://www.als.com/saucon-m-triumph-19/p?skuId=1203462</v>
      </c>
      <c r="B161" s="3" t="str">
        <f>HYPERLINK("https://www.als.com/saucon-m-triumph-19/p", "https://www.als.com/saucon-m-triumph-19/p")</f>
        <v>https://www.als.com/saucon-m-triumph-19/p</v>
      </c>
      <c r="C161" t="s">
        <v>671</v>
      </c>
      <c r="D161" t="s">
        <v>672</v>
      </c>
      <c r="E161" s="3" t="str">
        <f>HYPERLINK("https://www.amazon.com/Saucony-Triumph-Running-Black-White/dp/B096FFGGGG/ref=sr_1_1?keywords=Saucony+Triumph+19+Shoe+-+Men%27s&amp;qid=1695124399&amp;sr=8-1", "https://www.amazon.com/Saucony-Triumph-Running-Black-White/dp/B096FFGGGG/ref=sr_1_1?keywords=Saucony+Triumph+19+Shoe+-+Men%27s&amp;qid=1695124399&amp;sr=8-1")</f>
        <v>https://www.amazon.com/Saucony-Triumph-Running-Black-White/dp/B096FFGGGG/ref=sr_1_1?keywords=Saucony+Triumph+19+Shoe+-+Men%27s&amp;qid=1695124399&amp;sr=8-1</v>
      </c>
      <c r="F161" t="s">
        <v>673</v>
      </c>
      <c r="G161" t="e">
        <f ca="1">IMAGE("https://alssports.vtexassets.com/arquivos/ids/1356884-800-auto?v=638230711236400000&amp;width=800&amp;height=auto&amp;aspect=true")</f>
        <v>#NAME?</v>
      </c>
      <c r="H161" t="e">
        <f ca="1">IMAGE("https://m.media-amazon.com/images/I/81jp369T66L._AC_UL320_.jpg")</f>
        <v>#NAME?</v>
      </c>
      <c r="I161" t="s">
        <v>674</v>
      </c>
      <c r="J161">
        <v>61</v>
      </c>
      <c r="K161" s="2" t="s">
        <v>675</v>
      </c>
      <c r="L161">
        <v>4.5999999999999996</v>
      </c>
      <c r="M161">
        <v>1757</v>
      </c>
      <c r="O161" t="s">
        <v>33</v>
      </c>
      <c r="P161" t="s">
        <v>88</v>
      </c>
      <c r="Q161" t="s">
        <v>676</v>
      </c>
    </row>
    <row r="162" spans="1:17" ht="15.75" x14ac:dyDescent="0.25">
      <c r="A162" s="3" t="str">
        <f>HYPERLINK("https://www.als.com/roxy-w-rising-high-snow-pant/p?skuId=1268016", "https://www.als.com/roxy-w-rising-high-snow-pant/p?skuId=1268016")</f>
        <v>https://www.als.com/roxy-w-rising-high-snow-pant/p?skuId=1268016</v>
      </c>
      <c r="B162" s="3" t="str">
        <f>HYPERLINK("https://www.als.com/roxy-w-rising-high-snow-pant/p", "https://www.als.com/roxy-w-rising-high-snow-pant/p")</f>
        <v>https://www.als.com/roxy-w-rising-high-snow-pant/p</v>
      </c>
      <c r="C162" t="s">
        <v>677</v>
      </c>
      <c r="D162" t="s">
        <v>678</v>
      </c>
      <c r="E162" s="3" t="str">
        <f>HYPERLINK("https://www.amazon.com/Roxy-Girls-Creek-Softshell-Black/dp/B01CKI3WWC/ref=sr_1_24?keywords=Roxy+Rising+High+Shell+Snow+Pant+-+Womens&amp;qid=1695124445&amp;sr=8-24", "https://www.amazon.com/Roxy-Girls-Creek-Softshell-Black/dp/B01CKI3WWC/ref=sr_1_24?keywords=Roxy+Rising+High+Shell+Snow+Pant+-+Womens&amp;qid=1695124445&amp;sr=8-24")</f>
        <v>https://www.amazon.com/Roxy-Girls-Creek-Softshell-Black/dp/B01CKI3WWC/ref=sr_1_24?keywords=Roxy+Rising+High+Shell+Snow+Pant+-+Womens&amp;qid=1695124445&amp;sr=8-24</v>
      </c>
      <c r="F162" t="s">
        <v>679</v>
      </c>
      <c r="G162" t="e">
        <f ca="1">IMAGE("https://alssports.vtexassets.com/arquivos/ids/1230867-800-auto?v=638109479833270000&amp;width=800&amp;height=auto&amp;aspect=true")</f>
        <v>#NAME?</v>
      </c>
      <c r="H162" t="e">
        <f ca="1">IMAGE("https://m.media-amazon.com/images/I/514hJEWNPKL._AC_UL320_.jpg")</f>
        <v>#NAME?</v>
      </c>
      <c r="I162" t="s">
        <v>680</v>
      </c>
      <c r="J162">
        <v>133.44</v>
      </c>
      <c r="K162" s="2" t="s">
        <v>675</v>
      </c>
      <c r="L162">
        <v>4.3</v>
      </c>
      <c r="M162">
        <v>5</v>
      </c>
      <c r="O162" t="s">
        <v>33</v>
      </c>
      <c r="P162" t="s">
        <v>73</v>
      </c>
      <c r="Q162" t="s">
        <v>681</v>
      </c>
    </row>
    <row r="163" spans="1:17" ht="15.75" x14ac:dyDescent="0.25">
      <c r="A163" s="3" t="str">
        <f>HYPERLINK("https://www.als.com/gord-rally-mitt/p?skuId=1306142", "https://www.als.com/gord-rally-mitt/p?skuId=1306142")</f>
        <v>https://www.als.com/gord-rally-mitt/p?skuId=1306142</v>
      </c>
      <c r="B163" s="3" t="str">
        <f>HYPERLINK("https://www.als.com/gord-rally-mitt/p", "https://www.als.com/gord-rally-mitt/p")</f>
        <v>https://www.als.com/gord-rally-mitt/p</v>
      </c>
      <c r="C163" t="s">
        <v>682</v>
      </c>
      <c r="D163" t="s">
        <v>683</v>
      </c>
      <c r="E163" s="3" t="str">
        <f>HYPERLINK("https://www.amazon.com/Gordini-MTN-Crew-Downtek-Mitt/dp/B074SBV1GB/ref=sr_1_14?keywords=Gordini+Rally+Mitten+-+Mens&amp;qid=1695124309&amp;sr=8-14", "https://www.amazon.com/Gordini-MTN-Crew-Downtek-Mitt/dp/B074SBV1GB/ref=sr_1_14?keywords=Gordini+Rally+Mitten+-+Mens&amp;qid=1695124309&amp;sr=8-14")</f>
        <v>https://www.amazon.com/Gordini-MTN-Crew-Downtek-Mitt/dp/B074SBV1GB/ref=sr_1_14?keywords=Gordini+Rally+Mitten+-+Mens&amp;qid=1695124309&amp;sr=8-14</v>
      </c>
      <c r="F163" t="s">
        <v>684</v>
      </c>
      <c r="G163" t="e">
        <f ca="1">IMAGE("https://alssports.vtexassets.com/arquivos/ids/1427992-800-auto?v=638283287978400000&amp;width=800&amp;height=auto&amp;aspect=true")</f>
        <v>#NAME?</v>
      </c>
      <c r="H163" t="e">
        <f ca="1">IMAGE("https://m.media-amazon.com/images/I/81Bpm9Y6b3L._AC_UL320_.jpg")</f>
        <v>#NAME?</v>
      </c>
      <c r="I163" t="s">
        <v>225</v>
      </c>
      <c r="J163">
        <v>66.69</v>
      </c>
      <c r="K163" s="2" t="s">
        <v>685</v>
      </c>
      <c r="L163">
        <v>3.8</v>
      </c>
      <c r="M163">
        <v>5</v>
      </c>
      <c r="O163" t="s">
        <v>33</v>
      </c>
      <c r="P163" t="s">
        <v>26</v>
      </c>
      <c r="Q163" t="s">
        <v>686</v>
      </c>
    </row>
    <row r="164" spans="1:17" ht="15.75" x14ac:dyDescent="0.25">
      <c r="A164" s="3" t="str">
        <f>HYPERLINK("https://www.als.com/smartw-sock-hk-lt-cush-stripe-crw-yth/p?skuId=1047536", "https://www.als.com/smartw-sock-hk-lt-cush-stripe-crw-yth/p?skuId=1047536")</f>
        <v>https://www.als.com/smartw-sock-hk-lt-cush-stripe-crw-yth/p?skuId=1047536</v>
      </c>
      <c r="B164" s="3" t="str">
        <f>HYPERLINK("https://www.als.com/smartw-sock-hk-lt-cush-stripe-crw-yth/p", "https://www.als.com/smartw-sock-hk-lt-cush-stripe-crw-yth/p")</f>
        <v>https://www.als.com/smartw-sock-hk-lt-cush-stripe-crw-yth/p</v>
      </c>
      <c r="C164" t="s">
        <v>687</v>
      </c>
      <c r="D164" t="s">
        <v>688</v>
      </c>
      <c r="E164" s="3" t="str">
        <f>HYPERLINK("https://www.amazon.com/Smartwool-Classic-Light-Cushion-Socks/dp/B097NLFD9B/ref=sr_1_15?keywords=Smartwool+Hike+Light+Cushion+Striped+Crew+Sock+-+Youth&amp;qid=1695124167&amp;sr=8-15", "https://www.amazon.com/Smartwool-Classic-Light-Cushion-Socks/dp/B097NLFD9B/ref=sr_1_15?keywords=Smartwool+Hike+Light+Cushion+Striped+Crew+Sock+-+Youth&amp;qid=1695124167&amp;sr=8-15")</f>
        <v>https://www.amazon.com/Smartwool-Classic-Light-Cushion-Socks/dp/B097NLFD9B/ref=sr_1_15?keywords=Smartwool+Hike+Light+Cushion+Striped+Crew+Sock+-+Youth&amp;qid=1695124167&amp;sr=8-15</v>
      </c>
      <c r="F164" t="s">
        <v>689</v>
      </c>
      <c r="G164" t="e">
        <f ca="1">IMAGE("https://alssports.vtexassets.com/arquivos/ids/1101855-800-auto?v=637941110184030000&amp;width=800&amp;height=auto&amp;aspect=true")</f>
        <v>#NAME?</v>
      </c>
      <c r="H164" t="e">
        <f ca="1">IMAGE("https://m.media-amazon.com/images/I/71MOKovxYXS._AC_UL320_.jpg")</f>
        <v>#NAME?</v>
      </c>
      <c r="I164" t="s">
        <v>690</v>
      </c>
      <c r="J164">
        <v>20</v>
      </c>
      <c r="K164" s="2" t="s">
        <v>691</v>
      </c>
      <c r="L164">
        <v>4.5</v>
      </c>
      <c r="M164">
        <v>88</v>
      </c>
      <c r="O164" t="s">
        <v>26</v>
      </c>
      <c r="P164" t="s">
        <v>692</v>
      </c>
      <c r="Q164" t="s">
        <v>693</v>
      </c>
    </row>
    <row r="165" spans="1:17" ht="15.75" x14ac:dyDescent="0.25">
      <c r="A165" s="3" t="str">
        <f>HYPERLINK("https://www.als.com/chaco-m-sandal-zcloud/p?skuId=932120", "https://www.als.com/chaco-m-sandal-zcloud/p?skuId=932120")</f>
        <v>https://www.als.com/chaco-m-sandal-zcloud/p?skuId=932120</v>
      </c>
      <c r="B165" s="3" t="str">
        <f>HYPERLINK("https://www.als.com/chaco-m-sandal-zcloud/p", "https://www.als.com/chaco-m-sandal-zcloud/p")</f>
        <v>https://www.als.com/chaco-m-sandal-zcloud/p</v>
      </c>
      <c r="C165" t="s">
        <v>694</v>
      </c>
      <c r="D165" t="s">
        <v>695</v>
      </c>
      <c r="E165" s="3" t="str">
        <f>HYPERLINK("https://www.amazon.com/Chaco-Mens-Zcloud-Sandal-GUSH/dp/B099C9Q481/ref=sr_1_42?keywords=Chaco+Z%2FCloud+Sandal+-+Mens&amp;qid=1695124430&amp;sr=8-42", "https://www.amazon.com/Chaco-Mens-Zcloud-Sandal-GUSH/dp/B099C9Q481/ref=sr_1_42?keywords=Chaco+Z%2FCloud+Sandal+-+Mens&amp;qid=1695124430&amp;sr=8-42")</f>
        <v>https://www.amazon.com/Chaco-Mens-Zcloud-Sandal-GUSH/dp/B099C9Q481/ref=sr_1_42?keywords=Chaco+Z%2FCloud+Sandal+-+Mens&amp;qid=1695124430&amp;sr=8-42</v>
      </c>
      <c r="F165" t="s">
        <v>696</v>
      </c>
      <c r="G165" t="e">
        <f ca="1">IMAGE("https://alssports.vtexassets.com/arquivos/ids/1082383-800-auto?v=637913737461500000&amp;width=800&amp;height=auto&amp;aspect=true")</f>
        <v>#NAME?</v>
      </c>
      <c r="H165" t="e">
        <f ca="1">IMAGE("https://m.media-amazon.com/images/I/71BzLyWkPHL._AC_UL320_.jpg")</f>
        <v>#NAME?</v>
      </c>
      <c r="I165" t="s">
        <v>269</v>
      </c>
      <c r="J165">
        <v>100</v>
      </c>
      <c r="K165" s="2" t="s">
        <v>691</v>
      </c>
      <c r="L165">
        <v>5</v>
      </c>
      <c r="M165">
        <v>1</v>
      </c>
      <c r="O165" t="s">
        <v>33</v>
      </c>
      <c r="P165" t="s">
        <v>26</v>
      </c>
      <c r="Q165" t="s">
        <v>697</v>
      </c>
    </row>
    <row r="166" spans="1:17" ht="15.75" x14ac:dyDescent="0.25">
      <c r="A166" s="3" t="str">
        <f>HYPERLINK("https://www.als.com/chaco-m-sandal-zcloud/p?skuId=932120", "https://www.als.com/chaco-m-sandal-zcloud/p?skuId=932120")</f>
        <v>https://www.als.com/chaco-m-sandal-zcloud/p?skuId=932120</v>
      </c>
      <c r="B166" s="3" t="str">
        <f>HYPERLINK("https://www.als.com/chaco-m-sandal-zcloud/p", "https://www.als.com/chaco-m-sandal-zcloud/p")</f>
        <v>https://www.als.com/chaco-m-sandal-zcloud/p</v>
      </c>
      <c r="C166" t="s">
        <v>694</v>
      </c>
      <c r="D166" t="s">
        <v>698</v>
      </c>
      <c r="E166" s="3" t="str">
        <f>HYPERLINK("https://www.amazon.com/Chaco-Zcloud-Sport-Sandal-Black/dp/B011AX0M5S/ref=sr_1_25?keywords=Chaco+Z%2FCloud+Sandal+-+Mens&amp;qid=1695124430&amp;sr=8-25", "https://www.amazon.com/Chaco-Zcloud-Sport-Sandal-Black/dp/B011AX0M5S/ref=sr_1_25?keywords=Chaco+Z%2FCloud+Sandal+-+Mens&amp;qid=1695124430&amp;sr=8-25")</f>
        <v>https://www.amazon.com/Chaco-Zcloud-Sport-Sandal-Black/dp/B011AX0M5S/ref=sr_1_25?keywords=Chaco+Z%2FCloud+Sandal+-+Mens&amp;qid=1695124430&amp;sr=8-25</v>
      </c>
      <c r="F166" t="s">
        <v>699</v>
      </c>
      <c r="G166" t="e">
        <f ca="1">IMAGE("https://alssports.vtexassets.com/arquivos/ids/1082383-800-auto?v=637913737461500000&amp;width=800&amp;height=auto&amp;aspect=true")</f>
        <v>#NAME?</v>
      </c>
      <c r="H166" t="e">
        <f ca="1">IMAGE("https://m.media-amazon.com/images/I/51l2U-SYzxL._AC_UL320_.jpg")</f>
        <v>#NAME?</v>
      </c>
      <c r="I166" t="s">
        <v>269</v>
      </c>
      <c r="J166">
        <v>99.95</v>
      </c>
      <c r="K166" s="2" t="s">
        <v>700</v>
      </c>
      <c r="L166">
        <v>4.5999999999999996</v>
      </c>
      <c r="M166">
        <v>211</v>
      </c>
      <c r="O166" t="s">
        <v>33</v>
      </c>
      <c r="P166" t="s">
        <v>26</v>
      </c>
      <c r="Q166" t="s">
        <v>697</v>
      </c>
    </row>
    <row r="167" spans="1:17" ht="15.75" x14ac:dyDescent="0.25">
      <c r="A167" s="3" t="str">
        <f>HYPERLINK("https://www.als.com/sitka-m-pant-mountain-optifade/p?skuId=90738", "https://www.als.com/sitka-m-pant-mountain-optifade/p?skuId=90738")</f>
        <v>https://www.als.com/sitka-m-pant-mountain-optifade/p?skuId=90738</v>
      </c>
      <c r="B167" s="3" t="str">
        <f>HYPERLINK("https://www.als.com/sitka-m-pant-mountain-optifade/p", "https://www.als.com/sitka-m-pant-mountain-optifade/p")</f>
        <v>https://www.als.com/sitka-m-pant-mountain-optifade/p</v>
      </c>
      <c r="C167" t="s">
        <v>260</v>
      </c>
      <c r="D167" t="s">
        <v>701</v>
      </c>
      <c r="E167" s="3" t="str">
        <f>HYPERLINK("https://www.amazon.com/SITKA-Gear-Equinox-Optifade-Elevated/dp/B098QQMQNV/ref=sr_1_10?keywords=Sitka+Mountain+Pant+-+Mens&amp;qid=1695124392&amp;sr=8-10", "https://www.amazon.com/SITKA-Gear-Equinox-Optifade-Elevated/dp/B098QQMQNV/ref=sr_1_10?keywords=Sitka+Mountain+Pant+-+Mens&amp;qid=1695124392&amp;sr=8-10")</f>
        <v>https://www.amazon.com/SITKA-Gear-Equinox-Optifade-Elevated/dp/B098QQMQNV/ref=sr_1_10?keywords=Sitka+Mountain+Pant+-+Mens&amp;qid=1695124392&amp;sr=8-10</v>
      </c>
      <c r="F167" t="s">
        <v>702</v>
      </c>
      <c r="G167" t="e">
        <f ca="1">IMAGE("https://alssports.vtexassets.com/arquivos/ids/1369099-800-auto?v=638242004529500000&amp;width=800&amp;height=auto&amp;aspect=true")</f>
        <v>#NAME?</v>
      </c>
      <c r="H167" t="e">
        <f ca="1">IMAGE("https://m.media-amazon.com/images/I/51CPQtrW9gS._AC_UL320_.jpg")</f>
        <v>#NAME?</v>
      </c>
      <c r="I167" t="s">
        <v>263</v>
      </c>
      <c r="J167">
        <v>199</v>
      </c>
      <c r="K167" s="2" t="s">
        <v>703</v>
      </c>
      <c r="L167">
        <v>4.5999999999999996</v>
      </c>
      <c r="M167">
        <v>73</v>
      </c>
      <c r="O167" t="s">
        <v>33</v>
      </c>
      <c r="P167" t="s">
        <v>26</v>
      </c>
      <c r="Q167" t="s">
        <v>264</v>
      </c>
    </row>
    <row r="168" spans="1:17" ht="15.75" x14ac:dyDescent="0.25">
      <c r="A168" s="3" t="str">
        <f>HYPERLINK("https://www.als.com/sitka-m-pant-mountain-optifade/p?skuId=90738", "https://www.als.com/sitka-m-pant-mountain-optifade/p?skuId=90738")</f>
        <v>https://www.als.com/sitka-m-pant-mountain-optifade/p?skuId=90738</v>
      </c>
      <c r="B168" s="3" t="str">
        <f>HYPERLINK("https://www.als.com/sitka-m-pant-mountain-optifade/p", "https://www.als.com/sitka-m-pant-mountain-optifade/p")</f>
        <v>https://www.als.com/sitka-m-pant-mountain-optifade/p</v>
      </c>
      <c r="C168" t="s">
        <v>260</v>
      </c>
      <c r="D168" t="s">
        <v>704</v>
      </c>
      <c r="E168" s="3" t="str">
        <f>HYPERLINK("https://www.amazon.com/SITKA-Gear-Grinder-Pant-Mud/dp/B07C58DHNV/ref=sr_1_13?keywords=Sitka+Mountain+Pant+-+Mens&amp;qid=1695124392&amp;sr=8-13", "https://www.amazon.com/SITKA-Gear-Grinder-Pant-Mud/dp/B07C58DHNV/ref=sr_1_13?keywords=Sitka+Mountain+Pant+-+Mens&amp;qid=1695124392&amp;sr=8-13")</f>
        <v>https://www.amazon.com/SITKA-Gear-Grinder-Pant-Mud/dp/B07C58DHNV/ref=sr_1_13?keywords=Sitka+Mountain+Pant+-+Mens&amp;qid=1695124392&amp;sr=8-13</v>
      </c>
      <c r="F168" t="s">
        <v>705</v>
      </c>
      <c r="G168" t="e">
        <f ca="1">IMAGE("https://alssports.vtexassets.com/arquivos/ids/1369099-800-auto?v=638242004529500000&amp;width=800&amp;height=auto&amp;aspect=true")</f>
        <v>#NAME?</v>
      </c>
      <c r="H168" t="e">
        <f ca="1">IMAGE("https://m.media-amazon.com/images/I/71j4C1rNA6L._AC_UL320_.jpg")</f>
        <v>#NAME?</v>
      </c>
      <c r="I168" t="s">
        <v>263</v>
      </c>
      <c r="J168">
        <v>199</v>
      </c>
      <c r="K168" s="2" t="s">
        <v>703</v>
      </c>
      <c r="L168">
        <v>4.7</v>
      </c>
      <c r="M168">
        <v>305</v>
      </c>
      <c r="O168" t="s">
        <v>33</v>
      </c>
      <c r="P168" t="s">
        <v>26</v>
      </c>
      <c r="Q168" t="s">
        <v>264</v>
      </c>
    </row>
    <row r="169" spans="1:17" ht="15.75" x14ac:dyDescent="0.25">
      <c r="A169" s="3" t="str">
        <f>HYPERLINK("https://www.als.com/under-m-ua-training-vent-20-ss/p?skuId=857892", "https://www.als.com/under-m-ua-training-vent-20-ss/p?skuId=857892")</f>
        <v>https://www.als.com/under-m-ua-training-vent-20-ss/p?skuId=857892</v>
      </c>
      <c r="B169" s="3" t="str">
        <f>HYPERLINK("https://www.als.com/under-m-ua-training-vent-20-ss/p", "https://www.als.com/under-m-ua-training-vent-20-ss/p")</f>
        <v>https://www.als.com/under-m-ua-training-vent-20-ss/p</v>
      </c>
      <c r="C169" t="s">
        <v>228</v>
      </c>
      <c r="D169" t="s">
        <v>706</v>
      </c>
      <c r="E169" s="3" t="str">
        <f>HYPERLINK("https://www.amazon.com/Under-Armour-Short-Sleeve-Novelty-Medium/dp/B07K1TZHCF/ref=sr_1_2?keywords=Under+Armour+Training+Vent+2.0+Short+Sleeve+Shirt+-+Mens&amp;qid=1695124314&amp;sr=8-2", "https://www.amazon.com/Under-Armour-Short-Sleeve-Novelty-Medium/dp/B07K1TZHCF/ref=sr_1_2?keywords=Under+Armour+Training+Vent+2.0+Short+Sleeve+Shirt+-+Mens&amp;qid=1695124314&amp;sr=8-2")</f>
        <v>https://www.amazon.com/Under-Armour-Short-Sleeve-Novelty-Medium/dp/B07K1TZHCF/ref=sr_1_2?keywords=Under+Armour+Training+Vent+2.0+Short+Sleeve+Shirt+-+Mens&amp;qid=1695124314&amp;sr=8-2</v>
      </c>
      <c r="F169" t="s">
        <v>707</v>
      </c>
      <c r="G169" t="e">
        <f ca="1">IMAGE("https://alssports.vtexassets.com/arquivos/ids/1216263-800-auto?v=638098285417900000&amp;width=800&amp;height=auto&amp;aspect=true")</f>
        <v>#NAME?</v>
      </c>
      <c r="H169" t="e">
        <f ca="1">IMAGE("https://m.media-amazon.com/images/I/81mMLYVCSML._AC_UL320_.jpg")</f>
        <v>#NAME?</v>
      </c>
      <c r="I169" t="s">
        <v>231</v>
      </c>
      <c r="J169">
        <v>19.989999999999998</v>
      </c>
      <c r="K169" s="2" t="s">
        <v>708</v>
      </c>
      <c r="L169">
        <v>4.5</v>
      </c>
      <c r="M169">
        <v>4565</v>
      </c>
      <c r="O169" t="s">
        <v>33</v>
      </c>
      <c r="P169" t="s">
        <v>233</v>
      </c>
      <c r="Q169" t="s">
        <v>234</v>
      </c>
    </row>
    <row r="170" spans="1:17" ht="15.75" x14ac:dyDescent="0.25">
      <c r="A170" s="3" t="str">
        <f>HYPERLINK("https://www.als.com/vans-shoe-classic-slip-on/p?skuId=226085", "https://www.als.com/vans-shoe-classic-slip-on/p?skuId=226085")</f>
        <v>https://www.als.com/vans-shoe-classic-slip-on/p?skuId=226085</v>
      </c>
      <c r="B170" s="3" t="str">
        <f>HYPERLINK("https://www.als.com/vans-shoe-classic-slip-on/p", "https://www.als.com/vans-shoe-classic-slip-on/p")</f>
        <v>https://www.als.com/vans-shoe-classic-slip-on/p</v>
      </c>
      <c r="C170" t="s">
        <v>430</v>
      </c>
      <c r="D170" t="s">
        <v>709</v>
      </c>
      <c r="E170" s="3" t="str">
        <f>HYPERLINK("https://www.amazon.com/Vans-Unisex-Classic-Slip-White/dp/B01N8ORXDP/ref=sr_1_19?keywords=Vans+Classic+Slip-On+Shoe&amp;qid=1695124089&amp;sr=8-19", "https://www.amazon.com/Vans-Unisex-Classic-Slip-White/dp/B01N8ORXDP/ref=sr_1_19?keywords=Vans+Classic+Slip-On+Shoe&amp;qid=1695124089&amp;sr=8-19")</f>
        <v>https://www.amazon.com/Vans-Unisex-Classic-Slip-White/dp/B01N8ORXDP/ref=sr_1_19?keywords=Vans+Classic+Slip-On+Shoe&amp;qid=1695124089&amp;sr=8-19</v>
      </c>
      <c r="F170" t="s">
        <v>710</v>
      </c>
      <c r="G170" t="e">
        <f ca="1">IMAGE("https://alssports.vtexassets.com/arquivos/ids/1443076-800-auto?v=638292000890400000&amp;width=800&amp;height=auto&amp;aspect=true")</f>
        <v>#NAME?</v>
      </c>
      <c r="H170" t="e">
        <f ca="1">IMAGE("https://m.media-amazon.com/images/I/71rEF0o79pL._AC_UL320_.jpg")</f>
        <v>#NAME?</v>
      </c>
      <c r="I170" t="s">
        <v>169</v>
      </c>
      <c r="J170">
        <v>57.02</v>
      </c>
      <c r="K170" s="2" t="s">
        <v>711</v>
      </c>
      <c r="L170">
        <v>4.9000000000000004</v>
      </c>
      <c r="M170">
        <v>28</v>
      </c>
      <c r="O170" t="s">
        <v>33</v>
      </c>
      <c r="P170" t="s">
        <v>26</v>
      </c>
      <c r="Q170" t="s">
        <v>434</v>
      </c>
    </row>
    <row r="171" spans="1:17" ht="15.75" x14ac:dyDescent="0.25">
      <c r="A171" s="3" t="str">
        <f>HYPERLINK("https://www.als.com/heydud-m-shoe-wally-washed-canvas/p?skuId=1317816", "https://www.als.com/heydud-m-shoe-wally-washed-canvas/p?skuId=1317816")</f>
        <v>https://www.als.com/heydud-m-shoe-wally-washed-canvas/p?skuId=1317816</v>
      </c>
      <c r="B171" s="3" t="str">
        <f>HYPERLINK("https://www.als.com/heydud-m-shoe-wally-washed-canvas/p", "https://www.als.com/heydud-m-shoe-wally-washed-canvas/p")</f>
        <v>https://www.als.com/heydud-m-shoe-wally-washed-canvas/p</v>
      </c>
      <c r="C171" t="s">
        <v>501</v>
      </c>
      <c r="D171" t="s">
        <v>712</v>
      </c>
      <c r="E171" s="3" t="str">
        <f>HYPERLINK("https://www.amazon.com/Hey-Dude-Loafers-Comfortable-Light-Weight/dp/B0B9T6DBZN/ref=sr_1_35?keywords=Hey+Dude+Wally+Washed+Canvas+Shoe+-+Mens&amp;qid=1695124460&amp;sr=8-35", "https://www.amazon.com/Hey-Dude-Loafers-Comfortable-Light-Weight/dp/B0B9T6DBZN/ref=sr_1_35?keywords=Hey+Dude+Wally+Washed+Canvas+Shoe+-+Mens&amp;qid=1695124460&amp;sr=8-35")</f>
        <v>https://www.amazon.com/Hey-Dude-Loafers-Comfortable-Light-Weight/dp/B0B9T6DBZN/ref=sr_1_35?keywords=Hey+Dude+Wally+Washed+Canvas+Shoe+-+Mens&amp;qid=1695124460&amp;sr=8-35</v>
      </c>
      <c r="F171" t="s">
        <v>713</v>
      </c>
      <c r="G171" t="e">
        <f ca="1">IMAGE("https://alssports.vtexassets.com/arquivos/ids/1388214-800-auto?v=638255521966130000&amp;width=800&amp;height=auto&amp;aspect=true")</f>
        <v>#NAME?</v>
      </c>
      <c r="H171" t="e">
        <f ca="1">IMAGE("https://m.media-amazon.com/images/I/6146EGzPR7L._AC_UL320_.jpg")</f>
        <v>#NAME?</v>
      </c>
      <c r="I171" t="s">
        <v>58</v>
      </c>
      <c r="J171">
        <v>61.75</v>
      </c>
      <c r="K171" s="2" t="s">
        <v>714</v>
      </c>
      <c r="L171">
        <v>4.7</v>
      </c>
      <c r="M171">
        <v>526</v>
      </c>
      <c r="O171" t="s">
        <v>33</v>
      </c>
      <c r="P171" t="s">
        <v>26</v>
      </c>
      <c r="Q171" t="s">
        <v>505</v>
      </c>
    </row>
    <row r="172" spans="1:17" ht="15.75" x14ac:dyDescent="0.25">
      <c r="A172" s="3" t="str">
        <f>HYPERLINK("https://www.als.com/heydud-m-shoe-wally-braided/p?skuId=599445", "https://www.als.com/heydud-m-shoe-wally-braided/p?skuId=599445")</f>
        <v>https://www.als.com/heydud-m-shoe-wally-braided/p?skuId=599445</v>
      </c>
      <c r="B172" s="3" t="str">
        <f>HYPERLINK("https://www.als.com/heydud-m-shoe-wally-braided/p", "https://www.als.com/heydud-m-shoe-wally-braided/p")</f>
        <v>https://www.als.com/heydud-m-shoe-wally-braided/p</v>
      </c>
      <c r="C172" t="s">
        <v>506</v>
      </c>
      <c r="D172" t="s">
        <v>712</v>
      </c>
      <c r="E172" s="3" t="str">
        <f>HYPERLINK("https://www.amazon.com/Hey-Dude-Loafers-Comfortable-Light-Weight/dp/B0B9T6DBZN/ref=sr_1_17?keywords=Hey+Dude+Wally+Braided+Shoe+-+Mens&amp;qid=1695124451&amp;sr=8-17", "https://www.amazon.com/Hey-Dude-Loafers-Comfortable-Light-Weight/dp/B0B9T6DBZN/ref=sr_1_17?keywords=Hey+Dude+Wally+Braided+Shoe+-+Mens&amp;qid=1695124451&amp;sr=8-17")</f>
        <v>https://www.amazon.com/Hey-Dude-Loafers-Comfortable-Light-Weight/dp/B0B9T6DBZN/ref=sr_1_17?keywords=Hey+Dude+Wally+Braided+Shoe+-+Mens&amp;qid=1695124451&amp;sr=8-17</v>
      </c>
      <c r="F172" t="s">
        <v>713</v>
      </c>
      <c r="G172" t="e">
        <f ca="1">IMAGE("https://alssports.vtexassets.com/arquivos/ids/1386107-800-auto?v=638254870959300000&amp;width=800&amp;height=auto&amp;aspect=true")</f>
        <v>#NAME?</v>
      </c>
      <c r="H172" t="e">
        <f ca="1">IMAGE("https://m.media-amazon.com/images/I/6146EGzPR7L._AC_UL320_.jpg")</f>
        <v>#NAME?</v>
      </c>
      <c r="I172" t="s">
        <v>58</v>
      </c>
      <c r="J172">
        <v>61.75</v>
      </c>
      <c r="K172" s="2" t="s">
        <v>714</v>
      </c>
      <c r="L172">
        <v>4.7</v>
      </c>
      <c r="M172">
        <v>526</v>
      </c>
      <c r="O172" t="s">
        <v>33</v>
      </c>
      <c r="P172" t="s">
        <v>26</v>
      </c>
      <c r="Q172" t="s">
        <v>507</v>
      </c>
    </row>
    <row r="173" spans="1:17" ht="15.75" x14ac:dyDescent="0.25">
      <c r="A173" s="3" t="str">
        <f>HYPERLINK("https://www.als.com/heydud-w-shoe-wendy-rise-woven/p?skuId=1317686", "https://www.als.com/heydud-w-shoe-wendy-rise-woven/p?skuId=1317686")</f>
        <v>https://www.als.com/heydud-w-shoe-wendy-rise-woven/p?skuId=1317686</v>
      </c>
      <c r="B173" s="3" t="str">
        <f>HYPERLINK("https://www.als.com/heydud-w-shoe-wendy-rise-woven/p", "https://www.als.com/heydud-w-shoe-wendy-rise-woven/p")</f>
        <v>https://www.als.com/heydud-w-shoe-wendy-rise-woven/p</v>
      </c>
      <c r="C173" t="s">
        <v>425</v>
      </c>
      <c r="D173" t="s">
        <v>715</v>
      </c>
      <c r="E173" s="3" t="str">
        <f>HYPERLINK("https://www.amazon.com/Hey-Dude-Womens-Comfortable-Light-Weight/dp/B0B9VS8YGF/ref=sr_1_24?keywords=Hey+Dude+Wendy+Rise+Woven+Shoe+-+Womens&amp;qid=1695124483&amp;sr=8-24", "https://www.amazon.com/Hey-Dude-Womens-Comfortable-Light-Weight/dp/B0B9VS8YGF/ref=sr_1_24?keywords=Hey+Dude+Wendy+Rise+Woven+Shoe+-+Womens&amp;qid=1695124483&amp;sr=8-24")</f>
        <v>https://www.amazon.com/Hey-Dude-Womens-Comfortable-Light-Weight/dp/B0B9VS8YGF/ref=sr_1_24?keywords=Hey+Dude+Wendy+Rise+Woven+Shoe+-+Womens&amp;qid=1695124483&amp;sr=8-24</v>
      </c>
      <c r="F173" t="s">
        <v>716</v>
      </c>
      <c r="G173" t="e">
        <f ca="1">IMAGE("https://alssports.vtexassets.com/arquivos/ids/1387367-800-auto?v=638255482261930000&amp;width=800&amp;height=auto&amp;aspect=true")</f>
        <v>#NAME?</v>
      </c>
      <c r="H173" t="e">
        <f ca="1">IMAGE("https://m.media-amazon.com/images/I/61KTK-ETA7L._AC_UL320_.jpg")</f>
        <v>#NAME?</v>
      </c>
      <c r="I173" t="s">
        <v>58</v>
      </c>
      <c r="J173">
        <v>61.74</v>
      </c>
      <c r="K173" s="2" t="s">
        <v>717</v>
      </c>
      <c r="L173">
        <v>4.5</v>
      </c>
      <c r="M173">
        <v>47</v>
      </c>
      <c r="O173" t="s">
        <v>33</v>
      </c>
      <c r="P173" t="s">
        <v>26</v>
      </c>
      <c r="Q173" t="s">
        <v>429</v>
      </c>
    </row>
    <row r="174" spans="1:17" ht="15.75" x14ac:dyDescent="0.25">
      <c r="A174" s="3" t="str">
        <f>HYPERLINK("https://www.als.com/conti-tire-grand-prix-5000-s-tr/p?skuId=971397", "https://www.als.com/conti-tire-grand-prix-5000-s-tr/p?skuId=971397")</f>
        <v>https://www.als.com/conti-tire-grand-prix-5000-s-tr/p?skuId=971397</v>
      </c>
      <c r="B174" s="3" t="str">
        <f>HYPERLINK("https://www.als.com/conti-tire-grand-prix-5000-s-tr/p", "https://www.als.com/conti-tire-grand-prix-5000-s-tr/p")</f>
        <v>https://www.als.com/conti-tire-grand-prix-5000-s-tr/p</v>
      </c>
      <c r="C174" t="s">
        <v>718</v>
      </c>
      <c r="D174" t="s">
        <v>719</v>
      </c>
      <c r="E174" s="3" t="str">
        <f>HYPERLINK("https://www.amazon.com/Continental-Grand-Folding-Tires-700x25c/dp/B09ZKR3FS5/ref=sr_1_9?keywords=Continental+Tires+Continental+Grand+Prix+5000+S+TR+Tire&amp;qid=1695124461&amp;sr=8-9", "https://www.amazon.com/Continental-Grand-Folding-Tires-700x25c/dp/B09ZKR3FS5/ref=sr_1_9?keywords=Continental+Tires+Continental+Grand+Prix+5000+S+TR+Tire&amp;qid=1695124461&amp;sr=8-9")</f>
        <v>https://www.amazon.com/Continental-Grand-Folding-Tires-700x25c/dp/B09ZKR3FS5/ref=sr_1_9?keywords=Continental+Tires+Continental+Grand+Prix+5000+S+TR+Tire&amp;qid=1695124461&amp;sr=8-9</v>
      </c>
      <c r="F174" t="s">
        <v>720</v>
      </c>
      <c r="G174" t="e">
        <f ca="1">IMAGE("https://alssports.vtexassets.com/arquivos/ids/1235281-800-auto?v=638114086611970000&amp;width=800&amp;height=auto&amp;aspect=true")</f>
        <v>#NAME?</v>
      </c>
      <c r="H174" t="e">
        <f ca="1">IMAGE("https://m.media-amazon.com/images/I/611y90TD4+L._AC_UL320_.jpg")</f>
        <v>#NAME?</v>
      </c>
      <c r="I174" t="s">
        <v>32</v>
      </c>
      <c r="J174">
        <v>95</v>
      </c>
      <c r="K174" s="2" t="s">
        <v>721</v>
      </c>
      <c r="L174">
        <v>4.7</v>
      </c>
      <c r="M174">
        <v>60</v>
      </c>
      <c r="O174" t="s">
        <v>33</v>
      </c>
      <c r="P174" t="s">
        <v>26</v>
      </c>
      <c r="Q174" t="s">
        <v>722</v>
      </c>
    </row>
    <row r="175" spans="1:17" ht="15.75" x14ac:dyDescent="0.25">
      <c r="A175" s="3" t="str">
        <f>HYPERLINK("https://www.als.com/cotopa-allpa-35l-travel-pack/p?skuId=1351782", "https://www.als.com/cotopa-allpa-35l-travel-pack/p?skuId=1351782")</f>
        <v>https://www.als.com/cotopa-allpa-35l-travel-pack/p?skuId=1351782</v>
      </c>
      <c r="B175" s="3" t="str">
        <f>HYPERLINK("https://www.als.com/cotopa-allpa-35l-travel-pack/p", "https://www.als.com/cotopa-allpa-35l-travel-pack/p")</f>
        <v>https://www.als.com/cotopa-allpa-35l-travel-pack/p</v>
      </c>
      <c r="C175" t="s">
        <v>723</v>
      </c>
      <c r="D175" t="s">
        <v>724</v>
      </c>
      <c r="E175" s="3" t="str">
        <f>HYPERLINK("https://www.amazon.com/Cotopaxi-Allpa-35L-Travel-Pack/dp/B084KWSQR1/ref=sr_1_2?keywords=Cotopaxi+Allpa+35L+Travel+Pack&amp;qid=1695124131&amp;sr=8-2", "https://www.amazon.com/Cotopaxi-Allpa-35L-Travel-Pack/dp/B084KWSQR1/ref=sr_1_2?keywords=Cotopaxi+Allpa+35L+Travel+Pack&amp;qid=1695124131&amp;sr=8-2")</f>
        <v>https://www.amazon.com/Cotopaxi-Allpa-35L-Travel-Pack/dp/B084KWSQR1/ref=sr_1_2?keywords=Cotopaxi+Allpa+35L+Travel+Pack&amp;qid=1695124131&amp;sr=8-2</v>
      </c>
      <c r="F175" t="s">
        <v>725</v>
      </c>
      <c r="G175" t="e">
        <f ca="1">IMAGE("https://alssports.vtexassets.com/arquivos/ids/1417252-800-auto?v=638272767166230000&amp;width=800&amp;height=auto&amp;aspect=true")</f>
        <v>#NAME?</v>
      </c>
      <c r="H175" t="e">
        <f ca="1">IMAGE("https://m.media-amazon.com/images/I/71VBUmCmRhL._AC_UL320_.jpg")</f>
        <v>#NAME?</v>
      </c>
      <c r="I175" t="s">
        <v>726</v>
      </c>
      <c r="J175">
        <v>190</v>
      </c>
      <c r="K175" s="2" t="s">
        <v>727</v>
      </c>
      <c r="L175">
        <v>4.5999999999999996</v>
      </c>
      <c r="M175">
        <v>123</v>
      </c>
      <c r="O175" t="s">
        <v>33</v>
      </c>
      <c r="P175" t="s">
        <v>26</v>
      </c>
      <c r="Q175" t="s">
        <v>728</v>
      </c>
    </row>
    <row r="176" spans="1:17" ht="15.75" x14ac:dyDescent="0.25">
      <c r="A176" s="3" t="str">
        <f>HYPERLINK("https://www.als.com/roxy-w-rising-high-snow-pant/p?skuId=1268016", "https://www.als.com/roxy-w-rising-high-snow-pant/p?skuId=1268016")</f>
        <v>https://www.als.com/roxy-w-rising-high-snow-pant/p?skuId=1268016</v>
      </c>
      <c r="B176" s="3" t="str">
        <f>HYPERLINK("https://www.als.com/roxy-w-rising-high-snow-pant/p", "https://www.als.com/roxy-w-rising-high-snow-pant/p")</f>
        <v>https://www.als.com/roxy-w-rising-high-snow-pant/p</v>
      </c>
      <c r="C176" t="s">
        <v>677</v>
      </c>
      <c r="D176" t="s">
        <v>729</v>
      </c>
      <c r="E176" s="3" t="str">
        <f>HYPERLINK("https://www.amazon.com/Roxy-Snow-Juniors-Rising-Medieval/dp/B07KRW7VKC/ref=sr_1_6?keywords=Roxy+Rising+High+Shell+Snow+Pant+-+Womens&amp;qid=1695124445&amp;sr=8-6", "https://www.amazon.com/Roxy-Snow-Juniors-Rising-Medieval/dp/B07KRW7VKC/ref=sr_1_6?keywords=Roxy+Rising+High+Shell+Snow+Pant+-+Womens&amp;qid=1695124445&amp;sr=8-6")</f>
        <v>https://www.amazon.com/Roxy-Snow-Juniors-Rising-Medieval/dp/B07KRW7VKC/ref=sr_1_6?keywords=Roxy+Rising+High+Shell+Snow+Pant+-+Womens&amp;qid=1695124445&amp;sr=8-6</v>
      </c>
      <c r="F176" t="s">
        <v>730</v>
      </c>
      <c r="G176" t="e">
        <f ca="1">IMAGE("https://alssports.vtexassets.com/arquivos/ids/1230867-800-auto?v=638109479833270000&amp;width=800&amp;height=auto&amp;aspect=true")</f>
        <v>#NAME?</v>
      </c>
      <c r="H176" t="e">
        <f ca="1">IMAGE("https://m.media-amazon.com/images/I/71NF+Gpja-L._AC_UL320_.jpg")</f>
        <v>#NAME?</v>
      </c>
      <c r="I176" t="s">
        <v>680</v>
      </c>
      <c r="J176">
        <v>132.96</v>
      </c>
      <c r="K176" s="2" t="s">
        <v>727</v>
      </c>
      <c r="L176">
        <v>4.7</v>
      </c>
      <c r="M176">
        <v>5</v>
      </c>
      <c r="O176" t="s">
        <v>33</v>
      </c>
      <c r="P176" t="s">
        <v>73</v>
      </c>
      <c r="Q176" t="s">
        <v>681</v>
      </c>
    </row>
    <row r="177" spans="1:17" ht="15.75" x14ac:dyDescent="0.25">
      <c r="A177" s="3" t="str">
        <f>HYPERLINK("https://www.als.com/under-ua-drive-pant/p?skuId=997492", "https://www.als.com/under-ua-drive-pant/p?skuId=997492")</f>
        <v>https://www.als.com/under-ua-drive-pant/p?skuId=997492</v>
      </c>
      <c r="B177" s="3" t="str">
        <f>HYPERLINK("https://www.als.com/under-ua-drive-pant/p", "https://www.als.com/under-ua-drive-pant/p")</f>
        <v>https://www.als.com/under-ua-drive-pant/p</v>
      </c>
      <c r="C177" t="s">
        <v>452</v>
      </c>
      <c r="D177" t="s">
        <v>731</v>
      </c>
      <c r="E177" s="3" t="str">
        <f>HYPERLINK("https://www.amazon.com/Under-Armour-Showdown-Tapered-Pants/dp/B072J4DXG4/ref=sr_1_7?keywords=Under+Armour+Drive+Pant+-+Men%27s&amp;qid=1695124299&amp;sr=8-7", "https://www.amazon.com/Under-Armour-Showdown-Tapered-Pants/dp/B072J4DXG4/ref=sr_1_7?keywords=Under+Armour+Drive+Pant+-+Men%27s&amp;qid=1695124299&amp;sr=8-7")</f>
        <v>https://www.amazon.com/Under-Armour-Showdown-Tapered-Pants/dp/B072J4DXG4/ref=sr_1_7?keywords=Under+Armour+Drive+Pant+-+Men%27s&amp;qid=1695124299&amp;sr=8-7</v>
      </c>
      <c r="F177" t="s">
        <v>732</v>
      </c>
      <c r="G177" t="e">
        <f ca="1">IMAGE("https://alssports.vtexassets.com/arquivos/ids/1442508-800-auto?v=638291812057330000&amp;width=800&amp;height=auto&amp;aspect=true")</f>
        <v>#NAME?</v>
      </c>
      <c r="H177" t="e">
        <f ca="1">IMAGE("https://m.media-amazon.com/images/I/41KuArQqj6L._AC_UL320_.jpg")</f>
        <v>#NAME?</v>
      </c>
      <c r="I177" t="s">
        <v>455</v>
      </c>
      <c r="J177">
        <v>48.42</v>
      </c>
      <c r="K177" s="2" t="s">
        <v>733</v>
      </c>
      <c r="L177">
        <v>4.5999999999999996</v>
      </c>
      <c r="M177">
        <v>2145</v>
      </c>
      <c r="O177" t="s">
        <v>26</v>
      </c>
      <c r="P177" t="s">
        <v>457</v>
      </c>
      <c r="Q177" t="s">
        <v>458</v>
      </c>
    </row>
    <row r="178" spans="1:17" ht="15.75" x14ac:dyDescent="0.25">
      <c r="A178" s="3" t="str">
        <f>HYPERLINK("https://www.als.com/hurley-boardshort-one-and-only-solid/p?skuId=1333862", "https://www.als.com/hurley-boardshort-one-and-only-solid/p?skuId=1333862")</f>
        <v>https://www.als.com/hurley-boardshort-one-and-only-solid/p?skuId=1333862</v>
      </c>
      <c r="B178" s="3" t="str">
        <f>HYPERLINK("https://www.als.com/hurley-boardshort-one-and-only-solid/p", "https://www.als.com/hurley-boardshort-one-and-only-solid/p")</f>
        <v>https://www.als.com/hurley-boardshort-one-and-only-solid/p</v>
      </c>
      <c r="C178" t="s">
        <v>305</v>
      </c>
      <c r="D178" t="s">
        <v>734</v>
      </c>
      <c r="E178" s="3" t="str">
        <f>HYPERLINK("https://www.amazon.com/Hurley-One-Only-20-Boardshorts/dp/B08385LPM7/ref=sr_1_28?keywords=Hurley+One+And+Only+Solid+Boardshort+-+Men%27s&amp;qid=1695124435&amp;sr=8-28", "https://www.amazon.com/Hurley-One-Only-20-Boardshorts/dp/B08385LPM7/ref=sr_1_28?keywords=Hurley+One+And+Only+Solid+Boardshort+-+Men%27s&amp;qid=1695124435&amp;sr=8-28")</f>
        <v>https://www.amazon.com/Hurley-One-Only-20-Boardshorts/dp/B08385LPM7/ref=sr_1_28?keywords=Hurley+One+And+Only+Solid+Boardshort+-+Men%27s&amp;qid=1695124435&amp;sr=8-28</v>
      </c>
      <c r="F178" t="s">
        <v>735</v>
      </c>
      <c r="G178" t="e">
        <f ca="1">IMAGE("https://alssports.vtexassets.com/arquivos/ids/1302714-800-auto?v=638180324007330000&amp;width=800&amp;height=auto&amp;aspect=true")</f>
        <v>#NAME?</v>
      </c>
      <c r="H178" t="e">
        <f ca="1">IMAGE("https://m.media-amazon.com/images/I/61DzUkcqTIS._MCnd_AC_UL320_.jpg")</f>
        <v>#NAME?</v>
      </c>
      <c r="I178" t="s">
        <v>211</v>
      </c>
      <c r="J178">
        <v>37.950000000000003</v>
      </c>
      <c r="K178" s="2" t="s">
        <v>736</v>
      </c>
      <c r="L178">
        <v>4.5</v>
      </c>
      <c r="M178">
        <v>81</v>
      </c>
      <c r="O178" t="s">
        <v>33</v>
      </c>
      <c r="P178" t="s">
        <v>26</v>
      </c>
      <c r="Q178" t="s">
        <v>308</v>
      </c>
    </row>
    <row r="179" spans="1:17" ht="15.75" x14ac:dyDescent="0.25">
      <c r="A179" s="3" t="str">
        <f>HYPERLINK("https://www.als.com/keen-w-koven/p?skuId=1240446", "https://www.als.com/keen-w-koven/p?skuId=1240446")</f>
        <v>https://www.als.com/keen-w-koven/p?skuId=1240446</v>
      </c>
      <c r="B179" s="3" t="str">
        <f>HYPERLINK("https://www.als.com/keen-w-koven/p", "https://www.als.com/keen-w-koven/p")</f>
        <v>https://www.als.com/keen-w-koven/p</v>
      </c>
      <c r="C179" t="s">
        <v>737</v>
      </c>
      <c r="D179" t="s">
        <v>738</v>
      </c>
      <c r="E179" s="3" t="str">
        <f>HYPERLINK("https://www.amazon.com/KEEN-Womens-Targhee-Hiking-Black/dp/B07T9T1ZD8/ref=sr_1_35?keywords=KEEN+Koven+Hiking+Shoe+-+Women%27s&amp;qid=1695124139&amp;sr=8-35", "https://www.amazon.com/KEEN-Womens-Targhee-Hiking-Black/dp/B07T9T1ZD8/ref=sr_1_35?keywords=KEEN+Koven+Hiking+Shoe+-+Women%27s&amp;qid=1695124139&amp;sr=8-35")</f>
        <v>https://www.amazon.com/KEEN-Womens-Targhee-Hiking-Black/dp/B07T9T1ZD8/ref=sr_1_35?keywords=KEEN+Koven+Hiking+Shoe+-+Women%27s&amp;qid=1695124139&amp;sr=8-35</v>
      </c>
      <c r="F179" t="s">
        <v>739</v>
      </c>
      <c r="G179" t="e">
        <f ca="1">IMAGE("https://alssports.vtexassets.com/arquivos/ids/1211483-800-auto?v=638091747520730000&amp;width=800&amp;height=auto&amp;aspect=true")</f>
        <v>#NAME?</v>
      </c>
      <c r="H179" t="e">
        <f ca="1">IMAGE("https://m.media-amazon.com/images/I/81d3wCbdsVL._AC_UL320_.jpg")</f>
        <v>#NAME?</v>
      </c>
      <c r="I179" t="s">
        <v>639</v>
      </c>
      <c r="J179">
        <v>113.81</v>
      </c>
      <c r="K179" s="2" t="s">
        <v>740</v>
      </c>
      <c r="L179">
        <v>4.4000000000000004</v>
      </c>
      <c r="M179">
        <v>11</v>
      </c>
      <c r="O179" t="s">
        <v>33</v>
      </c>
      <c r="P179" t="s">
        <v>26</v>
      </c>
      <c r="Q179" t="s">
        <v>741</v>
      </c>
    </row>
    <row r="180" spans="1:17" ht="15.75" x14ac:dyDescent="0.25">
      <c r="A180" s="3" t="str">
        <f>HYPERLINK("https://www.als.com/birken-ws-sandal-arizona-soft-ftbed/p?skuId=254551", "https://www.als.com/birken-ws-sandal-arizona-soft-ftbed/p?skuId=254551")</f>
        <v>https://www.als.com/birken-ws-sandal-arizona-soft-ftbed/p?skuId=254551</v>
      </c>
      <c r="B180" s="3" t="str">
        <f>HYPERLINK("https://www.als.com/birken-ws-sandal-arizona-soft-ftbed/p", "https://www.als.com/birken-ws-sandal-arizona-soft-ftbed/p")</f>
        <v>https://www.als.com/birken-ws-sandal-arizona-soft-ftbed/p</v>
      </c>
      <c r="C180" t="s">
        <v>446</v>
      </c>
      <c r="D180" t="s">
        <v>742</v>
      </c>
      <c r="E180" s="3" t="str">
        <f>HYPERLINK("https://www.amazon.com/Birkenstock-Unisex-Arizona-Taupe-Sandals/dp/B000W0A05I/ref=sr_1_2?keywords=Birkenstock+Arizona+Soft+Footbed+Sandal&amp;qid=1695124328&amp;sr=8-2", "https://www.amazon.com/Birkenstock-Unisex-Arizona-Taupe-Sandals/dp/B000W0A05I/ref=sr_1_2?keywords=Birkenstock+Arizona+Soft+Footbed+Sandal&amp;qid=1695124328&amp;sr=8-2")</f>
        <v>https://www.amazon.com/Birkenstock-Unisex-Arizona-Taupe-Sandals/dp/B000W0A05I/ref=sr_1_2?keywords=Birkenstock+Arizona+Soft+Footbed+Sandal&amp;qid=1695124328&amp;sr=8-2</v>
      </c>
      <c r="F180" t="s">
        <v>743</v>
      </c>
      <c r="G180" t="e">
        <f ca="1">IMAGE("https://alssports.vtexassets.com/arquivos/ids/1316883-800-auto?v=638198562145970000&amp;width=800&amp;height=auto&amp;aspect=true")</f>
        <v>#NAME?</v>
      </c>
      <c r="H180" t="e">
        <f ca="1">IMAGE("https://m.media-amazon.com/images/I/71OWZN27TAL._AC_UL320_.jpg")</f>
        <v>#NAME?</v>
      </c>
      <c r="I180" t="s">
        <v>449</v>
      </c>
      <c r="J180">
        <v>127.95</v>
      </c>
      <c r="K180" s="2" t="s">
        <v>744</v>
      </c>
      <c r="L180">
        <v>4.5</v>
      </c>
      <c r="M180">
        <v>109</v>
      </c>
      <c r="O180" t="s">
        <v>33</v>
      </c>
      <c r="P180" t="s">
        <v>26</v>
      </c>
      <c r="Q180" t="s">
        <v>451</v>
      </c>
    </row>
    <row r="181" spans="1:17" ht="15.75" x14ac:dyDescent="0.25">
      <c r="A181" s="3" t="str">
        <f>HYPERLINK("https://www.als.com/reding-boot-benchmark---sticky-rubber/p?skuId=575133", "https://www.als.com/reding-boot-benchmark---sticky-rubber/p?skuId=575133")</f>
        <v>https://www.als.com/reding-boot-benchmark---sticky-rubber/p?skuId=575133</v>
      </c>
      <c r="B181" s="3" t="str">
        <f>HYPERLINK("https://www.als.com/reding-boot-benchmark---sticky-rubber/p", "https://www.als.com/reding-boot-benchmark---sticky-rubber/p")</f>
        <v>https://www.als.com/reding-boot-benchmark---sticky-rubber/p</v>
      </c>
      <c r="C181" t="s">
        <v>745</v>
      </c>
      <c r="D181" t="s">
        <v>746</v>
      </c>
      <c r="E181" s="3" t="str">
        <f>HYPERLINK("https://www.amazon.com/Redington-Forge-Wading-Boots-Riverbed/dp/B084Y3VWDX/ref=sr_1_9?keywords=Redington+Benchmark+Wading+Boot&amp;qid=1695124429&amp;sr=8-9", "https://www.amazon.com/Redington-Forge-Wading-Boots-Riverbed/dp/B084Y3VWDX/ref=sr_1_9?keywords=Redington+Benchmark+Wading+Boot&amp;qid=1695124429&amp;sr=8-9")</f>
        <v>https://www.amazon.com/Redington-Forge-Wading-Boots-Riverbed/dp/B084Y3VWDX/ref=sr_1_9?keywords=Redington+Benchmark+Wading+Boot&amp;qid=1695124429&amp;sr=8-9</v>
      </c>
      <c r="F181" t="s">
        <v>747</v>
      </c>
      <c r="G181" t="e">
        <f ca="1">IMAGE("https://alssports.vtexassets.com/arquivos/ids/363994-800-auto?v=637200010729430000&amp;width=800&amp;height=auto&amp;aspect=true")</f>
        <v>#NAME?</v>
      </c>
      <c r="H181" t="e">
        <f ca="1">IMAGE("https://m.media-amazon.com/images/I/710ee6qOjjL._AC_UL320_.jpg")</f>
        <v>#NAME?</v>
      </c>
      <c r="I181" t="s">
        <v>639</v>
      </c>
      <c r="J181">
        <v>113.67</v>
      </c>
      <c r="K181" s="2" t="s">
        <v>748</v>
      </c>
      <c r="L181">
        <v>4.5999999999999996</v>
      </c>
      <c r="M181">
        <v>3</v>
      </c>
      <c r="O181" t="s">
        <v>33</v>
      </c>
      <c r="P181" t="s">
        <v>26</v>
      </c>
      <c r="Q181" t="s">
        <v>749</v>
      </c>
    </row>
    <row r="182" spans="1:17" ht="15.75" x14ac:dyDescent="0.25">
      <c r="A182" s="3" t="str">
        <f>HYPERLINK("https://www.als.com/danner-ms-boot-element/p?skuId=530471", "https://www.als.com/danner-ms-boot-element/p?skuId=530471")</f>
        <v>https://www.als.com/danner-ms-boot-element/p?skuId=530471</v>
      </c>
      <c r="B182" s="3" t="str">
        <f>HYPERLINK("https://www.als.com/danner-ms-boot-element/p", "https://www.als.com/danner-ms-boot-element/p")</f>
        <v>https://www.als.com/danner-ms-boot-element/p</v>
      </c>
      <c r="C182" t="s">
        <v>750</v>
      </c>
      <c r="D182" t="s">
        <v>751</v>
      </c>
      <c r="E182" s="3" t="str">
        <f>HYPERLINK("https://www.amazon.com/Danner-Mens-15481-Chelsea-Brown/dp/B08PMJNM81/ref=sr_1_47?keywords=Danner+Element+Boot+-+Men%27s&amp;qid=1695124487&amp;sr=8-47", "https://www.amazon.com/Danner-Mens-15481-Chelsea-Brown/dp/B08PMJNM81/ref=sr_1_47?keywords=Danner+Element+Boot+-+Men%27s&amp;qid=1695124487&amp;sr=8-47")</f>
        <v>https://www.amazon.com/Danner-Mens-15481-Chelsea-Brown/dp/B08PMJNM81/ref=sr_1_47?keywords=Danner+Element+Boot+-+Men%27s&amp;qid=1695124487&amp;sr=8-47</v>
      </c>
      <c r="F182" t="s">
        <v>752</v>
      </c>
      <c r="G182" t="e">
        <f ca="1">IMAGE("https://alssports.vtexassets.com/arquivos/ids/790399-800-auto?v=637775367037830000&amp;width=800&amp;height=auto&amp;aspect=true")</f>
        <v>#NAME?</v>
      </c>
      <c r="H182" t="e">
        <f ca="1">IMAGE("https://m.media-amazon.com/images/I/71wPKX1vxqS._AC_UL320_.jpg")</f>
        <v>#NAME?</v>
      </c>
      <c r="I182" t="s">
        <v>562</v>
      </c>
      <c r="J182">
        <v>160.99</v>
      </c>
      <c r="K182" s="2" t="s">
        <v>748</v>
      </c>
      <c r="L182">
        <v>4.3</v>
      </c>
      <c r="M182">
        <v>19</v>
      </c>
      <c r="O182" t="s">
        <v>33</v>
      </c>
      <c r="P182" t="s">
        <v>26</v>
      </c>
      <c r="Q182" t="s">
        <v>753</v>
      </c>
    </row>
    <row r="183" spans="1:17" ht="15.75" x14ac:dyDescent="0.25">
      <c r="A183" s="3" t="str">
        <f>HYPERLINK("https://www.als.com/adidas-m-shoe-don-issue-4/p?skuId=1287057", "https://www.als.com/adidas-m-shoe-don-issue-4/p?skuId=1287057")</f>
        <v>https://www.als.com/adidas-m-shoe-don-issue-4/p?skuId=1287057</v>
      </c>
      <c r="B183" s="3" t="str">
        <f>HYPERLINK("https://www.als.com/adidas-m-shoe-don-issue-4/p", "https://www.als.com/adidas-m-shoe-don-issue-4/p")</f>
        <v>https://www.als.com/adidas-m-shoe-don-issue-4/p</v>
      </c>
      <c r="C183" t="s">
        <v>754</v>
      </c>
      <c r="D183" t="s">
        <v>755</v>
      </c>
      <c r="E183" s="3" t="str">
        <f>HYPERLINK("https://www.amazon.com/adidas-Issue-ShoesWhite-Black-Metallic3/dp/B083M7V7L1/ref=sr_1_5?keywords=adidas+D.O.N.+Issue&amp;qid=1695124396&amp;sr=8-5", "https://www.amazon.com/adidas-Issue-ShoesWhite-Black-Metallic3/dp/B083M7V7L1/ref=sr_1_5?keywords=adidas+D.O.N.+Issue&amp;qid=1695124396&amp;sr=8-5")</f>
        <v>https://www.amazon.com/adidas-Issue-ShoesWhite-Black-Metallic3/dp/B083M7V7L1/ref=sr_1_5?keywords=adidas+D.O.N.+Issue&amp;qid=1695124396&amp;sr=8-5</v>
      </c>
      <c r="F183" t="s">
        <v>756</v>
      </c>
      <c r="G183" t="e">
        <f ca="1">IMAGE("https://alssports.vtexassets.com/arquivos/ids/1250954-800-auto?v=638128879881500000&amp;width=800&amp;height=auto&amp;aspect=true")</f>
        <v>#NAME?</v>
      </c>
      <c r="H183" t="e">
        <f ca="1">IMAGE("https://m.media-amazon.com/images/I/71JjilPSSOS._AC_UL320_.jpg")</f>
        <v>#NAME?</v>
      </c>
      <c r="I183" t="s">
        <v>757</v>
      </c>
      <c r="J183">
        <v>45.45</v>
      </c>
      <c r="K183" s="2" t="s">
        <v>748</v>
      </c>
      <c r="L183">
        <v>4.5</v>
      </c>
      <c r="M183">
        <v>657</v>
      </c>
      <c r="O183" t="s">
        <v>33</v>
      </c>
      <c r="P183" t="s">
        <v>423</v>
      </c>
      <c r="Q183" t="s">
        <v>758</v>
      </c>
    </row>
    <row r="184" spans="1:17" ht="15.75" x14ac:dyDescent="0.25">
      <c r="A184" s="3" t="str">
        <f>HYPERLINK("https://www.als.com/feetur-elite-ultra-light-no-show-tab/p?skuId=1300203", "https://www.als.com/feetur-elite-ultra-light-no-show-tab/p?skuId=1300203")</f>
        <v>https://www.als.com/feetur-elite-ultra-light-no-show-tab/p?skuId=1300203</v>
      </c>
      <c r="B184" s="3" t="str">
        <f>HYPERLINK("https://www.als.com/feetur-elite-ultra-light-no-show-tab/p", "https://www.als.com/feetur-elite-ultra-light-no-show-tab/p")</f>
        <v>https://www.als.com/feetur-elite-ultra-light-no-show-tab/p</v>
      </c>
      <c r="C184" t="s">
        <v>759</v>
      </c>
      <c r="D184" t="s">
        <v>760</v>
      </c>
      <c r="E184" s="3" t="str">
        <f>HYPERLINK("https://www.amazon.com/Feetures-Elite-Ultra-Light-Show/dp/B09N2F931H/ref=sr_1_9?keywords=Feetures+Elite+Ultra+Light+No+Show+Tab+Sock&amp;qid=1695124156&amp;sr=8-9", "https://www.amazon.com/Feetures-Elite-Ultra-Light-Show/dp/B09N2F931H/ref=sr_1_9?keywords=Feetures+Elite+Ultra+Light+No+Show+Tab+Sock&amp;qid=1695124156&amp;sr=8-9")</f>
        <v>https://www.amazon.com/Feetures-Elite-Ultra-Light-Show/dp/B09N2F931H/ref=sr_1_9?keywords=Feetures+Elite+Ultra+Light+No+Show+Tab+Sock&amp;qid=1695124156&amp;sr=8-9</v>
      </c>
      <c r="F184" t="s">
        <v>761</v>
      </c>
      <c r="G184" t="e">
        <f ca="1">IMAGE("https://alssports.vtexassets.com/arquivos/ids/1251907-800-auto?v=638131172255300000&amp;width=800&amp;height=auto&amp;aspect=true")</f>
        <v>#NAME?</v>
      </c>
      <c r="H184" t="e">
        <f ca="1">IMAGE("https://m.media-amazon.com/images/I/81sZ4M5zdzL._AC_UL320_.jpg")</f>
        <v>#NAME?</v>
      </c>
      <c r="I184" t="s">
        <v>762</v>
      </c>
      <c r="J184">
        <v>17</v>
      </c>
      <c r="K184" s="2" t="s">
        <v>763</v>
      </c>
      <c r="L184">
        <v>5</v>
      </c>
      <c r="M184">
        <v>1</v>
      </c>
      <c r="O184" t="s">
        <v>33</v>
      </c>
      <c r="P184" t="s">
        <v>26</v>
      </c>
      <c r="Q184" t="s">
        <v>764</v>
      </c>
    </row>
    <row r="185" spans="1:17" ht="15.75" x14ac:dyDescent="0.25">
      <c r="A185" s="3" t="str">
        <f>HYPERLINK("https://www.als.com/under-m-short-ua-training-stretch/p?skuId=817748", "https://www.als.com/under-m-short-ua-training-stretch/p?skuId=817748")</f>
        <v>https://www.als.com/under-m-short-ua-training-stretch/p?skuId=817748</v>
      </c>
      <c r="B185" s="3" t="str">
        <f>HYPERLINK("https://www.als.com/under-m-short-ua-training-stretch/p", "https://www.als.com/under-m-short-ua-training-stretch/p")</f>
        <v>https://www.als.com/under-m-short-ua-training-stretch/p</v>
      </c>
      <c r="C185" t="s">
        <v>599</v>
      </c>
      <c r="D185" t="s">
        <v>765</v>
      </c>
      <c r="E185" s="3" t="str">
        <f>HYPERLINK("https://www.amazon.com/Under-Armour-Training-Stretch-Academy/dp/B086ZNVZR5/ref=sr_1_7?keywords=Under+Armour+Training+Stretch+Short+-+Men%27s&amp;qid=1695124338&amp;sr=8-7", "https://www.amazon.com/Under-Armour-Training-Stretch-Academy/dp/B086ZNVZR5/ref=sr_1_7?keywords=Under+Armour+Training+Stretch+Short+-+Men%27s&amp;qid=1695124338&amp;sr=8-7")</f>
        <v>https://www.amazon.com/Under-Armour-Training-Stretch-Academy/dp/B086ZNVZR5/ref=sr_1_7?keywords=Under+Armour+Training+Stretch+Short+-+Men%27s&amp;qid=1695124338&amp;sr=8-7</v>
      </c>
      <c r="F185" t="s">
        <v>766</v>
      </c>
      <c r="G185" t="e">
        <f ca="1">IMAGE("https://alssports.vtexassets.com/arquivos/ids/1087251-800-auto?v=638271167205870000&amp;width=800&amp;height=auto&amp;aspect=true")</f>
        <v>#NAME?</v>
      </c>
      <c r="H185" t="e">
        <f ca="1">IMAGE("https://m.media-amazon.com/images/I/51vnXIH+ksL._AC_UL320_.jpg")</f>
        <v>#NAME?</v>
      </c>
      <c r="I185" t="s">
        <v>602</v>
      </c>
      <c r="J185">
        <v>17</v>
      </c>
      <c r="K185" s="2" t="s">
        <v>767</v>
      </c>
      <c r="L185">
        <v>4.8</v>
      </c>
      <c r="M185">
        <v>269</v>
      </c>
      <c r="O185" t="s">
        <v>33</v>
      </c>
      <c r="P185" t="s">
        <v>233</v>
      </c>
      <c r="Q185" t="s">
        <v>604</v>
      </c>
    </row>
    <row r="186" spans="1:17" ht="15.75" x14ac:dyDescent="0.25">
      <c r="A186" s="3" t="str">
        <f>HYPERLINK("https://www.als.com/hydrof-bottle-standard-mouth-21/p?skuId=255000", "https://www.als.com/hydrof-bottle-standard-mouth-21/p?skuId=255000")</f>
        <v>https://www.als.com/hydrof-bottle-standard-mouth-21/p?skuId=255000</v>
      </c>
      <c r="B186" s="3" t="str">
        <f>HYPERLINK("https://www.als.com/hydrof-bottle-standard-mouth-21/p", "https://www.als.com/hydrof-bottle-standard-mouth-21/p")</f>
        <v>https://www.als.com/hydrof-bottle-standard-mouth-21/p</v>
      </c>
      <c r="C186" t="s">
        <v>525</v>
      </c>
      <c r="D186" t="s">
        <v>768</v>
      </c>
      <c r="E186" s="3" t="str">
        <f>HYPERLINK("https://www.amazon.com/Hydro-Flask-Loop-Mouth-Standard/dp/B01KXHGYQ8/ref=sr_1_1?keywords=Hydro+Flask+Standard+Mouth+Insulated+Bottle+-+21oz&amp;qid=1695124388&amp;sr=8-1", "https://www.amazon.com/Hydro-Flask-Loop-Mouth-Standard/dp/B01KXHGYQ8/ref=sr_1_1?keywords=Hydro+Flask+Standard+Mouth+Insulated+Bottle+-+21oz&amp;qid=1695124388&amp;sr=8-1")</f>
        <v>https://www.amazon.com/Hydro-Flask-Loop-Mouth-Standard/dp/B01KXHGYQ8/ref=sr_1_1?keywords=Hydro+Flask+Standard+Mouth+Insulated+Bottle+-+21oz&amp;qid=1695124388&amp;sr=8-1</v>
      </c>
      <c r="F186" t="s">
        <v>769</v>
      </c>
      <c r="G186" t="e">
        <f ca="1">IMAGE("https://alssports.vtexassets.com/arquivos/ids/1173834-800-auto?v=638042939420000000&amp;width=800&amp;height=auto&amp;aspect=true")</f>
        <v>#NAME?</v>
      </c>
      <c r="H186" t="e">
        <f ca="1">IMAGE("https://m.media-amazon.com/images/I/51jztV+9LsL._AC_UL320_.jpg")</f>
        <v>#NAME?</v>
      </c>
      <c r="I186" t="s">
        <v>528</v>
      </c>
      <c r="J186">
        <v>32.950000000000003</v>
      </c>
      <c r="K186" s="2" t="s">
        <v>770</v>
      </c>
      <c r="L186">
        <v>4.8</v>
      </c>
      <c r="M186">
        <v>29157</v>
      </c>
      <c r="O186" t="s">
        <v>33</v>
      </c>
      <c r="P186" t="s">
        <v>26</v>
      </c>
      <c r="Q186" t="s">
        <v>530</v>
      </c>
    </row>
    <row r="187" spans="1:17" ht="15.75" x14ac:dyDescent="0.25">
      <c r="A187" s="3" t="str">
        <f>HYPERLINK("https://www.als.com/hydrof-bottle-standard-mouth-21/p?skuId=255000", "https://www.als.com/hydrof-bottle-standard-mouth-21/p?skuId=255000")</f>
        <v>https://www.als.com/hydrof-bottle-standard-mouth-21/p?skuId=255000</v>
      </c>
      <c r="B187" s="3" t="str">
        <f>HYPERLINK("https://www.als.com/hydrof-bottle-standard-mouth-21/p", "https://www.als.com/hydrof-bottle-standard-mouth-21/p")</f>
        <v>https://www.als.com/hydrof-bottle-standard-mouth-21/p</v>
      </c>
      <c r="C187" t="s">
        <v>525</v>
      </c>
      <c r="D187" t="s">
        <v>768</v>
      </c>
      <c r="E187" s="3" t="str">
        <f>HYPERLINK("https://www.amazon.com/Hydro-Flask-SYNCHKG096809-Standard-Bottle/dp/B01KXHH21O/ref=sr_1_4?keywords=Hydro+Flask+Standard+Mouth+Insulated+Bottle+-+21oz&amp;qid=1695124388&amp;sr=8-4", "https://www.amazon.com/Hydro-Flask-SYNCHKG096809-Standard-Bottle/dp/B01KXHH21O/ref=sr_1_4?keywords=Hydro+Flask+Standard+Mouth+Insulated+Bottle+-+21oz&amp;qid=1695124388&amp;sr=8-4")</f>
        <v>https://www.amazon.com/Hydro-Flask-SYNCHKG096809-Standard-Bottle/dp/B01KXHH21O/ref=sr_1_4?keywords=Hydro+Flask+Standard+Mouth+Insulated+Bottle+-+21oz&amp;qid=1695124388&amp;sr=8-4</v>
      </c>
      <c r="F187" t="s">
        <v>771</v>
      </c>
      <c r="G187" t="e">
        <f ca="1">IMAGE("https://alssports.vtexassets.com/arquivos/ids/1173834-800-auto?v=638042939420000000&amp;width=800&amp;height=auto&amp;aspect=true")</f>
        <v>#NAME?</v>
      </c>
      <c r="H187" t="e">
        <f ca="1">IMAGE("https://m.media-amazon.com/images/I/51JWdfCASRS._AC_UL320_.jpg")</f>
        <v>#NAME?</v>
      </c>
      <c r="I187" t="s">
        <v>528</v>
      </c>
      <c r="J187">
        <v>32.950000000000003</v>
      </c>
      <c r="K187" s="2" t="s">
        <v>770</v>
      </c>
      <c r="L187">
        <v>4.8</v>
      </c>
      <c r="M187">
        <v>1984</v>
      </c>
      <c r="O187" t="s">
        <v>33</v>
      </c>
      <c r="P187" t="s">
        <v>26</v>
      </c>
      <c r="Q187" t="s">
        <v>530</v>
      </c>
    </row>
    <row r="188" spans="1:17" ht="15.75" x14ac:dyDescent="0.25">
      <c r="A188" s="3" t="str">
        <f>HYPERLINK("https://www.als.com/under-ua-drive-pant/p?skuId=997492", "https://www.als.com/under-ua-drive-pant/p?skuId=997492")</f>
        <v>https://www.als.com/under-ua-drive-pant/p?skuId=997492</v>
      </c>
      <c r="B188" s="3" t="str">
        <f>HYPERLINK("https://www.als.com/under-ua-drive-pant/p", "https://www.als.com/under-ua-drive-pant/p")</f>
        <v>https://www.als.com/under-ua-drive-pant/p</v>
      </c>
      <c r="C188" t="s">
        <v>452</v>
      </c>
      <c r="D188" t="s">
        <v>772</v>
      </c>
      <c r="E188" s="3" t="str">
        <f>HYPERLINK("https://www.amazon.com/Under-Armour-Coldgear-Infrared-Showdown/dp/B077XNJV7V/ref=sr_1_18?keywords=Under+Armour+Drive+Pant+-+Men%27s&amp;qid=1695124299&amp;sr=8-18", "https://www.amazon.com/Under-Armour-Coldgear-Infrared-Showdown/dp/B077XNJV7V/ref=sr_1_18?keywords=Under+Armour+Drive+Pant+-+Men%27s&amp;qid=1695124299&amp;sr=8-18")</f>
        <v>https://www.amazon.com/Under-Armour-Coldgear-Infrared-Showdown/dp/B077XNJV7V/ref=sr_1_18?keywords=Under+Armour+Drive+Pant+-+Men%27s&amp;qid=1695124299&amp;sr=8-18</v>
      </c>
      <c r="F188" t="s">
        <v>773</v>
      </c>
      <c r="G188" t="e">
        <f ca="1">IMAGE("https://alssports.vtexassets.com/arquivos/ids/1442508-800-auto?v=638291812057330000&amp;width=800&amp;height=auto&amp;aspect=true")</f>
        <v>#NAME?</v>
      </c>
      <c r="H188" t="e">
        <f ca="1">IMAGE("https://m.media-amazon.com/images/I/51VkLYTLatL._AC_UL320_.jpg")</f>
        <v>#NAME?</v>
      </c>
      <c r="I188" t="s">
        <v>455</v>
      </c>
      <c r="J188">
        <v>48.06</v>
      </c>
      <c r="K188" s="2" t="s">
        <v>774</v>
      </c>
      <c r="L188">
        <v>4.8</v>
      </c>
      <c r="M188">
        <v>261</v>
      </c>
      <c r="O188" t="s">
        <v>26</v>
      </c>
      <c r="P188" t="s">
        <v>457</v>
      </c>
      <c r="Q188" t="s">
        <v>458</v>
      </c>
    </row>
    <row r="189" spans="1:17" ht="15.75" x14ac:dyDescent="0.25">
      <c r="A189" s="3" t="str">
        <f>HYPERLINK("https://www.als.com/danner-ms-boot-element/p?skuId=530471", "https://www.als.com/danner-ms-boot-element/p?skuId=530471")</f>
        <v>https://www.als.com/danner-ms-boot-element/p?skuId=530471</v>
      </c>
      <c r="B189" s="3" t="str">
        <f>HYPERLINK("https://www.als.com/danner-ms-boot-element/p", "https://www.als.com/danner-ms-boot-element/p")</f>
        <v>https://www.als.com/danner-ms-boot-element/p</v>
      </c>
      <c r="C189" t="s">
        <v>750</v>
      </c>
      <c r="D189" t="s">
        <v>775</v>
      </c>
      <c r="E189" s="3" t="str">
        <f>HYPERLINK("https://www.amazon.com/Danner-6343512D-Panorama-Mid-Black/dp/B09PL6751J/ref=sr_1_10?keywords=Danner+Element+Boot+-+Men%27s&amp;qid=1695124487&amp;sr=8-10", "https://www.amazon.com/Danner-6343512D-Panorama-Mid-Black/dp/B09PL6751J/ref=sr_1_10?keywords=Danner+Element+Boot+-+Men%27s&amp;qid=1695124487&amp;sr=8-10")</f>
        <v>https://www.amazon.com/Danner-6343512D-Panorama-Mid-Black/dp/B09PL6751J/ref=sr_1_10?keywords=Danner+Element+Boot+-+Men%27s&amp;qid=1695124487&amp;sr=8-10</v>
      </c>
      <c r="F189" t="s">
        <v>776</v>
      </c>
      <c r="G189" t="e">
        <f ca="1">IMAGE("https://alssports.vtexassets.com/arquivos/ids/790399-800-auto?v=637775367037830000&amp;width=800&amp;height=auto&amp;aspect=true")</f>
        <v>#NAME?</v>
      </c>
      <c r="H189" t="e">
        <f ca="1">IMAGE("https://m.media-amazon.com/images/I/71VhD9AH2ZL._AC_UL320_.jpg")</f>
        <v>#NAME?</v>
      </c>
      <c r="I189" t="s">
        <v>562</v>
      </c>
      <c r="J189">
        <v>159.94999999999999</v>
      </c>
      <c r="K189" s="2" t="s">
        <v>777</v>
      </c>
      <c r="L189">
        <v>4.2</v>
      </c>
      <c r="M189">
        <v>8</v>
      </c>
      <c r="O189" t="s">
        <v>33</v>
      </c>
      <c r="P189" t="s">
        <v>26</v>
      </c>
      <c r="Q189" t="s">
        <v>753</v>
      </c>
    </row>
    <row r="190" spans="1:17" ht="15.75" x14ac:dyDescent="0.25">
      <c r="A190" s="3" t="str">
        <f>HYPERLINK("https://www.als.com/outres-hat-sombriolet-sun-hat/p?skuId=54000", "https://www.als.com/outres-hat-sombriolet-sun-hat/p?skuId=54000")</f>
        <v>https://www.als.com/outres-hat-sombriolet-sun-hat/p?skuId=54000</v>
      </c>
      <c r="B190" s="3" t="str">
        <f>HYPERLINK("https://www.als.com/outres-hat-sombriolet-sun-hat/p", "https://www.als.com/outres-hat-sombriolet-sun-hat/p")</f>
        <v>https://www.als.com/outres-hat-sombriolet-sun-hat/p</v>
      </c>
      <c r="C190" t="s">
        <v>295</v>
      </c>
      <c r="D190" t="s">
        <v>778</v>
      </c>
      <c r="E190" s="3" t="str">
        <f>HYPERLINK("https://www.amazon.com/Outdoor-Research-Kids-Helios-Water-Resistant/dp/B08RXWLMHM/ref=sr_1_32?keywords=Outdoor+Research+Sombriolet+Sun+Hat&amp;qid=1695124354&amp;sr=8-32", "https://www.amazon.com/Outdoor-Research-Kids-Helios-Water-Resistant/dp/B08RXWLMHM/ref=sr_1_32?keywords=Outdoor+Research+Sombriolet+Sun+Hat&amp;qid=1695124354&amp;sr=8-32")</f>
        <v>https://www.amazon.com/Outdoor-Research-Kids-Helios-Water-Resistant/dp/B08RXWLMHM/ref=sr_1_32?keywords=Outdoor+Research+Sombriolet+Sun+Hat&amp;qid=1695124354&amp;sr=8-32</v>
      </c>
      <c r="F190" t="s">
        <v>779</v>
      </c>
      <c r="G190" t="e">
        <f ca="1">IMAGE("https://alssports.vtexassets.com/arquivos/ids/1085324-800-auto?v=637917182267970000&amp;width=800&amp;height=auto&amp;aspect=true")</f>
        <v>#NAME?</v>
      </c>
      <c r="H190" t="e">
        <f ca="1">IMAGE("https://m.media-amazon.com/images/I/81NSKOZb-uL._AC_UL320_.jpg")</f>
        <v>#NAME?</v>
      </c>
      <c r="I190" t="s">
        <v>298</v>
      </c>
      <c r="J190">
        <v>25.41</v>
      </c>
      <c r="K190" s="2" t="s">
        <v>780</v>
      </c>
      <c r="L190">
        <v>4.7</v>
      </c>
      <c r="M190">
        <v>20</v>
      </c>
      <c r="O190" t="s">
        <v>26</v>
      </c>
      <c r="P190" t="s">
        <v>300</v>
      </c>
      <c r="Q190" t="s">
        <v>301</v>
      </c>
    </row>
    <row r="191" spans="1:17" ht="15.75" x14ac:dyDescent="0.25">
      <c r="A191" s="3" t="str">
        <f>HYPERLINK("https://www.als.com/carhar-m-workwear-pocket-ss-tee/p?skuId=1200098", "https://www.als.com/carhar-m-workwear-pocket-ss-tee/p?skuId=1200098")</f>
        <v>https://www.als.com/carhar-m-workwear-pocket-ss-tee/p?skuId=1200098</v>
      </c>
      <c r="B191" s="3" t="str">
        <f>HYPERLINK("https://www.als.com/carhar-m-workwear-pocket-ss-tee/p", "https://www.als.com/carhar-m-workwear-pocket-ss-tee/p")</f>
        <v>https://www.als.com/carhar-m-workwear-pocket-ss-tee/p</v>
      </c>
      <c r="C191" t="s">
        <v>237</v>
      </c>
      <c r="D191" t="s">
        <v>781</v>
      </c>
      <c r="E191" s="3" t="str">
        <f>HYPERLINK("https://www.amazon.com/WORKWEAR-Wrangler-Pocket-T-Shirt-XXX-Large/dp/B000A38J6E/ref=sr_1_26?keywords=Carhartt+Workwear+Loose+Fit+Pocket+Short-Sleeve+T-Shirt+-+Men%27s&amp;qid=1695124338&amp;sr=8-26", "https://www.amazon.com/WORKWEAR-Wrangler-Pocket-T-Shirt-XXX-Large/dp/B000A38J6E/ref=sr_1_26?keywords=Carhartt+Workwear+Loose+Fit+Pocket+Short-Sleeve+T-Shirt+-+Men%27s&amp;qid=1695124338&amp;sr=8-26")</f>
        <v>https://www.amazon.com/WORKWEAR-Wrangler-Pocket-T-Shirt-XXX-Large/dp/B000A38J6E/ref=sr_1_26?keywords=Carhartt+Workwear+Loose+Fit+Pocket+Short-Sleeve+T-Shirt+-+Men%27s&amp;qid=1695124338&amp;sr=8-26</v>
      </c>
      <c r="F191" t="s">
        <v>782</v>
      </c>
      <c r="G191" t="e">
        <f ca="1">IMAGE("https://alssports.vtexassets.com/arquivos/ids/1430829-800-auto?v=638285166341500000&amp;width=800&amp;height=auto&amp;aspect=true")</f>
        <v>#NAME?</v>
      </c>
      <c r="H191" t="e">
        <f ca="1">IMAGE("https://m.media-amazon.com/images/I/51iPpZeUZmL._AC_UL320_.jpg")</f>
        <v>#NAME?</v>
      </c>
      <c r="I191" t="s">
        <v>240</v>
      </c>
      <c r="J191">
        <v>18.809999999999999</v>
      </c>
      <c r="K191" s="2" t="s">
        <v>783</v>
      </c>
      <c r="L191">
        <v>4.5</v>
      </c>
      <c r="M191">
        <v>1428</v>
      </c>
      <c r="O191" t="s">
        <v>33</v>
      </c>
      <c r="P191" t="s">
        <v>26</v>
      </c>
      <c r="Q191" t="s">
        <v>241</v>
      </c>
    </row>
    <row r="192" spans="1:17" ht="15.75" x14ac:dyDescent="0.25">
      <c r="A192" s="3" t="str">
        <f>HYPERLINK("https://www.als.com/quiksh-canopy-shade-tech-100/p?skuId=898263", "https://www.als.com/quiksh-canopy-shade-tech-100/p?skuId=898263")</f>
        <v>https://www.als.com/quiksh-canopy-shade-tech-100/p?skuId=898263</v>
      </c>
      <c r="B192" s="3" t="str">
        <f>HYPERLINK("https://www.als.com/quiksh-canopy-shade-tech-100/p", "https://www.als.com/quiksh-canopy-shade-tech-100/p")</f>
        <v>https://www.als.com/quiksh-canopy-shade-tech-100/p</v>
      </c>
      <c r="C192" t="s">
        <v>784</v>
      </c>
      <c r="D192" t="s">
        <v>785</v>
      </c>
      <c r="E192" s="3" t="str">
        <f>HYPERLINK("https://www.amazon.com/Quik-Shade-Square-Straight-Outdoor/dp/B08B29HHZR/ref=sr_1_9?keywords=Quik+Shade+Straight+Leg+10+X+10+canopy&amp;qid=1695124378&amp;sr=8-9", "https://www.amazon.com/Quik-Shade-Square-Straight-Outdoor/dp/B08B29HHZR/ref=sr_1_9?keywords=Quik+Shade+Straight+Leg+10+X+10+canopy&amp;qid=1695124378&amp;sr=8-9")</f>
        <v>https://www.amazon.com/Quik-Shade-Square-Straight-Outdoor/dp/B08B29HHZR/ref=sr_1_9?keywords=Quik+Shade+Straight+Leg+10+X+10+canopy&amp;qid=1695124378&amp;sr=8-9</v>
      </c>
      <c r="F192" t="s">
        <v>786</v>
      </c>
      <c r="G192" t="e">
        <f ca="1">IMAGE("https://alssports.vtexassets.com/arquivos/ids/1099798-800-auto?v=637939423737200000&amp;width=800&amp;height=auto&amp;aspect=true")</f>
        <v>#NAME?</v>
      </c>
      <c r="H192" t="e">
        <f ca="1">IMAGE("https://m.media-amazon.com/images/I/61pkYIJi4zL._AC_UL320_.jpg")</f>
        <v>#NAME?</v>
      </c>
      <c r="I192" t="s">
        <v>787</v>
      </c>
      <c r="J192">
        <v>94.07</v>
      </c>
      <c r="K192" s="2" t="s">
        <v>788</v>
      </c>
      <c r="L192">
        <v>4.2</v>
      </c>
      <c r="M192">
        <v>9</v>
      </c>
      <c r="O192" t="s">
        <v>33</v>
      </c>
      <c r="P192" t="s">
        <v>164</v>
      </c>
      <c r="Q192" t="s">
        <v>789</v>
      </c>
    </row>
    <row r="193" spans="1:17" ht="15.75" x14ac:dyDescent="0.25">
      <c r="A193" s="3" t="str">
        <f>HYPERLINK("https://www.als.com/hydrof-bottle-standard-mouth-21/p?skuId=255000", "https://www.als.com/hydrof-bottle-standard-mouth-21/p?skuId=255000")</f>
        <v>https://www.als.com/hydrof-bottle-standard-mouth-21/p?skuId=255000</v>
      </c>
      <c r="B193" s="3" t="str">
        <f>HYPERLINK("https://www.als.com/hydrof-bottle-standard-mouth-21/p", "https://www.als.com/hydrof-bottle-standard-mouth-21/p")</f>
        <v>https://www.als.com/hydrof-bottle-standard-mouth-21/p</v>
      </c>
      <c r="C193" t="s">
        <v>525</v>
      </c>
      <c r="D193" t="s">
        <v>768</v>
      </c>
      <c r="E193" s="3" t="str">
        <f>HYPERLINK("https://www.amazon.com/Hydro-Flask-Standard-Mouth-Bottle/dp/B09D8S3593/ref=sr_1_10?keywords=Hydro+Flask+Standard+Mouth+Insulated+Bottle+-+21oz&amp;qid=1695124388&amp;sr=8-10", "https://www.amazon.com/Hydro-Flask-Standard-Mouth-Bottle/dp/B09D8S3593/ref=sr_1_10?keywords=Hydro+Flask+Standard+Mouth+Insulated+Bottle+-+21oz&amp;qid=1695124388&amp;sr=8-10")</f>
        <v>https://www.amazon.com/Hydro-Flask-Standard-Mouth-Bottle/dp/B09D8S3593/ref=sr_1_10?keywords=Hydro+Flask+Standard+Mouth+Insulated+Bottle+-+21oz&amp;qid=1695124388&amp;sr=8-10</v>
      </c>
      <c r="F193" t="s">
        <v>790</v>
      </c>
      <c r="G193" t="e">
        <f ca="1">IMAGE("https://alssports.vtexassets.com/arquivos/ids/1173834-800-auto?v=638042939420000000&amp;width=800&amp;height=auto&amp;aspect=true")</f>
        <v>#NAME?</v>
      </c>
      <c r="H193" t="e">
        <f ca="1">IMAGE("https://m.media-amazon.com/images/I/61+g4p3MxcL._AC_UL320_.jpg")</f>
        <v>#NAME?</v>
      </c>
      <c r="I193" t="s">
        <v>528</v>
      </c>
      <c r="J193">
        <v>32.869999999999997</v>
      </c>
      <c r="K193" s="2" t="s">
        <v>791</v>
      </c>
      <c r="L193">
        <v>4.8</v>
      </c>
      <c r="M193">
        <v>105</v>
      </c>
      <c r="O193" t="s">
        <v>33</v>
      </c>
      <c r="P193" t="s">
        <v>26</v>
      </c>
      <c r="Q193" t="s">
        <v>530</v>
      </c>
    </row>
    <row r="194" spans="1:17" ht="15.75" x14ac:dyDescent="0.25">
      <c r="A194" s="3" t="str">
        <f>HYPERLINK("https://www.als.com/teva-yth-sandal-hurricane-xlt-2/p?skuId=698191", "https://www.als.com/teva-yth-sandal-hurricane-xlt-2/p?skuId=698191")</f>
        <v>https://www.als.com/teva-yth-sandal-hurricane-xlt-2/p?skuId=698191</v>
      </c>
      <c r="B194" s="3" t="str">
        <f>HYPERLINK("https://www.als.com/teva-yth-sandal-hurricane-xlt-2/p", "https://www.als.com/teva-yth-sandal-hurricane-xlt-2/p")</f>
        <v>https://www.als.com/teva-yth-sandal-hurricane-xlt-2/p</v>
      </c>
      <c r="C194" t="s">
        <v>792</v>
      </c>
      <c r="D194" t="s">
        <v>793</v>
      </c>
      <c r="E194" s="3" t="str">
        <f>HYPERLINK("https://www.amazon.com/Teva-Hurricane-Sandal-Delmar-Purple/dp/B071JS2QLK/ref=sr_1_1?keywords=teva+hurricane+xlt2+sandal+-+kids&amp;qid=1695124463&amp;sr=8-1", "https://www.amazon.com/Teva-Hurricane-Sandal-Delmar-Purple/dp/B071JS2QLK/ref=sr_1_1?keywords=teva+hurricane+xlt2+sandal+-+kids&amp;qid=1695124463&amp;sr=8-1")</f>
        <v>https://www.amazon.com/Teva-Hurricane-Sandal-Delmar-Purple/dp/B071JS2QLK/ref=sr_1_1?keywords=teva+hurricane+xlt2+sandal+-+kids&amp;qid=1695124463&amp;sr=8-1</v>
      </c>
      <c r="F194" t="s">
        <v>794</v>
      </c>
      <c r="G194" t="e">
        <f ca="1">IMAGE("https://alssports.vtexassets.com/arquivos/ids/588323-800-auto?v=637533394671800000&amp;width=800&amp;height=auto&amp;aspect=true")</f>
        <v>#NAME?</v>
      </c>
      <c r="H194" t="e">
        <f ca="1">IMAGE("https://m.media-amazon.com/images/I/61lv-3uXCGL._AC_UL320_.jpg")</f>
        <v>#NAME?</v>
      </c>
      <c r="I194" t="s">
        <v>795</v>
      </c>
      <c r="J194">
        <v>21.58</v>
      </c>
      <c r="K194" s="2" t="s">
        <v>796</v>
      </c>
      <c r="L194">
        <v>4.7</v>
      </c>
      <c r="M194">
        <v>5255</v>
      </c>
      <c r="O194" t="s">
        <v>33</v>
      </c>
      <c r="P194" t="s">
        <v>797</v>
      </c>
      <c r="Q194" t="s">
        <v>798</v>
      </c>
    </row>
    <row r="195" spans="1:17" ht="15.75" x14ac:dyDescent="0.25">
      <c r="A195" s="3" t="str">
        <f>HYPERLINK("https://www.als.com/adidas-w-slide-adilette-comfort/p?skuId=1286469", "https://www.als.com/adidas-w-slide-adilette-comfort/p?skuId=1286469")</f>
        <v>https://www.als.com/adidas-w-slide-adilette-comfort/p?skuId=1286469</v>
      </c>
      <c r="B195" s="3" t="str">
        <f>HYPERLINK("https://www.als.com/adidas-w-slide-adilette-comfort/p", "https://www.als.com/adidas-w-slide-adilette-comfort/p")</f>
        <v>https://www.als.com/adidas-w-slide-adilette-comfort/p</v>
      </c>
      <c r="C195" t="s">
        <v>441</v>
      </c>
      <c r="D195" t="s">
        <v>799</v>
      </c>
      <c r="E195" s="3" t="str">
        <f>HYPERLINK("https://www.amazon.com/adidas-Womens-Adilette-Comfort-Metallic/dp/B09Y2KHDH3/ref=sr_1_33?keywords=Adidas+Adilette+Comfort+Sandal+-+Women%27s&amp;qid=1695124352&amp;sr=8-33", "https://www.amazon.com/adidas-Womens-Adilette-Comfort-Metallic/dp/B09Y2KHDH3/ref=sr_1_33?keywords=Adidas+Adilette+Comfort+Sandal+-+Women%27s&amp;qid=1695124352&amp;sr=8-33")</f>
        <v>https://www.amazon.com/adidas-Womens-Adilette-Comfort-Metallic/dp/B09Y2KHDH3/ref=sr_1_33?keywords=Adidas+Adilette+Comfort+Sandal+-+Women%27s&amp;qid=1695124352&amp;sr=8-33</v>
      </c>
      <c r="F195" t="s">
        <v>800</v>
      </c>
      <c r="G195" t="e">
        <f ca="1">IMAGE("https://alssports.vtexassets.com/arquivos/ids/1250704-800-auto?v=638128818653670000&amp;width=800&amp;height=auto&amp;aspect=true")</f>
        <v>#NAME?</v>
      </c>
      <c r="H195" t="e">
        <f ca="1">IMAGE("https://m.media-amazon.com/images/I/61o-kWSEMvL._AC_UL320_.jpg")</f>
        <v>#NAME?</v>
      </c>
      <c r="I195" t="s">
        <v>444</v>
      </c>
      <c r="J195">
        <v>26.27</v>
      </c>
      <c r="K195" s="2" t="s">
        <v>801</v>
      </c>
      <c r="L195">
        <v>5</v>
      </c>
      <c r="M195">
        <v>2</v>
      </c>
      <c r="O195" t="s">
        <v>33</v>
      </c>
      <c r="P195" t="s">
        <v>140</v>
      </c>
      <c r="Q195" t="s">
        <v>445</v>
      </c>
    </row>
    <row r="196" spans="1:17" ht="15.75" x14ac:dyDescent="0.25">
      <c r="A196" s="3" t="str">
        <f>HYPERLINK("https://www.als.com/owala-ss-32oz-freesip-h2o-bottle/p?skuId=1195209", "https://www.als.com/owala-ss-32oz-freesip-h2o-bottle/p?skuId=1195209")</f>
        <v>https://www.als.com/owala-ss-32oz-freesip-h2o-bottle/p?skuId=1195209</v>
      </c>
      <c r="B196" s="3" t="str">
        <f>HYPERLINK("https://www.als.com/owala-ss-32oz-freesip-h2o-bottle/p", "https://www.als.com/owala-ss-32oz-freesip-h2o-bottle/p")</f>
        <v>https://www.als.com/owala-ss-32oz-freesip-h2o-bottle/p</v>
      </c>
      <c r="C196" t="s">
        <v>465</v>
      </c>
      <c r="D196" t="s">
        <v>802</v>
      </c>
      <c r="E196" s="3" t="str">
        <f>HYPERLINK("https://www.amazon.com/Bottle-Insulated-Double-Wall-Sleeve-Stainless/dp/B0BN1QBHWK/ref=sr_1_30?keywords=Owala+Free+Sip+Stainless+Steel+Water+Bottle+-+32oz&amp;qid=1695124108&amp;sr=8-30", "https://www.amazon.com/Bottle-Insulated-Double-Wall-Sleeve-Stainless/dp/B0BN1QBHWK/ref=sr_1_30?keywords=Owala+Free+Sip+Stainless+Steel+Water+Bottle+-+32oz&amp;qid=1695124108&amp;sr=8-30")</f>
        <v>https://www.amazon.com/Bottle-Insulated-Double-Wall-Sleeve-Stainless/dp/B0BN1QBHWK/ref=sr_1_30?keywords=Owala+Free+Sip+Stainless+Steel+Water+Bottle+-+32oz&amp;qid=1695124108&amp;sr=8-30</v>
      </c>
      <c r="F196" t="s">
        <v>803</v>
      </c>
      <c r="G196" t="e">
        <f ca="1">IMAGE("https://alssports.vtexassets.com/arquivos/ids/1363762-800-auto?v=638236670706530000&amp;width=800&amp;height=auto&amp;aspect=true")</f>
        <v>#NAME?</v>
      </c>
      <c r="H196" t="e">
        <f ca="1">IMAGE("https://m.media-amazon.com/images/I/71acBnzZibL._AC_UL320_.jpg")</f>
        <v>#NAME?</v>
      </c>
      <c r="I196" t="s">
        <v>462</v>
      </c>
      <c r="J196">
        <v>30.99</v>
      </c>
      <c r="K196" s="2" t="s">
        <v>804</v>
      </c>
      <c r="L196">
        <v>4.5999999999999996</v>
      </c>
      <c r="M196">
        <v>2145</v>
      </c>
      <c r="O196" t="s">
        <v>33</v>
      </c>
      <c r="P196" t="s">
        <v>26</v>
      </c>
      <c r="Q196" t="s">
        <v>466</v>
      </c>
    </row>
    <row r="197" spans="1:17" ht="15.75" x14ac:dyDescent="0.25">
      <c r="A197" s="3" t="str">
        <f>HYPERLINK("https://www.als.com/smartw-m-sock-evrydy-popcorn-cble-crw/p?skuId=1047473", "https://www.als.com/smartw-m-sock-evrydy-popcorn-cble-crw/p?skuId=1047473")</f>
        <v>https://www.als.com/smartw-m-sock-evrydy-popcorn-cble-crw/p?skuId=1047473</v>
      </c>
      <c r="B197" s="3" t="str">
        <f>HYPERLINK("https://www.als.com/smartw-m-sock-evrydy-popcorn-cble-crw/p", "https://www.als.com/smartw-m-sock-evrydy-popcorn-cble-crw/p")</f>
        <v>https://www.als.com/smartw-m-sock-evrydy-popcorn-cble-crw/p</v>
      </c>
      <c r="C197" t="s">
        <v>805</v>
      </c>
      <c r="D197" t="s">
        <v>806</v>
      </c>
      <c r="E197" s="3" t="str">
        <f>HYPERLINK("https://www.amazon.com/Smartwool-Snowflake-Moisture-wicking-Odor-resistant-Activities/dp/B096C98DF4/ref=sr_1_6?keywords=Smartwool+Everyday+Popcorn+Cable+Crew+Sock+-+Womens&amp;qid=1695124378&amp;sr=8-6", "https://www.amazon.com/Smartwool-Snowflake-Moisture-wicking-Odor-resistant-Activities/dp/B096C98DF4/ref=sr_1_6?keywords=Smartwool+Everyday+Popcorn+Cable+Crew+Sock+-+Womens&amp;qid=1695124378&amp;sr=8-6")</f>
        <v>https://www.amazon.com/Smartwool-Snowflake-Moisture-wicking-Odor-resistant-Activities/dp/B096C98DF4/ref=sr_1_6?keywords=Smartwool+Everyday+Popcorn+Cable+Crew+Sock+-+Womens&amp;qid=1695124378&amp;sr=8-6</v>
      </c>
      <c r="F197" t="s">
        <v>807</v>
      </c>
      <c r="G197" t="e">
        <f ca="1">IMAGE("https://alssports.vtexassets.com/arquivos/ids/1264369-800-auto?v=638143189174930000&amp;width=800&amp;height=auto&amp;aspect=true")</f>
        <v>#NAME?</v>
      </c>
      <c r="H197" t="e">
        <f ca="1">IMAGE("https://m.media-amazon.com/images/I/81ye-JrCQvS._AC_UL320_.jpg")</f>
        <v>#NAME?</v>
      </c>
      <c r="I197" t="s">
        <v>808</v>
      </c>
      <c r="J197">
        <v>25.3</v>
      </c>
      <c r="K197" s="2" t="s">
        <v>809</v>
      </c>
      <c r="L197">
        <v>4.4000000000000004</v>
      </c>
      <c r="M197">
        <v>23</v>
      </c>
      <c r="O197" t="s">
        <v>33</v>
      </c>
      <c r="P197" t="s">
        <v>810</v>
      </c>
      <c r="Q197" t="s">
        <v>811</v>
      </c>
    </row>
    <row r="198" spans="1:17" ht="15.75" x14ac:dyDescent="0.25">
      <c r="A198" s="3" t="str">
        <f>HYPERLINK("https://www.als.com/adidas-m-shoe-trainer-v/p?skuId=1287612", "https://www.als.com/adidas-m-shoe-trainer-v/p?skuId=1287612")</f>
        <v>https://www.als.com/adidas-m-shoe-trainer-v/p?skuId=1287612</v>
      </c>
      <c r="B198" s="3" t="str">
        <f>HYPERLINK("https://www.als.com/adidas-m-shoe-trainer-v/p", "https://www.als.com/adidas-m-shoe-trainer-v/p")</f>
        <v>https://www.als.com/adidas-m-shoe-trainer-v/p</v>
      </c>
      <c r="C198" t="s">
        <v>812</v>
      </c>
      <c r="D198" t="s">
        <v>813</v>
      </c>
      <c r="E198" s="3"/>
      <c r="F198" t="s">
        <v>814</v>
      </c>
      <c r="G198" t="e">
        <f ca="1">IMAGE("https://alssports.vtexassets.com/arquivos/ids/1251400-800-auto?v=638129538317900000&amp;width=800&amp;height=auto&amp;aspect=true")</f>
        <v>#NAME?</v>
      </c>
      <c r="H198" t="e">
        <f ca="1">IMAGE("https://m.media-amazon.com/images/I/81KQly1b22L._AC_UL320_.jpg")</f>
        <v>#NAME?</v>
      </c>
      <c r="I198" t="s">
        <v>815</v>
      </c>
      <c r="J198">
        <v>29.99</v>
      </c>
      <c r="K198" s="2" t="s">
        <v>816</v>
      </c>
      <c r="L198">
        <v>4.3</v>
      </c>
      <c r="M198">
        <v>336</v>
      </c>
      <c r="O198" t="s">
        <v>33</v>
      </c>
      <c r="P198" t="s">
        <v>817</v>
      </c>
      <c r="Q198" t="s">
        <v>818</v>
      </c>
    </row>
    <row r="199" spans="1:17" ht="15.75" x14ac:dyDescent="0.25">
      <c r="A199" s="3" t="str">
        <f>HYPERLINK("https://www.als.com/adidas-w-shoe-4dfwd-2/p?skuId=1285989", "https://www.als.com/adidas-w-shoe-4dfwd-2/p?skuId=1285989")</f>
        <v>https://www.als.com/adidas-w-shoe-4dfwd-2/p?skuId=1285989</v>
      </c>
      <c r="B199" s="3" t="str">
        <f>HYPERLINK("https://www.als.com/adidas-w-shoe-4dfwd-2/p", "https://www.als.com/adidas-w-shoe-4dfwd-2/p")</f>
        <v>https://www.als.com/adidas-w-shoe-4dfwd-2/p</v>
      </c>
      <c r="C199" t="s">
        <v>392</v>
      </c>
      <c r="D199" t="s">
        <v>819</v>
      </c>
      <c r="E199" s="3" t="str">
        <f>HYPERLINK("https://www.amazon.com/adidas-Womens-Vario-Black-Carbon/dp/B08CZ14WBH/ref=sr_1_9?keywords=adidas+4DFWD+2+Shoe+-+Women%27s&amp;qid=1695124326&amp;sr=8-9", "https://www.amazon.com/adidas-Womens-Vario-Black-Carbon/dp/B08CZ14WBH/ref=sr_1_9?keywords=adidas+4DFWD+2+Shoe+-+Women%27s&amp;qid=1695124326&amp;sr=8-9")</f>
        <v>https://www.amazon.com/adidas-Womens-Vario-Black-Carbon/dp/B08CZ14WBH/ref=sr_1_9?keywords=adidas+4DFWD+2+Shoe+-+Women%27s&amp;qid=1695124326&amp;sr=8-9</v>
      </c>
      <c r="F199" t="s">
        <v>820</v>
      </c>
      <c r="G199" t="e">
        <f ca="1">IMAGE("https://alssports.vtexassets.com/arquivos/ids/1396854-800-auto?v=638260048905170000&amp;width=800&amp;height=auto&amp;aspect=true")</f>
        <v>#NAME?</v>
      </c>
      <c r="H199" t="e">
        <f ca="1">IMAGE("https://m.media-amazon.com/images/I/71a6jbtqMwL._AC_UL320_.jpg")</f>
        <v>#NAME?</v>
      </c>
      <c r="I199" t="s">
        <v>395</v>
      </c>
      <c r="J199">
        <v>74.989999999999995</v>
      </c>
      <c r="K199" s="2" t="s">
        <v>821</v>
      </c>
      <c r="L199">
        <v>4.5</v>
      </c>
      <c r="M199">
        <v>81666</v>
      </c>
      <c r="O199" t="s">
        <v>33</v>
      </c>
      <c r="P199" t="s">
        <v>73</v>
      </c>
      <c r="Q199" t="s">
        <v>397</v>
      </c>
    </row>
    <row r="200" spans="1:17" ht="15.75" x14ac:dyDescent="0.25">
      <c r="A200" s="3" t="str">
        <f>HYPERLINK("https://www.als.com/columbia-double-trouble-reversible-jacket-toddler-124814/p?skuId=1245039", "https://www.als.com/columbia-double-trouble-reversible-jacket-toddler-124814/p?skuId=1245039")</f>
        <v>https://www.als.com/columbia-double-trouble-reversible-jacket-toddler-124814/p?skuId=1245039</v>
      </c>
      <c r="B200" s="3" t="str">
        <f>HYPERLINK("https://www.als.com/columbia-double-trouble-reversible-jacket-toddler-124814/p", "https://www.als.com/columbia-double-trouble-reversible-jacket-toddler-124814/p")</f>
        <v>https://www.als.com/columbia-double-trouble-reversible-jacket-toddler-124814/p</v>
      </c>
      <c r="C200" t="s">
        <v>822</v>
      </c>
      <c r="D200" t="s">
        <v>823</v>
      </c>
      <c r="E200" s="3" t="str">
        <f>HYPERLINK("https://www.amazon.com/Columbia-Double-Trouble-Jacket-Critter/dp/B07K6LVDW2/ref=sr_1_5?keywords=Columbia+Double+Trouble+Reversible+Jacket+-+Toddler&amp;qid=1695124350&amp;sr=8-5", "https://www.amazon.com/Columbia-Double-Trouble-Jacket-Critter/dp/B07K6LVDW2/ref=sr_1_5?keywords=Columbia+Double+Trouble+Reversible+Jacket+-+Toddler&amp;qid=1695124350&amp;sr=8-5")</f>
        <v>https://www.amazon.com/Columbia-Double-Trouble-Jacket-Critter/dp/B07K6LVDW2/ref=sr_1_5?keywords=Columbia+Double+Trouble+Reversible+Jacket+-+Toddler&amp;qid=1695124350&amp;sr=8-5</v>
      </c>
      <c r="F200" t="s">
        <v>824</v>
      </c>
      <c r="G200" t="e">
        <f ca="1">IMAGE("https://alssports.vtexassets.com/arquivos/ids/1182239-800-auto?v=638052779051930000&amp;width=800&amp;height=auto&amp;aspect=true")</f>
        <v>#NAME?</v>
      </c>
      <c r="H200" t="e">
        <f ca="1">IMAGE("https://m.media-amazon.com/images/I/718g74CkZ0L._AC_UL320_.jpg")</f>
        <v>#NAME?</v>
      </c>
      <c r="I200" t="s">
        <v>825</v>
      </c>
      <c r="J200">
        <v>52.5</v>
      </c>
      <c r="K200" s="2" t="s">
        <v>826</v>
      </c>
      <c r="L200">
        <v>4.8</v>
      </c>
      <c r="M200">
        <v>379</v>
      </c>
      <c r="O200" t="s">
        <v>33</v>
      </c>
      <c r="P200" t="s">
        <v>827</v>
      </c>
      <c r="Q200" t="s">
        <v>828</v>
      </c>
    </row>
    <row r="201" spans="1:17" ht="15.75" x14ac:dyDescent="0.25">
      <c r="A201" s="3" t="str">
        <f>HYPERLINK("https://www.als.com/altra-w-shoe-timp-4/p?skuId=929220", "https://www.als.com/altra-w-shoe-timp-4/p?skuId=929220")</f>
        <v>https://www.als.com/altra-w-shoe-timp-4/p?skuId=929220</v>
      </c>
      <c r="B201" s="3" t="str">
        <f>HYPERLINK("https://www.als.com/altra-w-shoe-timp-4/p", "https://www.als.com/altra-w-shoe-timp-4/p")</f>
        <v>https://www.als.com/altra-w-shoe-timp-4/p</v>
      </c>
      <c r="C201" t="s">
        <v>829</v>
      </c>
      <c r="D201" t="s">
        <v>830</v>
      </c>
      <c r="E201" s="3" t="str">
        <f>HYPERLINK("https://www.amazon.com/ALTRA-Womens-AL0A82CZ-Torin-Running/dp/B0BK2JYVQ1/ref=sr_1_14?keywords=Altra+Timp+4+Running+Shoe+-+Womens&amp;qid=1695124369&amp;sr=8-14", "https://www.amazon.com/ALTRA-Womens-AL0A82CZ-Torin-Running/dp/B0BK2JYVQ1/ref=sr_1_14?keywords=Altra+Timp+4+Running+Shoe+-+Womens&amp;qid=1695124369&amp;sr=8-14")</f>
        <v>https://www.amazon.com/ALTRA-Womens-AL0A82CZ-Torin-Running/dp/B0BK2JYVQ1/ref=sr_1_14?keywords=Altra+Timp+4+Running+Shoe+-+Womens&amp;qid=1695124369&amp;sr=8-14</v>
      </c>
      <c r="F201" t="s">
        <v>831</v>
      </c>
      <c r="G201" t="e">
        <f ca="1">IMAGE("https://alssports.vtexassets.com/arquivos/ids/1112796-800-auto?v=637957454637830000&amp;width=800&amp;height=auto&amp;aspect=true")</f>
        <v>#NAME?</v>
      </c>
      <c r="H201" t="e">
        <f ca="1">IMAGE("https://m.media-amazon.com/images/I/61yjOQiRDvL._AC_UL320_.jpg")</f>
        <v>#NAME?</v>
      </c>
      <c r="I201" t="s">
        <v>88</v>
      </c>
      <c r="J201">
        <v>149.94999999999999</v>
      </c>
      <c r="K201" s="2" t="s">
        <v>826</v>
      </c>
      <c r="L201">
        <v>3.5</v>
      </c>
      <c r="M201">
        <v>20</v>
      </c>
      <c r="O201" t="s">
        <v>33</v>
      </c>
      <c r="P201" t="s">
        <v>832</v>
      </c>
      <c r="Q201" t="s">
        <v>833</v>
      </c>
    </row>
    <row r="202" spans="1:17" ht="15.75" x14ac:dyDescent="0.25">
      <c r="A202" s="3" t="str">
        <f>HYPERLINK("https://www.als.com/altra-w-shoe-timp-4/p?skuId=929220", "https://www.als.com/altra-w-shoe-timp-4/p?skuId=929220")</f>
        <v>https://www.als.com/altra-w-shoe-timp-4/p?skuId=929220</v>
      </c>
      <c r="B202" s="3" t="str">
        <f>HYPERLINK("https://www.als.com/altra-w-shoe-timp-4/p", "https://www.als.com/altra-w-shoe-timp-4/p")</f>
        <v>https://www.als.com/altra-w-shoe-timp-4/p</v>
      </c>
      <c r="C202" t="s">
        <v>829</v>
      </c>
      <c r="D202" t="s">
        <v>834</v>
      </c>
      <c r="E202" s="3" t="str">
        <f>HYPERLINK("https://www.amazon.com/ALTRA-Womens-AL0A7R7G-Trail-Running/dp/B0BK2KF1LQ/ref=sr_1_13?keywords=Altra+Timp+4+Running+Shoe+-+Womens&amp;qid=1695124369&amp;sr=8-13", "https://www.amazon.com/ALTRA-Womens-AL0A7R7G-Trail-Running/dp/B0BK2KF1LQ/ref=sr_1_13?keywords=Altra+Timp+4+Running+Shoe+-+Womens&amp;qid=1695124369&amp;sr=8-13")</f>
        <v>https://www.amazon.com/ALTRA-Womens-AL0A7R7G-Trail-Running/dp/B0BK2KF1LQ/ref=sr_1_13?keywords=Altra+Timp+4+Running+Shoe+-+Womens&amp;qid=1695124369&amp;sr=8-13</v>
      </c>
      <c r="F202" t="s">
        <v>835</v>
      </c>
      <c r="G202" t="e">
        <f ca="1">IMAGE("https://alssports.vtexassets.com/arquivos/ids/1112796-800-auto?v=637957454637830000&amp;width=800&amp;height=auto&amp;aspect=true")</f>
        <v>#NAME?</v>
      </c>
      <c r="H202" t="e">
        <f ca="1">IMAGE("https://m.media-amazon.com/images/I/71jsVz1-fcL._AC_UL320_.jpg")</f>
        <v>#NAME?</v>
      </c>
      <c r="I202" t="s">
        <v>88</v>
      </c>
      <c r="J202">
        <v>149.94999999999999</v>
      </c>
      <c r="K202" s="2" t="s">
        <v>826</v>
      </c>
      <c r="L202">
        <v>4.8</v>
      </c>
      <c r="M202">
        <v>5</v>
      </c>
      <c r="O202" t="s">
        <v>33</v>
      </c>
      <c r="P202" t="s">
        <v>832</v>
      </c>
      <c r="Q202" t="s">
        <v>833</v>
      </c>
    </row>
    <row r="203" spans="1:17" ht="15.75" x14ac:dyDescent="0.25">
      <c r="A203" s="3" t="str">
        <f>HYPERLINK("https://www.als.com/coleha-ms-shoe-grndpr0-rally-lasrcut/p?skuId=858897", "https://www.als.com/coleha-ms-shoe-grndpr0-rally-lasrcut/p?skuId=858897")</f>
        <v>https://www.als.com/coleha-ms-shoe-grndpr0-rally-lasrcut/p?skuId=858897</v>
      </c>
      <c r="B203" s="3" t="str">
        <f>HYPERLINK("https://www.als.com/coleha-ms-shoe-grndpr0-rally-lasrcut/p", "https://www.als.com/coleha-ms-shoe-grndpr0-rally-lasrcut/p")</f>
        <v>https://www.als.com/coleha-ms-shoe-grndpr0-rally-lasrcut/p</v>
      </c>
      <c r="C203" t="s">
        <v>836</v>
      </c>
      <c r="D203" t="s">
        <v>837</v>
      </c>
      <c r="E203" s="3" t="str">
        <f>HYPERLINK("https://www.amazon.com/Cole-Haan-Grandpro-Sneaker-Magnet/dp/B091FTTPF9/ref=sr_1_3?keywords=Cole+Haan+Grandpro+Rally+Laser+Cut+Shoe+-+Mens&amp;qid=1695124117&amp;sr=8-3", "https://www.amazon.com/Cole-Haan-Grandpro-Sneaker-Magnet/dp/B091FTTPF9/ref=sr_1_3?keywords=Cole+Haan+Grandpro+Rally+Laser+Cut+Shoe+-+Mens&amp;qid=1695124117&amp;sr=8-3")</f>
        <v>https://www.amazon.com/Cole-Haan-Grandpro-Sneaker-Magnet/dp/B091FTTPF9/ref=sr_1_3?keywords=Cole+Haan+Grandpro+Rally+Laser+Cut+Shoe+-+Mens&amp;qid=1695124117&amp;sr=8-3</v>
      </c>
      <c r="F203" t="s">
        <v>838</v>
      </c>
      <c r="G203" t="e">
        <f ca="1">IMAGE("https://alssports.vtexassets.com/arquivos/ids/691385-800-auto?v=637575556199130000&amp;width=800&amp;height=auto&amp;aspect=true")</f>
        <v>#NAME?</v>
      </c>
      <c r="H203" t="e">
        <f ca="1">IMAGE("https://m.media-amazon.com/images/I/61CBZt5RNNL._AC_UL320_.jpg")</f>
        <v>#NAME?</v>
      </c>
      <c r="I203" t="s">
        <v>88</v>
      </c>
      <c r="J203">
        <v>149.94999999999999</v>
      </c>
      <c r="K203" s="2" t="s">
        <v>826</v>
      </c>
      <c r="L203">
        <v>4</v>
      </c>
      <c r="M203">
        <v>12</v>
      </c>
      <c r="O203" t="s">
        <v>33</v>
      </c>
      <c r="P203" t="s">
        <v>26</v>
      </c>
      <c r="Q203" t="s">
        <v>839</v>
      </c>
    </row>
    <row r="204" spans="1:17" ht="15.75" x14ac:dyDescent="0.25">
      <c r="A204" s="3" t="str">
        <f>HYPERLINK("https://www.als.com/peakre-food-strawberry-granola/p?skuId=576080", "https://www.als.com/peakre-food-strawberry-granola/p?skuId=576080")</f>
        <v>https://www.als.com/peakre-food-strawberry-granola/p?skuId=576080</v>
      </c>
      <c r="B204" s="3" t="str">
        <f>HYPERLINK("https://www.als.com/peakre-food-strawberry-granola/p", "https://www.als.com/peakre-food-strawberry-granola/p")</f>
        <v>https://www.als.com/peakre-food-strawberry-granola/p</v>
      </c>
      <c r="C204" t="s">
        <v>840</v>
      </c>
      <c r="D204" t="s">
        <v>841</v>
      </c>
      <c r="E204" s="3" t="str">
        <f>HYPERLINK("https://www.amazon.com/ReadyWise-Strawberry-Freeze-Dried-Backpacking-Vegetarian/dp/B07D6XQPRP/ref=sr_1_3?keywords=Peak+Refuel+Strawberry+Granola+Freeze+Dried+Meal&amp;qid=1695124155&amp;sr=8-3", "https://www.amazon.com/ReadyWise-Strawberry-Freeze-Dried-Backpacking-Vegetarian/dp/B07D6XQPRP/ref=sr_1_3?keywords=Peak+Refuel+Strawberry+Granola+Freeze+Dried+Meal&amp;qid=1695124155&amp;sr=8-3")</f>
        <v>https://www.amazon.com/ReadyWise-Strawberry-Freeze-Dried-Backpacking-Vegetarian/dp/B07D6XQPRP/ref=sr_1_3?keywords=Peak+Refuel+Strawberry+Granola+Freeze+Dried+Meal&amp;qid=1695124155&amp;sr=8-3</v>
      </c>
      <c r="F204" t="s">
        <v>842</v>
      </c>
      <c r="G204" t="e">
        <f ca="1">IMAGE("https://alssports.vtexassets.com/arquivos/ids/1093796-800-auto?v=637932772682570000&amp;width=800&amp;height=auto&amp;aspect=true")</f>
        <v>#NAME?</v>
      </c>
      <c r="H204" t="e">
        <f ca="1">IMAGE("https://m.media-amazon.com/images/I/71TfTnSTyoL._AC_UL320_.jpg")</f>
        <v>#NAME?</v>
      </c>
      <c r="I204" t="s">
        <v>843</v>
      </c>
      <c r="J204">
        <v>7.49</v>
      </c>
      <c r="K204" s="2" t="s">
        <v>844</v>
      </c>
      <c r="L204">
        <v>4.3</v>
      </c>
      <c r="M204">
        <v>27</v>
      </c>
      <c r="O204" t="s">
        <v>33</v>
      </c>
      <c r="P204" t="s">
        <v>26</v>
      </c>
      <c r="Q204" t="s">
        <v>845</v>
      </c>
    </row>
    <row r="205" spans="1:17" ht="15.75" x14ac:dyDescent="0.25">
      <c r="A205" s="3" t="str">
        <f>HYPERLINK("https://www.als.com/asics-m-shoe-gel-kayano-29/p?skuId=1037701", "https://www.als.com/asics-m-shoe-gel-kayano-29/p?skuId=1037701")</f>
        <v>https://www.als.com/asics-m-shoe-gel-kayano-29/p?skuId=1037701</v>
      </c>
      <c r="B205" s="3" t="str">
        <f>HYPERLINK("https://www.als.com/asics-m-shoe-gel-kayano-29/p", "https://www.als.com/asics-m-shoe-gel-kayano-29/p")</f>
        <v>https://www.als.com/asics-m-shoe-gel-kayano-29/p</v>
      </c>
      <c r="C205" t="s">
        <v>846</v>
      </c>
      <c r="D205" t="s">
        <v>847</v>
      </c>
      <c r="E205" s="3" t="str">
        <f>HYPERLINK("https://www.amazon.com/ASICS-Gel-Venture-Sheet-Rock-Habanero/dp/B091KFWD5S/ref=sr_1_21?keywords=Asics+Gel-Kayano+29+Running+Shoe+-+Men%27s&amp;qid=1695124323&amp;sr=8-21", "https://www.amazon.com/ASICS-Gel-Venture-Sheet-Rock-Habanero/dp/B091KFWD5S/ref=sr_1_21?keywords=Asics+Gel-Kayano+29+Running+Shoe+-+Men%27s&amp;qid=1695124323&amp;sr=8-21")</f>
        <v>https://www.amazon.com/ASICS-Gel-Venture-Sheet-Rock-Habanero/dp/B091KFWD5S/ref=sr_1_21?keywords=Asics+Gel-Kayano+29+Running+Shoe+-+Men%27s&amp;qid=1695124323&amp;sr=8-21</v>
      </c>
      <c r="F205" t="s">
        <v>848</v>
      </c>
      <c r="G205" t="e">
        <f ca="1">IMAGE("https://alssports.vtexassets.com/arquivos/ids/1127287-800-auto?v=637980196704630000&amp;width=800&amp;height=auto&amp;aspect=true")</f>
        <v>#NAME?</v>
      </c>
      <c r="H205" t="e">
        <f ca="1">IMAGE("https://m.media-amazon.com/images/I/610-4jTqVvL._AC_UL320_.jpg")</f>
        <v>#NAME?</v>
      </c>
      <c r="I205" t="s">
        <v>674</v>
      </c>
      <c r="J205">
        <v>59.95</v>
      </c>
      <c r="K205" s="2" t="s">
        <v>849</v>
      </c>
      <c r="L205">
        <v>4.5</v>
      </c>
      <c r="M205">
        <v>20995</v>
      </c>
      <c r="O205" t="s">
        <v>33</v>
      </c>
      <c r="P205" t="s">
        <v>88</v>
      </c>
      <c r="Q205" t="s">
        <v>850</v>
      </c>
    </row>
    <row r="206" spans="1:17" ht="15.75" x14ac:dyDescent="0.25">
      <c r="A206" s="3" t="str">
        <f>HYPERLINK("https://www.als.com/asics-w-shoe-gel-kayano-29/p?skuId=1037742", "https://www.als.com/asics-w-shoe-gel-kayano-29/p?skuId=1037742")</f>
        <v>https://www.als.com/asics-w-shoe-gel-kayano-29/p?skuId=1037742</v>
      </c>
      <c r="B206" s="3" t="str">
        <f>HYPERLINK("https://www.als.com/asics-w-shoe-gel-kayano-29/p", "https://www.als.com/asics-w-shoe-gel-kayano-29/p")</f>
        <v>https://www.als.com/asics-w-shoe-gel-kayano-29/p</v>
      </c>
      <c r="C206" t="s">
        <v>851</v>
      </c>
      <c r="D206" t="s">
        <v>852</v>
      </c>
      <c r="E206" s="3" t="str">
        <f>HYPERLINK("https://www.amazon.com/ASICS-Womens-Gel-Kayano-Running-Carbon/dp/B077MKS7CV/ref=sr_1_9?keywords=Asics+Gel-Kayano+29+Running+Shoe+-+Women%27s&amp;qid=1695124114&amp;sr=8-9", "https://www.amazon.com/ASICS-Womens-Gel-Kayano-Running-Carbon/dp/B077MKS7CV/ref=sr_1_9?keywords=Asics+Gel-Kayano+29+Running+Shoe+-+Women%27s&amp;qid=1695124114&amp;sr=8-9")</f>
        <v>https://www.amazon.com/ASICS-Womens-Gel-Kayano-Running-Carbon/dp/B077MKS7CV/ref=sr_1_9?keywords=Asics+Gel-Kayano+29+Running+Shoe+-+Women%27s&amp;qid=1695124114&amp;sr=8-9</v>
      </c>
      <c r="F206" t="s">
        <v>853</v>
      </c>
      <c r="G206" t="e">
        <f ca="1">IMAGE("https://alssports.vtexassets.com/arquivos/ids/1127320-800-auto?v=637980202666000000&amp;width=800&amp;height=auto&amp;aspect=true")</f>
        <v>#NAME?</v>
      </c>
      <c r="H206" t="e">
        <f ca="1">IMAGE("https://m.media-amazon.com/images/I/81Rzd5OQapL._AC_UL320_.jpg")</f>
        <v>#NAME?</v>
      </c>
      <c r="I206" t="s">
        <v>674</v>
      </c>
      <c r="J206">
        <v>59.95</v>
      </c>
      <c r="K206" s="2" t="s">
        <v>849</v>
      </c>
      <c r="L206">
        <v>4.5999999999999996</v>
      </c>
      <c r="M206">
        <v>4742</v>
      </c>
      <c r="O206" t="s">
        <v>33</v>
      </c>
      <c r="P206" t="s">
        <v>88</v>
      </c>
      <c r="Q206" t="s">
        <v>854</v>
      </c>
    </row>
    <row r="207" spans="1:17" ht="15.75" x14ac:dyDescent="0.25">
      <c r="A207" s="3" t="str">
        <f>HYPERLINK("https://www.als.com/owala-bottle-free-sip-32-oz/p?skuId=1326138", "https://www.als.com/owala-bottle-free-sip-32-oz/p?skuId=1326138")</f>
        <v>https://www.als.com/owala-bottle-free-sip-32-oz/p?skuId=1326138</v>
      </c>
      <c r="B207" s="3" t="str">
        <f>HYPERLINK("https://www.als.com/owala-bottle-free-sip-32-oz/p", "https://www.als.com/owala-bottle-free-sip-32-oz/p")</f>
        <v>https://www.als.com/owala-bottle-free-sip-32-oz/p</v>
      </c>
      <c r="C207" t="s">
        <v>459</v>
      </c>
      <c r="D207" t="s">
        <v>855</v>
      </c>
      <c r="E207" s="3" t="str">
        <f>HYPERLINK("https://www.amazon.com/Owala-Insulated-Stainless-BPA-Free-24-Ounce/dp/B0B3JTCCG9/ref=sr_1_13?keywords=Owala+FreeSip+Stainless+Steel+Water+Bottle+-+32oz&amp;qid=1695124104&amp;sr=8-13", "https://www.amazon.com/Owala-Insulated-Stainless-BPA-Free-24-Ounce/dp/B0B3JTCCG9/ref=sr_1_13?keywords=Owala+FreeSip+Stainless+Steel+Water+Bottle+-+32oz&amp;qid=1695124104&amp;sr=8-13")</f>
        <v>https://www.amazon.com/Owala-Insulated-Stainless-BPA-Free-24-Ounce/dp/B0B3JTCCG9/ref=sr_1_13?keywords=Owala+FreeSip+Stainless+Steel+Water+Bottle+-+32oz&amp;qid=1695124104&amp;sr=8-13</v>
      </c>
      <c r="F207" t="s">
        <v>856</v>
      </c>
      <c r="G207" t="e">
        <f ca="1">IMAGE("https://alssports.vtexassets.com/arquivos/ids/1355955-800-auto?v=638230513195900000&amp;width=800&amp;height=auto&amp;aspect=true")</f>
        <v>#NAME?</v>
      </c>
      <c r="H207" t="e">
        <f ca="1">IMAGE("https://m.media-amazon.com/images/I/31W-A1oe8HL._AC_UL320_.jpg")</f>
        <v>#NAME?</v>
      </c>
      <c r="I207" t="s">
        <v>462</v>
      </c>
      <c r="J207">
        <v>30.87</v>
      </c>
      <c r="K207" s="2" t="s">
        <v>857</v>
      </c>
      <c r="L207">
        <v>4.8</v>
      </c>
      <c r="M207">
        <v>1992</v>
      </c>
      <c r="O207" t="s">
        <v>33</v>
      </c>
      <c r="P207" t="s">
        <v>26</v>
      </c>
      <c r="Q207" t="s">
        <v>464</v>
      </c>
    </row>
    <row r="208" spans="1:17" ht="15.75" x14ac:dyDescent="0.25">
      <c r="A208" s="3" t="str">
        <f>HYPERLINK("https://www.als.com/adidas-w-shoe-4dfwd-2/p?skuId=1285989", "https://www.als.com/adidas-w-shoe-4dfwd-2/p?skuId=1285989")</f>
        <v>https://www.als.com/adidas-w-shoe-4dfwd-2/p?skuId=1285989</v>
      </c>
      <c r="B208" s="3" t="str">
        <f>HYPERLINK("https://www.als.com/adidas-w-shoe-4dfwd-2/p", "https://www.als.com/adidas-w-shoe-4dfwd-2/p")</f>
        <v>https://www.als.com/adidas-w-shoe-4dfwd-2/p</v>
      </c>
      <c r="C208" t="s">
        <v>392</v>
      </c>
      <c r="D208" t="s">
        <v>858</v>
      </c>
      <c r="E208" s="3" t="str">
        <f>HYPERLINK("https://www.amazon.com/adidas-Womens-Response-Super-Running/dp/B08N5DRM29/ref=sr_1_5?keywords=adidas+4DFWD+2+Shoe+-+Women%27s&amp;qid=1695124326&amp;sr=8-5", "https://www.amazon.com/adidas-Womens-Response-Super-Running/dp/B08N5DRM29/ref=sr_1_5?keywords=adidas+4DFWD+2+Shoe+-+Women%27s&amp;qid=1695124326&amp;sr=8-5")</f>
        <v>https://www.amazon.com/adidas-Womens-Response-Super-Running/dp/B08N5DRM29/ref=sr_1_5?keywords=adidas+4DFWD+2+Shoe+-+Women%27s&amp;qid=1695124326&amp;sr=8-5</v>
      </c>
      <c r="F208" t="s">
        <v>859</v>
      </c>
      <c r="G208" t="e">
        <f ca="1">IMAGE("https://alssports.vtexassets.com/arquivos/ids/1396854-800-auto?v=638260048905170000&amp;width=800&amp;height=auto&amp;aspect=true")</f>
        <v>#NAME?</v>
      </c>
      <c r="H208" t="e">
        <f ca="1">IMAGE("https://m.media-amazon.com/images/I/71waKof5QmS._AC_UL320_.jpg")</f>
        <v>#NAME?</v>
      </c>
      <c r="I208" t="s">
        <v>395</v>
      </c>
      <c r="J208">
        <v>74.790000000000006</v>
      </c>
      <c r="K208" s="2" t="s">
        <v>860</v>
      </c>
      <c r="L208">
        <v>4.2</v>
      </c>
      <c r="M208">
        <v>711</v>
      </c>
      <c r="O208" t="s">
        <v>33</v>
      </c>
      <c r="P208" t="s">
        <v>73</v>
      </c>
      <c r="Q208" t="s">
        <v>397</v>
      </c>
    </row>
    <row r="209" spans="1:17" ht="15.75" x14ac:dyDescent="0.25">
      <c r="A209" s="3" t="str">
        <f>HYPERLINK("https://www.als.com/bigag-rapide-sl-insulated/p?skuId=981028", "https://www.als.com/bigag-rapide-sl-insulated/p?skuId=981028")</f>
        <v>https://www.als.com/bigag-rapide-sl-insulated/p?skuId=981028</v>
      </c>
      <c r="B209" s="3" t="str">
        <f>HYPERLINK("https://www.als.com/bigag-rapide-sl-insulated/p", "https://www.als.com/bigag-rapide-sl-insulated/p")</f>
        <v>https://www.als.com/bigag-rapide-sl-insulated/p</v>
      </c>
      <c r="C209" t="s">
        <v>42</v>
      </c>
      <c r="D209" t="s">
        <v>861</v>
      </c>
      <c r="E209" s="3" t="str">
        <f>HYPERLINK("https://www.amazon.com/Big-Agnes-Insulated-Sleeping-Regular/dp/B008PMDSPY/ref=sr_1_30?keywords=Big+Agnes+Rapide+SL+Insulated+Sleeping+Pad&amp;qid=1695124305&amp;sr=8-30", "https://www.amazon.com/Big-Agnes-Insulated-Sleeping-Regular/dp/B008PMDSPY/ref=sr_1_30?keywords=Big+Agnes+Rapide+SL+Insulated+Sleeping+Pad&amp;qid=1695124305&amp;sr=8-30")</f>
        <v>https://www.amazon.com/Big-Agnes-Insulated-Sleeping-Regular/dp/B008PMDSPY/ref=sr_1_30?keywords=Big+Agnes+Rapide+SL+Insulated+Sleeping+Pad&amp;qid=1695124305&amp;sr=8-30</v>
      </c>
      <c r="F209" t="s">
        <v>862</v>
      </c>
      <c r="G209" t="e">
        <f ca="1">IMAGE("https://alssports.vtexassets.com/arquivos/ids/1257749-800-auto?v=638134857129500000&amp;width=800&amp;height=auto&amp;aspect=true")</f>
        <v>#NAME?</v>
      </c>
      <c r="H209" t="e">
        <f ca="1">IMAGE("https://m.media-amazon.com/images/I/51SncTh7QnL._AC_UL320_.jpg")</f>
        <v>#NAME?</v>
      </c>
      <c r="I209" t="s">
        <v>44</v>
      </c>
      <c r="J209">
        <v>140</v>
      </c>
      <c r="K209" s="2" t="s">
        <v>863</v>
      </c>
      <c r="L209">
        <v>3.7</v>
      </c>
      <c r="M209">
        <v>53</v>
      </c>
      <c r="O209" t="s">
        <v>33</v>
      </c>
      <c r="P209" t="s">
        <v>26</v>
      </c>
      <c r="Q209" t="s">
        <v>45</v>
      </c>
    </row>
    <row r="210" spans="1:17" ht="15.75" x14ac:dyDescent="0.25">
      <c r="A210" s="3" t="str">
        <f>HYPERLINK("https://www.als.com/smitho-helmet-wilder-jr-mips/p?skuId=1277864", "https://www.als.com/smitho-helmet-wilder-jr-mips/p?skuId=1277864")</f>
        <v>https://www.als.com/smitho-helmet-wilder-jr-mips/p?skuId=1277864</v>
      </c>
      <c r="B210" s="3" t="str">
        <f>HYPERLINK("https://www.als.com/smitho-helmet-wilder-jr-mips/p", "https://www.als.com/smitho-helmet-wilder-jr-mips/p")</f>
        <v>https://www.als.com/smitho-helmet-wilder-jr-mips/p</v>
      </c>
      <c r="C210" t="s">
        <v>864</v>
      </c>
      <c r="D210" t="s">
        <v>865</v>
      </c>
      <c r="E210" s="3" t="str">
        <f>HYPERLINK("https://www.amazon.com/Smith-Unisex-Glide-Helmet-Black/dp/B097Z3QJMV/ref=sr_1_5?keywords=Smith+Optics+Wilder+Jr.+Helmet+w%2F+MIPS+-+Youth&amp;qid=1695124108&amp;sr=8-5", "https://www.amazon.com/Smith-Unisex-Glide-Helmet-Black/dp/B097Z3QJMV/ref=sr_1_5?keywords=Smith+Optics+Wilder+Jr.+Helmet+w%2F+MIPS+-+Youth&amp;qid=1695124108&amp;sr=8-5")</f>
        <v>https://www.amazon.com/Smith-Unisex-Glide-Helmet-Black/dp/B097Z3QJMV/ref=sr_1_5?keywords=Smith+Optics+Wilder+Jr.+Helmet+w%2F+MIPS+-+Youth&amp;qid=1695124108&amp;sr=8-5</v>
      </c>
      <c r="F210" t="s">
        <v>866</v>
      </c>
      <c r="G210" t="e">
        <f ca="1">IMAGE("https://alssports.vtexassets.com/arquivos/ids/1210653-800-auto?v=638090917714800000&amp;width=800&amp;height=auto&amp;aspect=true")</f>
        <v>#NAME?</v>
      </c>
      <c r="H210" t="e">
        <f ca="1">IMAGE("https://m.media-amazon.com/images/I/71F2JQmLCIS._AC_UL320_.jpg")</f>
        <v>#NAME?</v>
      </c>
      <c r="I210" t="s">
        <v>63</v>
      </c>
      <c r="J210">
        <v>70</v>
      </c>
      <c r="K210" s="2" t="s">
        <v>867</v>
      </c>
      <c r="L210">
        <v>4.2</v>
      </c>
      <c r="M210">
        <v>19</v>
      </c>
      <c r="O210" t="s">
        <v>33</v>
      </c>
      <c r="P210" t="s">
        <v>26</v>
      </c>
      <c r="Q210" t="s">
        <v>868</v>
      </c>
    </row>
    <row r="211" spans="1:17" ht="15.75" x14ac:dyDescent="0.25">
      <c r="A211" s="3" t="str">
        <f>HYPERLINK("https://www.als.com/arcteryx-atom-hoodie-womens-140743/p?skuId=1342906", "https://www.als.com/arcteryx-atom-hoodie-womens-140743/p?skuId=1342906")</f>
        <v>https://www.als.com/arcteryx-atom-hoodie-womens-140743/p?skuId=1342906</v>
      </c>
      <c r="B211" s="3" t="str">
        <f>HYPERLINK("https://www.als.com/arcteryx-atom-hoodie-womens-140743/p", "https://www.als.com/arcteryx-atom-hoodie-womens-140743/p")</f>
        <v>https://www.als.com/arcteryx-atom-hoodie-womens-140743/p</v>
      </c>
      <c r="C211" t="s">
        <v>75</v>
      </c>
      <c r="D211" t="s">
        <v>869</v>
      </c>
      <c r="E211" s="3" t="str">
        <f>HYPERLINK("https://www.amazon.com/Arcteryx-Lightweight-Versatile-Synthetically-Insulated/dp/B0B5P93K39/ref=sr_1_6?keywords=Arcteryx+Atom+Hoodie+-+Womens&amp;qid=1695124299&amp;sr=8-6", "https://www.amazon.com/Arcteryx-Lightweight-Versatile-Synthetically-Insulated/dp/B0B5P93K39/ref=sr_1_6?keywords=Arcteryx+Atom+Hoodie+-+Womens&amp;qid=1695124299&amp;sr=8-6")</f>
        <v>https://www.amazon.com/Arcteryx-Lightweight-Versatile-Synthetically-Insulated/dp/B0B5P93K39/ref=sr_1_6?keywords=Arcteryx+Atom+Hoodie+-+Womens&amp;qid=1695124299&amp;sr=8-6</v>
      </c>
      <c r="F211" t="s">
        <v>870</v>
      </c>
      <c r="G211" t="e">
        <f ca="1">IMAGE("https://alssports.vtexassets.com/arquivos/ids/1400872-800-auto?v=638264371846000000&amp;width=800&amp;height=auto&amp;aspect=true")</f>
        <v>#NAME?</v>
      </c>
      <c r="H211" t="e">
        <f ca="1">IMAGE("https://m.media-amazon.com/images/I/61BKV4MxjuL._AC_UL320_.jpg")</f>
        <v>#NAME?</v>
      </c>
      <c r="I211" t="s">
        <v>78</v>
      </c>
      <c r="J211">
        <v>280</v>
      </c>
      <c r="K211" s="2" t="s">
        <v>867</v>
      </c>
      <c r="L211">
        <v>4.5999999999999996</v>
      </c>
      <c r="M211">
        <v>3</v>
      </c>
      <c r="O211" t="s">
        <v>33</v>
      </c>
      <c r="P211" t="s">
        <v>26</v>
      </c>
      <c r="Q211" t="s">
        <v>79</v>
      </c>
    </row>
    <row r="212" spans="1:17" ht="15.75" x14ac:dyDescent="0.25">
      <c r="A212" s="3" t="str">
        <f>HYPERLINK("https://www.als.com/teva-m-sandal-hurricane-xlt2/p?skuId=398840", "https://www.als.com/teva-m-sandal-hurricane-xlt2/p?skuId=398840")</f>
        <v>https://www.als.com/teva-m-sandal-hurricane-xlt2/p?skuId=398840</v>
      </c>
      <c r="B212" s="3" t="str">
        <f>HYPERLINK("https://www.als.com/teva-m-sandal-hurricane-xlt2/p", "https://www.als.com/teva-m-sandal-hurricane-xlt2/p")</f>
        <v>https://www.als.com/teva-m-sandal-hurricane-xlt2/p</v>
      </c>
      <c r="C212" t="s">
        <v>37</v>
      </c>
      <c r="D212" t="s">
        <v>871</v>
      </c>
      <c r="E212" s="3" t="str">
        <f>HYPERLINK("https://www.amazon.com/Teva-Hurricane-Verge-Slide-Sandal/dp/B0B5LYC3CF/ref=sr_1_14?keywords=Teva+Hurricane+XLT2+Sandal+-+Men%27s&amp;qid=1695124141&amp;sr=8-14", "https://www.amazon.com/Teva-Hurricane-Verge-Slide-Sandal/dp/B0B5LYC3CF/ref=sr_1_14?keywords=Teva+Hurricane+XLT2+Sandal+-+Men%27s&amp;qid=1695124141&amp;sr=8-14")</f>
        <v>https://www.amazon.com/Teva-Hurricane-Verge-Slide-Sandal/dp/B0B5LYC3CF/ref=sr_1_14?keywords=Teva+Hurricane+XLT2+Sandal+-+Men%27s&amp;qid=1695124141&amp;sr=8-14</v>
      </c>
      <c r="F212" t="s">
        <v>872</v>
      </c>
      <c r="G212" t="e">
        <f ca="1">IMAGE("https://alssports.vtexassets.com/arquivos/ids/1220918-800-auto?v=638102154417000000&amp;width=800&amp;height=auto&amp;aspect=true")</f>
        <v>#NAME?</v>
      </c>
      <c r="H212" t="e">
        <f ca="1">IMAGE("https://m.media-amazon.com/images/I/41rhYQ6-gzL._AC_UL320_.jpg")</f>
        <v>#NAME?</v>
      </c>
      <c r="I212" t="s">
        <v>40</v>
      </c>
      <c r="J212">
        <v>69.95</v>
      </c>
      <c r="K212" s="2" t="s">
        <v>867</v>
      </c>
      <c r="L212">
        <v>3.9</v>
      </c>
      <c r="M212">
        <v>11</v>
      </c>
      <c r="O212" t="s">
        <v>33</v>
      </c>
      <c r="P212" t="s">
        <v>26</v>
      </c>
      <c r="Q212" t="s">
        <v>41</v>
      </c>
    </row>
    <row r="213" spans="1:17" ht="15.75" x14ac:dyDescent="0.25">
      <c r="A213" s="3" t="str">
        <f>HYPERLINK("https://www.als.com/keen-m-koven-mid-wp/p?skuId=1240445", "https://www.als.com/keen-m-koven-mid-wp/p?skuId=1240445")</f>
        <v>https://www.als.com/keen-m-koven-mid-wp/p?skuId=1240445</v>
      </c>
      <c r="B213" s="3" t="str">
        <f>HYPERLINK("https://www.als.com/keen-m-koven-mid-wp/p", "https://www.als.com/keen-m-koven-mid-wp/p")</f>
        <v>https://www.als.com/keen-m-koven-mid-wp/p</v>
      </c>
      <c r="C213" t="s">
        <v>282</v>
      </c>
      <c r="D213" t="s">
        <v>873</v>
      </c>
      <c r="E213" s="3" t="str">
        <f>HYPERLINK("https://www.amazon.com/KEEN-Mens-Explore-Magnet-Fiery/dp/B07M7NFMMP/ref=sr_1_13?keywords=KEEN+Koven+Mid+Waterproof+Hiking+Boot+-+Men%27s&amp;qid=1695124140&amp;sr=8-13", "https://www.amazon.com/KEEN-Mens-Explore-Magnet-Fiery/dp/B07M7NFMMP/ref=sr_1_13?keywords=KEEN+Koven+Mid+Waterproof+Hiking+Boot+-+Men%27s&amp;qid=1695124140&amp;sr=8-13")</f>
        <v>https://www.amazon.com/KEEN-Mens-Explore-Magnet-Fiery/dp/B07M7NFMMP/ref=sr_1_13?keywords=KEEN+Koven+Mid+Waterproof+Hiking+Boot+-+Men%27s&amp;qid=1695124140&amp;sr=8-13</v>
      </c>
      <c r="F213" t="s">
        <v>874</v>
      </c>
      <c r="G213" t="e">
        <f ca="1">IMAGE("https://alssports.vtexassets.com/arquivos/ids/1363221-800-auto?v=638236488805200000&amp;width=800&amp;height=auto&amp;aspect=true")</f>
        <v>#NAME?</v>
      </c>
      <c r="H213" t="e">
        <f ca="1">IMAGE("https://m.media-amazon.com/images/I/71x8Ad44hgL._AC_UL320_.jpg")</f>
        <v>#NAME?</v>
      </c>
      <c r="I213" t="s">
        <v>285</v>
      </c>
      <c r="J213">
        <v>130.65</v>
      </c>
      <c r="K213" s="2" t="s">
        <v>867</v>
      </c>
      <c r="L213">
        <v>4.0999999999999996</v>
      </c>
      <c r="M213">
        <v>247</v>
      </c>
      <c r="O213" t="s">
        <v>33</v>
      </c>
      <c r="P213" t="s">
        <v>26</v>
      </c>
      <c r="Q213" t="s">
        <v>287</v>
      </c>
    </row>
    <row r="214" spans="1:17" ht="15.75" x14ac:dyDescent="0.25">
      <c r="A214" s="3" t="str">
        <f>HYPERLINK("https://www.als.com/babola-m-shoe-jet-mach-3/p?skuId=599962", "https://www.als.com/babola-m-shoe-jet-mach-3/p?skuId=599962")</f>
        <v>https://www.als.com/babola-m-shoe-jet-mach-3/p?skuId=599962</v>
      </c>
      <c r="B214" s="3" t="str">
        <f>HYPERLINK("https://www.als.com/babola-m-shoe-jet-mach-3/p", "https://www.als.com/babola-m-shoe-jet-mach-3/p")</f>
        <v>https://www.als.com/babola-m-shoe-jet-mach-3/p</v>
      </c>
      <c r="C214" t="s">
        <v>875</v>
      </c>
      <c r="D214" t="s">
        <v>876</v>
      </c>
      <c r="E214" s="3" t="str">
        <f>HYPERLINK("https://www.amazon.com/Babolat-Propulse-Court-Tennis-Estate/dp/B0BSP4J6RK/ref=sr_1_14?keywords=Babolat+Jet+Mach+3+All+Court+Tennis+Shoe+-+Mens&amp;qid=1695124489&amp;sr=8-14", "https://www.amazon.com/Babolat-Propulse-Court-Tennis-Estate/dp/B0BSP4J6RK/ref=sr_1_14?keywords=Babolat+Jet+Mach+3+All+Court+Tennis+Shoe+-+Mens&amp;qid=1695124489&amp;sr=8-14")</f>
        <v>https://www.amazon.com/Babolat-Propulse-Court-Tennis-Estate/dp/B0BSP4J6RK/ref=sr_1_14?keywords=Babolat+Jet+Mach+3+All+Court+Tennis+Shoe+-+Mens&amp;qid=1695124489&amp;sr=8-14</v>
      </c>
      <c r="F214" t="s">
        <v>877</v>
      </c>
      <c r="G214" t="e">
        <f ca="1">IMAGE("https://alssports.vtexassets.com/arquivos/ids/1411604-800-auto?v=638270546404000000&amp;width=800&amp;height=auto&amp;aspect=true")</f>
        <v>#NAME?</v>
      </c>
      <c r="H214" t="e">
        <f ca="1">IMAGE("https://m.media-amazon.com/images/I/81zA3faAgFL._AC_UL320_.jpg")</f>
        <v>#NAME?</v>
      </c>
      <c r="I214" t="s">
        <v>878</v>
      </c>
      <c r="J214">
        <v>139</v>
      </c>
      <c r="K214" s="2" t="s">
        <v>879</v>
      </c>
      <c r="L214">
        <v>3.9</v>
      </c>
      <c r="M214">
        <v>11</v>
      </c>
      <c r="O214" t="s">
        <v>33</v>
      </c>
      <c r="P214" t="s">
        <v>26</v>
      </c>
      <c r="Q214" t="s">
        <v>880</v>
      </c>
    </row>
    <row r="215" spans="1:17" ht="15.75" x14ac:dyDescent="0.25">
      <c r="A215" s="3" t="str">
        <f>HYPERLINK("https://www.als.com/smitho-helmet-wilder-jr-mips/p?skuId=1277864", "https://www.als.com/smitho-helmet-wilder-jr-mips/p?skuId=1277864")</f>
        <v>https://www.als.com/smitho-helmet-wilder-jr-mips/p?skuId=1277864</v>
      </c>
      <c r="B215" s="3" t="str">
        <f>HYPERLINK("https://www.als.com/smitho-helmet-wilder-jr-mips/p", "https://www.als.com/smitho-helmet-wilder-jr-mips/p")</f>
        <v>https://www.als.com/smitho-helmet-wilder-jr-mips/p</v>
      </c>
      <c r="C215" t="s">
        <v>864</v>
      </c>
      <c r="D215" t="s">
        <v>881</v>
      </c>
      <c r="E215" s="3" t="str">
        <f>HYPERLINK("https://www.amazon.com/Smith-Optics-Scout-Snowmobile-Helmet/dp/B07DWPGC9L/ref=sr_1_10?keywords=Smith+Optics+Wilder+Jr.+Helmet+w%2F+MIPS+-+Youth&amp;qid=1695124108&amp;sr=8-10", "https://www.amazon.com/Smith-Optics-Scout-Snowmobile-Helmet/dp/B07DWPGC9L/ref=sr_1_10?keywords=Smith+Optics+Wilder+Jr.+Helmet+w%2F+MIPS+-+Youth&amp;qid=1695124108&amp;sr=8-10")</f>
        <v>https://www.amazon.com/Smith-Optics-Scout-Snowmobile-Helmet/dp/B07DWPGC9L/ref=sr_1_10?keywords=Smith+Optics+Wilder+Jr.+Helmet+w%2F+MIPS+-+Youth&amp;qid=1695124108&amp;sr=8-10</v>
      </c>
      <c r="F215" t="s">
        <v>882</v>
      </c>
      <c r="G215" t="e">
        <f ca="1">IMAGE("https://alssports.vtexassets.com/arquivos/ids/1210653-800-auto?v=638090917714800000&amp;width=800&amp;height=auto&amp;aspect=true")</f>
        <v>#NAME?</v>
      </c>
      <c r="H215" t="e">
        <f ca="1">IMAGE("https://m.media-amazon.com/images/I/61nfTC3DlHL._AC_UL320_.jpg")</f>
        <v>#NAME?</v>
      </c>
      <c r="I215" t="s">
        <v>63</v>
      </c>
      <c r="J215">
        <v>69.95</v>
      </c>
      <c r="K215" s="2" t="s">
        <v>883</v>
      </c>
      <c r="L215">
        <v>4.4000000000000004</v>
      </c>
      <c r="M215">
        <v>14</v>
      </c>
      <c r="O215" t="s">
        <v>33</v>
      </c>
      <c r="P215" t="s">
        <v>26</v>
      </c>
      <c r="Q215" t="s">
        <v>868</v>
      </c>
    </row>
    <row r="216" spans="1:17" ht="15.75" x14ac:dyDescent="0.25">
      <c r="A216" s="3" t="str">
        <f>HYPERLINK("https://www.als.com/frogg-wader-canyon-ii-breathable/p?skuId=801564", "https://www.als.com/frogg-wader-canyon-ii-breathable/p?skuId=801564")</f>
        <v>https://www.als.com/frogg-wader-canyon-ii-breathable/p?skuId=801564</v>
      </c>
      <c r="B216" s="3" t="str">
        <f>HYPERLINK("https://www.als.com/frogg-wader-canyon-ii-breathable/p", "https://www.als.com/frogg-wader-canyon-ii-breathable/p")</f>
        <v>https://www.als.com/frogg-wader-canyon-ii-breathable/p</v>
      </c>
      <c r="C216" t="s">
        <v>884</v>
      </c>
      <c r="D216" t="s">
        <v>885</v>
      </c>
      <c r="E216" s="3" t="str">
        <f>HYPERLINK("https://www.amazon.com/Frogg-Toggs-Amphib-Neoprene-Stockingfoot/dp/B000ODNIKM/ref=sr_1_8?keywords=frogg+toggs+Canyon+II+Stockingfoot+Wader+-+Mens&amp;qid=1695124321&amp;sr=8-8", "https://www.amazon.com/Frogg-Toggs-Amphib-Neoprene-Stockingfoot/dp/B000ODNIKM/ref=sr_1_8?keywords=frogg+toggs+Canyon+II+Stockingfoot+Wader+-+Mens&amp;qid=1695124321&amp;sr=8-8")</f>
        <v>https://www.amazon.com/Frogg-Toggs-Amphib-Neoprene-Stockingfoot/dp/B000ODNIKM/ref=sr_1_8?keywords=frogg+toggs+Canyon+II+Stockingfoot+Wader+-+Mens&amp;qid=1695124321&amp;sr=8-8</v>
      </c>
      <c r="F216" t="s">
        <v>886</v>
      </c>
      <c r="G216" t="e">
        <f ca="1">IMAGE("https://alssports.vtexassets.com/arquivos/ids/671502-800-auto?v=637562972890570000&amp;width=800&amp;height=auto&amp;aspect=true")</f>
        <v>#NAME?</v>
      </c>
      <c r="H216" t="e">
        <f ca="1">IMAGE("https://m.media-amazon.com/images/I/71U52QM5cIL._AC_UL320_.jpg")</f>
        <v>#NAME?</v>
      </c>
      <c r="I216" t="s">
        <v>174</v>
      </c>
      <c r="J216">
        <v>74.55</v>
      </c>
      <c r="K216" s="2" t="s">
        <v>887</v>
      </c>
      <c r="L216">
        <v>4.3</v>
      </c>
      <c r="M216">
        <v>220</v>
      </c>
      <c r="O216" t="s">
        <v>33</v>
      </c>
      <c r="P216" t="s">
        <v>285</v>
      </c>
      <c r="Q216" t="s">
        <v>888</v>
      </c>
    </row>
    <row r="217" spans="1:17" ht="15.75" x14ac:dyDescent="0.25">
      <c r="A217" s="3" t="str">
        <f>HYPERLINK("https://www.als.com/chaco-m-sandal-z2-classic/p?skuId=932109", "https://www.als.com/chaco-m-sandal-z2-classic/p?skuId=932109")</f>
        <v>https://www.als.com/chaco-m-sandal-z2-classic/p?skuId=932109</v>
      </c>
      <c r="B217" s="3" t="str">
        <f>HYPERLINK("https://www.als.com/chaco-m-sandal-z2-classic/p", "https://www.als.com/chaco-m-sandal-z2-classic/p")</f>
        <v>https://www.als.com/chaco-m-sandal-z2-classic/p</v>
      </c>
      <c r="C217" t="s">
        <v>265</v>
      </c>
      <c r="D217" t="s">
        <v>889</v>
      </c>
      <c r="E217" s="3" t="str">
        <f>HYPERLINK("https://www.amazon.com/Chaco-LOWDOWN-Mens-Sandals-GRAY/dp/B08C2GSSZX/ref=sr_1_10?keywords=Chaco+Z%2F2+Classic+Sandal+-+Mens&amp;qid=1695124330&amp;sr=8-10", "https://www.amazon.com/Chaco-LOWDOWN-Mens-Sandals-GRAY/dp/B08C2GSSZX/ref=sr_1_10?keywords=Chaco+Z%2F2+Classic+Sandal+-+Mens&amp;qid=1695124330&amp;sr=8-10")</f>
        <v>https://www.amazon.com/Chaco-LOWDOWN-Mens-Sandals-GRAY/dp/B08C2GSSZX/ref=sr_1_10?keywords=Chaco+Z%2F2+Classic+Sandal+-+Mens&amp;qid=1695124330&amp;sr=8-10</v>
      </c>
      <c r="F217" t="s">
        <v>890</v>
      </c>
      <c r="G217" t="e">
        <f ca="1">IMAGE("https://alssports.vtexassets.com/arquivos/ids/1340421-800-auto?v=638216154610800000&amp;width=800&amp;height=auto&amp;aspect=true")</f>
        <v>#NAME?</v>
      </c>
      <c r="H217" t="e">
        <f ca="1">IMAGE("https://m.media-amazon.com/images/I/71ju9NJFIfL._AC_UL320_.jpg")</f>
        <v>#NAME?</v>
      </c>
      <c r="I217" t="s">
        <v>268</v>
      </c>
      <c r="J217">
        <v>39.11</v>
      </c>
      <c r="K217" s="2" t="s">
        <v>891</v>
      </c>
      <c r="L217">
        <v>4.0999999999999996</v>
      </c>
      <c r="M217">
        <v>91</v>
      </c>
      <c r="O217" t="s">
        <v>26</v>
      </c>
      <c r="P217" t="s">
        <v>269</v>
      </c>
      <c r="Q217" t="s">
        <v>270</v>
      </c>
    </row>
    <row r="218" spans="1:17" ht="15.75" x14ac:dyDescent="0.25">
      <c r="A218" s="3" t="str">
        <f>HYPERLINK("https://www.als.com/keen-m-koven-mid-wp/p?skuId=1240445", "https://www.als.com/keen-m-koven-mid-wp/p?skuId=1240445")</f>
        <v>https://www.als.com/keen-m-koven-mid-wp/p?skuId=1240445</v>
      </c>
      <c r="B218" s="3" t="str">
        <f>HYPERLINK("https://www.als.com/keen-m-koven-mid-wp/p", "https://www.als.com/keen-m-koven-mid-wp/p")</f>
        <v>https://www.als.com/keen-m-koven-mid-wp/p</v>
      </c>
      <c r="C218" t="s">
        <v>282</v>
      </c>
      <c r="D218" t="s">
        <v>892</v>
      </c>
      <c r="E218" s="3" t="str">
        <f>HYPERLINK("https://www.amazon.com/KEEN-Height-Lightweight-Waterproof-Drizzle/dp/B08GTJ1DKZ/ref=sr_1_10?keywords=KEEN+Koven+Mid+Waterproof+Hiking+Boot+-+Men%27s&amp;qid=1695124140&amp;sr=8-10", "https://www.amazon.com/KEEN-Height-Lightweight-Waterproof-Drizzle/dp/B08GTJ1DKZ/ref=sr_1_10?keywords=KEEN+Koven+Mid+Waterproof+Hiking+Boot+-+Men%27s&amp;qid=1695124140&amp;sr=8-10")</f>
        <v>https://www.amazon.com/KEEN-Height-Lightweight-Waterproof-Drizzle/dp/B08GTJ1DKZ/ref=sr_1_10?keywords=KEEN+Koven+Mid+Waterproof+Hiking+Boot+-+Men%27s&amp;qid=1695124140&amp;sr=8-10</v>
      </c>
      <c r="F218" t="s">
        <v>893</v>
      </c>
      <c r="G218" t="e">
        <f ca="1">IMAGE("https://alssports.vtexassets.com/arquivos/ids/1363221-800-auto?v=638236488805200000&amp;width=800&amp;height=auto&amp;aspect=true")</f>
        <v>#NAME?</v>
      </c>
      <c r="H218" t="e">
        <f ca="1">IMAGE("https://m.media-amazon.com/images/I/71a4xN6updL._AC_UL320_.jpg")</f>
        <v>#NAME?</v>
      </c>
      <c r="I218" t="s">
        <v>285</v>
      </c>
      <c r="J218">
        <v>130.26</v>
      </c>
      <c r="K218" s="2" t="s">
        <v>894</v>
      </c>
      <c r="L218">
        <v>4</v>
      </c>
      <c r="M218">
        <v>384</v>
      </c>
      <c r="O218" t="s">
        <v>33</v>
      </c>
      <c r="P218" t="s">
        <v>26</v>
      </c>
      <c r="Q218" t="s">
        <v>287</v>
      </c>
    </row>
    <row r="219" spans="1:17" ht="15.75" x14ac:dyDescent="0.25">
      <c r="A219" s="3" t="str">
        <f>HYPERLINK("https://www.als.com/wilsog-golf-set-profile-wmns/p?skuId=502932", "https://www.als.com/wilsog-golf-set-profile-wmns/p?skuId=502932")</f>
        <v>https://www.als.com/wilsog-golf-set-profile-wmns/p?skuId=502932</v>
      </c>
      <c r="B219" s="3" t="str">
        <f>HYPERLINK("https://www.als.com/wilsog-golf-set-profile-wmns/p", "https://www.als.com/wilsog-golf-set-profile-wmns/p")</f>
        <v>https://www.als.com/wilsog-golf-set-profile-wmns/p</v>
      </c>
      <c r="C219" t="s">
        <v>895</v>
      </c>
      <c r="D219" t="s">
        <v>896</v>
      </c>
      <c r="E219" s="3" t="str">
        <f>HYPERLINK("https://www.amazon.com/Wilson-Golf-Profile-Womens-Complete/dp/B07HNDZ46T/ref=sr_1_1?keywords=Wilson+Profile+SGI+14+Piece+Package+Golf+Set+Bag+-+Women%27s&amp;qid=1695124459&amp;sr=8-1", "https://www.amazon.com/Wilson-Golf-Profile-Womens-Complete/dp/B07HNDZ46T/ref=sr_1_1?keywords=Wilson+Profile+SGI+14+Piece+Package+Golf+Set+Bag+-+Women%27s&amp;qid=1695124459&amp;sr=8-1")</f>
        <v>https://www.amazon.com/Wilson-Golf-Profile-Womens-Complete/dp/B07HNDZ46T/ref=sr_1_1?keywords=Wilson+Profile+SGI+14+Piece+Package+Golf+Set+Bag+-+Women%27s&amp;qid=1695124459&amp;sr=8-1</v>
      </c>
      <c r="F219" t="s">
        <v>897</v>
      </c>
      <c r="G219" t="e">
        <f ca="1">IMAGE("https://alssports.vtexassets.com/arquivos/ids/520114-800-auto?v=637493454398100000&amp;width=800&amp;height=auto&amp;aspect=true")</f>
        <v>#NAME?</v>
      </c>
      <c r="H219" t="e">
        <f ca="1">IMAGE("https://m.media-amazon.com/images/I/61nDu89mpWL._AC_UY218_.jpg")</f>
        <v>#NAME?</v>
      </c>
      <c r="I219" t="s">
        <v>898</v>
      </c>
      <c r="J219">
        <v>399.99</v>
      </c>
      <c r="K219" s="2" t="s">
        <v>899</v>
      </c>
      <c r="L219">
        <v>4.5999999999999996</v>
      </c>
      <c r="M219">
        <v>963</v>
      </c>
      <c r="O219" t="s">
        <v>33</v>
      </c>
      <c r="P219" t="s">
        <v>900</v>
      </c>
      <c r="Q219" t="s">
        <v>901</v>
      </c>
    </row>
    <row r="220" spans="1:17" ht="15.75" x14ac:dyDescent="0.25">
      <c r="A220" s="3" t="str">
        <f>HYPERLINK("https://www.als.com/adidas-w-slide-adilette-comfort/p?skuId=1286469", "https://www.als.com/adidas-w-slide-adilette-comfort/p?skuId=1286469")</f>
        <v>https://www.als.com/adidas-w-slide-adilette-comfort/p?skuId=1286469</v>
      </c>
      <c r="B220" s="3" t="str">
        <f>HYPERLINK("https://www.als.com/adidas-w-slide-adilette-comfort/p", "https://www.als.com/adidas-w-slide-adilette-comfort/p")</f>
        <v>https://www.als.com/adidas-w-slide-adilette-comfort/p</v>
      </c>
      <c r="C220" t="s">
        <v>441</v>
      </c>
      <c r="D220" t="s">
        <v>902</v>
      </c>
      <c r="E220" s="3" t="str">
        <f>HYPERLINK("https://www.amazon.com/adidas-Womens-Adilette-Comfort-Sandal/dp/B09DZ4BG1J/ref=sr_1_1?keywords=Adidas+Adilette+Comfort+Sandal+-+Women%27s&amp;qid=1695124352&amp;sr=8-1", "https://www.amazon.com/adidas-Womens-Adilette-Comfort-Sandal/dp/B09DZ4BG1J/ref=sr_1_1?keywords=Adidas+Adilette+Comfort+Sandal+-+Women%27s&amp;qid=1695124352&amp;sr=8-1")</f>
        <v>https://www.amazon.com/adidas-Womens-Adilette-Comfort-Sandal/dp/B09DZ4BG1J/ref=sr_1_1?keywords=Adidas+Adilette+Comfort+Sandal+-+Women%27s&amp;qid=1695124352&amp;sr=8-1</v>
      </c>
      <c r="F220" t="s">
        <v>903</v>
      </c>
      <c r="G220" t="e">
        <f ca="1">IMAGE("https://alssports.vtexassets.com/arquivos/ids/1250704-800-auto?v=638128818653670000&amp;width=800&amp;height=auto&amp;aspect=true")</f>
        <v>#NAME?</v>
      </c>
      <c r="H220" t="e">
        <f ca="1">IMAGE("https://m.media-amazon.com/images/I/61rUI414bzL._AC_UL320_.jpg")</f>
        <v>#NAME?</v>
      </c>
      <c r="I220" t="s">
        <v>444</v>
      </c>
      <c r="J220">
        <v>26</v>
      </c>
      <c r="K220" s="2" t="s">
        <v>904</v>
      </c>
      <c r="L220">
        <v>4.5</v>
      </c>
      <c r="M220">
        <v>4625</v>
      </c>
      <c r="O220" t="s">
        <v>33</v>
      </c>
      <c r="P220" t="s">
        <v>140</v>
      </c>
      <c r="Q220" t="s">
        <v>445</v>
      </c>
    </row>
    <row r="221" spans="1:17" ht="15.75" x14ac:dyDescent="0.25">
      <c r="A221" s="3" t="str">
        <f>HYPERLINK("https://www.als.com/merrel-w-siren-sport-3/p?skuId=1229154", "https://www.als.com/merrel-w-siren-sport-3/p?skuId=1229154")</f>
        <v>https://www.als.com/merrel-w-siren-sport-3/p?skuId=1229154</v>
      </c>
      <c r="B221" s="3" t="str">
        <f>HYPERLINK("https://www.als.com/merrel-w-siren-sport-3/p", "https://www.als.com/merrel-w-siren-sport-3/p")</f>
        <v>https://www.als.com/merrel-w-siren-sport-3/p</v>
      </c>
      <c r="C221" t="s">
        <v>905</v>
      </c>
      <c r="D221" t="s">
        <v>906</v>
      </c>
      <c r="E221" s="3" t="str">
        <f>HYPERLINK("https://www.amazon.com/Merrell-Womens-Moab-Hiking-Falcon/dp/B098KJNKBS/ref=sr_1_15?keywords=Merrell+Siren+Sport+3+Shoe+-+Women%27s&amp;qid=1695124310&amp;sr=8-15", "https://www.amazon.com/Merrell-Womens-Moab-Hiking-Falcon/dp/B098KJNKBS/ref=sr_1_15?keywords=Merrell+Siren+Sport+3+Shoe+-+Women%27s&amp;qid=1695124310&amp;sr=8-15")</f>
        <v>https://www.amazon.com/Merrell-Womens-Moab-Hiking-Falcon/dp/B098KJNKBS/ref=sr_1_15?keywords=Merrell+Siren+Sport+3+Shoe+-+Women%27s&amp;qid=1695124310&amp;sr=8-15</v>
      </c>
      <c r="F221" t="s">
        <v>907</v>
      </c>
      <c r="G221" t="e">
        <f ca="1">IMAGE("https://alssports.vtexassets.com/arquivos/ids/1363337-800-auto?v=638236500861470000&amp;width=800&amp;height=auto&amp;aspect=true")</f>
        <v>#NAME?</v>
      </c>
      <c r="H221" t="e">
        <f ca="1">IMAGE("https://m.media-amazon.com/images/I/81IgGrGzfPL._AC_UL320_.jpg")</f>
        <v>#NAME?</v>
      </c>
      <c r="I221" t="s">
        <v>908</v>
      </c>
      <c r="J221">
        <v>51.11</v>
      </c>
      <c r="K221" s="2" t="s">
        <v>909</v>
      </c>
      <c r="L221">
        <v>4.5</v>
      </c>
      <c r="M221">
        <v>248</v>
      </c>
      <c r="O221" t="s">
        <v>33</v>
      </c>
      <c r="P221" t="s">
        <v>150</v>
      </c>
      <c r="Q221" t="s">
        <v>910</v>
      </c>
    </row>
    <row r="222" spans="1:17" ht="15.75" x14ac:dyDescent="0.25">
      <c r="A222" s="3" t="str">
        <f>HYPERLINK("https://www.als.com/merrel-w-shoe-alpine-hiker/p?skuId=1229133", "https://www.als.com/merrel-w-shoe-alpine-hiker/p?skuId=1229133")</f>
        <v>https://www.als.com/merrel-w-shoe-alpine-hiker/p?skuId=1229133</v>
      </c>
      <c r="B222" s="3" t="str">
        <f>HYPERLINK("https://www.als.com/merrel-w-shoe-alpine-hiker/p", "https://www.als.com/merrel-w-shoe-alpine-hiker/p")</f>
        <v>https://www.als.com/merrel-w-shoe-alpine-hiker/p</v>
      </c>
      <c r="C222" t="s">
        <v>911</v>
      </c>
      <c r="D222" t="s">
        <v>912</v>
      </c>
      <c r="E222" s="3" t="str">
        <f>HYPERLINK("https://www.amazon.com/Merrell-Womens-Alpine-Chelsea-Black/dp/B08SR2Q38L/ref=sr_1_2?keywords=Merrell+Alpine+Hiker+Boot+-+Women%27s&amp;qid=1695124320&amp;sr=8-2", "https://www.amazon.com/Merrell-Womens-Alpine-Chelsea-Black/dp/B08SR2Q38L/ref=sr_1_2?keywords=Merrell+Alpine+Hiker+Boot+-+Women%27s&amp;qid=1695124320&amp;sr=8-2")</f>
        <v>https://www.amazon.com/Merrell-Womens-Alpine-Chelsea-Black/dp/B08SR2Q38L/ref=sr_1_2?keywords=Merrell+Alpine+Hiker+Boot+-+Women%27s&amp;qid=1695124320&amp;sr=8-2</v>
      </c>
      <c r="F222" t="s">
        <v>913</v>
      </c>
      <c r="G222" t="e">
        <f ca="1">IMAGE("https://alssports.vtexassets.com/arquivos/ids/1219145-800-auto?v=638101285221800000&amp;width=800&amp;height=auto&amp;aspect=true")</f>
        <v>#NAME?</v>
      </c>
      <c r="H222" t="e">
        <f ca="1">IMAGE("https://m.media-amazon.com/images/I/61ZyzDtTtpL._AC_UL320_.jpg")</f>
        <v>#NAME?</v>
      </c>
      <c r="I222" t="s">
        <v>914</v>
      </c>
      <c r="J222">
        <v>44.1</v>
      </c>
      <c r="K222" s="2" t="s">
        <v>915</v>
      </c>
      <c r="L222">
        <v>4</v>
      </c>
      <c r="M222">
        <v>86</v>
      </c>
      <c r="O222" t="s">
        <v>33</v>
      </c>
      <c r="P222" t="s">
        <v>916</v>
      </c>
      <c r="Q222" t="s">
        <v>917</v>
      </c>
    </row>
    <row r="223" spans="1:17" ht="15.75" x14ac:dyDescent="0.25">
      <c r="A223" s="3" t="str">
        <f>HYPERLINK("https://www.als.com/under-m-ua-training-vent-20-ss/p?skuId=857892", "https://www.als.com/under-m-ua-training-vent-20-ss/p?skuId=857892")</f>
        <v>https://www.als.com/under-m-ua-training-vent-20-ss/p?skuId=857892</v>
      </c>
      <c r="B223" s="3" t="str">
        <f>HYPERLINK("https://www.als.com/under-m-ua-training-vent-20-ss/p", "https://www.als.com/under-m-ua-training-vent-20-ss/p")</f>
        <v>https://www.als.com/under-m-ua-training-vent-20-ss/p</v>
      </c>
      <c r="C223" t="s">
        <v>228</v>
      </c>
      <c r="D223" t="s">
        <v>918</v>
      </c>
      <c r="E223" s="3" t="str">
        <f>HYPERLINK("https://www.amazon.com/Under-Armour-UA-Foundation-White/dp/B07KH51LQ8/ref=sr_1_32?keywords=Under+Armour+Training+Vent+2.0+Short+Sleeve+Shirt+-+Mens&amp;qid=1695124314&amp;sr=8-32", "https://www.amazon.com/Under-Armour-UA-Foundation-White/dp/B07KH51LQ8/ref=sr_1_32?keywords=Under+Armour+Training+Vent+2.0+Short+Sleeve+Shirt+-+Mens&amp;qid=1695124314&amp;sr=8-32")</f>
        <v>https://www.amazon.com/Under-Armour-UA-Foundation-White/dp/B07KH51LQ8/ref=sr_1_32?keywords=Under+Armour+Training+Vent+2.0+Short+Sleeve+Shirt+-+Mens&amp;qid=1695124314&amp;sr=8-32</v>
      </c>
      <c r="F223" t="s">
        <v>919</v>
      </c>
      <c r="G223" t="e">
        <f ca="1">IMAGE("https://alssports.vtexassets.com/arquivos/ids/1216263-800-auto?v=638098285417900000&amp;width=800&amp;height=auto&amp;aspect=true")</f>
        <v>#NAME?</v>
      </c>
      <c r="H223" t="e">
        <f ca="1">IMAGE("https://m.media-amazon.com/images/I/41BOkW4dDsL._AC_UL320_.jpg")</f>
        <v>#NAME?</v>
      </c>
      <c r="I223" t="s">
        <v>231</v>
      </c>
      <c r="J223">
        <v>19.5</v>
      </c>
      <c r="K223" s="2" t="s">
        <v>920</v>
      </c>
      <c r="L223">
        <v>4.7</v>
      </c>
      <c r="M223">
        <v>13093</v>
      </c>
      <c r="O223" t="s">
        <v>33</v>
      </c>
      <c r="P223" t="s">
        <v>233</v>
      </c>
      <c r="Q223" t="s">
        <v>234</v>
      </c>
    </row>
    <row r="224" spans="1:17" ht="15.75" x14ac:dyDescent="0.25">
      <c r="A224" s="3" t="str">
        <f>HYPERLINK("https://www.als.com/brooks-m-shoe-hyperion/p?skuId=1327074", "https://www.als.com/brooks-m-shoe-hyperion/p?skuId=1327074")</f>
        <v>https://www.als.com/brooks-m-shoe-hyperion/p?skuId=1327074</v>
      </c>
      <c r="B224" s="3" t="str">
        <f>HYPERLINK("https://www.als.com/brooks-m-shoe-hyperion/p", "https://www.als.com/brooks-m-shoe-hyperion/p")</f>
        <v>https://www.als.com/brooks-m-shoe-hyperion/p</v>
      </c>
      <c r="C224" t="s">
        <v>571</v>
      </c>
      <c r="D224" t="s">
        <v>921</v>
      </c>
      <c r="E224" s="3" t="str">
        <f>HYPERLINK("https://www.amazon.com/Brooks-Mens-Beast-Running-Shoe/dp/B07VFXCNPK/ref=sr_1_22?keywords=Brooks+Hyperion+Running+Shoe+-+Men%27s&amp;qid=1695124104&amp;sr=8-22", "https://www.amazon.com/Brooks-Mens-Beast-Running-Shoe/dp/B07VFXCNPK/ref=sr_1_22?keywords=Brooks+Hyperion+Running+Shoe+-+Men%27s&amp;qid=1695124104&amp;sr=8-22")</f>
        <v>https://www.amazon.com/Brooks-Mens-Beast-Running-Shoe/dp/B07VFXCNPK/ref=sr_1_22?keywords=Brooks+Hyperion+Running+Shoe+-+Men%27s&amp;qid=1695124104&amp;sr=8-22</v>
      </c>
      <c r="F224" t="s">
        <v>922</v>
      </c>
      <c r="G224" t="e">
        <f ca="1">IMAGE("https://alssports.vtexassets.com/arquivos/ids/1377944-800-auto?v=638248725248900000&amp;width=800&amp;height=auto&amp;aspect=true")</f>
        <v>#NAME?</v>
      </c>
      <c r="H224" t="e">
        <f ca="1">IMAGE("https://m.media-amazon.com/images/I/81Zebf8WxFL._AC_UL320_.jpg")</f>
        <v>#NAME?</v>
      </c>
      <c r="I224" t="s">
        <v>119</v>
      </c>
      <c r="J224">
        <v>129.94999999999999</v>
      </c>
      <c r="K224" s="2" t="s">
        <v>923</v>
      </c>
      <c r="L224">
        <v>4.5999999999999996</v>
      </c>
      <c r="M224">
        <v>4356</v>
      </c>
      <c r="O224" t="s">
        <v>33</v>
      </c>
      <c r="P224" t="s">
        <v>26</v>
      </c>
      <c r="Q224" t="s">
        <v>575</v>
      </c>
    </row>
    <row r="225" spans="1:17" ht="15.75" x14ac:dyDescent="0.25">
      <c r="A225" s="3" t="str">
        <f>HYPERLINK("https://www.als.com/bogs-y--g-n-clssc-mshrms-bt/p?skuId=1239352", "https://www.als.com/bogs-y--g-n-clssc-mshrms-bt/p?skuId=1239352")</f>
        <v>https://www.als.com/bogs-y--g-n-clssc-mshrms-bt/p?skuId=1239352</v>
      </c>
      <c r="B225" s="3" t="str">
        <f>HYPERLINK("https://www.als.com/bogs-y--g-n-clssc-mshrms-bt/p", "https://www.als.com/bogs-y--g-n-clssc-mshrms-bt/p")</f>
        <v>https://www.als.com/bogs-y--g-n-clssc-mshrms-bt/p</v>
      </c>
      <c r="C225" t="s">
        <v>924</v>
      </c>
      <c r="D225" t="s">
        <v>925</v>
      </c>
      <c r="E225" s="3" t="str">
        <f>HYPERLINK("https://www.amazon.com/Bogs-Classic-Mushrooms-Print-Teal-Unisex/dp/B08R5VKTL3/ref=sr_1_1?keywords=Bogs+Neo+Classic+Mushrooms+Boot+-+Youth&amp;qid=1695124392&amp;sr=8-1", "https://www.amazon.com/Bogs-Classic-Mushrooms-Print-Teal-Unisex/dp/B08R5VKTL3/ref=sr_1_1?keywords=Bogs+Neo+Classic+Mushrooms+Boot+-+Youth&amp;qid=1695124392&amp;sr=8-1")</f>
        <v>https://www.amazon.com/Bogs-Classic-Mushrooms-Print-Teal-Unisex/dp/B08R5VKTL3/ref=sr_1_1?keywords=Bogs+Neo+Classic+Mushrooms+Boot+-+Youth&amp;qid=1695124392&amp;sr=8-1</v>
      </c>
      <c r="F225" t="s">
        <v>926</v>
      </c>
      <c r="G225" t="e">
        <f ca="1">IMAGE("https://alssports.vtexassets.com/arquivos/ids/1202231-800-auto?v=638079510736030000&amp;width=800&amp;height=auto&amp;aspect=true")</f>
        <v>#NAME?</v>
      </c>
      <c r="H225" t="e">
        <f ca="1">IMAGE("https://m.media-amazon.com/images/I/71d8XOu5pES._AC_UL320_.jpg")</f>
        <v>#NAME?</v>
      </c>
      <c r="I225" t="s">
        <v>927</v>
      </c>
      <c r="J225">
        <v>58.47</v>
      </c>
      <c r="K225" s="2" t="s">
        <v>923</v>
      </c>
      <c r="L225">
        <v>4.5999999999999996</v>
      </c>
      <c r="M225">
        <v>64</v>
      </c>
      <c r="O225" t="s">
        <v>33</v>
      </c>
      <c r="P225" t="s">
        <v>928</v>
      </c>
      <c r="Q225" t="s">
        <v>929</v>
      </c>
    </row>
    <row r="226" spans="1:17" ht="15.75" x14ac:dyDescent="0.25">
      <c r="A226" s="3" t="str">
        <f>HYPERLINK("https://www.als.com/adidaa-shinguard-predator-competition/p?skuId=1284404", "https://www.als.com/adidaa-shinguard-predator-competition/p?skuId=1284404")</f>
        <v>https://www.als.com/adidaa-shinguard-predator-competition/p?skuId=1284404</v>
      </c>
      <c r="B226" s="3" t="str">
        <f>HYPERLINK("https://www.als.com/adidaa-shinguard-predator-competition/p", "https://www.als.com/adidaa-shinguard-predator-competition/p")</f>
        <v>https://www.als.com/adidaa-shinguard-predator-competition/p</v>
      </c>
      <c r="C226" t="s">
        <v>930</v>
      </c>
      <c r="D226" t="s">
        <v>931</v>
      </c>
      <c r="E226" s="3" t="str">
        <f>HYPERLINK("https://www.amazon.com/Unisex-Adult-Competition-Predator-Shinguard-X-Small/dp/B09JX1BWNP/ref=sr_1_1?keywords=Adidas+Predator+Competition+Shin+Guard&amp;qid=1695124435&amp;sr=8-1", "https://www.amazon.com/Unisex-Adult-Competition-Predator-Shinguard-X-Small/dp/B09JX1BWNP/ref=sr_1_1?keywords=Adidas+Predator+Competition+Shin+Guard&amp;qid=1695124435&amp;sr=8-1")</f>
        <v>https://www.amazon.com/Unisex-Adult-Competition-Predator-Shinguard-X-Small/dp/B09JX1BWNP/ref=sr_1_1?keywords=Adidas+Predator+Competition+Shin+Guard&amp;qid=1695124435&amp;sr=8-1</v>
      </c>
      <c r="F226" t="s">
        <v>932</v>
      </c>
      <c r="G226" t="e">
        <f ca="1">IMAGE("https://alssports.vtexassets.com/arquivos/ids/1307225-800-auto?v=638188141824000000&amp;width=800&amp;height=auto&amp;aspect=true")</f>
        <v>#NAME?</v>
      </c>
      <c r="H226" t="e">
        <f ca="1">IMAGE("https://m.media-amazon.com/images/I/71k9nW2tb4L._AC_UL320_.jpg")</f>
        <v>#NAME?</v>
      </c>
      <c r="I226" t="s">
        <v>933</v>
      </c>
      <c r="J226">
        <v>25.95</v>
      </c>
      <c r="K226" s="2" t="s">
        <v>934</v>
      </c>
      <c r="L226">
        <v>4.4000000000000004</v>
      </c>
      <c r="M226">
        <v>53</v>
      </c>
      <c r="O226" t="s">
        <v>33</v>
      </c>
      <c r="P226" t="s">
        <v>935</v>
      </c>
      <c r="Q226" t="s">
        <v>936</v>
      </c>
    </row>
    <row r="227" spans="1:17" ht="15.75" x14ac:dyDescent="0.25">
      <c r="A227" s="3" t="str">
        <f>HYPERLINK("https://www.als.com/under-m-shoe-hovr-sonic-6/p?skuId=1310944", "https://www.als.com/under-m-shoe-hovr-sonic-6/p?skuId=1310944")</f>
        <v>https://www.als.com/under-m-shoe-hovr-sonic-6/p?skuId=1310944</v>
      </c>
      <c r="B227" s="3" t="str">
        <f>HYPERLINK("https://www.als.com/under-m-shoe-hovr-sonic-6/p", "https://www.als.com/under-m-shoe-hovr-sonic-6/p")</f>
        <v>https://www.als.com/under-m-shoe-hovr-sonic-6/p</v>
      </c>
      <c r="C227" t="s">
        <v>937</v>
      </c>
      <c r="D227" t="s">
        <v>938</v>
      </c>
      <c r="E227" s="3" t="str">
        <f>HYPERLINK("https://www.amazon.com/Under-Armour-Running-Metallic-Silver/dp/B09XBV6ZP1/ref=sr_1_3?keywords=Under+Armour+HOVR+Sonic+6+Running+Shoe+-+Men%27s&amp;qid=1695124361&amp;sr=8-3", "https://www.amazon.com/Under-Armour-Running-Metallic-Silver/dp/B09XBV6ZP1/ref=sr_1_3?keywords=Under+Armour+HOVR+Sonic+6+Running+Shoe+-+Men%27s&amp;qid=1695124361&amp;sr=8-3")</f>
        <v>https://www.amazon.com/Under-Armour-Running-Metallic-Silver/dp/B09XBV6ZP1/ref=sr_1_3?keywords=Under+Armour+HOVR+Sonic+6+Running+Shoe+-+Men%27s&amp;qid=1695124361&amp;sr=8-3</v>
      </c>
      <c r="F227" t="s">
        <v>939</v>
      </c>
      <c r="G227" t="e">
        <f ca="1">IMAGE("https://alssports.vtexassets.com/arquivos/ids/1275152-800-auto?v=638151267735970000&amp;width=800&amp;height=auto&amp;aspect=true")</f>
        <v>#NAME?</v>
      </c>
      <c r="H227" t="e">
        <f ca="1">IMAGE("https://m.media-amazon.com/images/I/714eSqg0XiL._AC_UL320_.jpg")</f>
        <v>#NAME?</v>
      </c>
      <c r="I227" t="s">
        <v>940</v>
      </c>
      <c r="J227">
        <v>40.79</v>
      </c>
      <c r="K227" s="2" t="s">
        <v>941</v>
      </c>
      <c r="L227">
        <v>4.5999999999999996</v>
      </c>
      <c r="M227">
        <v>5</v>
      </c>
      <c r="O227" t="s">
        <v>33</v>
      </c>
      <c r="P227" t="s">
        <v>416</v>
      </c>
      <c r="Q227" t="s">
        <v>942</v>
      </c>
    </row>
    <row r="228" spans="1:17" ht="15.75" x14ac:dyDescent="0.25">
      <c r="A228" s="3" t="str">
        <f>HYPERLINK("https://www.als.com/altra-w-shoe-torin-6/p?skuId=1037503", "https://www.als.com/altra-w-shoe-torin-6/p?skuId=1037503")</f>
        <v>https://www.als.com/altra-w-shoe-torin-6/p?skuId=1037503</v>
      </c>
      <c r="B228" s="3" t="str">
        <f>HYPERLINK("https://www.als.com/altra-w-shoe-torin-6/p", "https://www.als.com/altra-w-shoe-torin-6/p")</f>
        <v>https://www.als.com/altra-w-shoe-torin-6/p</v>
      </c>
      <c r="C228" t="s">
        <v>943</v>
      </c>
      <c r="D228" t="s">
        <v>944</v>
      </c>
      <c r="E228" s="3" t="str">
        <f>HYPERLINK("https://www.amazon.com/ALTRA-Womens-AL0A7R78-Torin-Running/dp/B09Y74Z28C/ref=sr_1_10?keywords=Altra+Torin+6+Shoe+-+Womens&amp;qid=1695124392&amp;sr=8-10", "https://www.amazon.com/ALTRA-Womens-AL0A7R78-Torin-Running/dp/B09Y74Z28C/ref=sr_1_10?keywords=Altra+Torin+6+Shoe+-+Womens&amp;qid=1695124392&amp;sr=8-10")</f>
        <v>https://www.amazon.com/ALTRA-Womens-AL0A7R78-Torin-Running/dp/B09Y74Z28C/ref=sr_1_10?keywords=Altra+Torin+6+Shoe+-+Womens&amp;qid=1695124392&amp;sr=8-10</v>
      </c>
      <c r="F228" t="s">
        <v>945</v>
      </c>
      <c r="G228" t="e">
        <f ca="1">IMAGE("https://alssports.vtexassets.com/arquivos/ids/1076059-800-auto?v=638103665250670000&amp;width=800&amp;height=auto&amp;aspect=true")</f>
        <v>#NAME?</v>
      </c>
      <c r="H228" t="e">
        <f ca="1">IMAGE("https://m.media-amazon.com/images/I/71Vl0LjZ+TL._AC_UL320_.jpg")</f>
        <v>#NAME?</v>
      </c>
      <c r="I228" t="s">
        <v>946</v>
      </c>
      <c r="J228">
        <v>69.37</v>
      </c>
      <c r="K228" s="2" t="s">
        <v>947</v>
      </c>
      <c r="L228">
        <v>3.8</v>
      </c>
      <c r="M228">
        <v>6</v>
      </c>
      <c r="O228" t="s">
        <v>33</v>
      </c>
      <c r="P228" t="s">
        <v>44</v>
      </c>
      <c r="Q228" t="s">
        <v>948</v>
      </c>
    </row>
    <row r="229" spans="1:17" ht="15.75" x14ac:dyDescent="0.25">
      <c r="A229" s="3" t="str">
        <f>HYPERLINK("https://www.als.com/sorel-m-boot-madson-ii-moc-toe-wp/p?skuId=1067549", "https://www.als.com/sorel-m-boot-madson-ii-moc-toe-wp/p?skuId=1067549")</f>
        <v>https://www.als.com/sorel-m-boot-madson-ii-moc-toe-wp/p?skuId=1067549</v>
      </c>
      <c r="B229" s="3" t="str">
        <f>HYPERLINK("https://www.als.com/sorel-m-boot-madson-ii-moc-toe-wp/p", "https://www.als.com/sorel-m-boot-madson-ii-moc-toe-wp/p")</f>
        <v>https://www.als.com/sorel-m-boot-madson-ii-moc-toe-wp/p</v>
      </c>
      <c r="C229" t="s">
        <v>70</v>
      </c>
      <c r="D229" t="s">
        <v>949</v>
      </c>
      <c r="E229" s="3" t="str">
        <f>HYPERLINK("https://www.amazon.com/Sorel-Madson-Field-Waterproof-Boots/dp/B0C6GLCN76/ref=sr_1_4?keywords=Sorel+Madson+II+Moc+Toe+Waterproof+Boot+-+Men%27s&amp;qid=1695124455&amp;sr=8-4", "https://www.amazon.com/Sorel-Madson-Field-Waterproof-Boots/dp/B0C6GLCN76/ref=sr_1_4?keywords=Sorel+Madson+II+Moc+Toe+Waterproof+Boot+-+Men%27s&amp;qid=1695124455&amp;sr=8-4")</f>
        <v>https://www.amazon.com/Sorel-Madson-Field-Waterproof-Boots/dp/B0C6GLCN76/ref=sr_1_4?keywords=Sorel+Madson+II+Moc+Toe+Waterproof+Boot+-+Men%27s&amp;qid=1695124455&amp;sr=8-4</v>
      </c>
      <c r="F229" t="s">
        <v>950</v>
      </c>
      <c r="G229" t="e">
        <f ca="1">IMAGE("https://alssports.vtexassets.com/arquivos/ids/1131590-800-auto?v=637986124854400000&amp;width=800&amp;height=auto&amp;aspect=true")</f>
        <v>#NAME?</v>
      </c>
      <c r="H229" t="e">
        <f ca="1">IMAGE("https://m.media-amazon.com/images/I/71UpXedvpFL._AC_UL320_.jpg")</f>
        <v>#NAME?</v>
      </c>
      <c r="I229" t="s">
        <v>73</v>
      </c>
      <c r="J229">
        <v>184.95</v>
      </c>
      <c r="K229" s="2" t="s">
        <v>951</v>
      </c>
      <c r="L229">
        <v>5</v>
      </c>
      <c r="M229">
        <v>1</v>
      </c>
      <c r="O229" t="s">
        <v>33</v>
      </c>
      <c r="P229" t="s">
        <v>26</v>
      </c>
      <c r="Q229" t="s">
        <v>74</v>
      </c>
    </row>
    <row r="230" spans="1:17" ht="15.75" x14ac:dyDescent="0.25">
      <c r="A230" s="3" t="str">
        <f>HYPERLINK("https://www.als.com/hurley-boardshort-one-and-only-solid/p?skuId=1333862", "https://www.als.com/hurley-boardshort-one-and-only-solid/p?skuId=1333862")</f>
        <v>https://www.als.com/hurley-boardshort-one-and-only-solid/p?skuId=1333862</v>
      </c>
      <c r="B230" s="3" t="str">
        <f>HYPERLINK("https://www.als.com/hurley-boardshort-one-and-only-solid/p", "https://www.als.com/hurley-boardshort-one-and-only-solid/p")</f>
        <v>https://www.als.com/hurley-boardshort-one-and-only-solid/p</v>
      </c>
      <c r="C230" t="s">
        <v>305</v>
      </c>
      <c r="D230" t="s">
        <v>952</v>
      </c>
      <c r="E230" s="3" t="str">
        <f>HYPERLINK("https://www.amazon.com/Hurley-Solid-Board-Shorts-Signal/dp/B08RHBZWL9/ref=sr_1_5?keywords=Hurley+One+And+Only+Solid+Boardshort+-+Men%27s&amp;qid=1695124435&amp;sr=8-5", "https://www.amazon.com/Hurley-Solid-Board-Shorts-Signal/dp/B08RHBZWL9/ref=sr_1_5?keywords=Hurley+One+And+Only+Solid+Boardshort+-+Men%27s&amp;qid=1695124435&amp;sr=8-5")</f>
        <v>https://www.amazon.com/Hurley-Solid-Board-Shorts-Signal/dp/B08RHBZWL9/ref=sr_1_5?keywords=Hurley+One+And+Only+Solid+Boardshort+-+Men%27s&amp;qid=1695124435&amp;sr=8-5</v>
      </c>
      <c r="F230" t="s">
        <v>953</v>
      </c>
      <c r="G230" t="e">
        <f ca="1">IMAGE("https://alssports.vtexassets.com/arquivos/ids/1302714-800-auto?v=638180324007330000&amp;width=800&amp;height=auto&amp;aspect=true")</f>
        <v>#NAME?</v>
      </c>
      <c r="H230" t="e">
        <f ca="1">IMAGE("https://m.media-amazon.com/images/I/81QLCrtRr4L._MCnd_AC_UL320_.jpg")</f>
        <v>#NAME?</v>
      </c>
      <c r="I230" t="s">
        <v>211</v>
      </c>
      <c r="J230">
        <v>36.99</v>
      </c>
      <c r="K230" s="2" t="s">
        <v>954</v>
      </c>
      <c r="L230">
        <v>4.5999999999999996</v>
      </c>
      <c r="M230">
        <v>732</v>
      </c>
      <c r="O230" t="s">
        <v>33</v>
      </c>
      <c r="P230" t="s">
        <v>26</v>
      </c>
      <c r="Q230" t="s">
        <v>308</v>
      </c>
    </row>
    <row r="231" spans="1:17" ht="15.75" x14ac:dyDescent="0.25">
      <c r="A231" s="3" t="str">
        <f>HYPERLINK("https://www.als.com/under-w-sports-bra-mid-crossback/p?skuId=818353", "https://www.als.com/under-w-sports-bra-mid-crossback/p?skuId=818353")</f>
        <v>https://www.als.com/under-w-sports-bra-mid-crossback/p?skuId=818353</v>
      </c>
      <c r="B231" s="3" t="str">
        <f>HYPERLINK("https://www.als.com/under-w-sports-bra-mid-crossback/p", "https://www.als.com/under-w-sports-bra-mid-crossback/p")</f>
        <v>https://www.als.com/under-w-sports-bra-mid-crossback/p</v>
      </c>
      <c r="C231" t="s">
        <v>955</v>
      </c>
      <c r="D231" t="s">
        <v>956</v>
      </c>
      <c r="E231" s="3" t="str">
        <f>HYPERLINK("https://www.amazon.com/Under-Armour-Seamless-Metallic-X-Small/dp/B07L9JMDF3/ref=sr_1_41?keywords=Under+Armour+Mid+Crossback+Sports+Bra+-+Womens&amp;qid=1695124428&amp;sr=8-41", "https://www.amazon.com/Under-Armour-Seamless-Metallic-X-Small/dp/B07L9JMDF3/ref=sr_1_41?keywords=Under+Armour+Mid+Crossback+Sports+Bra+-+Womens&amp;qid=1695124428&amp;sr=8-41")</f>
        <v>https://www.amazon.com/Under-Armour-Seamless-Metallic-X-Small/dp/B07L9JMDF3/ref=sr_1_41?keywords=Under+Armour+Mid+Crossback+Sports+Bra+-+Womens&amp;qid=1695124428&amp;sr=8-41</v>
      </c>
      <c r="F231" t="s">
        <v>957</v>
      </c>
      <c r="G231" t="e">
        <f ca="1">IMAGE("https://alssports.vtexassets.com/arquivos/ids/1281149-800-auto?v=638157351375100000&amp;width=800&amp;height=auto&amp;aspect=true")</f>
        <v>#NAME?</v>
      </c>
      <c r="H231" t="e">
        <f ca="1">IMAGE("https://m.media-amazon.com/images/I/61RqOxNY7gL._AC_UL320_.jpg")</f>
        <v>#NAME?</v>
      </c>
      <c r="I231" t="s">
        <v>231</v>
      </c>
      <c r="J231">
        <v>19.399999999999999</v>
      </c>
      <c r="K231" s="2" t="s">
        <v>958</v>
      </c>
      <c r="L231">
        <v>4.4000000000000004</v>
      </c>
      <c r="M231">
        <v>229</v>
      </c>
      <c r="O231" t="s">
        <v>33</v>
      </c>
      <c r="P231" t="s">
        <v>233</v>
      </c>
      <c r="Q231" t="s">
        <v>959</v>
      </c>
    </row>
    <row r="232" spans="1:17" ht="15.75" x14ac:dyDescent="0.25">
      <c r="A232" s="3" t="str">
        <f>HYPERLINK("https://www.als.com/reef-w-sandals-cushion-vista-hi/p?skuId=1280794", "https://www.als.com/reef-w-sandals-cushion-vista-hi/p?skuId=1280794")</f>
        <v>https://www.als.com/reef-w-sandals-cushion-vista-hi/p?skuId=1280794</v>
      </c>
      <c r="B232" s="3" t="str">
        <f>HYPERLINK("https://www.als.com/reef-w-sandals-cushion-vista-hi/p", "https://www.als.com/reef-w-sandals-cushion-vista-hi/p")</f>
        <v>https://www.als.com/reef-w-sandals-cushion-vista-hi/p</v>
      </c>
      <c r="C232" t="s">
        <v>960</v>
      </c>
      <c r="D232" t="s">
        <v>961</v>
      </c>
      <c r="E232" s="3" t="str">
        <f>HYPERLINK("https://www.amazon.com/Reef-Womens-Sandals-Cushion-Scout/dp/B09RY5JQD4/ref=sr_1_23?keywords=REEF+Cushion+Vista+HI+Slide+-+Women%27s&amp;qid=1695124489&amp;sr=8-23", "https://www.amazon.com/Reef-Womens-Sandals-Cushion-Scout/dp/B09RY5JQD4/ref=sr_1_23?keywords=REEF+Cushion+Vista+HI+Slide+-+Women%27s&amp;qid=1695124489&amp;sr=8-23")</f>
        <v>https://www.amazon.com/Reef-Womens-Sandals-Cushion-Scout/dp/B09RY5JQD4/ref=sr_1_23?keywords=REEF+Cushion+Vista+HI+Slide+-+Women%27s&amp;qid=1695124489&amp;sr=8-23</v>
      </c>
      <c r="F232" t="s">
        <v>962</v>
      </c>
      <c r="G232" t="e">
        <f ca="1">IMAGE("https://alssports.vtexassets.com/arquivos/ids/1252015-800-auto?v=638131199167330000&amp;width=800&amp;height=auto&amp;aspect=true")</f>
        <v>#NAME?</v>
      </c>
      <c r="H232" t="e">
        <f ca="1">IMAGE("https://m.media-amazon.com/images/I/61DxpXU+2+L._AC_UL320_.jpg")</f>
        <v>#NAME?</v>
      </c>
      <c r="I232" t="s">
        <v>58</v>
      </c>
      <c r="J232">
        <v>60</v>
      </c>
      <c r="K232" s="2" t="s">
        <v>958</v>
      </c>
      <c r="L232">
        <v>4.2</v>
      </c>
      <c r="M232">
        <v>35</v>
      </c>
      <c r="O232" t="s">
        <v>33</v>
      </c>
      <c r="P232" t="s">
        <v>26</v>
      </c>
      <c r="Q232" t="s">
        <v>963</v>
      </c>
    </row>
    <row r="233" spans="1:17" ht="15.75" x14ac:dyDescent="0.25">
      <c r="A233" s="3" t="str">
        <f>HYPERLINK("https://www.als.com/shimab-pedal-pd-/p?skuId=594007", "https://www.als.com/shimab-pedal-pd-/p?skuId=594007")</f>
        <v>https://www.als.com/shimab-pedal-pd-/p?skuId=594007</v>
      </c>
      <c r="B233" s="3" t="str">
        <f>HYPERLINK("https://www.als.com/shimab-pedal-pd-/p", "https://www.als.com/shimab-pedal-pd-/p")</f>
        <v>https://www.als.com/shimab-pedal-pd-/p</v>
      </c>
      <c r="C233" t="s">
        <v>964</v>
      </c>
      <c r="D233" t="s">
        <v>965</v>
      </c>
      <c r="E233" s="3" t="str">
        <f>HYPERLINK("https://www.amazon.com/Shimano-Pedals-PD-M8120-Deore-Trail/dp/B07SRGC4ZW/ref=sr_1_3?keywords=Shimano+Deore+XT+SPD+Pedal&amp;qid=1695124486&amp;sr=8-3", "https://www.amazon.com/Shimano-Pedals-PD-M8120-Deore-Trail/dp/B07SRGC4ZW/ref=sr_1_3?keywords=Shimano+Deore+XT+SPD+Pedal&amp;qid=1695124486&amp;sr=8-3")</f>
        <v>https://www.amazon.com/Shimano-Pedals-PD-M8120-Deore-Trail/dp/B07SRGC4ZW/ref=sr_1_3?keywords=Shimano+Deore+XT+SPD+Pedal&amp;qid=1695124486&amp;sr=8-3</v>
      </c>
      <c r="F233" t="s">
        <v>966</v>
      </c>
      <c r="G233" t="e">
        <f ca="1">IMAGE("https://alssports.vtexassets.com/arquivos/ids/400958-800-auto?v=637243831912700000&amp;width=800&amp;height=auto&amp;aspect=true")</f>
        <v>#NAME?</v>
      </c>
      <c r="H233" t="e">
        <f ca="1">IMAGE("https://m.media-amazon.com/images/I/5140qDq1ajL._AC_UL320_.jpg")</f>
        <v>#NAME?</v>
      </c>
      <c r="I233" t="s">
        <v>967</v>
      </c>
      <c r="J233">
        <v>115.47</v>
      </c>
      <c r="K233" s="2" t="s">
        <v>958</v>
      </c>
      <c r="L233">
        <v>4.7</v>
      </c>
      <c r="M233">
        <v>190</v>
      </c>
      <c r="O233" t="s">
        <v>33</v>
      </c>
      <c r="P233" t="s">
        <v>26</v>
      </c>
      <c r="Q233" t="s">
        <v>968</v>
      </c>
    </row>
    <row r="234" spans="1:17" ht="15.75" x14ac:dyDescent="0.25">
      <c r="A234" s="3" t="str">
        <f>HYPERLINK("https://www.als.com/heydud-m-shoe-wally-washed-canvas/p?skuId=1317816", "https://www.als.com/heydud-m-shoe-wally-washed-canvas/p?skuId=1317816")</f>
        <v>https://www.als.com/heydud-m-shoe-wally-washed-canvas/p?skuId=1317816</v>
      </c>
      <c r="B234" s="3" t="str">
        <f>HYPERLINK("https://www.als.com/heydud-m-shoe-wally-washed-canvas/p", "https://www.als.com/heydud-m-shoe-wally-washed-canvas/p")</f>
        <v>https://www.als.com/heydud-m-shoe-wally-washed-canvas/p</v>
      </c>
      <c r="C234" t="s">
        <v>501</v>
      </c>
      <c r="D234" t="s">
        <v>969</v>
      </c>
      <c r="E234" s="3" t="str">
        <f>HYPERLINK("https://www.amazon.com/Hey-Dude-Patriotic-Casual-Off-White/dp/B0BV2YW598/ref=sr_1_36?keywords=Hey+Dude+Wally+Washed+Canvas+Shoe+-+Mens&amp;qid=1695124460&amp;sr=8-36", "https://www.amazon.com/Hey-Dude-Patriotic-Casual-Off-White/dp/B0BV2YW598/ref=sr_1_36?keywords=Hey+Dude+Wally+Washed+Canvas+Shoe+-+Mens&amp;qid=1695124460&amp;sr=8-36")</f>
        <v>https://www.amazon.com/Hey-Dude-Patriotic-Casual-Off-White/dp/B0BV2YW598/ref=sr_1_36?keywords=Hey+Dude+Wally+Washed+Canvas+Shoe+-+Mens&amp;qid=1695124460&amp;sr=8-36</v>
      </c>
      <c r="F234" t="s">
        <v>970</v>
      </c>
      <c r="G234" t="e">
        <f ca="1">IMAGE("https://alssports.vtexassets.com/arquivos/ids/1388214-800-auto?v=638255521966130000&amp;width=800&amp;height=auto&amp;aspect=true")</f>
        <v>#NAME?</v>
      </c>
      <c r="H234" t="e">
        <f ca="1">IMAGE("https://m.media-amazon.com/images/I/71NrewXqx1L._AC_UL320_.jpg")</f>
        <v>#NAME?</v>
      </c>
      <c r="I234" t="s">
        <v>58</v>
      </c>
      <c r="J234">
        <v>59.99</v>
      </c>
      <c r="K234" s="2" t="s">
        <v>971</v>
      </c>
      <c r="L234">
        <v>4.8</v>
      </c>
      <c r="M234">
        <v>2182</v>
      </c>
      <c r="O234" t="s">
        <v>33</v>
      </c>
      <c r="P234" t="s">
        <v>26</v>
      </c>
      <c r="Q234" t="s">
        <v>505</v>
      </c>
    </row>
    <row r="235" spans="1:17" ht="15.75" x14ac:dyDescent="0.25">
      <c r="A235" s="3" t="str">
        <f>HYPERLINK("https://www.als.com/heydud-m-shoe-wally-braided/p?skuId=599445", "https://www.als.com/heydud-m-shoe-wally-braided/p?skuId=599445")</f>
        <v>https://www.als.com/heydud-m-shoe-wally-braided/p?skuId=599445</v>
      </c>
      <c r="B235" s="3" t="str">
        <f>HYPERLINK("https://www.als.com/heydud-m-shoe-wally-braided/p", "https://www.als.com/heydud-m-shoe-wally-braided/p")</f>
        <v>https://www.als.com/heydud-m-shoe-wally-braided/p</v>
      </c>
      <c r="C235" t="s">
        <v>506</v>
      </c>
      <c r="D235" t="s">
        <v>972</v>
      </c>
      <c r="E235" s="3" t="str">
        <f>HYPERLINK("https://www.amazon.com/Hey-Dude-Charcoal-Comfortable-Light-Weight/dp/B0C6XMBLV1/ref=sr_1_18?keywords=Hey+Dude+Wally+Braided+Shoe+-+Mens&amp;qid=1695124451&amp;sr=8-18", "https://www.amazon.com/Hey-Dude-Charcoal-Comfortable-Light-Weight/dp/B0C6XMBLV1/ref=sr_1_18?keywords=Hey+Dude+Wally+Braided+Shoe+-+Mens&amp;qid=1695124451&amp;sr=8-18")</f>
        <v>https://www.amazon.com/Hey-Dude-Charcoal-Comfortable-Light-Weight/dp/B0C6XMBLV1/ref=sr_1_18?keywords=Hey+Dude+Wally+Braided+Shoe+-+Mens&amp;qid=1695124451&amp;sr=8-18</v>
      </c>
      <c r="F235" t="s">
        <v>973</v>
      </c>
      <c r="G235" t="e">
        <f ca="1">IMAGE("https://alssports.vtexassets.com/arquivos/ids/1386107-800-auto?v=638254870959300000&amp;width=800&amp;height=auto&amp;aspect=true")</f>
        <v>#NAME?</v>
      </c>
      <c r="H235" t="e">
        <f ca="1">IMAGE("https://m.media-amazon.com/images/I/81BWiPUHT-L._AC_UL320_.jpg")</f>
        <v>#NAME?</v>
      </c>
      <c r="I235" t="s">
        <v>58</v>
      </c>
      <c r="J235">
        <v>59.99</v>
      </c>
      <c r="K235" s="2" t="s">
        <v>971</v>
      </c>
      <c r="L235">
        <v>4.5999999999999996</v>
      </c>
      <c r="M235">
        <v>3</v>
      </c>
      <c r="O235" t="s">
        <v>33</v>
      </c>
      <c r="P235" t="s">
        <v>26</v>
      </c>
      <c r="Q235" t="s">
        <v>507</v>
      </c>
    </row>
    <row r="236" spans="1:17" ht="15.75" x14ac:dyDescent="0.25">
      <c r="A236" s="3" t="str">
        <f>HYPERLINK("https://www.als.com/columbia-powder-lite-novelty-hooded-jacket-girls-125482/p?skuId=1139868", "https://www.als.com/columbia-powder-lite-novelty-hooded-jacket-girls-125482/p?skuId=1139868")</f>
        <v>https://www.als.com/columbia-powder-lite-novelty-hooded-jacket-girls-125482/p?skuId=1139868</v>
      </c>
      <c r="B236" s="3" t="str">
        <f>HYPERLINK("https://www.als.com/columbia-powder-lite-novelty-hooded-jacket-girls-125482/p", "https://www.als.com/columbia-powder-lite-novelty-hooded-jacket-girls-125482/p")</f>
        <v>https://www.als.com/columbia-powder-lite-novelty-hooded-jacket-girls-125482/p</v>
      </c>
      <c r="C236" t="s">
        <v>974</v>
      </c>
      <c r="D236" t="s">
        <v>975</v>
      </c>
      <c r="E236" s="3" t="str">
        <f>HYPERLINK("https://www.amazon.com/Columbia-Powder-Hooded-Jacket-Medium/dp/B09KMFWS1C/ref=sr_1_6?keywords=Columbia+Powder+Lite+Novelty+Hooded+Jacket+-+Girls&amp;qid=1695124483&amp;sr=8-6", "https://www.amazon.com/Columbia-Powder-Hooded-Jacket-Medium/dp/B09KMFWS1C/ref=sr_1_6?keywords=Columbia+Powder+Lite+Novelty+Hooded+Jacket+-+Girls&amp;qid=1695124483&amp;sr=8-6")</f>
        <v>https://www.amazon.com/Columbia-Powder-Hooded-Jacket-Medium/dp/B09KMFWS1C/ref=sr_1_6?keywords=Columbia+Powder+Lite+Novelty+Hooded+Jacket+-+Girls&amp;qid=1695124483&amp;sr=8-6</v>
      </c>
      <c r="F236" t="s">
        <v>976</v>
      </c>
      <c r="G236" t="e">
        <f ca="1">IMAGE("https://alssports.vtexassets.com/arquivos/ids/1180419-800-auto?v=638050834194370000&amp;width=800&amp;height=auto&amp;aspect=true")</f>
        <v>#NAME?</v>
      </c>
      <c r="H236" t="e">
        <f ca="1">IMAGE("https://m.media-amazon.com/images/I/611Y7JoRROL._AC_UL320_.jpg")</f>
        <v>#NAME?</v>
      </c>
      <c r="I236" t="s">
        <v>977</v>
      </c>
      <c r="J236">
        <v>77.58</v>
      </c>
      <c r="K236" s="2" t="s">
        <v>971</v>
      </c>
      <c r="L236">
        <v>4.9000000000000004</v>
      </c>
      <c r="M236">
        <v>10</v>
      </c>
      <c r="O236" t="s">
        <v>33</v>
      </c>
      <c r="P236" t="s">
        <v>978</v>
      </c>
      <c r="Q236" t="s">
        <v>979</v>
      </c>
    </row>
    <row r="237" spans="1:17" ht="15.75" x14ac:dyDescent="0.25">
      <c r="A237" s="3" t="str">
        <f>HYPERLINK("https://www.als.com/heydud-m-shoe-wally-braided/p?skuId=599445", "https://www.als.com/heydud-m-shoe-wally-braided/p?skuId=599445")</f>
        <v>https://www.als.com/heydud-m-shoe-wally-braided/p?skuId=599445</v>
      </c>
      <c r="B237" s="3" t="str">
        <f>HYPERLINK("https://www.als.com/heydud-m-shoe-wally-braided/p", "https://www.als.com/heydud-m-shoe-wally-braided/p")</f>
        <v>https://www.als.com/heydud-m-shoe-wally-braided/p</v>
      </c>
      <c r="C237" t="s">
        <v>506</v>
      </c>
      <c r="D237" t="s">
        <v>980</v>
      </c>
      <c r="E237" s="3" t="str">
        <f>HYPERLINK("https://www.amazon.com/Hey-Dude-Beachcomber-Comfortable-Light-Weight/dp/B09MJRHCCQ/ref=sr_1_28?keywords=Hey+Dude+Wally+Braided+Shoe+-+Mens&amp;qid=1695124451&amp;sr=8-28", "https://www.amazon.com/Hey-Dude-Beachcomber-Comfortable-Light-Weight/dp/B09MJRHCCQ/ref=sr_1_28?keywords=Hey+Dude+Wally+Braided+Shoe+-+Mens&amp;qid=1695124451&amp;sr=8-28")</f>
        <v>https://www.amazon.com/Hey-Dude-Beachcomber-Comfortable-Light-Weight/dp/B09MJRHCCQ/ref=sr_1_28?keywords=Hey+Dude+Wally+Braided+Shoe+-+Mens&amp;qid=1695124451&amp;sr=8-28</v>
      </c>
      <c r="F237" t="s">
        <v>981</v>
      </c>
      <c r="G237" t="e">
        <f ca="1">IMAGE("https://alssports.vtexassets.com/arquivos/ids/1386107-800-auto?v=638254870959300000&amp;width=800&amp;height=auto&amp;aspect=true")</f>
        <v>#NAME?</v>
      </c>
      <c r="H237" t="e">
        <f ca="1">IMAGE("https://m.media-amazon.com/images/I/71I6DEuAEIL._AC_UL320_.jpg")</f>
        <v>#NAME?</v>
      </c>
      <c r="I237" t="s">
        <v>58</v>
      </c>
      <c r="J237">
        <v>59.95</v>
      </c>
      <c r="K237" s="2" t="s">
        <v>982</v>
      </c>
      <c r="L237">
        <v>4.7</v>
      </c>
      <c r="M237">
        <v>209</v>
      </c>
      <c r="O237" t="s">
        <v>33</v>
      </c>
      <c r="P237" t="s">
        <v>26</v>
      </c>
      <c r="Q237" t="s">
        <v>507</v>
      </c>
    </row>
    <row r="238" spans="1:17" ht="15.75" x14ac:dyDescent="0.25">
      <c r="A238" s="3" t="str">
        <f>HYPERLINK("https://www.als.com/heydud-m-shoe-wally-braided/p?skuId=599445", "https://www.als.com/heydud-m-shoe-wally-braided/p?skuId=599445")</f>
        <v>https://www.als.com/heydud-m-shoe-wally-braided/p?skuId=599445</v>
      </c>
      <c r="B238" s="3" t="str">
        <f>HYPERLINK("https://www.als.com/heydud-m-shoe-wally-braided/p", "https://www.als.com/heydud-m-shoe-wally-braided/p")</f>
        <v>https://www.als.com/heydud-m-shoe-wally-braided/p</v>
      </c>
      <c r="C238" t="s">
        <v>506</v>
      </c>
      <c r="D238" t="s">
        <v>983</v>
      </c>
      <c r="E238" s="3" t="str">
        <f>HYPERLINK("https://www.amazon.com/Hey-Dude-Wally-Braided-Loafers-Sage-11/dp/B0793THG7Q/ref=sr_1_1?keywords=Hey+Dude+Wally+Braided+Shoe+-+Mens&amp;qid=1695124451&amp;sr=8-1", "https://www.amazon.com/Hey-Dude-Wally-Braided-Loafers-Sage-11/dp/B0793THG7Q/ref=sr_1_1?keywords=Hey+Dude+Wally+Braided+Shoe+-+Mens&amp;qid=1695124451&amp;sr=8-1")</f>
        <v>https://www.amazon.com/Hey-Dude-Wally-Braided-Loafers-Sage-11/dp/B0793THG7Q/ref=sr_1_1?keywords=Hey+Dude+Wally+Braided+Shoe+-+Mens&amp;qid=1695124451&amp;sr=8-1</v>
      </c>
      <c r="F238" t="s">
        <v>984</v>
      </c>
      <c r="G238" t="e">
        <f ca="1">IMAGE("https://alssports.vtexassets.com/arquivos/ids/1386107-800-auto?v=638254870959300000&amp;width=800&amp;height=auto&amp;aspect=true")</f>
        <v>#NAME?</v>
      </c>
      <c r="H238" t="e">
        <f ca="1">IMAGE("https://m.media-amazon.com/images/I/61CHsBa6K9S._AC_UL320_.jpg")</f>
        <v>#NAME?</v>
      </c>
      <c r="I238" t="s">
        <v>58</v>
      </c>
      <c r="J238">
        <v>59.95</v>
      </c>
      <c r="K238" s="2" t="s">
        <v>982</v>
      </c>
      <c r="L238">
        <v>4.7</v>
      </c>
      <c r="M238">
        <v>3580</v>
      </c>
      <c r="O238" t="s">
        <v>33</v>
      </c>
      <c r="P238" t="s">
        <v>26</v>
      </c>
      <c r="Q238" t="s">
        <v>507</v>
      </c>
    </row>
    <row r="239" spans="1:17" ht="15.75" x14ac:dyDescent="0.25">
      <c r="A239" s="3" t="str">
        <f>HYPERLINK("https://www.als.com/heydud-w-shoe-wendy-rise-woven/p?skuId=1317686", "https://www.als.com/heydud-w-shoe-wendy-rise-woven/p?skuId=1317686")</f>
        <v>https://www.als.com/heydud-w-shoe-wendy-rise-woven/p?skuId=1317686</v>
      </c>
      <c r="B239" s="3" t="str">
        <f>HYPERLINK("https://www.als.com/heydud-w-shoe-wendy-rise-woven/p", "https://www.als.com/heydud-w-shoe-wendy-rise-woven/p")</f>
        <v>https://www.als.com/heydud-w-shoe-wendy-rise-woven/p</v>
      </c>
      <c r="C239" t="s">
        <v>425</v>
      </c>
      <c r="D239" t="s">
        <v>985</v>
      </c>
      <c r="E239" s="3" t="str">
        <f>HYPERLINK("https://www.amazon.com/Hey-Dude-Wendy-Sox-Black/dp/B09HVFL6TC/ref=sr_1_46?keywords=Hey+Dude+Wendy+Rise+Woven+Shoe+-+Womens&amp;qid=1695124483&amp;sr=8-46", "https://www.amazon.com/Hey-Dude-Wendy-Sox-Black/dp/B09HVFL6TC/ref=sr_1_46?keywords=Hey+Dude+Wendy+Rise+Woven+Shoe+-+Womens&amp;qid=1695124483&amp;sr=8-46")</f>
        <v>https://www.amazon.com/Hey-Dude-Wendy-Sox-Black/dp/B09HVFL6TC/ref=sr_1_46?keywords=Hey+Dude+Wendy+Rise+Woven+Shoe+-+Womens&amp;qid=1695124483&amp;sr=8-46</v>
      </c>
      <c r="F239" t="s">
        <v>986</v>
      </c>
      <c r="G239" t="e">
        <f ca="1">IMAGE("https://alssports.vtexassets.com/arquivos/ids/1387367-800-auto?v=638255482261930000&amp;width=800&amp;height=auto&amp;aspect=true")</f>
        <v>#NAME?</v>
      </c>
      <c r="H239" t="e">
        <f ca="1">IMAGE("https://m.media-amazon.com/images/I/7155pBDv-RL._AC_UL320_.jpg")</f>
        <v>#NAME?</v>
      </c>
      <c r="I239" t="s">
        <v>58</v>
      </c>
      <c r="J239">
        <v>59.95</v>
      </c>
      <c r="K239" s="2" t="s">
        <v>982</v>
      </c>
      <c r="L239">
        <v>4.8</v>
      </c>
      <c r="M239">
        <v>348</v>
      </c>
      <c r="O239" t="s">
        <v>33</v>
      </c>
      <c r="P239" t="s">
        <v>26</v>
      </c>
      <c r="Q239" t="s">
        <v>429</v>
      </c>
    </row>
    <row r="240" spans="1:17" ht="15.75" x14ac:dyDescent="0.25">
      <c r="A240" s="3" t="str">
        <f>HYPERLINK("https://www.als.com/carhar-m-workwear-pocket-ss-tee/p?skuId=1200098", "https://www.als.com/carhar-m-workwear-pocket-ss-tee/p?skuId=1200098")</f>
        <v>https://www.als.com/carhar-m-workwear-pocket-ss-tee/p?skuId=1200098</v>
      </c>
      <c r="B240" s="3" t="str">
        <f>HYPERLINK("https://www.als.com/carhar-m-workwear-pocket-ss-tee/p", "https://www.als.com/carhar-m-workwear-pocket-ss-tee/p")</f>
        <v>https://www.als.com/carhar-m-workwear-pocket-ss-tee/p</v>
      </c>
      <c r="C240" t="s">
        <v>237</v>
      </c>
      <c r="D240" t="s">
        <v>987</v>
      </c>
      <c r="E240" s="3" t="str">
        <f>HYPERLINK("https://www.amazon.com/Carhartt-Exclusive-Heavyweight-Short-Sleeve-Graphic/dp/B09TQ5QV2J/ref=sr_1_9?keywords=Carhartt+Workwear+Loose+Fit+Pocket+Short-Sleeve+T-Shirt+-+Men%27s&amp;qid=1695124338&amp;sr=8-9", "https://www.amazon.com/Carhartt-Exclusive-Heavyweight-Short-Sleeve-Graphic/dp/B09TQ5QV2J/ref=sr_1_9?keywords=Carhartt+Workwear+Loose+Fit+Pocket+Short-Sleeve+T-Shirt+-+Men%27s&amp;qid=1695124338&amp;sr=8-9")</f>
        <v>https://www.amazon.com/Carhartt-Exclusive-Heavyweight-Short-Sleeve-Graphic/dp/B09TQ5QV2J/ref=sr_1_9?keywords=Carhartt+Workwear+Loose+Fit+Pocket+Short-Sleeve+T-Shirt+-+Men%27s&amp;qid=1695124338&amp;sr=8-9</v>
      </c>
      <c r="F240" t="s">
        <v>988</v>
      </c>
      <c r="G240" t="e">
        <f ca="1">IMAGE("https://alssports.vtexassets.com/arquivos/ids/1430829-800-auto?v=638285166341500000&amp;width=800&amp;height=auto&amp;aspect=true")</f>
        <v>#NAME?</v>
      </c>
      <c r="H240" t="e">
        <f ca="1">IMAGE("https://m.media-amazon.com/images/I/71KrWOMkwRL._AC_UL320_.jpg")</f>
        <v>#NAME?</v>
      </c>
      <c r="I240" t="s">
        <v>240</v>
      </c>
      <c r="J240">
        <v>18.45</v>
      </c>
      <c r="K240" s="2" t="s">
        <v>982</v>
      </c>
      <c r="L240">
        <v>4.7</v>
      </c>
      <c r="M240">
        <v>556</v>
      </c>
      <c r="O240" t="s">
        <v>33</v>
      </c>
      <c r="P240" t="s">
        <v>26</v>
      </c>
      <c r="Q240" t="s">
        <v>241</v>
      </c>
    </row>
    <row r="241" spans="1:17" ht="15.75" x14ac:dyDescent="0.25">
      <c r="A241" s="3" t="str">
        <f>HYPERLINK("https://www.als.com/petzl-belay-grigri-assisted-braking/p?skuId=572368", "https://www.als.com/petzl-belay-grigri-assisted-braking/p?skuId=572368")</f>
        <v>https://www.als.com/petzl-belay-grigri-assisted-braking/p?skuId=572368</v>
      </c>
      <c r="B241" s="3" t="str">
        <f>HYPERLINK("https://www.als.com/petzl-belay-grigri-assisted-braking/p", "https://www.als.com/petzl-belay-grigri-assisted-braking/p")</f>
        <v>https://www.als.com/petzl-belay-grigri-assisted-braking/p</v>
      </c>
      <c r="C241" t="s">
        <v>631</v>
      </c>
      <c r="D241" t="s">
        <v>989</v>
      </c>
      <c r="E241" s="3" t="str">
        <f>HYPERLINK("https://www.amazon.com/Petzl-Orange-GRIGRI-Climbing-Device/dp/B01MXORFUD/ref=sr_1_2?keywords=Petzl+GriGri+Belay+Device&amp;qid=1695124323&amp;sr=8-2", "https://www.amazon.com/Petzl-Orange-GRIGRI-Climbing-Device/dp/B01MXORFUD/ref=sr_1_2?keywords=Petzl+GriGri+Belay+Device&amp;qid=1695124323&amp;sr=8-2")</f>
        <v>https://www.amazon.com/Petzl-Orange-GRIGRI-Climbing-Device/dp/B01MXORFUD/ref=sr_1_2?keywords=Petzl+GriGri+Belay+Device&amp;qid=1695124323&amp;sr=8-2</v>
      </c>
      <c r="F241" t="s">
        <v>990</v>
      </c>
      <c r="G241" t="e">
        <f ca="1">IMAGE("https://alssports.vtexassets.com/arquivos/ids/1023632-800-auto?v=637823067748170000&amp;width=800&amp;height=auto&amp;aspect=true")</f>
        <v>#NAME?</v>
      </c>
      <c r="H241" t="e">
        <f ca="1">IMAGE("https://m.media-amazon.com/images/I/616fVEdPUQL._AC_UY218_.jpg")</f>
        <v>#NAME?</v>
      </c>
      <c r="I241" t="s">
        <v>150</v>
      </c>
      <c r="J241">
        <v>101.45</v>
      </c>
      <c r="K241" s="2" t="s">
        <v>991</v>
      </c>
      <c r="L241">
        <v>4.8</v>
      </c>
      <c r="M241">
        <v>336</v>
      </c>
      <c r="O241" t="s">
        <v>33</v>
      </c>
      <c r="P241" t="s">
        <v>26</v>
      </c>
      <c r="Q241" t="s">
        <v>635</v>
      </c>
    </row>
    <row r="242" spans="1:17" ht="15.75" x14ac:dyDescent="0.25">
      <c r="A242" s="3" t="str">
        <f>HYPERLINK("https://www.als.com/dakine-classic-hip-pack/p?skuId=767744", "https://www.als.com/dakine-classic-hip-pack/p?skuId=767744")</f>
        <v>https://www.als.com/dakine-classic-hip-pack/p?skuId=767744</v>
      </c>
      <c r="B242" s="3" t="str">
        <f>HYPERLINK("https://www.als.com/dakine-classic-hip-pack/p", "https://www.als.com/dakine-classic-hip-pack/p")</f>
        <v>https://www.als.com/dakine-classic-hip-pack/p</v>
      </c>
      <c r="C242" t="s">
        <v>992</v>
      </c>
      <c r="D242" t="s">
        <v>993</v>
      </c>
      <c r="E242" s="3" t="str">
        <f>HYPERLINK("https://www.amazon.com/Dakine-Unisex-Pack-Crescent-Floral/dp/B0873BRVBP/ref=sr_1_25?keywords=Dakine+Classic+Hip+Pack&amp;qid=1695124161&amp;sr=8-25", "https://www.amazon.com/Dakine-Unisex-Pack-Crescent-Floral/dp/B0873BRVBP/ref=sr_1_25?keywords=Dakine+Classic+Hip+Pack&amp;qid=1695124161&amp;sr=8-25")</f>
        <v>https://www.amazon.com/Dakine-Unisex-Pack-Crescent-Floral/dp/B0873BRVBP/ref=sr_1_25?keywords=Dakine+Classic+Hip+Pack&amp;qid=1695124161&amp;sr=8-25</v>
      </c>
      <c r="F242" t="s">
        <v>994</v>
      </c>
      <c r="G242" t="e">
        <f ca="1">IMAGE("https://alssports.vtexassets.com/arquivos/ids/1189032-800-auto?v=638059541136000000&amp;width=800&amp;height=auto&amp;aspect=true")</f>
        <v>#NAME?</v>
      </c>
      <c r="H242" t="e">
        <f ca="1">IMAGE("https://m.media-amazon.com/images/I/91hPjTB8rXS._AC_UL320_.jpg")</f>
        <v>#NAME?</v>
      </c>
      <c r="I242" t="s">
        <v>995</v>
      </c>
      <c r="J242">
        <v>11.98</v>
      </c>
      <c r="K242" s="2" t="s">
        <v>996</v>
      </c>
      <c r="L242">
        <v>4.7</v>
      </c>
      <c r="M242">
        <v>523</v>
      </c>
      <c r="O242" t="s">
        <v>33</v>
      </c>
      <c r="P242" t="s">
        <v>611</v>
      </c>
      <c r="Q242" t="s">
        <v>997</v>
      </c>
    </row>
    <row r="243" spans="1:17" ht="15.75" x14ac:dyDescent="0.25">
      <c r="A243" s="3" t="str">
        <f>HYPERLINK("https://www.als.com/black-diamond-momentum-harness-mens-30998/p?skuId=565613", "https://www.als.com/black-diamond-momentum-harness-mens-30998/p?skuId=565613")</f>
        <v>https://www.als.com/black-diamond-momentum-harness-mens-30998/p?skuId=565613</v>
      </c>
      <c r="B243" s="3" t="str">
        <f>HYPERLINK("https://www.als.com/black-diamond-momentum-harness-mens-30998/p", "https://www.als.com/black-diamond-momentum-harness-mens-30998/p")</f>
        <v>https://www.als.com/black-diamond-momentum-harness-mens-30998/p</v>
      </c>
      <c r="C243" t="s">
        <v>55</v>
      </c>
      <c r="D243" t="s">
        <v>998</v>
      </c>
      <c r="E243" s="3" t="str">
        <f>HYPERLINK("https://www.amazon.com/Black-Diamond-Momentum-Climbing-Harness/dp/B081BBL3MM/ref=sr_1_7?keywords=Black+Diamond+Momentum+Harness+-+Men%27s&amp;qid=1695124426&amp;sr=8-7", "https://www.amazon.com/Black-Diamond-Momentum-Climbing-Harness/dp/B081BBL3MM/ref=sr_1_7?keywords=Black+Diamond+Momentum+Harness+-+Men%27s&amp;qid=1695124426&amp;sr=8-7")</f>
        <v>https://www.amazon.com/Black-Diamond-Momentum-Climbing-Harness/dp/B081BBL3MM/ref=sr_1_7?keywords=Black+Diamond+Momentum+Harness+-+Men%27s&amp;qid=1695124426&amp;sr=8-7</v>
      </c>
      <c r="F243" t="s">
        <v>999</v>
      </c>
      <c r="G243" t="e">
        <f ca="1">IMAGE("https://alssports.vtexassets.com/arquivos/ids/1308135-800-auto?v=638189190355030000&amp;width=800&amp;height=auto&amp;aspect=true")</f>
        <v>#NAME?</v>
      </c>
      <c r="H243" t="e">
        <f ca="1">IMAGE("https://m.media-amazon.com/images/I/81jfNSI8MvS._AC_UL320_.jpg")</f>
        <v>#NAME?</v>
      </c>
      <c r="I243" t="s">
        <v>58</v>
      </c>
      <c r="J243">
        <v>59.88</v>
      </c>
      <c r="K243" s="2" t="s">
        <v>1000</v>
      </c>
      <c r="L243">
        <v>5</v>
      </c>
      <c r="M243">
        <v>1</v>
      </c>
      <c r="O243" t="s">
        <v>33</v>
      </c>
      <c r="P243" t="s">
        <v>26</v>
      </c>
      <c r="Q243" t="s">
        <v>59</v>
      </c>
    </row>
    <row r="244" spans="1:17" ht="15.75" x14ac:dyDescent="0.25">
      <c r="A244" s="3" t="str">
        <f>HYPERLINK("https://www.als.com/black-diamond-momentum-harness-mens-30998/p?skuId=565613", "https://www.als.com/black-diamond-momentum-harness-mens-30998/p?skuId=565613")</f>
        <v>https://www.als.com/black-diamond-momentum-harness-mens-30998/p?skuId=565613</v>
      </c>
      <c r="B244" s="3" t="str">
        <f>HYPERLINK("https://www.als.com/black-diamond-momentum-harness-mens-30998/p", "https://www.als.com/black-diamond-momentum-harness-mens-30998/p")</f>
        <v>https://www.als.com/black-diamond-momentum-harness-mens-30998/p</v>
      </c>
      <c r="C244" t="s">
        <v>55</v>
      </c>
      <c r="D244" t="s">
        <v>1001</v>
      </c>
      <c r="E244" s="3" t="str">
        <f>HYPERLINK("https://www.amazon.com/Black-Diamond-Mens-Momentum-Harness/dp/B081B9SF3T/ref=sr_1_6?keywords=Black+Diamond+Momentum+Harness+-+Men%27s&amp;qid=1695124426&amp;sr=8-6", "https://www.amazon.com/Black-Diamond-Mens-Momentum-Harness/dp/B081B9SF3T/ref=sr_1_6?keywords=Black+Diamond+Momentum+Harness+-+Men%27s&amp;qid=1695124426&amp;sr=8-6")</f>
        <v>https://www.amazon.com/Black-Diamond-Mens-Momentum-Harness/dp/B081B9SF3T/ref=sr_1_6?keywords=Black+Diamond+Momentum+Harness+-+Men%27s&amp;qid=1695124426&amp;sr=8-6</v>
      </c>
      <c r="F244" t="s">
        <v>1002</v>
      </c>
      <c r="G244" t="e">
        <f ca="1">IMAGE("https://alssports.vtexassets.com/arquivos/ids/1308135-800-auto?v=638189190355030000&amp;width=800&amp;height=auto&amp;aspect=true")</f>
        <v>#NAME?</v>
      </c>
      <c r="H244" t="e">
        <f ca="1">IMAGE("https://m.media-amazon.com/images/I/81jfNSI8MvS._AC_UL320_.jpg")</f>
        <v>#NAME?</v>
      </c>
      <c r="I244" t="s">
        <v>58</v>
      </c>
      <c r="J244">
        <v>59.88</v>
      </c>
      <c r="K244" s="2" t="s">
        <v>1000</v>
      </c>
      <c r="L244">
        <v>4.3</v>
      </c>
      <c r="M244">
        <v>3</v>
      </c>
      <c r="O244" t="s">
        <v>33</v>
      </c>
      <c r="P244" t="s">
        <v>26</v>
      </c>
      <c r="Q244" t="s">
        <v>59</v>
      </c>
    </row>
    <row r="245" spans="1:17" ht="15.75" x14ac:dyDescent="0.25">
      <c r="A245" s="3" t="str">
        <f>HYPERLINK("https://www.als.com/black-diamond-momentum-harness-mens-30998/p?skuId=565613", "https://www.als.com/black-diamond-momentum-harness-mens-30998/p?skuId=565613")</f>
        <v>https://www.als.com/black-diamond-momentum-harness-mens-30998/p?skuId=565613</v>
      </c>
      <c r="B245" s="3" t="str">
        <f>HYPERLINK("https://www.als.com/black-diamond-momentum-harness-mens-30998/p", "https://www.als.com/black-diamond-momentum-harness-mens-30998/p")</f>
        <v>https://www.als.com/black-diamond-momentum-harness-mens-30998/p</v>
      </c>
      <c r="C245" t="s">
        <v>55</v>
      </c>
      <c r="D245" t="s">
        <v>1003</v>
      </c>
      <c r="E245" s="3" t="str">
        <f>HYPERLINK("https://www.amazon.com/Black-Diamond-Momentum-Climbing-Harness/dp/B081BBBCDM/ref=sr_1_3?keywords=Black+Diamond+Momentum+Harness+-+Men%27s&amp;qid=1695124426&amp;sr=8-3", "https://www.amazon.com/Black-Diamond-Momentum-Climbing-Harness/dp/B081BBBCDM/ref=sr_1_3?keywords=Black+Diamond+Momentum+Harness+-+Men%27s&amp;qid=1695124426&amp;sr=8-3")</f>
        <v>https://www.amazon.com/Black-Diamond-Momentum-Climbing-Harness/dp/B081BBBCDM/ref=sr_1_3?keywords=Black+Diamond+Momentum+Harness+-+Men%27s&amp;qid=1695124426&amp;sr=8-3</v>
      </c>
      <c r="F245" t="s">
        <v>1004</v>
      </c>
      <c r="G245" t="e">
        <f ca="1">IMAGE("https://alssports.vtexassets.com/arquivos/ids/1308135-800-auto?v=638189190355030000&amp;width=800&amp;height=auto&amp;aspect=true")</f>
        <v>#NAME?</v>
      </c>
      <c r="H245" t="e">
        <f ca="1">IMAGE("https://m.media-amazon.com/images/I/81jfNSI8MvS._AC_UL320_.jpg")</f>
        <v>#NAME?</v>
      </c>
      <c r="I245" t="s">
        <v>58</v>
      </c>
      <c r="J245">
        <v>59.88</v>
      </c>
      <c r="K245" s="2" t="s">
        <v>1000</v>
      </c>
      <c r="L245">
        <v>4.5999999999999996</v>
      </c>
      <c r="M245">
        <v>11</v>
      </c>
      <c r="O245" t="s">
        <v>33</v>
      </c>
      <c r="P245" t="s">
        <v>26</v>
      </c>
      <c r="Q245" t="s">
        <v>59</v>
      </c>
    </row>
    <row r="246" spans="1:17" ht="15.75" x14ac:dyDescent="0.25">
      <c r="A246" s="3" t="str">
        <f>HYPERLINK("https://www.als.com/black-diamond-momentum-harness-mens-30998/p?skuId=565613", "https://www.als.com/black-diamond-momentum-harness-mens-30998/p?skuId=565613")</f>
        <v>https://www.als.com/black-diamond-momentum-harness-mens-30998/p?skuId=565613</v>
      </c>
      <c r="B246" s="3" t="str">
        <f>HYPERLINK("https://www.als.com/black-diamond-momentum-harness-mens-30998/p", "https://www.als.com/black-diamond-momentum-harness-mens-30998/p")</f>
        <v>https://www.als.com/black-diamond-momentum-harness-mens-30998/p</v>
      </c>
      <c r="C246" t="s">
        <v>55</v>
      </c>
      <c r="D246" t="s">
        <v>1005</v>
      </c>
      <c r="E246" s="3" t="str">
        <f>HYPERLINK("https://www.amazon.com/Black-Diamond-Momentum-Climbing-Harness/dp/B081B9LFYS/ref=sr_1_4?keywords=Black+Diamond+Momentum+Harness+-+Men%27s&amp;qid=1695124426&amp;sr=8-4", "https://www.amazon.com/Black-Diamond-Momentum-Climbing-Harness/dp/B081B9LFYS/ref=sr_1_4?keywords=Black+Diamond+Momentum+Harness+-+Men%27s&amp;qid=1695124426&amp;sr=8-4")</f>
        <v>https://www.amazon.com/Black-Diamond-Momentum-Climbing-Harness/dp/B081B9LFYS/ref=sr_1_4?keywords=Black+Diamond+Momentum+Harness+-+Men%27s&amp;qid=1695124426&amp;sr=8-4</v>
      </c>
      <c r="F246" t="s">
        <v>1006</v>
      </c>
      <c r="G246" t="e">
        <f ca="1">IMAGE("https://alssports.vtexassets.com/arquivos/ids/1308135-800-auto?v=638189190355030000&amp;width=800&amp;height=auto&amp;aspect=true")</f>
        <v>#NAME?</v>
      </c>
      <c r="H246" t="e">
        <f ca="1">IMAGE("https://m.media-amazon.com/images/I/81jfNSI8MvS._AC_UL320_.jpg")</f>
        <v>#NAME?</v>
      </c>
      <c r="I246" t="s">
        <v>58</v>
      </c>
      <c r="J246">
        <v>59.88</v>
      </c>
      <c r="K246" s="2" t="s">
        <v>1000</v>
      </c>
      <c r="L246">
        <v>4.5</v>
      </c>
      <c r="M246">
        <v>22</v>
      </c>
      <c r="O246" t="s">
        <v>33</v>
      </c>
      <c r="P246" t="s">
        <v>26</v>
      </c>
      <c r="Q246" t="s">
        <v>59</v>
      </c>
    </row>
    <row r="247" spans="1:17" ht="15.75" x14ac:dyDescent="0.25">
      <c r="A247" s="3" t="str">
        <f>HYPERLINK("https://www.als.com/black-diamond-momentum-harness-mens-30998/p?skuId=565613", "https://www.als.com/black-diamond-momentum-harness-mens-30998/p?skuId=565613")</f>
        <v>https://www.als.com/black-diamond-momentum-harness-mens-30998/p?skuId=565613</v>
      </c>
      <c r="B247" s="3" t="str">
        <f>HYPERLINK("https://www.als.com/black-diamond-momentum-harness-mens-30998/p", "https://www.als.com/black-diamond-momentum-harness-mens-30998/p")</f>
        <v>https://www.als.com/black-diamond-momentum-harness-mens-30998/p</v>
      </c>
      <c r="C247" t="s">
        <v>55</v>
      </c>
      <c r="D247" t="s">
        <v>1007</v>
      </c>
      <c r="E247" s="3" t="str">
        <f>HYPERLINK("https://www.amazon.com/Black-Diamond-Momentum-Climbing-Harness/dp/B081B9V242/ref=sr_1_8?keywords=Black+Diamond+Momentum+Harness+-+Men%27s&amp;qid=1695124426&amp;sr=8-8", "https://www.amazon.com/Black-Diamond-Momentum-Climbing-Harness/dp/B081B9V242/ref=sr_1_8?keywords=Black+Diamond+Momentum+Harness+-+Men%27s&amp;qid=1695124426&amp;sr=8-8")</f>
        <v>https://www.amazon.com/Black-Diamond-Momentum-Climbing-Harness/dp/B081B9V242/ref=sr_1_8?keywords=Black+Diamond+Momentum+Harness+-+Men%27s&amp;qid=1695124426&amp;sr=8-8</v>
      </c>
      <c r="F247" t="s">
        <v>1008</v>
      </c>
      <c r="G247" t="e">
        <f ca="1">IMAGE("https://alssports.vtexassets.com/arquivos/ids/1308135-800-auto?v=638189190355030000&amp;width=800&amp;height=auto&amp;aspect=true")</f>
        <v>#NAME?</v>
      </c>
      <c r="H247" t="e">
        <f ca="1">IMAGE("https://m.media-amazon.com/images/I/81jfNSI8MvS._AC_UL320_.jpg")</f>
        <v>#NAME?</v>
      </c>
      <c r="I247" t="s">
        <v>58</v>
      </c>
      <c r="J247">
        <v>59.87</v>
      </c>
      <c r="K247" s="2" t="s">
        <v>1009</v>
      </c>
      <c r="L247">
        <v>4.5</v>
      </c>
      <c r="M247">
        <v>6</v>
      </c>
      <c r="O247" t="s">
        <v>33</v>
      </c>
      <c r="P247" t="s">
        <v>26</v>
      </c>
      <c r="Q247" t="s">
        <v>59</v>
      </c>
    </row>
    <row r="248" spans="1:17" ht="15.75" x14ac:dyDescent="0.25">
      <c r="A248" s="3" t="str">
        <f>HYPERLINK("https://www.als.com/sal-sh-w-shoe-speedcross-6-gtx/p?skuId=1067305", "https://www.als.com/sal-sh-w-shoe-speedcross-6-gtx/p?skuId=1067305")</f>
        <v>https://www.als.com/sal-sh-w-shoe-speedcross-6-gtx/p?skuId=1067305</v>
      </c>
      <c r="B248" s="3" t="str">
        <f>HYPERLINK("https://www.als.com/sal-sh-w-shoe-speedcross-6-gtx/p", "https://www.als.com/sal-sh-w-shoe-speedcross-6-gtx/p")</f>
        <v>https://www.als.com/sal-sh-w-shoe-speedcross-6-gtx/p</v>
      </c>
      <c r="C248" t="s">
        <v>1010</v>
      </c>
      <c r="D248" t="s">
        <v>1011</v>
      </c>
      <c r="E248" s="3" t="str">
        <f>HYPERLINK("https://www.amazon.com/Salomon-Womens-ALPHACROSS-Gore-TEX-Running/dp/B0B5JGB6RS/ref=sr_1_9?keywords=Salomon+Speedcross+6+Gore-Tex+Trail+Running+Shoe+-+Womens&amp;qid=1695124102&amp;sr=8-9", "https://www.amazon.com/Salomon-Womens-ALPHACROSS-Gore-TEX-Running/dp/B0B5JGB6RS/ref=sr_1_9?keywords=Salomon+Speedcross+6+Gore-Tex+Trail+Running+Shoe+-+Womens&amp;qid=1695124102&amp;sr=8-9")</f>
        <v>https://www.amazon.com/Salomon-Womens-ALPHACROSS-Gore-TEX-Running/dp/B0B5JGB6RS/ref=sr_1_9?keywords=Salomon+Speedcross+6+Gore-Tex+Trail+Running+Shoe+-+Womens&amp;qid=1695124102&amp;sr=8-9</v>
      </c>
      <c r="F248" t="s">
        <v>1012</v>
      </c>
      <c r="G248" t="e">
        <f ca="1">IMAGE("https://alssports.vtexassets.com/arquivos/ids/1117012-800-auto?v=637963752669400000&amp;width=800&amp;height=auto&amp;aspect=true")</f>
        <v>#NAME?</v>
      </c>
      <c r="H248" t="e">
        <f ca="1">IMAGE("https://m.media-amazon.com/images/I/81xCmULIi+L._AC_UL320_.jpg")</f>
        <v>#NAME?</v>
      </c>
      <c r="I248" t="s">
        <v>1013</v>
      </c>
      <c r="J248">
        <v>88.44</v>
      </c>
      <c r="K248" s="2" t="s">
        <v>1014</v>
      </c>
      <c r="L248">
        <v>3</v>
      </c>
      <c r="M248">
        <v>11</v>
      </c>
      <c r="O248" t="s">
        <v>33</v>
      </c>
      <c r="P248" t="s">
        <v>88</v>
      </c>
      <c r="Q248" t="s">
        <v>1015</v>
      </c>
    </row>
    <row r="249" spans="1:17" ht="15.75" x14ac:dyDescent="0.25">
      <c r="A249" s="3" t="str">
        <f>HYPERLINK("https://www.als.com/teva-m-sandal-hurricane-xlt2/p?skuId=398840", "https://www.als.com/teva-m-sandal-hurricane-xlt2/p?skuId=398840")</f>
        <v>https://www.als.com/teva-m-sandal-hurricane-xlt2/p?skuId=398840</v>
      </c>
      <c r="B249" s="3" t="str">
        <f>HYPERLINK("https://www.als.com/teva-m-sandal-hurricane-xlt2/p", "https://www.als.com/teva-m-sandal-hurricane-xlt2/p")</f>
        <v>https://www.als.com/teva-m-sandal-hurricane-xlt2/p</v>
      </c>
      <c r="C249" t="s">
        <v>37</v>
      </c>
      <c r="D249" t="s">
        <v>1016</v>
      </c>
      <c r="E249" s="3" t="str">
        <f>HYPERLINK("https://www.amazon.com/Teva-Hurricane-Verge-Black-12/dp/B08RXVKCBR/ref=sr_1_8?keywords=Teva+Hurricane+XLT2+Sandal+-+Men%27s&amp;qid=1695124141&amp;sr=8-8", "https://www.amazon.com/Teva-Hurricane-Verge-Black-12/dp/B08RXVKCBR/ref=sr_1_8?keywords=Teva+Hurricane+XLT2+Sandal+-+Men%27s&amp;qid=1695124141&amp;sr=8-8")</f>
        <v>https://www.amazon.com/Teva-Hurricane-Verge-Black-12/dp/B08RXVKCBR/ref=sr_1_8?keywords=Teva+Hurricane+XLT2+Sandal+-+Men%27s&amp;qid=1695124141&amp;sr=8-8</v>
      </c>
      <c r="F249" t="s">
        <v>1017</v>
      </c>
      <c r="G249" t="e">
        <f ca="1">IMAGE("https://alssports.vtexassets.com/arquivos/ids/1220918-800-auto?v=638102154417000000&amp;width=800&amp;height=auto&amp;aspect=true")</f>
        <v>#NAME?</v>
      </c>
      <c r="H249" t="e">
        <f ca="1">IMAGE("https://m.media-amazon.com/images/I/716IYXBzT9L._AC_UL320_.jpg")</f>
        <v>#NAME?</v>
      </c>
      <c r="I249" t="s">
        <v>40</v>
      </c>
      <c r="J249">
        <v>68.989999999999995</v>
      </c>
      <c r="K249" s="2" t="s">
        <v>1018</v>
      </c>
      <c r="L249">
        <v>3.8</v>
      </c>
      <c r="M249">
        <v>356</v>
      </c>
      <c r="O249" t="s">
        <v>33</v>
      </c>
      <c r="P249" t="s">
        <v>26</v>
      </c>
      <c r="Q249" t="s">
        <v>41</v>
      </c>
    </row>
    <row r="250" spans="1:17" ht="15.75" x14ac:dyDescent="0.25">
      <c r="A250" s="3" t="str">
        <f>HYPERLINK("https://www.als.com/luxpro-rechargable-micro-headlamp/p?skuId=1194878", "https://www.als.com/luxpro-rechargable-micro-headlamp/p?skuId=1194878")</f>
        <v>https://www.als.com/luxpro-rechargable-micro-headlamp/p?skuId=1194878</v>
      </c>
      <c r="B250" s="3" t="str">
        <f>HYPERLINK("https://www.als.com/luxpro-rechargable-micro-headlamp/p", "https://www.als.com/luxpro-rechargable-micro-headlamp/p")</f>
        <v>https://www.als.com/luxpro-rechargable-micro-headlamp/p</v>
      </c>
      <c r="C250" t="s">
        <v>1019</v>
      </c>
      <c r="D250" t="s">
        <v>1020</v>
      </c>
      <c r="E250" s="3" t="str">
        <f>HYPERLINK("https://www.amazon.com/Rechargeable-Flashlight-Lightweight-Illumination-Waterproof/dp/B09NNDJS2R/ref=sr_1_14?keywords=Lux+Pro+Waterproof+Ultralight+Led+Rechargeable+Headlamp&amp;qid=1695124326&amp;sr=8-14", "https://www.amazon.com/Rechargeable-Flashlight-Lightweight-Illumination-Waterproof/dp/B09NNDJS2R/ref=sr_1_14?keywords=Lux+Pro+Waterproof+Ultralight+Led+Rechargeable+Headlamp&amp;qid=1695124326&amp;sr=8-14")</f>
        <v>https://www.amazon.com/Rechargeable-Flashlight-Lightweight-Illumination-Waterproof/dp/B09NNDJS2R/ref=sr_1_14?keywords=Lux+Pro+Waterproof+Ultralight+Led+Rechargeable+Headlamp&amp;qid=1695124326&amp;sr=8-14</v>
      </c>
      <c r="F250" t="s">
        <v>1021</v>
      </c>
      <c r="G250" t="e">
        <f ca="1">IMAGE("https://alssports.vtexassets.com/arquivos/ids/1357245-800-auto?v=638231380032130000&amp;width=800&amp;height=auto&amp;aspect=true")</f>
        <v>#NAME?</v>
      </c>
      <c r="H250" t="e">
        <f ca="1">IMAGE("https://m.media-amazon.com/images/I/41x1ljksFIL._AC_UL320_.jpg")</f>
        <v>#NAME?</v>
      </c>
      <c r="I250" t="s">
        <v>130</v>
      </c>
      <c r="J250">
        <v>9.19</v>
      </c>
      <c r="K250" s="2" t="s">
        <v>1022</v>
      </c>
      <c r="L250">
        <v>4.5</v>
      </c>
      <c r="M250">
        <v>457</v>
      </c>
      <c r="O250" t="s">
        <v>33</v>
      </c>
      <c r="P250" t="s">
        <v>135</v>
      </c>
      <c r="Q250" t="s">
        <v>1023</v>
      </c>
    </row>
    <row r="251" spans="1:17" ht="15.75" x14ac:dyDescent="0.25">
      <c r="A251" s="3" t="str">
        <f>HYPERLINK("https://www.als.com/adidas-w-slide-adilette-comfort/p?skuId=1286469", "https://www.als.com/adidas-w-slide-adilette-comfort/p?skuId=1286469")</f>
        <v>https://www.als.com/adidas-w-slide-adilette-comfort/p?skuId=1286469</v>
      </c>
      <c r="B251" s="3" t="str">
        <f>HYPERLINK("https://www.als.com/adidas-w-slide-adilette-comfort/p", "https://www.als.com/adidas-w-slide-adilette-comfort/p")</f>
        <v>https://www.als.com/adidas-w-slide-adilette-comfort/p</v>
      </c>
      <c r="C251" t="s">
        <v>441</v>
      </c>
      <c r="D251" t="s">
        <v>1024</v>
      </c>
      <c r="E251" s="3" t="str">
        <f>HYPERLINK("https://www.amazon.com/adidas-Adilette-Comfort-Champagne-Metallic/dp/B087KQY3YK/ref=sr_1_36?keywords=Adidas+Adilette+Comfort+Sandal+-+Women%27s&amp;qid=1695124352&amp;sr=8-36", "https://www.amazon.com/adidas-Adilette-Comfort-Champagne-Metallic/dp/B087KQY3YK/ref=sr_1_36?keywords=Adidas+Adilette+Comfort+Sandal+-+Women%27s&amp;qid=1695124352&amp;sr=8-36")</f>
        <v>https://www.amazon.com/adidas-Adilette-Comfort-Champagne-Metallic/dp/B087KQY3YK/ref=sr_1_36?keywords=Adidas+Adilette+Comfort+Sandal+-+Women%27s&amp;qid=1695124352&amp;sr=8-36</v>
      </c>
      <c r="F251" t="s">
        <v>1025</v>
      </c>
      <c r="G251" t="e">
        <f ca="1">IMAGE("https://alssports.vtexassets.com/arquivos/ids/1250704-800-auto?v=638128818653670000&amp;width=800&amp;height=auto&amp;aspect=true")</f>
        <v>#NAME?</v>
      </c>
      <c r="H251" t="e">
        <f ca="1">IMAGE("https://m.media-amazon.com/images/I/71gAX3hx3CL._AC_UL320_.jpg")</f>
        <v>#NAME?</v>
      </c>
      <c r="I251" t="s">
        <v>444</v>
      </c>
      <c r="J251">
        <v>25.72</v>
      </c>
      <c r="K251" s="2" t="s">
        <v>1022</v>
      </c>
      <c r="L251">
        <v>4.3</v>
      </c>
      <c r="M251">
        <v>35</v>
      </c>
      <c r="O251" t="s">
        <v>33</v>
      </c>
      <c r="P251" t="s">
        <v>140</v>
      </c>
      <c r="Q251" t="s">
        <v>445</v>
      </c>
    </row>
    <row r="252" spans="1:17" ht="15.75" x14ac:dyDescent="0.25">
      <c r="A252" s="3" t="str">
        <f>HYPERLINK("https://www.als.com/altra-w-shoe-timp-4/p?skuId=929220", "https://www.als.com/altra-w-shoe-timp-4/p?skuId=929220")</f>
        <v>https://www.als.com/altra-w-shoe-timp-4/p?skuId=929220</v>
      </c>
      <c r="B252" s="3" t="str">
        <f>HYPERLINK("https://www.als.com/altra-w-shoe-timp-4/p", "https://www.als.com/altra-w-shoe-timp-4/p")</f>
        <v>https://www.als.com/altra-w-shoe-timp-4/p</v>
      </c>
      <c r="C252" t="s">
        <v>829</v>
      </c>
      <c r="D252" t="s">
        <v>1026</v>
      </c>
      <c r="E252" s="3" t="str">
        <f>HYPERLINK("https://www.amazon.com/ALTRA-Womens-AL0A4QTP-Trail-Running/dp/B07TP9SJBG/ref=sr_1_20?keywords=Altra+Timp+4+Running+Shoe+-+Womens&amp;qid=1695124369&amp;sr=8-20", "https://www.amazon.com/ALTRA-Womens-AL0A4QTP-Trail-Running/dp/B07TP9SJBG/ref=sr_1_20?keywords=Altra+Timp+4+Running+Shoe+-+Womens&amp;qid=1695124369&amp;sr=8-20")</f>
        <v>https://www.amazon.com/ALTRA-Womens-AL0A4QTP-Trail-Running/dp/B07TP9SJBG/ref=sr_1_20?keywords=Altra+Timp+4+Running+Shoe+-+Womens&amp;qid=1695124369&amp;sr=8-20</v>
      </c>
      <c r="F252" t="s">
        <v>1027</v>
      </c>
      <c r="G252" t="e">
        <f ca="1">IMAGE("https://alssports.vtexassets.com/arquivos/ids/1112796-800-auto?v=637957454637830000&amp;width=800&amp;height=auto&amp;aspect=true")</f>
        <v>#NAME?</v>
      </c>
      <c r="H252" t="e">
        <f ca="1">IMAGE("https://m.media-amazon.com/images/I/71sZ7Ta557L._AC_UL320_.jpg")</f>
        <v>#NAME?</v>
      </c>
      <c r="I252" t="s">
        <v>88</v>
      </c>
      <c r="J252">
        <v>147</v>
      </c>
      <c r="K252" s="2" t="s">
        <v>1028</v>
      </c>
      <c r="L252">
        <v>4.5</v>
      </c>
      <c r="M252">
        <v>1207</v>
      </c>
      <c r="O252" t="s">
        <v>33</v>
      </c>
      <c r="P252" t="s">
        <v>832</v>
      </c>
      <c r="Q252" t="s">
        <v>833</v>
      </c>
    </row>
    <row r="253" spans="1:17" ht="15.75" x14ac:dyDescent="0.25">
      <c r="A253" s="3" t="str">
        <f>HYPERLINK("https://www.als.com/altra-w-shoe-torin-6/p?skuId=1037503", "https://www.als.com/altra-w-shoe-torin-6/p?skuId=1037503")</f>
        <v>https://www.als.com/altra-w-shoe-torin-6/p?skuId=1037503</v>
      </c>
      <c r="B253" s="3" t="str">
        <f>HYPERLINK("https://www.als.com/altra-w-shoe-torin-6/p", "https://www.als.com/altra-w-shoe-torin-6/p")</f>
        <v>https://www.als.com/altra-w-shoe-torin-6/p</v>
      </c>
      <c r="C253" t="s">
        <v>943</v>
      </c>
      <c r="D253" t="s">
        <v>1029</v>
      </c>
      <c r="E253" s="3" t="str">
        <f>HYPERLINK("https://www.amazon.com/Altra-Womens-Torin-Running-Shoe/dp/B01N6JCL5D/ref=sr_1_17?keywords=Altra+Torin+6+Shoe+-+Womens&amp;qid=1695124392&amp;sr=8-17", "https://www.amazon.com/Altra-Womens-Torin-Running-Shoe/dp/B01N6JCL5D/ref=sr_1_17?keywords=Altra+Torin+6+Shoe+-+Womens&amp;qid=1695124392&amp;sr=8-17")</f>
        <v>https://www.amazon.com/Altra-Womens-Torin-Running-Shoe/dp/B01N6JCL5D/ref=sr_1_17?keywords=Altra+Torin+6+Shoe+-+Womens&amp;qid=1695124392&amp;sr=8-17</v>
      </c>
      <c r="F253" t="s">
        <v>1030</v>
      </c>
      <c r="G253" t="e">
        <f ca="1">IMAGE("https://alssports.vtexassets.com/arquivos/ids/1076059-800-auto?v=638103665250670000&amp;width=800&amp;height=auto&amp;aspect=true")</f>
        <v>#NAME?</v>
      </c>
      <c r="H253" t="e">
        <f ca="1">IMAGE("https://m.media-amazon.com/images/I/91eHZc52a3L._AC_UL320_.jpg")</f>
        <v>#NAME?</v>
      </c>
      <c r="I253" t="s">
        <v>946</v>
      </c>
      <c r="J253">
        <v>68.900000000000006</v>
      </c>
      <c r="K253" s="2" t="s">
        <v>1031</v>
      </c>
      <c r="L253">
        <v>4.3</v>
      </c>
      <c r="M253">
        <v>350</v>
      </c>
      <c r="O253" t="s">
        <v>33</v>
      </c>
      <c r="P253" t="s">
        <v>44</v>
      </c>
      <c r="Q253" t="s">
        <v>948</v>
      </c>
    </row>
    <row r="254" spans="1:17" ht="15.75" x14ac:dyDescent="0.25">
      <c r="A254" s="3" t="str">
        <f>HYPERLINK("https://www.als.com/under-m-short-ua-training-stretch/p?skuId=817748", "https://www.als.com/under-m-short-ua-training-stretch/p?skuId=817748")</f>
        <v>https://www.als.com/under-m-short-ua-training-stretch/p?skuId=817748</v>
      </c>
      <c r="B254" s="3" t="str">
        <f>HYPERLINK("https://www.als.com/under-m-short-ua-training-stretch/p", "https://www.als.com/under-m-short-ua-training-stretch/p")</f>
        <v>https://www.als.com/under-m-short-ua-training-stretch/p</v>
      </c>
      <c r="C254" t="s">
        <v>599</v>
      </c>
      <c r="D254" t="s">
        <v>1032</v>
      </c>
      <c r="E254" s="3" t="str">
        <f>HYPERLINK("https://www.amazon.com/Under-Armour-Graphic-Shorts-X-Large/dp/B093MJZQZG/ref=sr_1_14?keywords=Under+Armour+Training+Stretch+Short+-+Men%27s&amp;qid=1695124338&amp;sr=8-14", "https://www.amazon.com/Under-Armour-Graphic-Shorts-X-Large/dp/B093MJZQZG/ref=sr_1_14?keywords=Under+Armour+Training+Stretch+Short+-+Men%27s&amp;qid=1695124338&amp;sr=8-14")</f>
        <v>https://www.amazon.com/Under-Armour-Graphic-Shorts-X-Large/dp/B093MJZQZG/ref=sr_1_14?keywords=Under+Armour+Training+Stretch+Short+-+Men%27s&amp;qid=1695124338&amp;sr=8-14</v>
      </c>
      <c r="F254" t="s">
        <v>1033</v>
      </c>
      <c r="G254" t="e">
        <f ca="1">IMAGE("https://alssports.vtexassets.com/arquivos/ids/1087251-800-auto?v=638271167205870000&amp;width=800&amp;height=auto&amp;aspect=true")</f>
        <v>#NAME?</v>
      </c>
      <c r="H254" t="e">
        <f ca="1">IMAGE("https://m.media-amazon.com/images/I/41310UXR9VL._AC_UL320_.jpg")</f>
        <v>#NAME?</v>
      </c>
      <c r="I254" t="s">
        <v>602</v>
      </c>
      <c r="J254">
        <v>16.53</v>
      </c>
      <c r="K254" s="2" t="s">
        <v>1034</v>
      </c>
      <c r="L254">
        <v>4.5</v>
      </c>
      <c r="M254">
        <v>4942</v>
      </c>
      <c r="O254" t="s">
        <v>33</v>
      </c>
      <c r="P254" t="s">
        <v>233</v>
      </c>
      <c r="Q254" t="s">
        <v>604</v>
      </c>
    </row>
    <row r="255" spans="1:17" ht="15.75" x14ac:dyDescent="0.25">
      <c r="A255" s="3" t="str">
        <f>HYPERLINK("https://www.als.com/under-ua-drive-pant/p?skuId=997492", "https://www.als.com/under-ua-drive-pant/p?skuId=997492")</f>
        <v>https://www.als.com/under-ua-drive-pant/p?skuId=997492</v>
      </c>
      <c r="B255" s="3" t="str">
        <f>HYPERLINK("https://www.als.com/under-ua-drive-pant/p", "https://www.als.com/under-ua-drive-pant/p")</f>
        <v>https://www.als.com/under-ua-drive-pant/p</v>
      </c>
      <c r="C255" t="s">
        <v>452</v>
      </c>
      <c r="D255" t="s">
        <v>1035</v>
      </c>
      <c r="E255" s="3" t="str">
        <f>HYPERLINK("https://www.amazon.com/Under-Armour-Showdown-Chino-Pants/dp/B077XLVGC9/ref=sr_1_19?keywords=Under+Armour+Drive+Pant+-+Men%27s&amp;qid=1695124299&amp;sr=8-19", "https://www.amazon.com/Under-Armour-Showdown-Chino-Pants/dp/B077XLVGC9/ref=sr_1_19?keywords=Under+Armour+Drive+Pant+-+Men%27s&amp;qid=1695124299&amp;sr=8-19")</f>
        <v>https://www.amazon.com/Under-Armour-Showdown-Chino-Pants/dp/B077XLVGC9/ref=sr_1_19?keywords=Under+Armour+Drive+Pant+-+Men%27s&amp;qid=1695124299&amp;sr=8-19</v>
      </c>
      <c r="F255" t="s">
        <v>1036</v>
      </c>
      <c r="G255" t="e">
        <f ca="1">IMAGE("https://alssports.vtexassets.com/arquivos/ids/1442508-800-auto?v=638291812057330000&amp;width=800&amp;height=auto&amp;aspect=true")</f>
        <v>#NAME?</v>
      </c>
      <c r="H255" t="e">
        <f ca="1">IMAGE("https://m.media-amazon.com/images/I/51Ee10KN1BL._AC_UL320_.jpg")</f>
        <v>#NAME?</v>
      </c>
      <c r="I255" t="s">
        <v>455</v>
      </c>
      <c r="J255">
        <v>46.85</v>
      </c>
      <c r="K255" s="2" t="s">
        <v>1037</v>
      </c>
      <c r="L255">
        <v>4.5</v>
      </c>
      <c r="M255">
        <v>198</v>
      </c>
      <c r="O255" t="s">
        <v>26</v>
      </c>
      <c r="P255" t="s">
        <v>457</v>
      </c>
      <c r="Q255" t="s">
        <v>458</v>
      </c>
    </row>
    <row r="256" spans="1:17" ht="15.75" x14ac:dyDescent="0.25">
      <c r="A256" s="3" t="str">
        <f>HYPERLINK("https://www.als.com/adidas-yth-cleat-goletto-viii-fg/p?skuId=936336", "https://www.als.com/adidas-yth-cleat-goletto-viii-fg/p?skuId=936336")</f>
        <v>https://www.als.com/adidas-yth-cleat-goletto-viii-fg/p?skuId=936336</v>
      </c>
      <c r="B256" s="3" t="str">
        <f>HYPERLINK("https://www.als.com/adidas-yth-cleat-goletto-viii-fg/p", "https://www.als.com/adidas-yth-cleat-goletto-viii-fg/p")</f>
        <v>https://www.als.com/adidas-yth-cleat-goletto-viii-fg/p</v>
      </c>
      <c r="C256" t="s">
        <v>1038</v>
      </c>
      <c r="D256" t="s">
        <v>1039</v>
      </c>
      <c r="E256" s="3" t="str">
        <f>HYPERLINK("https://www.amazon.com/adidas-Goletto-Ground-Soccer-Unisex/dp/B093R5XJ9W/ref=sr_1_2?keywords=adidas+Goletto+VIII+Firm+Ground+Soccer+Cleat+-+Youth&amp;qid=1695124164&amp;sr=8-2", "https://www.amazon.com/adidas-Goletto-Ground-Soccer-Unisex/dp/B093R5XJ9W/ref=sr_1_2?keywords=adidas+Goletto+VIII+Firm+Ground+Soccer+Cleat+-+Youth&amp;qid=1695124164&amp;sr=8-2")</f>
        <v>https://www.amazon.com/adidas-Goletto-Ground-Soccer-Unisex/dp/B093R5XJ9W/ref=sr_1_2?keywords=adidas+Goletto+VIII+Firm+Ground+Soccer+Cleat+-+Youth&amp;qid=1695124164&amp;sr=8-2</v>
      </c>
      <c r="F256" t="s">
        <v>1040</v>
      </c>
      <c r="G256" t="e">
        <f ca="1">IMAGE("https://alssports.vtexassets.com/arquivos/ids/1076483-800-auto?v=637904785042600000&amp;width=800&amp;height=auto&amp;aspect=true")</f>
        <v>#NAME?</v>
      </c>
      <c r="H256" t="e">
        <f ca="1">IMAGE("https://m.media-amazon.com/images/I/61zH9V4VFDL._AC_UL320_.jpg")</f>
        <v>#NAME?</v>
      </c>
      <c r="I256" t="s">
        <v>1041</v>
      </c>
      <c r="J256">
        <v>27.5</v>
      </c>
      <c r="K256" s="2" t="s">
        <v>1042</v>
      </c>
      <c r="L256">
        <v>4.7</v>
      </c>
      <c r="M256">
        <v>6522</v>
      </c>
      <c r="O256" t="s">
        <v>33</v>
      </c>
      <c r="P256" t="s">
        <v>26</v>
      </c>
      <c r="Q256" t="s">
        <v>1043</v>
      </c>
    </row>
    <row r="257" spans="1:17" ht="15.75" x14ac:dyDescent="0.25">
      <c r="A257" s="3" t="str">
        <f>HYPERLINK("https://www.als.com/vans-shoe-classic-slip-on/p?skuId=226085", "https://www.als.com/vans-shoe-classic-slip-on/p?skuId=226085")</f>
        <v>https://www.als.com/vans-shoe-classic-slip-on/p?skuId=226085</v>
      </c>
      <c r="B257" s="3" t="str">
        <f>HYPERLINK("https://www.als.com/vans-shoe-classic-slip-on/p", "https://www.als.com/vans-shoe-classic-slip-on/p")</f>
        <v>https://www.als.com/vans-shoe-classic-slip-on/p</v>
      </c>
      <c r="C257" t="s">
        <v>430</v>
      </c>
      <c r="D257" t="s">
        <v>1044</v>
      </c>
      <c r="E257" s="3" t="str">
        <f>HYPERLINK("https://www.amazon.com/Vans-Adult-Classic-Slip-Classics/dp/B000K7CADS/ref=sr_1_4?keywords=Vans+Classic+Slip-On+Shoe&amp;qid=1695124089&amp;sr=8-4", "https://www.amazon.com/Vans-Adult-Classic-Slip-Classics/dp/B000K7CADS/ref=sr_1_4?keywords=Vans+Classic+Slip-On+Shoe&amp;qid=1695124089&amp;sr=8-4")</f>
        <v>https://www.amazon.com/Vans-Adult-Classic-Slip-Classics/dp/B000K7CADS/ref=sr_1_4?keywords=Vans+Classic+Slip-On+Shoe&amp;qid=1695124089&amp;sr=8-4</v>
      </c>
      <c r="F257" t="s">
        <v>1045</v>
      </c>
      <c r="G257" t="e">
        <f ca="1">IMAGE("https://alssports.vtexassets.com/arquivos/ids/1443076-800-auto?v=638292000890400000&amp;width=800&amp;height=auto&amp;aspect=true")</f>
        <v>#NAME?</v>
      </c>
      <c r="H257" t="e">
        <f ca="1">IMAGE("https://m.media-amazon.com/images/I/71gpFHJlnoL._AC_UL320_.jpg")</f>
        <v>#NAME?</v>
      </c>
      <c r="I257" t="s">
        <v>169</v>
      </c>
      <c r="J257">
        <v>55.03</v>
      </c>
      <c r="K257" s="2" t="s">
        <v>1046</v>
      </c>
      <c r="L257">
        <v>4.5999999999999996</v>
      </c>
      <c r="M257">
        <v>7512</v>
      </c>
      <c r="O257" t="s">
        <v>33</v>
      </c>
      <c r="P257" t="s">
        <v>26</v>
      </c>
      <c r="Q257" t="s">
        <v>434</v>
      </c>
    </row>
    <row r="258" spans="1:17" ht="15.75" x14ac:dyDescent="0.25">
      <c r="A258" s="3" t="str">
        <f>HYPERLINK("https://www.als.com/vans-shoe-classic-slip-on/p?skuId=226085", "https://www.als.com/vans-shoe-classic-slip-on/p?skuId=226085")</f>
        <v>https://www.als.com/vans-shoe-classic-slip-on/p?skuId=226085</v>
      </c>
      <c r="B258" s="3" t="str">
        <f>HYPERLINK("https://www.als.com/vans-shoe-classic-slip-on/p", "https://www.als.com/vans-shoe-classic-slip-on/p")</f>
        <v>https://www.als.com/vans-shoe-classic-slip-on/p</v>
      </c>
      <c r="C258" t="s">
        <v>430</v>
      </c>
      <c r="D258" t="s">
        <v>1047</v>
      </c>
      <c r="E258" s="3" t="str">
        <f>HYPERLINK("https://www.amazon.com/Vans-Unisex-Adults-Classic-Black/dp/B000T0NJF4/ref=sr_1_24?keywords=Vans+Classic+Slip-On+Shoe&amp;qid=1695124089&amp;sr=8-24", "https://www.amazon.com/Vans-Unisex-Adults-Classic-Black/dp/B000T0NJF4/ref=sr_1_24?keywords=Vans+Classic+Slip-On+Shoe&amp;qid=1695124089&amp;sr=8-24")</f>
        <v>https://www.amazon.com/Vans-Unisex-Adults-Classic-Black/dp/B000T0NJF4/ref=sr_1_24?keywords=Vans+Classic+Slip-On+Shoe&amp;qid=1695124089&amp;sr=8-24</v>
      </c>
      <c r="F258" t="s">
        <v>1048</v>
      </c>
      <c r="G258" t="e">
        <f ca="1">IMAGE("https://alssports.vtexassets.com/arquivos/ids/1443076-800-auto?v=638292000890400000&amp;width=800&amp;height=auto&amp;aspect=true")</f>
        <v>#NAME?</v>
      </c>
      <c r="H258" t="e">
        <f ca="1">IMAGE("https://m.media-amazon.com/images/I/81G1OfSPfVL._AC_UL320_.jpg")</f>
        <v>#NAME?</v>
      </c>
      <c r="I258" t="s">
        <v>169</v>
      </c>
      <c r="J258">
        <v>55</v>
      </c>
      <c r="K258" s="2" t="s">
        <v>1049</v>
      </c>
      <c r="L258">
        <v>4.5999999999999996</v>
      </c>
      <c r="M258">
        <v>212</v>
      </c>
      <c r="O258" t="s">
        <v>33</v>
      </c>
      <c r="P258" t="s">
        <v>26</v>
      </c>
      <c r="Q258" t="s">
        <v>434</v>
      </c>
    </row>
    <row r="259" spans="1:17" ht="15.75" x14ac:dyDescent="0.25">
      <c r="A259" s="3" t="str">
        <f>HYPERLINK("https://www.als.com/teva-m-sandal-hurricane-xlt2/p?skuId=398840", "https://www.als.com/teva-m-sandal-hurricane-xlt2/p?skuId=398840")</f>
        <v>https://www.als.com/teva-m-sandal-hurricane-xlt2/p?skuId=398840</v>
      </c>
      <c r="B259" s="3" t="str">
        <f>HYPERLINK("https://www.als.com/teva-m-sandal-hurricane-xlt2/p", "https://www.als.com/teva-m-sandal-hurricane-xlt2/p")</f>
        <v>https://www.als.com/teva-m-sandal-hurricane-xlt2/p</v>
      </c>
      <c r="C259" t="s">
        <v>37</v>
      </c>
      <c r="D259" t="s">
        <v>1050</v>
      </c>
      <c r="E259" s="3" t="str">
        <f>HYPERLINK("https://www.amazon.com/Teva-Hurricane-Sport-Sandal-Black/dp/B0721B9ZBW/ref=sr_1_1?keywords=Teva+Hurricane+XLT2+Sandal+-+Men%27s&amp;qid=1695124141&amp;sr=8-1", "https://www.amazon.com/Teva-Hurricane-Sport-Sandal-Black/dp/B0721B9ZBW/ref=sr_1_1?keywords=Teva+Hurricane+XLT2+Sandal+-+Men%27s&amp;qid=1695124141&amp;sr=8-1")</f>
        <v>https://www.amazon.com/Teva-Hurricane-Sport-Sandal-Black/dp/B0721B9ZBW/ref=sr_1_1?keywords=Teva+Hurricane+XLT2+Sandal+-+Men%27s&amp;qid=1695124141&amp;sr=8-1</v>
      </c>
      <c r="F259" t="s">
        <v>1051</v>
      </c>
      <c r="G259" t="e">
        <f ca="1">IMAGE("https://alssports.vtexassets.com/arquivos/ids/1220918-800-auto?v=638102154417000000&amp;width=800&amp;height=auto&amp;aspect=true")</f>
        <v>#NAME?</v>
      </c>
      <c r="H259" t="e">
        <f ca="1">IMAGE("https://m.media-amazon.com/images/I/716xg1dvMEL._AC_UL320_.jpg")</f>
        <v>#NAME?</v>
      </c>
      <c r="I259" t="s">
        <v>40</v>
      </c>
      <c r="J259">
        <v>68.53</v>
      </c>
      <c r="K259" s="2" t="s">
        <v>1052</v>
      </c>
      <c r="L259">
        <v>4.5999999999999996</v>
      </c>
      <c r="M259">
        <v>9269</v>
      </c>
      <c r="O259" t="s">
        <v>33</v>
      </c>
      <c r="P259" t="s">
        <v>26</v>
      </c>
      <c r="Q259" t="s">
        <v>41</v>
      </c>
    </row>
    <row r="260" spans="1:17" ht="15.75" x14ac:dyDescent="0.25">
      <c r="A260" s="3" t="str">
        <f>HYPERLINK("https://www.als.com/sitka-m-pant-mountain-optifade/p?skuId=90738", "https://www.als.com/sitka-m-pant-mountain-optifade/p?skuId=90738")</f>
        <v>https://www.als.com/sitka-m-pant-mountain-optifade/p?skuId=90738</v>
      </c>
      <c r="B260" s="3" t="str">
        <f>HYPERLINK("https://www.als.com/sitka-m-pant-mountain-optifade/p", "https://www.als.com/sitka-m-pant-mountain-optifade/p")</f>
        <v>https://www.als.com/sitka-m-pant-mountain-optifade/p</v>
      </c>
      <c r="C260" t="s">
        <v>260</v>
      </c>
      <c r="D260" t="s">
        <v>1053</v>
      </c>
      <c r="E260" s="3" t="str">
        <f>HYPERLINK("https://www.amazon.com/SITKA-Gear-Dakota-Optifade-Timber/dp/B01MG3OMJA/ref=sr_1_8?keywords=Sitka+Mountain+Pant+-+Mens&amp;qid=1695124392&amp;sr=8-8", "https://www.amazon.com/SITKA-Gear-Dakota-Optifade-Timber/dp/B01MG3OMJA/ref=sr_1_8?keywords=Sitka+Mountain+Pant+-+Mens&amp;qid=1695124392&amp;sr=8-8")</f>
        <v>https://www.amazon.com/SITKA-Gear-Dakota-Optifade-Timber/dp/B01MG3OMJA/ref=sr_1_8?keywords=Sitka+Mountain+Pant+-+Mens&amp;qid=1695124392&amp;sr=8-8</v>
      </c>
      <c r="F260" t="s">
        <v>1054</v>
      </c>
      <c r="G260" t="e">
        <f ca="1">IMAGE("https://alssports.vtexassets.com/arquivos/ids/1369099-800-auto?v=638242004529500000&amp;width=800&amp;height=auto&amp;aspect=true")</f>
        <v>#NAME?</v>
      </c>
      <c r="H260" t="e">
        <f ca="1">IMAGE("https://m.media-amazon.com/images/I/61Vpd0hVZ5L._AC_UL320_.jpg")</f>
        <v>#NAME?</v>
      </c>
      <c r="I260" t="s">
        <v>263</v>
      </c>
      <c r="J260">
        <v>190.83</v>
      </c>
      <c r="K260" s="2" t="s">
        <v>1055</v>
      </c>
      <c r="L260">
        <v>4.8</v>
      </c>
      <c r="M260">
        <v>295</v>
      </c>
      <c r="O260" t="s">
        <v>33</v>
      </c>
      <c r="P260" t="s">
        <v>26</v>
      </c>
      <c r="Q260" t="s">
        <v>264</v>
      </c>
    </row>
    <row r="261" spans="1:17" ht="15.75" x14ac:dyDescent="0.25">
      <c r="A261" s="3" t="str">
        <f>HYPERLINK("https://www.als.com/birken-ws-sandal-arizona-soft-ftbed/p?skuId=254551", "https://www.als.com/birken-ws-sandal-arizona-soft-ftbed/p?skuId=254551")</f>
        <v>https://www.als.com/birken-ws-sandal-arizona-soft-ftbed/p?skuId=254551</v>
      </c>
      <c r="B261" s="3" t="str">
        <f>HYPERLINK("https://www.als.com/birken-ws-sandal-arizona-soft-ftbed/p", "https://www.als.com/birken-ws-sandal-arizona-soft-ftbed/p")</f>
        <v>https://www.als.com/birken-ws-sandal-arizona-soft-ftbed/p</v>
      </c>
      <c r="C261" t="s">
        <v>446</v>
      </c>
      <c r="D261" t="s">
        <v>1056</v>
      </c>
      <c r="E261" s="3" t="str">
        <f>HYPERLINK("https://www.amazon.com/Birkenstock-Arizona-Tobacco-Leather-Sandals/dp/B00EE49UUY/ref=sr_1_17?keywords=Birkenstock+Arizona+Soft+Footbed+Sandal&amp;qid=1695124328&amp;sr=8-17", "https://www.amazon.com/Birkenstock-Arizona-Tobacco-Leather-Sandals/dp/B00EE49UUY/ref=sr_1_17?keywords=Birkenstock+Arizona+Soft+Footbed+Sandal&amp;qid=1695124328&amp;sr=8-17")</f>
        <v>https://www.amazon.com/Birkenstock-Arizona-Tobacco-Leather-Sandals/dp/B00EE49UUY/ref=sr_1_17?keywords=Birkenstock+Arizona+Soft+Footbed+Sandal&amp;qid=1695124328&amp;sr=8-17</v>
      </c>
      <c r="F261" t="s">
        <v>1057</v>
      </c>
      <c r="G261" t="e">
        <f ca="1">IMAGE("https://alssports.vtexassets.com/arquivos/ids/1316883-800-auto?v=638198562145970000&amp;width=800&amp;height=auto&amp;aspect=true")</f>
        <v>#NAME?</v>
      </c>
      <c r="H261" t="e">
        <f ca="1">IMAGE("https://m.media-amazon.com/images/I/51G4Aj4t9FL._AC_UL320_.jpg")</f>
        <v>#NAME?</v>
      </c>
      <c r="I261" t="s">
        <v>449</v>
      </c>
      <c r="J261">
        <v>123</v>
      </c>
      <c r="K261" s="2" t="s">
        <v>1058</v>
      </c>
      <c r="L261">
        <v>4.2</v>
      </c>
      <c r="M261">
        <v>28</v>
      </c>
      <c r="O261" t="s">
        <v>33</v>
      </c>
      <c r="P261" t="s">
        <v>26</v>
      </c>
      <c r="Q261" t="s">
        <v>451</v>
      </c>
    </row>
    <row r="262" spans="1:17" ht="15.75" x14ac:dyDescent="0.25">
      <c r="A262" s="3" t="str">
        <f>HYPERLINK("https://www.als.com/adidas-cleat-freak-23/p?skuId=1287468", "https://www.als.com/adidas-cleat-freak-23/p?skuId=1287468")</f>
        <v>https://www.als.com/adidas-cleat-freak-23/p?skuId=1287468</v>
      </c>
      <c r="B262" s="3" t="str">
        <f>HYPERLINK("https://www.als.com/adidas-cleat-freak-23/p", "https://www.als.com/adidas-cleat-freak-23/p")</f>
        <v>https://www.als.com/adidas-cleat-freak-23/p</v>
      </c>
      <c r="C262" t="s">
        <v>1059</v>
      </c>
      <c r="D262" t="s">
        <v>1060</v>
      </c>
      <c r="E262" s="3" t="str">
        <f>HYPERLINK("https://www.amazon.com/adidas-Freak-Football-Unisex-Little/dp/B0B5YPXD1H/ref=sr_1_5?keywords=adidas+Freak+23+Football+Cleat&amp;qid=1695124101&amp;sr=8-5", "https://www.amazon.com/adidas-Freak-Football-Unisex-Little/dp/B0B5YPXD1H/ref=sr_1_5?keywords=adidas+Freak+23+Football+Cleat&amp;qid=1695124101&amp;sr=8-5")</f>
        <v>https://www.amazon.com/adidas-Freak-Football-Unisex-Little/dp/B0B5YPXD1H/ref=sr_1_5?keywords=adidas+Freak+23+Football+Cleat&amp;qid=1695124101&amp;sr=8-5</v>
      </c>
      <c r="F262" t="s">
        <v>1061</v>
      </c>
      <c r="G262" t="e">
        <f ca="1">IMAGE("https://alssports.vtexassets.com/arquivos/ids/1400222-800-auto?v=638264233896900000&amp;width=800&amp;height=auto&amp;aspect=true")</f>
        <v>#NAME?</v>
      </c>
      <c r="H262" t="e">
        <f ca="1">IMAGE("https://m.media-amazon.com/images/I/71OIn2DXm1L._AC_UL320_.jpg")</f>
        <v>#NAME?</v>
      </c>
      <c r="I262" t="s">
        <v>1062</v>
      </c>
      <c r="J262">
        <v>70.02</v>
      </c>
      <c r="K262" s="2" t="s">
        <v>1063</v>
      </c>
      <c r="L262">
        <v>4.0999999999999996</v>
      </c>
      <c r="M262">
        <v>11</v>
      </c>
      <c r="O262" t="s">
        <v>33</v>
      </c>
      <c r="P262" t="s">
        <v>1064</v>
      </c>
      <c r="Q262" t="s">
        <v>1065</v>
      </c>
    </row>
    <row r="263" spans="1:17" ht="15.75" x14ac:dyDescent="0.25">
      <c r="A263" s="3" t="str">
        <f>HYPERLINK("https://www.als.com/heydud-w-shoe-wendy/p?skuId=932276", "https://www.als.com/heydud-w-shoe-wendy/p?skuId=932276")</f>
        <v>https://www.als.com/heydud-w-shoe-wendy/p?skuId=932276</v>
      </c>
      <c r="B263" s="3" t="str">
        <f>HYPERLINK("https://www.als.com/heydud-w-shoe-wendy/p", "https://www.als.com/heydud-w-shoe-wendy/p")</f>
        <v>https://www.als.com/heydud-w-shoe-wendy/p</v>
      </c>
      <c r="C263" t="s">
        <v>1066</v>
      </c>
      <c r="D263" t="s">
        <v>1067</v>
      </c>
      <c r="E263" s="3" t="str">
        <f>HYPERLINK("https://www.amazon.com/Hey-Dude-Womens-Loafer-Shoes/dp/B07DPS8TFM/ref=sr_1_6?keywords=Hey+Dude+Wendy+Shoe+-+Womens&amp;qid=1695124380&amp;sr=8-6", "https://www.amazon.com/Hey-Dude-Womens-Loafer-Shoes/dp/B07DPS8TFM/ref=sr_1_6?keywords=Hey+Dude+Wendy+Shoe+-+Womens&amp;qid=1695124380&amp;sr=8-6")</f>
        <v>https://www.amazon.com/Hey-Dude-Womens-Loafer-Shoes/dp/B07DPS8TFM/ref=sr_1_6?keywords=Hey+Dude+Wendy+Shoe+-+Womens&amp;qid=1695124380&amp;sr=8-6</v>
      </c>
      <c r="F263" t="s">
        <v>1068</v>
      </c>
      <c r="G263" t="e">
        <f ca="1">IMAGE("https://alssports.vtexassets.com/arquivos/ids/1387468-800-auto?v=638255486565400000&amp;width=800&amp;height=auto&amp;aspect=true")</f>
        <v>#NAME?</v>
      </c>
      <c r="H263" t="e">
        <f ca="1">IMAGE("https://m.media-amazon.com/images/I/81ga1JkO88L._AC_UL320_.jpg")</f>
        <v>#NAME?</v>
      </c>
      <c r="I263" t="s">
        <v>1069</v>
      </c>
      <c r="J263">
        <v>29.98</v>
      </c>
      <c r="K263" s="2" t="s">
        <v>1070</v>
      </c>
      <c r="L263">
        <v>4.7</v>
      </c>
      <c r="M263">
        <v>25646</v>
      </c>
      <c r="O263" t="s">
        <v>33</v>
      </c>
      <c r="P263" t="s">
        <v>1071</v>
      </c>
      <c r="Q263" t="s">
        <v>1072</v>
      </c>
    </row>
    <row r="264" spans="1:17" ht="15.75" x14ac:dyDescent="0.25">
      <c r="A264" s="3" t="str">
        <f>HYPERLINK("https://www.als.com/chaco-w-sandal-lowdown/p?skuId=804270", "https://www.als.com/chaco-w-sandal-lowdown/p?skuId=804270")</f>
        <v>https://www.als.com/chaco-w-sandal-lowdown/p?skuId=804270</v>
      </c>
      <c r="B264" s="3" t="str">
        <f>HYPERLINK("https://www.als.com/chaco-w-sandal-lowdown/p", "https://www.als.com/chaco-w-sandal-lowdown/p")</f>
        <v>https://www.als.com/chaco-w-sandal-lowdown/p</v>
      </c>
      <c r="C264" t="s">
        <v>313</v>
      </c>
      <c r="D264" t="s">
        <v>1073</v>
      </c>
      <c r="E264" s="3" t="str">
        <f>HYPERLINK("https://www.amazon.com/Chaco-CHILLOS-Womens-Sandals-Sparrow/dp/B08C2F5YFY/ref=sr_1_43?keywords=Chaco+Lowdown+Sandal+-+Womens&amp;qid=1695124089&amp;sr=8-43", "https://www.amazon.com/Chaco-CHILLOS-Womens-Sandals-Sparrow/dp/B08C2F5YFY/ref=sr_1_43?keywords=Chaco+Lowdown+Sandal+-+Womens&amp;qid=1695124089&amp;sr=8-43")</f>
        <v>https://www.amazon.com/Chaco-CHILLOS-Womens-Sandals-Sparrow/dp/B08C2F5YFY/ref=sr_1_43?keywords=Chaco+Lowdown+Sandal+-+Womens&amp;qid=1695124089&amp;sr=8-43</v>
      </c>
      <c r="F264" t="s">
        <v>1074</v>
      </c>
      <c r="G264" t="e">
        <f ca="1">IMAGE("https://alssports.vtexassets.com/arquivos/ids/1370449-800-auto?v=638260922659930000&amp;width=800&amp;height=auto&amp;aspect=true")</f>
        <v>#NAME?</v>
      </c>
      <c r="H264" t="e">
        <f ca="1">IMAGE("https://m.media-amazon.com/images/I/71DJNpW+--S._AC_UL320_.jpg")</f>
        <v>#NAME?</v>
      </c>
      <c r="I264" t="s">
        <v>93</v>
      </c>
      <c r="J264">
        <v>27.27</v>
      </c>
      <c r="K264" s="2" t="s">
        <v>1070</v>
      </c>
      <c r="L264">
        <v>4.0999999999999996</v>
      </c>
      <c r="M264">
        <v>272</v>
      </c>
      <c r="O264" t="s">
        <v>33</v>
      </c>
      <c r="P264" t="s">
        <v>274</v>
      </c>
      <c r="Q264" t="s">
        <v>317</v>
      </c>
    </row>
    <row r="265" spans="1:17" ht="15.75" x14ac:dyDescent="0.25">
      <c r="A265" s="3" t="str">
        <f>HYPERLINK("https://www.als.com/under-ua-hustle-50-backpack/p?skuId=595885", "https://www.als.com/under-ua-hustle-50-backpack/p?skuId=595885")</f>
        <v>https://www.als.com/under-ua-hustle-50-backpack/p?skuId=595885</v>
      </c>
      <c r="B265" s="3" t="str">
        <f>HYPERLINK("https://www.als.com/under-ua-hustle-50-backpack/p", "https://www.als.com/under-ua-hustle-50-backpack/p")</f>
        <v>https://www.als.com/under-ua-hustle-50-backpack/p</v>
      </c>
      <c r="C265" t="s">
        <v>1075</v>
      </c>
      <c r="D265" t="s">
        <v>1076</v>
      </c>
      <c r="E265" s="3" t="str">
        <f>HYPERLINK("https://www.amazon.com/Under-Armour-Hustle-Backpack-Black/dp/B0BJ51QPRG/ref=sr_1_9?keywords=Under+Armour+Hustle+5.0+Backpack+-+29L&amp;qid=1695124439&amp;sr=8-9", "https://www.amazon.com/Under-Armour-Hustle-Backpack-Black/dp/B0BJ51QPRG/ref=sr_1_9?keywords=Under+Armour+Hustle+5.0+Backpack+-+29L&amp;qid=1695124439&amp;sr=8-9")</f>
        <v>https://www.amazon.com/Under-Armour-Hustle-Backpack-Black/dp/B0BJ51QPRG/ref=sr_1_9?keywords=Under+Armour+Hustle+5.0+Backpack+-+29L&amp;qid=1695124439&amp;sr=8-9</v>
      </c>
      <c r="F265" t="s">
        <v>1077</v>
      </c>
      <c r="G265" t="e">
        <f ca="1">IMAGE("https://alssports.vtexassets.com/arquivos/ids/1094418-800-auto?v=637933427771630000&amp;width=800&amp;height=auto&amp;aspect=true")</f>
        <v>#NAME?</v>
      </c>
      <c r="H265" t="e">
        <f ca="1">IMAGE("https://m.media-amazon.com/images/I/51GSvR3Nq7L._AC_UL320_.jpg")</f>
        <v>#NAME?</v>
      </c>
      <c r="I265" t="s">
        <v>1078</v>
      </c>
      <c r="J265">
        <v>35</v>
      </c>
      <c r="K265" s="2" t="s">
        <v>1079</v>
      </c>
      <c r="L265">
        <v>3.7</v>
      </c>
      <c r="M265">
        <v>50</v>
      </c>
      <c r="O265" t="s">
        <v>33</v>
      </c>
      <c r="P265" t="s">
        <v>1080</v>
      </c>
      <c r="Q265" t="s">
        <v>1081</v>
      </c>
    </row>
    <row r="266" spans="1:17" ht="15.75" x14ac:dyDescent="0.25">
      <c r="A266" s="3" t="str">
        <f>HYPERLINK("https://www.als.com/petzl-belay-grigri-assisted-braking/p?skuId=572368", "https://www.als.com/petzl-belay-grigri-assisted-braking/p?skuId=572368")</f>
        <v>https://www.als.com/petzl-belay-grigri-assisted-braking/p?skuId=572368</v>
      </c>
      <c r="B266" s="3" t="str">
        <f>HYPERLINK("https://www.als.com/petzl-belay-grigri-assisted-braking/p", "https://www.als.com/petzl-belay-grigri-assisted-braking/p")</f>
        <v>https://www.als.com/petzl-belay-grigri-assisted-braking/p</v>
      </c>
      <c r="C266" t="s">
        <v>631</v>
      </c>
      <c r="D266" t="s">
        <v>1082</v>
      </c>
      <c r="E266" s="3" t="str">
        <f>HYPERLINK("https://www.amazon.com/Petzl-GRIGRI-belay-device-Gray/dp/B00RNJKJPW/ref=sr_1_6?keywords=Petzl+GriGri+Belay+Device&amp;qid=1695124323&amp;sr=8-6", "https://www.amazon.com/Petzl-GRIGRI-belay-device-Gray/dp/B00RNJKJPW/ref=sr_1_6?keywords=Petzl+GriGri+Belay+Device&amp;qid=1695124323&amp;sr=8-6")</f>
        <v>https://www.amazon.com/Petzl-GRIGRI-belay-device-Gray/dp/B00RNJKJPW/ref=sr_1_6?keywords=Petzl+GriGri+Belay+Device&amp;qid=1695124323&amp;sr=8-6</v>
      </c>
      <c r="F266" t="s">
        <v>1083</v>
      </c>
      <c r="G266" t="e">
        <f ca="1">IMAGE("https://alssports.vtexassets.com/arquivos/ids/1023632-800-auto?v=637823067748170000&amp;width=800&amp;height=auto&amp;aspect=true")</f>
        <v>#NAME?</v>
      </c>
      <c r="H266" t="e">
        <f ca="1">IMAGE("https://m.media-amazon.com/images/I/61PBJuRZZFL._AC_UY218_.jpg")</f>
        <v>#NAME?</v>
      </c>
      <c r="I266" t="s">
        <v>150</v>
      </c>
      <c r="J266">
        <v>99.95</v>
      </c>
      <c r="K266" s="2" t="s">
        <v>1084</v>
      </c>
      <c r="L266">
        <v>4.8</v>
      </c>
      <c r="M266">
        <v>394</v>
      </c>
      <c r="O266" t="s">
        <v>33</v>
      </c>
      <c r="P266" t="s">
        <v>26</v>
      </c>
      <c r="Q266" t="s">
        <v>635</v>
      </c>
    </row>
    <row r="267" spans="1:17" ht="15.75" x14ac:dyDescent="0.25">
      <c r="A267" s="3" t="str">
        <f>HYPERLINK("https://www.als.com/owala-bottle-free-sip-32-oz/p?skuId=1326138", "https://www.als.com/owala-bottle-free-sip-32-oz/p?skuId=1326138")</f>
        <v>https://www.als.com/owala-bottle-free-sip-32-oz/p?skuId=1326138</v>
      </c>
      <c r="B267" s="3" t="str">
        <f>HYPERLINK("https://www.als.com/owala-bottle-free-sip-32-oz/p", "https://www.als.com/owala-bottle-free-sip-32-oz/p")</f>
        <v>https://www.als.com/owala-bottle-free-sip-32-oz/p</v>
      </c>
      <c r="C267" t="s">
        <v>459</v>
      </c>
      <c r="D267" t="s">
        <v>1085</v>
      </c>
      <c r="E267" s="3" t="str">
        <f>HYPERLINK("https://www.amazon.com/OwalaOwala-Insulated-Stainless-Protective-BlackOwala/dp/B0BSKRQSLC/ref=sr_1_22?keywords=Owala+FreeSip+Stainless+Steel+Water+Bottle+-+32oz&amp;qid=1695124104&amp;sr=8-22", "https://www.amazon.com/OwalaOwala-Insulated-Stainless-Protective-BlackOwala/dp/B0BSKRQSLC/ref=sr_1_22?keywords=Owala+FreeSip+Stainless+Steel+Water+Bottle+-+32oz&amp;qid=1695124104&amp;sr=8-22")</f>
        <v>https://www.amazon.com/OwalaOwala-Insulated-Stainless-Protective-BlackOwala/dp/B0BSKRQSLC/ref=sr_1_22?keywords=Owala+FreeSip+Stainless+Steel+Water+Bottle+-+32oz&amp;qid=1695124104&amp;sr=8-22</v>
      </c>
      <c r="F267" t="s">
        <v>1086</v>
      </c>
      <c r="G267" t="e">
        <f ca="1">IMAGE("https://alssports.vtexassets.com/arquivos/ids/1355955-800-auto?v=638230513195900000&amp;width=800&amp;height=auto&amp;aspect=true")</f>
        <v>#NAME?</v>
      </c>
      <c r="H267" t="e">
        <f ca="1">IMAGE("https://m.media-amazon.com/images/I/31IyIAxgK0L._AC_UL320_.jpg")</f>
        <v>#NAME?</v>
      </c>
      <c r="I267" t="s">
        <v>462</v>
      </c>
      <c r="J267">
        <v>29.97</v>
      </c>
      <c r="K267" s="2" t="s">
        <v>1087</v>
      </c>
      <c r="L267">
        <v>5</v>
      </c>
      <c r="M267">
        <v>2</v>
      </c>
      <c r="O267" t="s">
        <v>33</v>
      </c>
      <c r="P267" t="s">
        <v>26</v>
      </c>
      <c r="Q267" t="s">
        <v>464</v>
      </c>
    </row>
    <row r="268" spans="1:17" ht="15.75" x14ac:dyDescent="0.25">
      <c r="A268" s="3" t="str">
        <f>HYPERLINK("https://www.als.com/owala-ss-32oz-freesip-h2o-bottle/p?skuId=1195209", "https://www.als.com/owala-ss-32oz-freesip-h2o-bottle/p?skuId=1195209")</f>
        <v>https://www.als.com/owala-ss-32oz-freesip-h2o-bottle/p?skuId=1195209</v>
      </c>
      <c r="B268" s="3" t="str">
        <f>HYPERLINK("https://www.als.com/owala-ss-32oz-freesip-h2o-bottle/p", "https://www.als.com/owala-ss-32oz-freesip-h2o-bottle/p")</f>
        <v>https://www.als.com/owala-ss-32oz-freesip-h2o-bottle/p</v>
      </c>
      <c r="C268" t="s">
        <v>465</v>
      </c>
      <c r="D268" t="s">
        <v>1085</v>
      </c>
      <c r="E268" s="3" t="str">
        <f>HYPERLINK("https://www.amazon.com/OwalaOwala-Insulated-Stainless-Protective-BlackOwala/dp/B0BSKRQSLC/ref=sr_1_37?keywords=Owala+Free+Sip+Stainless+Steel+Water+Bottle+-+32oz&amp;qid=1695124108&amp;sr=8-37", "https://www.amazon.com/OwalaOwala-Insulated-Stainless-Protective-BlackOwala/dp/B0BSKRQSLC/ref=sr_1_37?keywords=Owala+Free+Sip+Stainless+Steel+Water+Bottle+-+32oz&amp;qid=1695124108&amp;sr=8-37")</f>
        <v>https://www.amazon.com/OwalaOwala-Insulated-Stainless-Protective-BlackOwala/dp/B0BSKRQSLC/ref=sr_1_37?keywords=Owala+Free+Sip+Stainless+Steel+Water+Bottle+-+32oz&amp;qid=1695124108&amp;sr=8-37</v>
      </c>
      <c r="F268" t="s">
        <v>1086</v>
      </c>
      <c r="G268" t="e">
        <f ca="1">IMAGE("https://alssports.vtexassets.com/arquivos/ids/1363762-800-auto?v=638236670706530000&amp;width=800&amp;height=auto&amp;aspect=true")</f>
        <v>#NAME?</v>
      </c>
      <c r="H268" t="e">
        <f ca="1">IMAGE("https://m.media-amazon.com/images/I/31IyIAxgK0L._AC_UL320_.jpg")</f>
        <v>#NAME?</v>
      </c>
      <c r="I268" t="s">
        <v>462</v>
      </c>
      <c r="J268">
        <v>29.97</v>
      </c>
      <c r="K268" s="2" t="s">
        <v>1087</v>
      </c>
      <c r="L268">
        <v>5</v>
      </c>
      <c r="M268">
        <v>2</v>
      </c>
      <c r="O268" t="s">
        <v>33</v>
      </c>
      <c r="P268" t="s">
        <v>26</v>
      </c>
      <c r="Q268" t="s">
        <v>466</v>
      </c>
    </row>
    <row r="269" spans="1:17" ht="15.75" x14ac:dyDescent="0.25">
      <c r="A269" s="3" t="str">
        <f>HYPERLINK("https://www.als.com/adidas-m-cleat-x-crazyfast-usa3-fg/p?skuId=1338010", "https://www.als.com/adidas-m-cleat-x-crazyfast-usa3-fg/p?skuId=1338010")</f>
        <v>https://www.als.com/adidas-m-cleat-x-crazyfast-usa3-fg/p?skuId=1338010</v>
      </c>
      <c r="B269" s="3" t="str">
        <f>HYPERLINK("https://www.als.com/adidas-m-cleat-x-crazyfast-usa3-fg/p", "https://www.als.com/adidas-m-cleat-x-crazyfast-usa3-fg/p")</f>
        <v>https://www.als.com/adidas-m-cleat-x-crazyfast-usa3-fg/p</v>
      </c>
      <c r="C269" t="s">
        <v>1088</v>
      </c>
      <c r="D269" t="s">
        <v>1089</v>
      </c>
      <c r="E269" s="3" t="str">
        <f>HYPERLINK("https://www.amazon.com/adidas-Unisex-Crazyfast-3-Ground-Soccer/dp/B0C7WQCL18/ref=sr_1_1?keywords=adidas+X+Crazyfast.3+USA+Firm+Ground+Cleat&amp;qid=1695124446&amp;sr=8-1", "https://www.amazon.com/adidas-Unisex-Crazyfast-3-Ground-Soccer/dp/B0C7WQCL18/ref=sr_1_1?keywords=adidas+X+Crazyfast.3+USA+Firm+Ground+Cleat&amp;qid=1695124446&amp;sr=8-1")</f>
        <v>https://www.amazon.com/adidas-Unisex-Crazyfast-3-Ground-Soccer/dp/B0C7WQCL18/ref=sr_1_1?keywords=adidas+X+Crazyfast.3+USA+Firm+Ground+Cleat&amp;qid=1695124446&amp;sr=8-1</v>
      </c>
      <c r="F269" t="s">
        <v>1090</v>
      </c>
      <c r="G269" t="e">
        <f ca="1">IMAGE("https://alssports.vtexassets.com/arquivos/ids/1378026-800-auto?v=638248732454600000&amp;width=800&amp;height=auto&amp;aspect=true")</f>
        <v>#NAME?</v>
      </c>
      <c r="H269" t="e">
        <f ca="1">IMAGE("https://m.media-amazon.com/images/I/71N-sKH2zTL._AC_UL320_.jpg")</f>
        <v>#NAME?</v>
      </c>
      <c r="I269" t="s">
        <v>1091</v>
      </c>
      <c r="J269">
        <v>68.989999999999995</v>
      </c>
      <c r="K269" s="2" t="s">
        <v>1092</v>
      </c>
      <c r="L269">
        <v>5</v>
      </c>
      <c r="M269">
        <v>1</v>
      </c>
      <c r="O269" t="s">
        <v>33</v>
      </c>
      <c r="P269" t="s">
        <v>916</v>
      </c>
      <c r="Q269" t="s">
        <v>1093</v>
      </c>
    </row>
    <row r="270" spans="1:17" ht="15.75" x14ac:dyDescent="0.25">
      <c r="A270" s="3" t="str">
        <f>HYPERLINK("https://www.als.com/sorel-m-explorer-boot/p?skuId=1237286", "https://www.als.com/sorel-m-explorer-boot/p?skuId=1237286")</f>
        <v>https://www.als.com/sorel-m-explorer-boot/p?skuId=1237286</v>
      </c>
      <c r="B270" s="3" t="str">
        <f>HYPERLINK("https://www.als.com/sorel-m-explorer-boot/p", "https://www.als.com/sorel-m-explorer-boot/p")</f>
        <v>https://www.als.com/sorel-m-explorer-boot/p</v>
      </c>
      <c r="C270" t="s">
        <v>1094</v>
      </c>
      <c r="D270" t="s">
        <v>1095</v>
      </c>
      <c r="E270" s="3" t="str">
        <f>HYPERLINK("https://www.amazon.com/Sorel-Mens-Explorer-Mission-Waterproof/dp/B0B6JRPHQ2/ref=sr_1_3?keywords=Sorel+Explorer+Boot+-+Mens&amp;qid=1695124329&amp;sr=8-3", "https://www.amazon.com/Sorel-Mens-Explorer-Mission-Waterproof/dp/B0B6JRPHQ2/ref=sr_1_3?keywords=Sorel+Explorer+Boot+-+Mens&amp;qid=1695124329&amp;sr=8-3")</f>
        <v>https://www.amazon.com/Sorel-Mens-Explorer-Mission-Waterproof/dp/B0B6JRPHQ2/ref=sr_1_3?keywords=Sorel+Explorer+Boot+-+Mens&amp;qid=1695124329&amp;sr=8-3</v>
      </c>
      <c r="F270" t="s">
        <v>1096</v>
      </c>
      <c r="G270" t="e">
        <f ca="1">IMAGE("https://alssports.vtexassets.com/arquivos/ids/1316684-800-auto?v=638198518766100000&amp;width=800&amp;height=auto&amp;aspect=true")</f>
        <v>#NAME?</v>
      </c>
      <c r="H270" t="e">
        <f ca="1">IMAGE("https://m.media-amazon.com/images/I/71fkHnzmGXL._AC_UL320_.jpg")</f>
        <v>#NAME?</v>
      </c>
      <c r="I270" t="s">
        <v>1097</v>
      </c>
      <c r="J270">
        <v>82.45</v>
      </c>
      <c r="K270" s="2" t="s">
        <v>1098</v>
      </c>
      <c r="L270">
        <v>4.7</v>
      </c>
      <c r="M270">
        <v>16</v>
      </c>
      <c r="O270" t="s">
        <v>33</v>
      </c>
      <c r="P270" t="s">
        <v>832</v>
      </c>
      <c r="Q270" t="s">
        <v>1099</v>
      </c>
    </row>
    <row r="271" spans="1:17" ht="15.75" x14ac:dyDescent="0.25">
      <c r="A271" s="3" t="str">
        <f>HYPERLINK("https://www.als.com/crocs-classic-clog/p?skuId=1196935", "https://www.als.com/crocs-classic-clog/p?skuId=1196935")</f>
        <v>https://www.als.com/crocs-classic-clog/p?skuId=1196935</v>
      </c>
      <c r="B271" s="3" t="str">
        <f>HYPERLINK("https://www.als.com/crocs-classic-clog/p", "https://www.als.com/crocs-classic-clog/p")</f>
        <v>https://www.als.com/crocs-classic-clog/p</v>
      </c>
      <c r="C271" t="s">
        <v>1100</v>
      </c>
      <c r="D271" t="s">
        <v>1101</v>
      </c>
      <c r="E271" s="3"/>
      <c r="F271" t="s">
        <v>1102</v>
      </c>
      <c r="G271" t="e">
        <f ca="1">IMAGE("https://alssports.vtexassets.com/arquivos/ids/1222253-800-auto?v=638102875835800000&amp;width=800&amp;height=auto&amp;aspect=true")</f>
        <v>#NAME?</v>
      </c>
      <c r="H271" t="e">
        <f ca="1">IMAGE("https://m.media-amazon.com/images/I/91JArK963mL._AC_UL320_.jpg")</f>
        <v>#NAME?</v>
      </c>
      <c r="I271" t="s">
        <v>157</v>
      </c>
      <c r="J271">
        <v>45.27</v>
      </c>
      <c r="K271" s="2" t="s">
        <v>1098</v>
      </c>
      <c r="L271">
        <v>4.5999999999999996</v>
      </c>
      <c r="M271">
        <v>1617</v>
      </c>
      <c r="O271" t="s">
        <v>33</v>
      </c>
      <c r="P271" t="s">
        <v>26</v>
      </c>
      <c r="Q271" t="s">
        <v>1103</v>
      </c>
    </row>
    <row r="272" spans="1:17" ht="15.75" x14ac:dyDescent="0.25">
      <c r="A272" s="3" t="str">
        <f>HYPERLINK("https://www.als.com/sram-chain-pc-x01-eagle/p?skuId=536002", "https://www.als.com/sram-chain-pc-x01-eagle/p?skuId=536002")</f>
        <v>https://www.als.com/sram-chain-pc-x01-eagle/p?skuId=536002</v>
      </c>
      <c r="B272" s="3" t="str">
        <f>HYPERLINK("https://www.als.com/sram-chain-pc-x01-eagle/p", "https://www.als.com/sram-chain-pc-x01-eagle/p")</f>
        <v>https://www.als.com/sram-chain-pc-x01-eagle/p</v>
      </c>
      <c r="C272" t="s">
        <v>1104</v>
      </c>
      <c r="D272" t="s">
        <v>1105</v>
      </c>
      <c r="E272" s="3" t="str">
        <f>HYPERLINK("https://www.amazon.com/SRAM-Chain-Pcx01-Eagle-126Li/dp/B01DUSCZ6A/ref=sr_1_1?keywords=SRAM+X01+Eagle+12-Speed+Chain&amp;qid=1695124143&amp;sr=8-1", "https://www.amazon.com/SRAM-Chain-Pcx01-Eagle-126Li/dp/B01DUSCZ6A/ref=sr_1_1?keywords=SRAM+X01+Eagle+12-Speed+Chain&amp;qid=1695124143&amp;sr=8-1")</f>
        <v>https://www.amazon.com/SRAM-Chain-Pcx01-Eagle-126Li/dp/B01DUSCZ6A/ref=sr_1_1?keywords=SRAM+X01+Eagle+12-Speed+Chain&amp;qid=1695124143&amp;sr=8-1</v>
      </c>
      <c r="F272" t="s">
        <v>1106</v>
      </c>
      <c r="G272" t="e">
        <f ca="1">IMAGE("https://alssports.vtexassets.com/arquivos/ids/1117391-800-auto?v=637964367650530000&amp;width=800&amp;height=auto&amp;aspect=true")</f>
        <v>#NAME?</v>
      </c>
      <c r="H272" t="e">
        <f ca="1">IMAGE("https://m.media-amazon.com/images/I/310iVzILWJL._AC_UL320_.jpg")</f>
        <v>#NAME?</v>
      </c>
      <c r="I272" t="s">
        <v>1107</v>
      </c>
      <c r="J272">
        <v>57.98</v>
      </c>
      <c r="K272" s="2" t="s">
        <v>1108</v>
      </c>
      <c r="L272">
        <v>4.5999999999999996</v>
      </c>
      <c r="M272">
        <v>472</v>
      </c>
      <c r="O272" t="s">
        <v>33</v>
      </c>
      <c r="P272" t="s">
        <v>26</v>
      </c>
      <c r="Q272" t="s">
        <v>1109</v>
      </c>
    </row>
    <row r="273" spans="1:17" ht="15.75" x14ac:dyDescent="0.25">
      <c r="A273" s="3" t="str">
        <f>HYPERLINK("https://www.als.com/under-pant-rival-fleece-joggers-boys/p?skuId=668266", "https://www.als.com/under-pant-rival-fleece-joggers-boys/p?skuId=668266")</f>
        <v>https://www.als.com/under-pant-rival-fleece-joggers-boys/p?skuId=668266</v>
      </c>
      <c r="B273" s="3" t="str">
        <f>HYPERLINK("https://www.als.com/under-pant-rival-fleece-joggers-boys/p", "https://www.als.com/under-pant-rival-fleece-joggers-boys/p")</f>
        <v>https://www.als.com/under-pant-rival-fleece-joggers-boys/p</v>
      </c>
      <c r="C273" t="s">
        <v>608</v>
      </c>
      <c r="D273" t="s">
        <v>609</v>
      </c>
      <c r="E273" s="3" t="str">
        <f>HYPERLINK("https://www.amazon.com/Under-Armour-Toddler-Fleece-Moderate/dp/B07L3L4MTY/ref=sr_1_3?keywords=Under+Armour+Rival+Fleece+Logo+Jogger+-+Boys&amp;qid=1695124343&amp;sr=8-3", "https://www.amazon.com/Under-Armour-Toddler-Fleece-Moderate/dp/B07L3L4MTY/ref=sr_1_3?keywords=Under+Armour+Rival+Fleece+Logo+Jogger+-+Boys&amp;qid=1695124343&amp;sr=8-3")</f>
        <v>https://www.amazon.com/Under-Armour-Toddler-Fleece-Moderate/dp/B07L3L4MTY/ref=sr_1_3?keywords=Under+Armour+Rival+Fleece+Logo+Jogger+-+Boys&amp;qid=1695124343&amp;sr=8-3</v>
      </c>
      <c r="F273" t="s">
        <v>1110</v>
      </c>
      <c r="G273" t="e">
        <f ca="1">IMAGE("https://alssports.vtexassets.com/arquivos/ids/999825-800-auto?v=637796206548830000&amp;width=800&amp;height=auto&amp;aspect=true")</f>
        <v>#NAME?</v>
      </c>
      <c r="H273" t="e">
        <f ca="1">IMAGE("https://m.media-amazon.com/images/I/51pxdaiJukL._AC_UL320_.jpg")</f>
        <v>#NAME?</v>
      </c>
      <c r="I273" t="s">
        <v>611</v>
      </c>
      <c r="J273">
        <v>21.74</v>
      </c>
      <c r="K273" s="2" t="s">
        <v>1111</v>
      </c>
      <c r="L273">
        <v>5</v>
      </c>
      <c r="M273">
        <v>1</v>
      </c>
      <c r="O273" t="s">
        <v>33</v>
      </c>
      <c r="P273" t="s">
        <v>211</v>
      </c>
      <c r="Q273" t="s">
        <v>613</v>
      </c>
    </row>
    <row r="274" spans="1:17" ht="15.75" x14ac:dyDescent="0.25">
      <c r="A274" s="3" t="str">
        <f>HYPERLINK("https://www.als.com/columbia-horizon-ride-ii-jacket-toddler-167467/p?skuId=1246516", "https://www.als.com/columbia-horizon-ride-ii-jacket-toddler-167467/p?skuId=1246516")</f>
        <v>https://www.als.com/columbia-horizon-ride-ii-jacket-toddler-167467/p?skuId=1246516</v>
      </c>
      <c r="B274" s="3" t="str">
        <f>HYPERLINK("https://www.als.com/columbia-horizon-ride-ii-jacket-toddler-167467/p", "https://www.als.com/columbia-horizon-ride-ii-jacket-toddler-167467/p")</f>
        <v>https://www.als.com/columbia-horizon-ride-ii-jacket-toddler-167467/p</v>
      </c>
      <c r="C274" t="s">
        <v>1112</v>
      </c>
      <c r="D274" t="s">
        <v>1113</v>
      </c>
      <c r="E274" s="3" t="str">
        <f>HYPERLINK("https://www.amazon.com/Columbia-Toddler-Horizon-Jacket-Sparklers/dp/B0814BNMDX/ref=sr_1_1?keywords=Columbia+Horizon+Ride+II+Jacket+-+Toddler&amp;qid=1695124315&amp;sr=8-1", "https://www.amazon.com/Columbia-Toddler-Horizon-Jacket-Sparklers/dp/B0814BNMDX/ref=sr_1_1?keywords=Columbia+Horizon+Ride+II+Jacket+-+Toddler&amp;qid=1695124315&amp;sr=8-1")</f>
        <v>https://www.amazon.com/Columbia-Toddler-Horizon-Jacket-Sparklers/dp/B0814BNMDX/ref=sr_1_1?keywords=Columbia+Horizon+Ride+II+Jacket+-+Toddler&amp;qid=1695124315&amp;sr=8-1</v>
      </c>
      <c r="F274" t="s">
        <v>1114</v>
      </c>
      <c r="G274" t="e">
        <f ca="1">IMAGE("https://alssports.vtexassets.com/arquivos/ids/1183350-800-auto?v=638053388488500000&amp;width=800&amp;height=auto&amp;aspect=true")</f>
        <v>#NAME?</v>
      </c>
      <c r="H274" t="e">
        <f ca="1">IMAGE("https://m.media-amazon.com/images/I/71WW0L5pBjL._AC_UL320_.jpg")</f>
        <v>#NAME?</v>
      </c>
      <c r="I274" t="s">
        <v>1115</v>
      </c>
      <c r="J274">
        <v>66.569999999999993</v>
      </c>
      <c r="K274" s="2" t="s">
        <v>1116</v>
      </c>
      <c r="L274">
        <v>4.5999999999999996</v>
      </c>
      <c r="M274">
        <v>9</v>
      </c>
      <c r="O274" t="s">
        <v>33</v>
      </c>
      <c r="P274" t="s">
        <v>1117</v>
      </c>
      <c r="Q274" t="s">
        <v>1118</v>
      </c>
    </row>
    <row r="275" spans="1:17" ht="15.75" x14ac:dyDescent="0.25">
      <c r="A275" s="3" t="str">
        <f>HYPERLINK("https://www.als.com/adidas-m-shoe-lite-racer-adapt-50/p?skuId=1338101", "https://www.als.com/adidas-m-shoe-lite-racer-adapt-50/p?skuId=1338101")</f>
        <v>https://www.als.com/adidas-m-shoe-lite-racer-adapt-50/p?skuId=1338101</v>
      </c>
      <c r="B275" s="3" t="str">
        <f>HYPERLINK("https://www.als.com/adidas-m-shoe-lite-racer-adapt-50/p", "https://www.als.com/adidas-m-shoe-lite-racer-adapt-50/p")</f>
        <v>https://www.als.com/adidas-m-shoe-lite-racer-adapt-50/p</v>
      </c>
      <c r="C275" t="s">
        <v>1119</v>
      </c>
      <c r="D275" t="s">
        <v>1120</v>
      </c>
      <c r="E275" s="3" t="str">
        <f>HYPERLINK("https://www.amazon.com/adidas-Racer-Running-White-Numeric_8/dp/B084RTCD8L/ref=sr_1_8?keywords=adidas+Lite+Racer+Adapt+5.0+Shoe+-+Mens&amp;qid=1695124407&amp;sr=8-8", "https://www.amazon.com/adidas-Racer-Running-White-Numeric_8/dp/B084RTCD8L/ref=sr_1_8?keywords=adidas+Lite+Racer+Adapt+5.0+Shoe+-+Mens&amp;qid=1695124407&amp;sr=8-8")</f>
        <v>https://www.amazon.com/adidas-Racer-Running-White-Numeric_8/dp/B084RTCD8L/ref=sr_1_8?keywords=adidas+Lite+Racer+Adapt+5.0+Shoe+-+Mens&amp;qid=1695124407&amp;sr=8-8</v>
      </c>
      <c r="F275" t="s">
        <v>1121</v>
      </c>
      <c r="G275" t="e">
        <f ca="1">IMAGE("https://alssports.vtexassets.com/arquivos/ids/1378546-800-auto?v=638248784142700000&amp;width=800&amp;height=auto&amp;aspect=true")</f>
        <v>#NAME?</v>
      </c>
      <c r="H275" t="e">
        <f ca="1">IMAGE("https://m.media-amazon.com/images/I/81fmXs0iufL._AC_UL320_.jpg")</f>
        <v>#NAME?</v>
      </c>
      <c r="I275" t="s">
        <v>274</v>
      </c>
      <c r="J275">
        <v>63.33</v>
      </c>
      <c r="K275" s="2" t="s">
        <v>1122</v>
      </c>
      <c r="L275">
        <v>4.5999999999999996</v>
      </c>
      <c r="M275">
        <v>1777</v>
      </c>
      <c r="O275" t="s">
        <v>33</v>
      </c>
      <c r="P275" t="s">
        <v>26</v>
      </c>
      <c r="Q275" t="s">
        <v>1123</v>
      </c>
    </row>
    <row r="276" spans="1:17" ht="15.75" x14ac:dyDescent="0.25">
      <c r="A276" s="3" t="str">
        <f>HYPERLINK("https://www.als.com/smartw-sock-hk-lt-cush-stripe-crw-yth/p?skuId=1047536", "https://www.als.com/smartw-sock-hk-lt-cush-stripe-crw-yth/p?skuId=1047536")</f>
        <v>https://www.als.com/smartw-sock-hk-lt-cush-stripe-crw-yth/p?skuId=1047536</v>
      </c>
      <c r="B276" s="3" t="str">
        <f>HYPERLINK("https://www.als.com/smartw-sock-hk-lt-cush-stripe-crw-yth/p", "https://www.als.com/smartw-sock-hk-lt-cush-stripe-crw-yth/p")</f>
        <v>https://www.als.com/smartw-sock-hk-lt-cush-stripe-crw-yth/p</v>
      </c>
      <c r="C276" t="s">
        <v>687</v>
      </c>
      <c r="D276" t="s">
        <v>1124</v>
      </c>
      <c r="E276" s="3" t="str">
        <f>HYPERLINK("https://www.amazon.com/Smartwool-Striped-Toddler-Little-Eclipse/dp/B091SRJ6R9/ref=sr_1_7?keywords=Smartwool+Hike+Light+Cushion+Striped+Crew+Sock+-+Youth&amp;qid=1695124167&amp;sr=8-7", "https://www.amazon.com/Smartwool-Striped-Toddler-Little-Eclipse/dp/B091SRJ6R9/ref=sr_1_7?keywords=Smartwool+Hike+Light+Cushion+Striped+Crew+Sock+-+Youth&amp;qid=1695124167&amp;sr=8-7")</f>
        <v>https://www.amazon.com/Smartwool-Striped-Toddler-Little-Eclipse/dp/B091SRJ6R9/ref=sr_1_7?keywords=Smartwool+Hike+Light+Cushion+Striped+Crew+Sock+-+Youth&amp;qid=1695124167&amp;sr=8-7</v>
      </c>
      <c r="F276" t="s">
        <v>1125</v>
      </c>
      <c r="G276" t="e">
        <f ca="1">IMAGE("https://alssports.vtexassets.com/arquivos/ids/1101855-800-auto?v=637941110184030000&amp;width=800&amp;height=auto&amp;aspect=true")</f>
        <v>#NAME?</v>
      </c>
      <c r="H276" t="e">
        <f ca="1">IMAGE("https://m.media-amazon.com/images/I/617jcoSmo6S._AC_UL320_.jpg")</f>
        <v>#NAME?</v>
      </c>
      <c r="I276" t="s">
        <v>690</v>
      </c>
      <c r="J276">
        <v>19</v>
      </c>
      <c r="K276" s="2" t="s">
        <v>1126</v>
      </c>
      <c r="L276">
        <v>4.7</v>
      </c>
      <c r="M276">
        <v>240</v>
      </c>
      <c r="O276" t="s">
        <v>26</v>
      </c>
      <c r="P276" t="s">
        <v>692</v>
      </c>
      <c r="Q276" t="s">
        <v>693</v>
      </c>
    </row>
    <row r="277" spans="1:17" ht="15.75" x14ac:dyDescent="0.25">
      <c r="A277" s="3" t="str">
        <f>HYPERLINK("https://www.als.com/under-m-ua-training-vent-20-ss/p?skuId=857892", "https://www.als.com/under-m-ua-training-vent-20-ss/p?skuId=857892")</f>
        <v>https://www.als.com/under-m-ua-training-vent-20-ss/p?skuId=857892</v>
      </c>
      <c r="B277" s="3" t="str">
        <f>HYPERLINK("https://www.als.com/under-m-ua-training-vent-20-ss/p", "https://www.als.com/under-m-ua-training-vent-20-ss/p")</f>
        <v>https://www.als.com/under-m-ua-training-vent-20-ss/p</v>
      </c>
      <c r="C277" t="s">
        <v>228</v>
      </c>
      <c r="D277" t="s">
        <v>1127</v>
      </c>
      <c r="E277" s="3" t="str">
        <f>HYPERLINK("https://www.amazon.com/Under-Armour-Locker-T-Shirt-Large/dp/B07BHWR1JT/ref=sr_1_22?keywords=Under+Armour+Training+Vent+2.0+Short+Sleeve+Shirt+-+Mens&amp;qid=1695124314&amp;sr=8-22", "https://www.amazon.com/Under-Armour-Locker-T-Shirt-Large/dp/B07BHWR1JT/ref=sr_1_22?keywords=Under+Armour+Training+Vent+2.0+Short+Sleeve+Shirt+-+Mens&amp;qid=1695124314&amp;sr=8-22")</f>
        <v>https://www.amazon.com/Under-Armour-Locker-T-Shirt-Large/dp/B07BHWR1JT/ref=sr_1_22?keywords=Under+Armour+Training+Vent+2.0+Short+Sleeve+Shirt+-+Mens&amp;qid=1695124314&amp;sr=8-22</v>
      </c>
      <c r="F277" t="s">
        <v>1128</v>
      </c>
      <c r="G277" t="e">
        <f ca="1">IMAGE("https://alssports.vtexassets.com/arquivos/ids/1216263-800-auto?v=638098285417900000&amp;width=800&amp;height=auto&amp;aspect=true")</f>
        <v>#NAME?</v>
      </c>
      <c r="H277" t="e">
        <f ca="1">IMAGE("https://m.media-amazon.com/images/I/51BIys7VSjL._AC_UL320_.jpg")</f>
        <v>#NAME?</v>
      </c>
      <c r="I277" t="s">
        <v>231</v>
      </c>
      <c r="J277">
        <v>18.989999999999998</v>
      </c>
      <c r="K277" s="2" t="s">
        <v>1129</v>
      </c>
      <c r="L277">
        <v>4.4000000000000004</v>
      </c>
      <c r="M277">
        <v>2615</v>
      </c>
      <c r="O277" t="s">
        <v>33</v>
      </c>
      <c r="P277" t="s">
        <v>233</v>
      </c>
      <c r="Q277" t="s">
        <v>234</v>
      </c>
    </row>
    <row r="278" spans="1:17" ht="15.75" x14ac:dyDescent="0.25">
      <c r="A278" s="3" t="str">
        <f>HYPERLINK("https://www.als.com/under-m-ua-training-vent-20-ss/p?skuId=857892", "https://www.als.com/under-m-ua-training-vent-20-ss/p?skuId=857892")</f>
        <v>https://www.als.com/under-m-ua-training-vent-20-ss/p?skuId=857892</v>
      </c>
      <c r="B278" s="3" t="str">
        <f>HYPERLINK("https://www.als.com/under-m-ua-training-vent-20-ss/p", "https://www.als.com/under-m-ua-training-vent-20-ss/p")</f>
        <v>https://www.als.com/under-m-ua-training-vent-20-ss/p</v>
      </c>
      <c r="C278" t="s">
        <v>228</v>
      </c>
      <c r="D278" t="s">
        <v>1130</v>
      </c>
      <c r="E278" s="3" t="str">
        <f>HYPERLINK("https://www.amazon.com/Under-Armour-Sleeve-T-Shirt-Heather/dp/B08FZT2DTT/ref=sr_1_26?keywords=Under+Armour+Training+Vent+2.0+Short+Sleeve+Shirt+-+Mens&amp;qid=1695124314&amp;sr=8-26", "https://www.amazon.com/Under-Armour-Sleeve-T-Shirt-Heather/dp/B08FZT2DTT/ref=sr_1_26?keywords=Under+Armour+Training+Vent+2.0+Short+Sleeve+Shirt+-+Mens&amp;qid=1695124314&amp;sr=8-26")</f>
        <v>https://www.amazon.com/Under-Armour-Sleeve-T-Shirt-Heather/dp/B08FZT2DTT/ref=sr_1_26?keywords=Under+Armour+Training+Vent+2.0+Short+Sleeve+Shirt+-+Mens&amp;qid=1695124314&amp;sr=8-26</v>
      </c>
      <c r="F278" t="s">
        <v>1131</v>
      </c>
      <c r="G278" t="e">
        <f ca="1">IMAGE("https://alssports.vtexassets.com/arquivos/ids/1216263-800-auto?v=638098285417900000&amp;width=800&amp;height=auto&amp;aspect=true")</f>
        <v>#NAME?</v>
      </c>
      <c r="H278" t="e">
        <f ca="1">IMAGE("https://m.media-amazon.com/images/I/61ItWsHJHWL._AC_UL320_.jpg")</f>
        <v>#NAME?</v>
      </c>
      <c r="I278" t="s">
        <v>231</v>
      </c>
      <c r="J278">
        <v>18.989999999999998</v>
      </c>
      <c r="K278" s="2" t="s">
        <v>1129</v>
      </c>
      <c r="L278">
        <v>4.5999999999999996</v>
      </c>
      <c r="M278">
        <v>29</v>
      </c>
      <c r="O278" t="s">
        <v>33</v>
      </c>
      <c r="P278" t="s">
        <v>233</v>
      </c>
      <c r="Q278" t="s">
        <v>234</v>
      </c>
    </row>
    <row r="279" spans="1:17" ht="15.75" x14ac:dyDescent="0.25">
      <c r="A279" s="3" t="str">
        <f>HYPERLINK("https://www.als.com/vans-shoe-classic-slip-on/p?skuId=226085", "https://www.als.com/vans-shoe-classic-slip-on/p?skuId=226085")</f>
        <v>https://www.als.com/vans-shoe-classic-slip-on/p?skuId=226085</v>
      </c>
      <c r="B279" s="3" t="str">
        <f>HYPERLINK("https://www.als.com/vans-shoe-classic-slip-on/p", "https://www.als.com/vans-shoe-classic-slip-on/p")</f>
        <v>https://www.als.com/vans-shoe-classic-slip-on/p</v>
      </c>
      <c r="C279" t="s">
        <v>430</v>
      </c>
      <c r="D279" t="s">
        <v>1132</v>
      </c>
      <c r="E279" s="3" t="str">
        <f>HYPERLINK("https://www.amazon.com/Vans-Classic-Slip-Shoes-White/dp/B0759ZCZDG/ref=sr_1_43?keywords=Vans+Classic+Slip-On+Shoe&amp;qid=1695124089&amp;sr=8-43", "https://www.amazon.com/Vans-Classic-Slip-Shoes-White/dp/B0759ZCZDG/ref=sr_1_43?keywords=Vans+Classic+Slip-On+Shoe&amp;qid=1695124089&amp;sr=8-43")</f>
        <v>https://www.amazon.com/Vans-Classic-Slip-Shoes-White/dp/B0759ZCZDG/ref=sr_1_43?keywords=Vans+Classic+Slip-On+Shoe&amp;qid=1695124089&amp;sr=8-43</v>
      </c>
      <c r="F279" t="s">
        <v>1133</v>
      </c>
      <c r="G279" t="e">
        <f ca="1">IMAGE("https://alssports.vtexassets.com/arquivos/ids/1443076-800-auto?v=638292000890400000&amp;width=800&amp;height=auto&amp;aspect=true")</f>
        <v>#NAME?</v>
      </c>
      <c r="H279" t="e">
        <f ca="1">IMAGE("https://m.media-amazon.com/images/I/71q4d07R7AL._AC_UL320_.jpg")</f>
        <v>#NAME?</v>
      </c>
      <c r="I279" t="s">
        <v>169</v>
      </c>
      <c r="J279">
        <v>54.09</v>
      </c>
      <c r="K279" s="2" t="s">
        <v>1134</v>
      </c>
      <c r="L279">
        <v>5</v>
      </c>
      <c r="M279">
        <v>7</v>
      </c>
      <c r="O279" t="s">
        <v>33</v>
      </c>
      <c r="P279" t="s">
        <v>26</v>
      </c>
      <c r="Q279" t="s">
        <v>434</v>
      </c>
    </row>
    <row r="280" spans="1:17" ht="15.75" x14ac:dyDescent="0.25">
      <c r="A280" s="3" t="str">
        <f>HYPERLINK("https://www.als.com/smartw-m-sock-evrydy-popcorn-cble-crw/p?skuId=1047473", "https://www.als.com/smartw-m-sock-evrydy-popcorn-cble-crw/p?skuId=1047473")</f>
        <v>https://www.als.com/smartw-m-sock-evrydy-popcorn-cble-crw/p?skuId=1047473</v>
      </c>
      <c r="B280" s="3" t="str">
        <f>HYPERLINK("https://www.als.com/smartw-m-sock-evrydy-popcorn-cble-crw/p", "https://www.als.com/smartw-m-sock-evrydy-popcorn-cble-crw/p")</f>
        <v>https://www.als.com/smartw-m-sock-evrydy-popcorn-cble-crw/p</v>
      </c>
      <c r="C280" t="s">
        <v>805</v>
      </c>
      <c r="D280" t="s">
        <v>805</v>
      </c>
      <c r="E280" s="3" t="str">
        <f>HYPERLINK("https://www.amazon.com/Smartwool-Womens-Everyday-Popcorn-Cable/dp/B0B2X7F5PW/ref=sr_1_1?keywords=Smartwool+Everyday+Popcorn+Cable+Crew+Sock+-+Womens&amp;qid=1695124378&amp;sr=8-1", "https://www.amazon.com/Smartwool-Womens-Everyday-Popcorn-Cable/dp/B0B2X7F5PW/ref=sr_1_1?keywords=Smartwool+Everyday+Popcorn+Cable+Crew+Sock+-+Womens&amp;qid=1695124378&amp;sr=8-1")</f>
        <v>https://www.amazon.com/Smartwool-Womens-Everyday-Popcorn-Cable/dp/B0B2X7F5PW/ref=sr_1_1?keywords=Smartwool+Everyday+Popcorn+Cable+Crew+Sock+-+Womens&amp;qid=1695124378&amp;sr=8-1</v>
      </c>
      <c r="F280" t="s">
        <v>1135</v>
      </c>
      <c r="G280" t="e">
        <f ca="1">IMAGE("https://alssports.vtexassets.com/arquivos/ids/1264369-800-auto?v=638143189174930000&amp;width=800&amp;height=auto&amp;aspect=true")</f>
        <v>#NAME?</v>
      </c>
      <c r="H280" t="e">
        <f ca="1">IMAGE("https://m.media-amazon.com/images/I/81dmUg8cICL._AC_UL320_.jpg")</f>
        <v>#NAME?</v>
      </c>
      <c r="I280" t="s">
        <v>808</v>
      </c>
      <c r="J280">
        <v>24.3</v>
      </c>
      <c r="K280" s="2" t="s">
        <v>1136</v>
      </c>
      <c r="L280">
        <v>4.5</v>
      </c>
      <c r="M280">
        <v>78</v>
      </c>
      <c r="O280" t="s">
        <v>33</v>
      </c>
      <c r="P280" t="s">
        <v>810</v>
      </c>
      <c r="Q280" t="s">
        <v>811</v>
      </c>
    </row>
    <row r="281" spans="1:17" ht="15.75" x14ac:dyDescent="0.25">
      <c r="A281" s="3" t="str">
        <f>HYPERLINK("https://www.als.com/crocs-classic-clog/p?skuId=1196935", "https://www.als.com/crocs-classic-clog/p?skuId=1196935")</f>
        <v>https://www.als.com/crocs-classic-clog/p?skuId=1196935</v>
      </c>
      <c r="B281" s="3" t="str">
        <f>HYPERLINK("https://www.als.com/crocs-classic-clog/p", "https://www.als.com/crocs-classic-clog/p")</f>
        <v>https://www.als.com/crocs-classic-clog/p</v>
      </c>
      <c r="C281" t="s">
        <v>1100</v>
      </c>
      <c r="D281" t="s">
        <v>1137</v>
      </c>
      <c r="E281" s="3" t="str">
        <f>HYPERLINK("https://www.amazon.com/Crocs-Unisex-Adult-Classic-Sparkly-Metallic/dp/B0BSGBRR9W/ref=sr_1_35?keywords=Crocs+Classic+Clog&amp;qid=1695124151&amp;sr=8-35", "https://www.amazon.com/Crocs-Unisex-Adult-Classic-Sparkly-Metallic/dp/B0BSGBRR9W/ref=sr_1_35?keywords=Crocs+Classic+Clog&amp;qid=1695124151&amp;sr=8-35")</f>
        <v>https://www.amazon.com/Crocs-Unisex-Adult-Classic-Sparkly-Metallic/dp/B0BSGBRR9W/ref=sr_1_35?keywords=Crocs+Classic+Clog&amp;qid=1695124151&amp;sr=8-35</v>
      </c>
      <c r="F281" t="s">
        <v>1138</v>
      </c>
      <c r="G281" t="e">
        <f ca="1">IMAGE("https://alssports.vtexassets.com/arquivos/ids/1222253-800-auto?v=638102875835800000&amp;width=800&amp;height=auto&amp;aspect=true")</f>
        <v>#NAME?</v>
      </c>
      <c r="H281" t="e">
        <f ca="1">IMAGE("https://m.media-amazon.com/images/I/81Z5pcpE2bL._AC_UL320_.jpg")</f>
        <v>#NAME?</v>
      </c>
      <c r="I281" t="s">
        <v>157</v>
      </c>
      <c r="J281">
        <v>45</v>
      </c>
      <c r="K281" s="2" t="s">
        <v>1139</v>
      </c>
      <c r="L281">
        <v>4.8</v>
      </c>
      <c r="M281">
        <v>23118</v>
      </c>
      <c r="O281" t="s">
        <v>33</v>
      </c>
      <c r="P281" t="s">
        <v>26</v>
      </c>
      <c r="Q281" t="s">
        <v>1103</v>
      </c>
    </row>
    <row r="282" spans="1:17" ht="15.75" x14ac:dyDescent="0.25">
      <c r="A282" s="3" t="str">
        <f>HYPERLINK("https://www.als.com/crocs-classic-clog/p?skuId=1196935", "https://www.als.com/crocs-classic-clog/p?skuId=1196935")</f>
        <v>https://www.als.com/crocs-classic-clog/p?skuId=1196935</v>
      </c>
      <c r="B282" s="3" t="str">
        <f>HYPERLINK("https://www.als.com/crocs-classic-clog/p", "https://www.als.com/crocs-classic-clog/p")</f>
        <v>https://www.als.com/crocs-classic-clog/p</v>
      </c>
      <c r="C282" t="s">
        <v>1100</v>
      </c>
      <c r="D282" t="s">
        <v>1140</v>
      </c>
      <c r="E282" s="3" t="str">
        <f>HYPERLINK("https://www.amazon.com/Crocs-Unisex-Classic-Minecraft-Clogs/dp/B0B9CBH2LG/ref=sr_1_46?keywords=Crocs+Classic+Clog&amp;qid=1695124151&amp;sr=8-46", "https://www.amazon.com/Crocs-Unisex-Classic-Minecraft-Clogs/dp/B0B9CBH2LG/ref=sr_1_46?keywords=Crocs+Classic+Clog&amp;qid=1695124151&amp;sr=8-46")</f>
        <v>https://www.amazon.com/Crocs-Unisex-Classic-Minecraft-Clogs/dp/B0B9CBH2LG/ref=sr_1_46?keywords=Crocs+Classic+Clog&amp;qid=1695124151&amp;sr=8-46</v>
      </c>
      <c r="F282" t="s">
        <v>1141</v>
      </c>
      <c r="G282" t="e">
        <f ca="1">IMAGE("https://alssports.vtexassets.com/arquivos/ids/1222253-800-auto?v=638102875835800000&amp;width=800&amp;height=auto&amp;aspect=true")</f>
        <v>#NAME?</v>
      </c>
      <c r="H282" t="e">
        <f ca="1">IMAGE("https://m.media-amazon.com/images/I/81a-GNuHb+L._AC_UL320_.jpg")</f>
        <v>#NAME?</v>
      </c>
      <c r="I282" t="s">
        <v>157</v>
      </c>
      <c r="J282">
        <v>44.99</v>
      </c>
      <c r="K282" s="2" t="s">
        <v>1142</v>
      </c>
      <c r="L282">
        <v>4.8</v>
      </c>
      <c r="M282">
        <v>414</v>
      </c>
      <c r="O282" t="s">
        <v>33</v>
      </c>
      <c r="P282" t="s">
        <v>26</v>
      </c>
      <c r="Q282" t="s">
        <v>1103</v>
      </c>
    </row>
    <row r="283" spans="1:17" ht="15.75" x14ac:dyDescent="0.25">
      <c r="A283" s="3" t="str">
        <f>HYPERLINK("https://www.als.com/crocs-classic-clog/p?skuId=1196935", "https://www.als.com/crocs-classic-clog/p?skuId=1196935")</f>
        <v>https://www.als.com/crocs-classic-clog/p?skuId=1196935</v>
      </c>
      <c r="B283" s="3" t="str">
        <f>HYPERLINK("https://www.als.com/crocs-classic-clog/p", "https://www.als.com/crocs-classic-clog/p")</f>
        <v>https://www.als.com/crocs-classic-clog/p</v>
      </c>
      <c r="C283" t="s">
        <v>1100</v>
      </c>
      <c r="D283" t="s">
        <v>1143</v>
      </c>
      <c r="E283" s="3" t="str">
        <f>HYPERLINK("https://www.amazon.com/Crocs-Unisex-Sonic-Hedgehog-Classic/dp/B0BTTZLCJM/ref=sr_1_40?keywords=Crocs+Classic+Clog&amp;qid=1695124151&amp;sr=8-40", "https://www.amazon.com/Crocs-Unisex-Sonic-Hedgehog-Classic/dp/B0BTTZLCJM/ref=sr_1_40?keywords=Crocs+Classic+Clog&amp;qid=1695124151&amp;sr=8-40")</f>
        <v>https://www.amazon.com/Crocs-Unisex-Sonic-Hedgehog-Classic/dp/B0BTTZLCJM/ref=sr_1_40?keywords=Crocs+Classic+Clog&amp;qid=1695124151&amp;sr=8-40</v>
      </c>
      <c r="F283" t="s">
        <v>1144</v>
      </c>
      <c r="G283" t="e">
        <f ca="1">IMAGE("https://alssports.vtexassets.com/arquivos/ids/1222253-800-auto?v=638102875835800000&amp;width=800&amp;height=auto&amp;aspect=true")</f>
        <v>#NAME?</v>
      </c>
      <c r="H283" t="e">
        <f ca="1">IMAGE("https://m.media-amazon.com/images/I/81jrt0SPyNL._AC_UL320_.jpg")</f>
        <v>#NAME?</v>
      </c>
      <c r="I283" t="s">
        <v>157</v>
      </c>
      <c r="J283">
        <v>44.99</v>
      </c>
      <c r="K283" s="2" t="s">
        <v>1142</v>
      </c>
      <c r="L283">
        <v>4.8</v>
      </c>
      <c r="M283">
        <v>167</v>
      </c>
      <c r="O283" t="s">
        <v>33</v>
      </c>
      <c r="P283" t="s">
        <v>26</v>
      </c>
      <c r="Q283" t="s">
        <v>1103</v>
      </c>
    </row>
    <row r="284" spans="1:17" ht="15.75" x14ac:dyDescent="0.25">
      <c r="A284" s="3" t="str">
        <f>HYPERLINK("https://www.als.com/conti-tire-grand-prix-5000-s-tr/p?skuId=971397", "https://www.als.com/conti-tire-grand-prix-5000-s-tr/p?skuId=971397")</f>
        <v>https://www.als.com/conti-tire-grand-prix-5000-s-tr/p?skuId=971397</v>
      </c>
      <c r="B284" s="3" t="str">
        <f>HYPERLINK("https://www.als.com/conti-tire-grand-prix-5000-s-tr/p", "https://www.als.com/conti-tire-grand-prix-5000-s-tr/p")</f>
        <v>https://www.als.com/conti-tire-grand-prix-5000-s-tr/p</v>
      </c>
      <c r="C284" t="s">
        <v>718</v>
      </c>
      <c r="D284" t="s">
        <v>1145</v>
      </c>
      <c r="E284" s="3" t="str">
        <f>HYPERLINK("https://www.amazon.com/Continental-Folding-700x25c-Transparent-700x25/dp/B09S8VDK9K/ref=sr_1_10?keywords=Continental+Tires+Continental+Grand+Prix+5000+S+TR+Tire&amp;qid=1695124461&amp;sr=8-10", "https://www.amazon.com/Continental-Folding-700x25c-Transparent-700x25/dp/B09S8VDK9K/ref=sr_1_10?keywords=Continental+Tires+Continental+Grand+Prix+5000+S+TR+Tire&amp;qid=1695124461&amp;sr=8-10")</f>
        <v>https://www.amazon.com/Continental-Folding-700x25c-Transparent-700x25/dp/B09S8VDK9K/ref=sr_1_10?keywords=Continental+Tires+Continental+Grand+Prix+5000+S+TR+Tire&amp;qid=1695124461&amp;sr=8-10</v>
      </c>
      <c r="F284" t="s">
        <v>1146</v>
      </c>
      <c r="G284" t="e">
        <f ca="1">IMAGE("https://alssports.vtexassets.com/arquivos/ids/1235281-800-auto?v=638114086611970000&amp;width=800&amp;height=auto&amp;aspect=true")</f>
        <v>#NAME?</v>
      </c>
      <c r="H284" t="e">
        <f ca="1">IMAGE("https://m.media-amazon.com/images/I/51yMrpyUO8L._AC_UL320_.jpg")</f>
        <v>#NAME?</v>
      </c>
      <c r="I284" t="s">
        <v>32</v>
      </c>
      <c r="J284">
        <v>90</v>
      </c>
      <c r="K284" s="2" t="s">
        <v>1147</v>
      </c>
      <c r="L284">
        <v>4.5999999999999996</v>
      </c>
      <c r="M284">
        <v>47</v>
      </c>
      <c r="O284" t="s">
        <v>33</v>
      </c>
      <c r="P284" t="s">
        <v>26</v>
      </c>
      <c r="Q284" t="s">
        <v>722</v>
      </c>
    </row>
    <row r="285" spans="1:17" ht="15.75" x14ac:dyDescent="0.25">
      <c r="A285" s="3" t="str">
        <f>HYPERLINK("https://www.als.com/puma-cleat-ultra-ultimate-fgag/p?skuId=1280453", "https://www.als.com/puma-cleat-ultra-ultimate-fgag/p?skuId=1280453")</f>
        <v>https://www.als.com/puma-cleat-ultra-ultimate-fgag/p?skuId=1280453</v>
      </c>
      <c r="B285" s="3" t="str">
        <f>HYPERLINK("https://www.als.com/puma-cleat-ultra-ultimate-fgag/p", "https://www.als.com/puma-cleat-ultra-ultimate-fgag/p")</f>
        <v>https://www.als.com/puma-cleat-ultra-ultimate-fgag/p</v>
      </c>
      <c r="C285" t="s">
        <v>1148</v>
      </c>
      <c r="D285" t="s">
        <v>1149</v>
      </c>
      <c r="E285" s="3" t="str">
        <f>HYPERLINK("https://www.amazon.com/PUMA-Ultra-Ultimate-FG-Coral-Fizzy/dp/B0BQFVLWDF/ref=sr_1_8?keywords=Puma+Ultra+Ultimate+FG+Soccer+Cleat+-+Mens&amp;qid=1695124411&amp;sr=8-8", "https://www.amazon.com/PUMA-Ultra-Ultimate-FG-Coral-Fizzy/dp/B0BQFVLWDF/ref=sr_1_8?keywords=Puma+Ultra+Ultimate+FG+Soccer+Cleat+-+Mens&amp;qid=1695124411&amp;sr=8-8")</f>
        <v>https://www.amazon.com/PUMA-Ultra-Ultimate-FG-Coral-Fizzy/dp/B0BQFVLWDF/ref=sr_1_8?keywords=Puma+Ultra+Ultimate+FG+Soccer+Cleat+-+Mens&amp;qid=1695124411&amp;sr=8-8</v>
      </c>
      <c r="F285" t="s">
        <v>1150</v>
      </c>
      <c r="G285" t="e">
        <f ca="1">IMAGE("https://alssports.vtexassets.com/arquivos/ids/1294198-800-auto?v=638169485223330000&amp;width=800&amp;height=auto&amp;aspect=true")</f>
        <v>#NAME?</v>
      </c>
      <c r="H285" t="e">
        <f ca="1">IMAGE("https://m.media-amazon.com/images/I/71vDGhjuUUL._AC_UL320_.jpg")</f>
        <v>#NAME?</v>
      </c>
      <c r="I285" t="s">
        <v>1064</v>
      </c>
      <c r="J285">
        <v>99</v>
      </c>
      <c r="K285" s="2" t="s">
        <v>1151</v>
      </c>
      <c r="L285">
        <v>3.6</v>
      </c>
      <c r="M285">
        <v>3</v>
      </c>
      <c r="O285" t="s">
        <v>33</v>
      </c>
      <c r="P285" t="s">
        <v>1152</v>
      </c>
      <c r="Q285" t="s">
        <v>1153</v>
      </c>
    </row>
    <row r="286" spans="1:17" ht="15.75" x14ac:dyDescent="0.25">
      <c r="A286" s="3" t="str">
        <f>HYPERLINK("https://www.als.com/fenwic-fly-rod-aetos/p?skuId=720779", "https://www.als.com/fenwic-fly-rod-aetos/p?skuId=720779")</f>
        <v>https://www.als.com/fenwic-fly-rod-aetos/p?skuId=720779</v>
      </c>
      <c r="B286" s="3" t="str">
        <f>HYPERLINK("https://www.als.com/fenwic-fly-rod-aetos/p", "https://www.als.com/fenwic-fly-rod-aetos/p")</f>
        <v>https://www.als.com/fenwic-fly-rod-aetos/p</v>
      </c>
      <c r="C286" t="s">
        <v>1154</v>
      </c>
      <c r="D286" t="s">
        <v>1155</v>
      </c>
      <c r="E286" s="3" t="str">
        <f>HYPERLINK("https://www.amazon.com/Fenwick-HMG-Fly-Fishing-Rod/dp/B0977DSN2T/ref=sr_1_8?keywords=Fenwick+Aetos+Fly+Rod&amp;qid=1695124155&amp;sr=8-8", "https://www.amazon.com/Fenwick-HMG-Fly-Fishing-Rod/dp/B0977DSN2T/ref=sr_1_8?keywords=Fenwick+Aetos+Fly+Rod&amp;qid=1695124155&amp;sr=8-8")</f>
        <v>https://www.amazon.com/Fenwick-HMG-Fly-Fishing-Rod/dp/B0977DSN2T/ref=sr_1_8?keywords=Fenwick+Aetos+Fly+Rod&amp;qid=1695124155&amp;sr=8-8</v>
      </c>
      <c r="F286" t="s">
        <v>1156</v>
      </c>
      <c r="G286" t="e">
        <f ca="1">IMAGE("https://alssports.vtexassets.com/arquivos/ids/973232-800-auto?v=637750127157830000&amp;width=800&amp;height=auto&amp;aspect=true")</f>
        <v>#NAME?</v>
      </c>
      <c r="H286" t="e">
        <f ca="1">IMAGE("https://m.media-amazon.com/images/I/61Eyz6KpULL._AC_UL320_.jpg")</f>
        <v>#NAME?</v>
      </c>
      <c r="I286" t="s">
        <v>73</v>
      </c>
      <c r="J286">
        <v>179.95</v>
      </c>
      <c r="K286" s="2" t="s">
        <v>1157</v>
      </c>
      <c r="L286">
        <v>5</v>
      </c>
      <c r="M286">
        <v>1</v>
      </c>
      <c r="O286" t="s">
        <v>33</v>
      </c>
      <c r="P286" t="s">
        <v>26</v>
      </c>
      <c r="Q286" t="s">
        <v>1158</v>
      </c>
    </row>
    <row r="287" spans="1:17" ht="15.75" x14ac:dyDescent="0.25">
      <c r="A287" s="3" t="str">
        <f>HYPERLINK("https://www.als.com/chaco-w-sandal-lowdown/p?skuId=804270", "https://www.als.com/chaco-w-sandal-lowdown/p?skuId=804270")</f>
        <v>https://www.als.com/chaco-w-sandal-lowdown/p?skuId=804270</v>
      </c>
      <c r="B287" s="3" t="str">
        <f>HYPERLINK("https://www.als.com/chaco-w-sandal-lowdown/p", "https://www.als.com/chaco-w-sandal-lowdown/p")</f>
        <v>https://www.als.com/chaco-w-sandal-lowdown/p</v>
      </c>
      <c r="C287" t="s">
        <v>313</v>
      </c>
      <c r="D287" t="s">
        <v>314</v>
      </c>
      <c r="E287" s="3" t="str">
        <f>HYPERLINK("https://www.amazon.com/Chaco-Womens-Chillos-Slide-Black/dp/B07ZPNJ1XL/ref=sr_1_10?keywords=Chaco+Lowdown+Sandal+-+Womens&amp;qid=1695124089&amp;sr=8-10", "https://www.amazon.com/Chaco-Womens-Chillos-Slide-Black/dp/B07ZPNJ1XL/ref=sr_1_10?keywords=Chaco+Lowdown+Sandal+-+Womens&amp;qid=1695124089&amp;sr=8-10")</f>
        <v>https://www.amazon.com/Chaco-Womens-Chillos-Slide-Black/dp/B07ZPNJ1XL/ref=sr_1_10?keywords=Chaco+Lowdown+Sandal+-+Womens&amp;qid=1695124089&amp;sr=8-10</v>
      </c>
      <c r="F287" t="s">
        <v>1159</v>
      </c>
      <c r="G287" t="e">
        <f ca="1">IMAGE("https://alssports.vtexassets.com/arquivos/ids/1370449-800-auto?v=638260922659930000&amp;width=800&amp;height=auto&amp;aspect=true")</f>
        <v>#NAME?</v>
      </c>
      <c r="H287" t="e">
        <f ca="1">IMAGE("https://m.media-amazon.com/images/I/613H80qG2NL._AC_UL320_.jpg")</f>
        <v>#NAME?</v>
      </c>
      <c r="I287" t="s">
        <v>93</v>
      </c>
      <c r="J287">
        <v>26.99</v>
      </c>
      <c r="K287" s="2" t="s">
        <v>1157</v>
      </c>
      <c r="L287">
        <v>4.4000000000000004</v>
      </c>
      <c r="M287">
        <v>7396</v>
      </c>
      <c r="O287" t="s">
        <v>33</v>
      </c>
      <c r="P287" t="s">
        <v>274</v>
      </c>
      <c r="Q287" t="s">
        <v>317</v>
      </c>
    </row>
    <row r="288" spans="1:17" ht="15.75" x14ac:dyDescent="0.25">
      <c r="A288" s="3" t="str">
        <f>HYPERLINK("https://www.als.com/columbia-anytime-outdoor-13-short-womens-89184/p?skuId=54938", "https://www.als.com/columbia-anytime-outdoor-13-short-womens-89184/p?skuId=54938")</f>
        <v>https://www.als.com/columbia-anytime-outdoor-13-short-womens-89184/p?skuId=54938</v>
      </c>
      <c r="B288" s="3" t="str">
        <f>HYPERLINK("https://www.als.com/columbia-anytime-outdoor-13-short-womens-89184/p", "https://www.als.com/columbia-anytime-outdoor-13-short-womens-89184/p")</f>
        <v>https://www.als.com/columbia-anytime-outdoor-13-short-womens-89184/p</v>
      </c>
      <c r="C288" t="s">
        <v>142</v>
      </c>
      <c r="D288" t="s">
        <v>1160</v>
      </c>
      <c r="E288" s="3" t="str">
        <f>HYPERLINK("https://www.amazon.com/Columbia-Womens-Anytime-Casual-Medium/dp/B072M55B5X/ref=sr_1_2?keywords=Columbia+Anytime+Outdoor+13%22+Short+-+Women%27s&amp;qid=1695124095&amp;sr=8-2", "https://www.amazon.com/Columbia-Womens-Anytime-Casual-Medium/dp/B072M55B5X/ref=sr_1_2?keywords=Columbia+Anytime+Outdoor+13%22+Short+-+Women%27s&amp;qid=1695124095&amp;sr=8-2")</f>
        <v>https://www.amazon.com/Columbia-Womens-Anytime-Casual-Medium/dp/B072M55B5X/ref=sr_1_2?keywords=Columbia+Anytime+Outdoor+13%22+Short+-+Women%27s&amp;qid=1695124095&amp;sr=8-2</v>
      </c>
      <c r="F288" t="s">
        <v>1161</v>
      </c>
      <c r="G288" t="e">
        <f ca="1">IMAGE("https://alssports.vtexassets.com/arquivos/ids/997917-800-auto?v=638227998694600000&amp;width=800&amp;height=auto&amp;aspect=true")</f>
        <v>#NAME?</v>
      </c>
      <c r="H288" t="e">
        <f ca="1">IMAGE("https://m.media-amazon.com/images/I/51T5mIcFk0L._AC_UL320_.jpg")</f>
        <v>#NAME?</v>
      </c>
      <c r="I288" t="s">
        <v>93</v>
      </c>
      <c r="J288">
        <v>26.99</v>
      </c>
      <c r="K288" s="2" t="s">
        <v>1157</v>
      </c>
      <c r="L288">
        <v>4.2</v>
      </c>
      <c r="M288">
        <v>738</v>
      </c>
      <c r="O288" t="s">
        <v>33</v>
      </c>
      <c r="P288" t="s">
        <v>145</v>
      </c>
      <c r="Q288" t="s">
        <v>146</v>
      </c>
    </row>
    <row r="289" spans="1:17" ht="15.75" x14ac:dyDescent="0.25">
      <c r="A289" s="3" t="str">
        <f>HYPERLINK("https://www.als.com/carhar-m-workwear-pocket-ss-tee/p?skuId=1200098", "https://www.als.com/carhar-m-workwear-pocket-ss-tee/p?skuId=1200098")</f>
        <v>https://www.als.com/carhar-m-workwear-pocket-ss-tee/p?skuId=1200098</v>
      </c>
      <c r="B289" s="3" t="str">
        <f>HYPERLINK("https://www.als.com/carhar-m-workwear-pocket-ss-tee/p", "https://www.als.com/carhar-m-workwear-pocket-ss-tee/p")</f>
        <v>https://www.als.com/carhar-m-workwear-pocket-ss-tee/p</v>
      </c>
      <c r="C289" t="s">
        <v>237</v>
      </c>
      <c r="D289" t="s">
        <v>1162</v>
      </c>
      <c r="E289" s="3" t="str">
        <f>HYPERLINK("https://www.amazon.com/Carhartt-Heavyweight-Long-Sleeve-Graphic-T-Shirt/dp/B0BMB73KMV/ref=sr_1_22?keywords=Carhartt+Workwear+Loose+Fit+Pocket+Short-Sleeve+T-Shirt+-+Men%27s&amp;qid=1695124338&amp;sr=8-22", "https://www.amazon.com/Carhartt-Heavyweight-Long-Sleeve-Graphic-T-Shirt/dp/B0BMB73KMV/ref=sr_1_22?keywords=Carhartt+Workwear+Loose+Fit+Pocket+Short-Sleeve+T-Shirt+-+Men%27s&amp;qid=1695124338&amp;sr=8-22")</f>
        <v>https://www.amazon.com/Carhartt-Heavyweight-Long-Sleeve-Graphic-T-Shirt/dp/B0BMB73KMV/ref=sr_1_22?keywords=Carhartt+Workwear+Loose+Fit+Pocket+Short-Sleeve+T-Shirt+-+Men%27s&amp;qid=1695124338&amp;sr=8-22</v>
      </c>
      <c r="F289" t="s">
        <v>1163</v>
      </c>
      <c r="G289" t="e">
        <f ca="1">IMAGE("https://alssports.vtexassets.com/arquivos/ids/1430829-800-auto?v=638285166341500000&amp;width=800&amp;height=auto&amp;aspect=true")</f>
        <v>#NAME?</v>
      </c>
      <c r="H289" t="e">
        <f ca="1">IMAGE("https://m.media-amazon.com/images/I/61rteCEfq5L._AC_UL320_.jpg")</f>
        <v>#NAME?</v>
      </c>
      <c r="I289" t="s">
        <v>240</v>
      </c>
      <c r="J289">
        <v>17.989999999999998</v>
      </c>
      <c r="K289" s="2" t="s">
        <v>1164</v>
      </c>
      <c r="L289">
        <v>4.7</v>
      </c>
      <c r="M289">
        <v>51</v>
      </c>
      <c r="O289" t="s">
        <v>33</v>
      </c>
      <c r="P289" t="s">
        <v>26</v>
      </c>
      <c r="Q289" t="s">
        <v>241</v>
      </c>
    </row>
    <row r="290" spans="1:17" ht="15.75" x14ac:dyDescent="0.25">
      <c r="A290" s="3" t="str">
        <f>HYPERLINK("https://www.als.com/seasum-pillow-aeros-premium/p?skuId=550081", "https://www.als.com/seasum-pillow-aeros-premium/p?skuId=550081")</f>
        <v>https://www.als.com/seasum-pillow-aeros-premium/p?skuId=550081</v>
      </c>
      <c r="B290" s="3" t="str">
        <f>HYPERLINK("https://www.als.com/seasum-pillow-aeros-premium/p", "https://www.als.com/seasum-pillow-aeros-premium/p")</f>
        <v>https://www.als.com/seasum-pillow-aeros-premium/p</v>
      </c>
      <c r="C290" t="s">
        <v>1165</v>
      </c>
      <c r="D290" t="s">
        <v>1166</v>
      </c>
      <c r="E290" s="3" t="str">
        <f>HYPERLINK("https://www.amazon.com/Sea-Summit-Traveler-Pillow-Premium/dp/B003Z22QNY/ref=sr_1_3?keywords=Sea+to+Summit+Aeros+Premium+Pillow&amp;qid=1695124491&amp;sr=8-3", "https://www.amazon.com/Sea-Summit-Traveler-Pillow-Premium/dp/B003Z22QNY/ref=sr_1_3?keywords=Sea+to+Summit+Aeros+Premium+Pillow&amp;qid=1695124491&amp;sr=8-3")</f>
        <v>https://www.amazon.com/Sea-Summit-Traveler-Pillow-Premium/dp/B003Z22QNY/ref=sr_1_3?keywords=Sea+to+Summit+Aeros+Premium+Pillow&amp;qid=1695124491&amp;sr=8-3</v>
      </c>
      <c r="F290" t="s">
        <v>1167</v>
      </c>
      <c r="G290" t="e">
        <f ca="1">IMAGE("https://alssports.vtexassets.com/arquivos/ids/609076-800-auto?v=637541323696830000&amp;width=800&amp;height=auto&amp;aspect=true")</f>
        <v>#NAME?</v>
      </c>
      <c r="H290" t="e">
        <f ca="1">IMAGE("https://m.media-amazon.com/images/I/710h0-gOpIL._AC_UL320_.jpg")</f>
        <v>#NAME?</v>
      </c>
      <c r="I290" t="s">
        <v>157</v>
      </c>
      <c r="J290">
        <v>44.95</v>
      </c>
      <c r="K290" s="2" t="s">
        <v>1164</v>
      </c>
      <c r="L290">
        <v>4.5999999999999996</v>
      </c>
      <c r="M290">
        <v>137</v>
      </c>
      <c r="O290" t="s">
        <v>26</v>
      </c>
      <c r="P290" t="s">
        <v>26</v>
      </c>
      <c r="Q290" t="s">
        <v>1168</v>
      </c>
    </row>
    <row r="291" spans="1:17" ht="15.75" x14ac:dyDescent="0.25">
      <c r="A291" s="3" t="str">
        <f>HYPERLINK("https://www.als.com/seasum-pillow-aeros-premium/p?skuId=550081", "https://www.als.com/seasum-pillow-aeros-premium/p?skuId=550081")</f>
        <v>https://www.als.com/seasum-pillow-aeros-premium/p?skuId=550081</v>
      </c>
      <c r="B291" s="3" t="str">
        <f>HYPERLINK("https://www.als.com/seasum-pillow-aeros-premium/p", "https://www.als.com/seasum-pillow-aeros-premium/p")</f>
        <v>https://www.als.com/seasum-pillow-aeros-premium/p</v>
      </c>
      <c r="C291" t="s">
        <v>1165</v>
      </c>
      <c r="D291" t="s">
        <v>1169</v>
      </c>
      <c r="E291" s="3" t="str">
        <f>HYPERLINK("https://www.amazon.com/Sea-Summit-Ultralight-Pillow-Regular/dp/B07NH74D9M/ref=sr_1_2?keywords=Sea+to+Summit+Aeros+Premium+Pillow&amp;qid=1695124491&amp;sr=8-2", "https://www.amazon.com/Sea-Summit-Ultralight-Pillow-Regular/dp/B07NH74D9M/ref=sr_1_2?keywords=Sea+to+Summit+Aeros+Premium+Pillow&amp;qid=1695124491&amp;sr=8-2")</f>
        <v>https://www.amazon.com/Sea-Summit-Ultralight-Pillow-Regular/dp/B07NH74D9M/ref=sr_1_2?keywords=Sea+to+Summit+Aeros+Premium+Pillow&amp;qid=1695124491&amp;sr=8-2</v>
      </c>
      <c r="F291" t="s">
        <v>1170</v>
      </c>
      <c r="G291" t="e">
        <f ca="1">IMAGE("https://alssports.vtexassets.com/arquivos/ids/609076-800-auto?v=637541323696830000&amp;width=800&amp;height=auto&amp;aspect=true")</f>
        <v>#NAME?</v>
      </c>
      <c r="H291" t="e">
        <f ca="1">IMAGE("https://m.media-amazon.com/images/I/71zuNnlEddL._AC_UL320_.jpg")</f>
        <v>#NAME?</v>
      </c>
      <c r="I291" t="s">
        <v>157</v>
      </c>
      <c r="J291">
        <v>44.95</v>
      </c>
      <c r="K291" s="2" t="s">
        <v>1164</v>
      </c>
      <c r="L291">
        <v>4.5999999999999996</v>
      </c>
      <c r="M291">
        <v>900</v>
      </c>
      <c r="O291" t="s">
        <v>26</v>
      </c>
      <c r="P291" t="s">
        <v>26</v>
      </c>
      <c r="Q291" t="s">
        <v>1168</v>
      </c>
    </row>
    <row r="292" spans="1:17" ht="15.75" x14ac:dyDescent="0.25">
      <c r="A292" s="3" t="str">
        <f>HYPERLINK("https://www.als.com/luxpro-rechargable-micro-headlamp/p?skuId=1194878", "https://www.als.com/luxpro-rechargable-micro-headlamp/p?skuId=1194878")</f>
        <v>https://www.als.com/luxpro-rechargable-micro-headlamp/p?skuId=1194878</v>
      </c>
      <c r="B292" s="3" t="str">
        <f>HYPERLINK("https://www.als.com/luxpro-rechargable-micro-headlamp/p", "https://www.als.com/luxpro-rechargable-micro-headlamp/p")</f>
        <v>https://www.als.com/luxpro-rechargable-micro-headlamp/p</v>
      </c>
      <c r="C292" t="s">
        <v>1019</v>
      </c>
      <c r="D292" t="s">
        <v>1171</v>
      </c>
      <c r="E292" s="3" t="str">
        <f>HYPERLINK("https://www.amazon.com/Rechargeable-Headlamps-Illumination-Waterproof-Flashlight/dp/B09N9RLDT3/ref=sr_1_42?keywords=Lux+Pro+Waterproof+Ultralight+Led+Rechargeable+Headlamp&amp;qid=1695124326&amp;sr=8-42", "https://www.amazon.com/Rechargeable-Headlamps-Illumination-Waterproof-Flashlight/dp/B09N9RLDT3/ref=sr_1_42?keywords=Lux+Pro+Waterproof+Ultralight+Led+Rechargeable+Headlamp&amp;qid=1695124326&amp;sr=8-42")</f>
        <v>https://www.amazon.com/Rechargeable-Headlamps-Illumination-Waterproof-Flashlight/dp/B09N9RLDT3/ref=sr_1_42?keywords=Lux+Pro+Waterproof+Ultralight+Led+Rechargeable+Headlamp&amp;qid=1695124326&amp;sr=8-42</v>
      </c>
      <c r="F292" t="s">
        <v>1172</v>
      </c>
      <c r="G292" t="e">
        <f ca="1">IMAGE("https://alssports.vtexassets.com/arquivos/ids/1357245-800-auto?v=638231380032130000&amp;width=800&amp;height=auto&amp;aspect=true")</f>
        <v>#NAME?</v>
      </c>
      <c r="H292" t="e">
        <f ca="1">IMAGE("https://m.media-amazon.com/images/I/71u2LeM2fzL._AC_UL320_.jpg")</f>
        <v>#NAME?</v>
      </c>
      <c r="I292" t="s">
        <v>130</v>
      </c>
      <c r="J292">
        <v>8.98</v>
      </c>
      <c r="K292" s="2" t="s">
        <v>1173</v>
      </c>
      <c r="L292">
        <v>4.5999999999999996</v>
      </c>
      <c r="M292">
        <v>128</v>
      </c>
      <c r="O292" t="s">
        <v>33</v>
      </c>
      <c r="P292" t="s">
        <v>135</v>
      </c>
      <c r="Q292" t="s">
        <v>1023</v>
      </c>
    </row>
    <row r="293" spans="1:17" ht="15.75" x14ac:dyDescent="0.25">
      <c r="A293" s="3" t="str">
        <f>HYPERLINK("https://www.als.com/vans-shoe-sk8-hi-mte-2/p?skuId=1116049", "https://www.als.com/vans-shoe-sk8-hi-mte-2/p?skuId=1116049")</f>
        <v>https://www.als.com/vans-shoe-sk8-hi-mte-2/p?skuId=1116049</v>
      </c>
      <c r="B293" s="3" t="str">
        <f>HYPERLINK("https://www.als.com/vans-shoe-sk8-hi-mte-2/p", "https://www.als.com/vans-shoe-sk8-hi-mte-2/p")</f>
        <v>https://www.als.com/vans-shoe-sk8-hi-mte-2/p</v>
      </c>
      <c r="C293" t="s">
        <v>1174</v>
      </c>
      <c r="D293" t="s">
        <v>1175</v>
      </c>
      <c r="E293" s="3" t="str">
        <f>HYPERLINK("https://www.amazon.com/Vans-Sk8-Hi-Skateboarding-Green-Root-Numeric_9/dp/B07NGJ43XM/ref=sr_1_11?keywords=Vans+Sk8-Hi+MTE-2+Shoe&amp;qid=1695124405&amp;sr=8-11", "https://www.amazon.com/Vans-Sk8-Hi-Skateboarding-Green-Root-Numeric_9/dp/B07NGJ43XM/ref=sr_1_11?keywords=Vans+Sk8-Hi+MTE-2+Shoe&amp;qid=1695124405&amp;sr=8-11")</f>
        <v>https://www.amazon.com/Vans-Sk8-Hi-Skateboarding-Green-Root-Numeric_9/dp/B07NGJ43XM/ref=sr_1_11?keywords=Vans+Sk8-Hi+MTE-2+Shoe&amp;qid=1695124405&amp;sr=8-11</v>
      </c>
      <c r="F293" t="s">
        <v>1176</v>
      </c>
      <c r="G293" t="e">
        <f ca="1">IMAGE("https://alssports.vtexassets.com/arquivos/ids/1312527-800-auto?v=638193489147030000&amp;width=800&amp;height=auto&amp;aspect=true")</f>
        <v>#NAME?</v>
      </c>
      <c r="H293" t="e">
        <f ca="1">IMAGE("https://m.media-amazon.com/images/I/41rLm4oHH0L._AC_UL320_.jpg")</f>
        <v>#NAME?</v>
      </c>
      <c r="I293" t="s">
        <v>44</v>
      </c>
      <c r="J293">
        <v>134.66</v>
      </c>
      <c r="K293" s="2" t="s">
        <v>1177</v>
      </c>
      <c r="L293">
        <v>4.5999999999999996</v>
      </c>
      <c r="M293">
        <v>115</v>
      </c>
      <c r="O293" t="s">
        <v>33</v>
      </c>
      <c r="P293" t="s">
        <v>26</v>
      </c>
      <c r="Q293" t="s">
        <v>1178</v>
      </c>
    </row>
    <row r="294" spans="1:17" ht="15.75" x14ac:dyDescent="0.25">
      <c r="A294" s="3" t="str">
        <f>HYPERLINK("https://www.als.com/newbal-m-shoe-574v3/p?skuId=1094176", "https://www.als.com/newbal-m-shoe-574v3/p?skuId=1094176")</f>
        <v>https://www.als.com/newbal-m-shoe-574v3/p?skuId=1094176</v>
      </c>
      <c r="B294" s="3" t="str">
        <f>HYPERLINK("https://www.als.com/newbal-m-shoe-574v3/p", "https://www.als.com/newbal-m-shoe-574v3/p")</f>
        <v>https://www.als.com/newbal-m-shoe-574v3/p</v>
      </c>
      <c r="C294" t="s">
        <v>1179</v>
      </c>
      <c r="D294" t="s">
        <v>1180</v>
      </c>
      <c r="E294" s="3" t="str">
        <f>HYPERLINK("https://www.amazon.com/New-Balance-Iconic-Sneaker-Classic/dp/B07RL16S28/ref=sr_1_3?keywords=New+Balance+574+Core+Shoe+-+Men%27s&amp;qid=1695124351&amp;sr=8-3", "https://www.amazon.com/New-Balance-Iconic-Sneaker-Classic/dp/B07RL16S28/ref=sr_1_3?keywords=New+Balance+574+Core+Shoe+-+Men%27s&amp;qid=1695124351&amp;sr=8-3")</f>
        <v>https://www.amazon.com/New-Balance-Iconic-Sneaker-Classic/dp/B07RL16S28/ref=sr_1_3?keywords=New+Balance+574+Core+Shoe+-+Men%27s&amp;qid=1695124351&amp;sr=8-3</v>
      </c>
      <c r="F294" t="s">
        <v>1181</v>
      </c>
      <c r="G294" t="e">
        <f ca="1">IMAGE("https://alssports.vtexassets.com/arquivos/ids/1118685-800-auto?v=637967832331470000&amp;width=800&amp;height=auto&amp;aspect=true")</f>
        <v>#NAME?</v>
      </c>
      <c r="H294" t="e">
        <f ca="1">IMAGE("https://m.media-amazon.com/images/I/71ThZqdk-7L._AC_UL320_.jpg")</f>
        <v>#NAME?</v>
      </c>
      <c r="I294" t="s">
        <v>1182</v>
      </c>
      <c r="J294">
        <v>53.35</v>
      </c>
      <c r="K294" s="2" t="s">
        <v>1183</v>
      </c>
      <c r="L294">
        <v>4.7</v>
      </c>
      <c r="M294">
        <v>1134</v>
      </c>
      <c r="O294" t="s">
        <v>33</v>
      </c>
      <c r="P294" t="s">
        <v>1184</v>
      </c>
      <c r="Q294" t="s">
        <v>1185</v>
      </c>
    </row>
    <row r="295" spans="1:17" ht="15.75" x14ac:dyDescent="0.25">
      <c r="A295" s="3" t="str">
        <f>HYPERLINK("https://www.als.com/volcom-m-pant-solver-denim/p?skuId=1017849", "https://www.als.com/volcom-m-pant-solver-denim/p?skuId=1017849")</f>
        <v>https://www.als.com/volcom-m-pant-solver-denim/p?skuId=1017849</v>
      </c>
      <c r="B295" s="3" t="str">
        <f>HYPERLINK("https://www.als.com/volcom-m-pant-solver-denim/p", "https://www.als.com/volcom-m-pant-solver-denim/p")</f>
        <v>https://www.als.com/volcom-m-pant-solver-denim/p</v>
      </c>
      <c r="C295" t="s">
        <v>1186</v>
      </c>
      <c r="D295" t="s">
        <v>1187</v>
      </c>
      <c r="E295" s="3" t="str">
        <f>HYPERLINK("https://www.amazon.com/Volcom-Kinkade-Relaxed-Stretch-Denim/dp/B0CF12R58W/ref=sr_1_10?keywords=Volcom+Solver+Modern+Fit+Jean+-+Men%27s&amp;qid=1695124391&amp;sr=8-10", "https://www.amazon.com/Volcom-Kinkade-Relaxed-Stretch-Denim/dp/B0CF12R58W/ref=sr_1_10?keywords=Volcom+Solver+Modern+Fit+Jean+-+Men%27s&amp;qid=1695124391&amp;sr=8-10")</f>
        <v>https://www.amazon.com/Volcom-Kinkade-Relaxed-Stretch-Denim/dp/B0CF12R58W/ref=sr_1_10?keywords=Volcom+Solver+Modern+Fit+Jean+-+Men%27s&amp;qid=1695124391&amp;sr=8-10</v>
      </c>
      <c r="F295" t="s">
        <v>1188</v>
      </c>
      <c r="G295" t="e">
        <f ca="1">IMAGE("https://alssports.vtexassets.com/arquivos/ids/1075817-800-auto?v=637903977881230000&amp;width=800&amp;height=auto&amp;aspect=true")</f>
        <v>#NAME?</v>
      </c>
      <c r="H295" t="e">
        <f ca="1">IMAGE("https://m.media-amazon.com/images/I/61peZCfwv5L._AC_UL320_.jpg")</f>
        <v>#NAME?</v>
      </c>
      <c r="I295" t="s">
        <v>1189</v>
      </c>
      <c r="J295">
        <v>43.95</v>
      </c>
      <c r="K295" s="2" t="s">
        <v>1190</v>
      </c>
      <c r="L295">
        <v>5</v>
      </c>
      <c r="M295">
        <v>1</v>
      </c>
      <c r="O295" t="s">
        <v>33</v>
      </c>
      <c r="P295" t="s">
        <v>145</v>
      </c>
      <c r="Q295" t="s">
        <v>1191</v>
      </c>
    </row>
    <row r="296" spans="1:17" ht="15.75" x14ac:dyDescent="0.25">
      <c r="A296" s="3" t="str">
        <f>HYPERLINK("https://www.als.com/sal-sh-m-shoe-speedcross-6/p?skuId=1067283", "https://www.als.com/sal-sh-m-shoe-speedcross-6/p?skuId=1067283")</f>
        <v>https://www.als.com/sal-sh-m-shoe-speedcross-6/p?skuId=1067283</v>
      </c>
      <c r="B296" s="3" t="str">
        <f>HYPERLINK("https://www.als.com/sal-sh-m-shoe-speedcross-6/p", "https://www.als.com/sal-sh-m-shoe-speedcross-6/p")</f>
        <v>https://www.als.com/sal-sh-m-shoe-speedcross-6/p</v>
      </c>
      <c r="C296" t="s">
        <v>547</v>
      </c>
      <c r="D296" t="s">
        <v>1192</v>
      </c>
      <c r="E296" s="3" t="str">
        <f>HYPERLINK("https://www.amazon.com/Salomon-Athletic-Water-Shoes-Hiking-grape-shadow/dp/B07WHDC3M5/ref=sr_1_12?keywords=Salomon+Speedcross+6+Trail+Running+Shoe+-+Men%27s&amp;qid=1695124304&amp;sr=8-12", "https://www.amazon.com/Salomon-Athletic-Water-Shoes-Hiking-grape-shadow/dp/B07WHDC3M5/ref=sr_1_12?keywords=Salomon+Speedcross+6+Trail+Running+Shoe+-+Men%27s&amp;qid=1695124304&amp;sr=8-12")</f>
        <v>https://www.amazon.com/Salomon-Athletic-Water-Shoes-Hiking-grape-shadow/dp/B07WHDC3M5/ref=sr_1_12?keywords=Salomon+Speedcross+6+Trail+Running+Shoe+-+Men%27s&amp;qid=1695124304&amp;sr=8-12</v>
      </c>
      <c r="F296" t="s">
        <v>1193</v>
      </c>
      <c r="G296" t="e">
        <f ca="1">IMAGE("https://alssports.vtexassets.com/arquivos/ids/1132465-800-auto?v=637986345574970000&amp;width=800&amp;height=auto&amp;aspect=true")</f>
        <v>#NAME?</v>
      </c>
      <c r="H296" t="e">
        <f ca="1">IMAGE("https://m.media-amazon.com/images/I/61QZw7lQpcL._AC_UL320_.jpg")</f>
        <v>#NAME?</v>
      </c>
      <c r="I296" t="s">
        <v>550</v>
      </c>
      <c r="J296">
        <v>129.94999999999999</v>
      </c>
      <c r="K296" s="2" t="s">
        <v>1194</v>
      </c>
      <c r="L296">
        <v>4.5</v>
      </c>
      <c r="M296">
        <v>2852</v>
      </c>
      <c r="O296" t="s">
        <v>33</v>
      </c>
      <c r="P296" t="s">
        <v>552</v>
      </c>
      <c r="Q296" t="s">
        <v>553</v>
      </c>
    </row>
    <row r="297" spans="1:17" ht="15.75" x14ac:dyDescent="0.25">
      <c r="A297" s="3" t="str">
        <f>HYPERLINK("https://www.als.com/heydud-m-shoe-wally-sox/p?skuId=599419", "https://www.als.com/heydud-m-shoe-wally-sox/p?skuId=599419")</f>
        <v>https://www.als.com/heydud-m-shoe-wally-sox/p?skuId=599419</v>
      </c>
      <c r="B297" s="3" t="str">
        <f>HYPERLINK("https://www.als.com/heydud-m-shoe-wally-sox/p", "https://www.als.com/heydud-m-shoe-wally-sox/p")</f>
        <v>https://www.als.com/heydud-m-shoe-wally-sox/p</v>
      </c>
      <c r="C297" t="s">
        <v>1195</v>
      </c>
      <c r="D297" t="s">
        <v>1196</v>
      </c>
      <c r="E297" s="3" t="str">
        <f>HYPERLINK("https://www.amazon.com/Hey-Dude-Shoes-Loafer-110350500/dp/B07M6ZS7VL/ref=sr_1_9?keywords=Hey+Dude+Wally+Sox+Shoe+-+Mens&amp;qid=1695124371&amp;sr=8-9", "https://www.amazon.com/Hey-Dude-Shoes-Loafer-110350500/dp/B07M6ZS7VL/ref=sr_1_9?keywords=Hey+Dude+Wally+Sox+Shoe+-+Mens&amp;qid=1695124371&amp;sr=8-9")</f>
        <v>https://www.amazon.com/Hey-Dude-Shoes-Loafer-110350500/dp/B07M6ZS7VL/ref=sr_1_9?keywords=Hey+Dude+Wally+Sox+Shoe+-+Mens&amp;qid=1695124371&amp;sr=8-9</v>
      </c>
      <c r="F297" t="s">
        <v>1197</v>
      </c>
      <c r="G297" t="e">
        <f ca="1">IMAGE("https://alssports.vtexassets.com/arquivos/ids/1385947-800-auto?v=638254856063700000&amp;width=800&amp;height=auto&amp;aspect=true")</f>
        <v>#NAME?</v>
      </c>
      <c r="H297" t="e">
        <f ca="1">IMAGE("https://m.media-amazon.com/images/I/81A8k3zODJL._AC_UL320_.jpg")</f>
        <v>#NAME?</v>
      </c>
      <c r="I297" t="s">
        <v>1198</v>
      </c>
      <c r="J297">
        <v>32.17</v>
      </c>
      <c r="K297" s="2" t="s">
        <v>1199</v>
      </c>
      <c r="L297">
        <v>4.7</v>
      </c>
      <c r="M297">
        <v>121374</v>
      </c>
      <c r="O297" t="s">
        <v>33</v>
      </c>
      <c r="P297" t="s">
        <v>169</v>
      </c>
      <c r="Q297" t="s">
        <v>1200</v>
      </c>
    </row>
    <row r="298" spans="1:17" ht="15.75" x14ac:dyDescent="0.25">
      <c r="A298" s="3" t="str">
        <f>HYPERLINK("https://www.als.com/under-w-shoe-hovr-sonic-5/p?skuId=1014508", "https://www.als.com/under-w-shoe-hovr-sonic-5/p?skuId=1014508")</f>
        <v>https://www.als.com/under-w-shoe-hovr-sonic-5/p?skuId=1014508</v>
      </c>
      <c r="B298" s="3" t="str">
        <f>HYPERLINK("https://www.als.com/under-w-shoe-hovr-sonic-5/p", "https://www.als.com/under-w-shoe-hovr-sonic-5/p")</f>
        <v>https://www.als.com/under-w-shoe-hovr-sonic-5/p</v>
      </c>
      <c r="C298" t="s">
        <v>1201</v>
      </c>
      <c r="D298" t="s">
        <v>1202</v>
      </c>
      <c r="E298" s="3" t="str">
        <f>HYPERLINK("https://www.amazon.com/Under-Armour-Womens-Sonic-Black/dp/B08BHLVGYH/ref=sr_1_5?keywords=Under+Armour+Hovr+Sonic+5+Running+Shoe+-+Womens&amp;qid=1695124412&amp;sr=8-5", "https://www.amazon.com/Under-Armour-Womens-Sonic-Black/dp/B08BHLVGYH/ref=sr_1_5?keywords=Under+Armour+Hovr+Sonic+5+Running+Shoe+-+Womens&amp;qid=1695124412&amp;sr=8-5")</f>
        <v>https://www.amazon.com/Under-Armour-Womens-Sonic-Black/dp/B08BHLVGYH/ref=sr_1_5?keywords=Under+Armour+Hovr+Sonic+5+Running+Shoe+-+Womens&amp;qid=1695124412&amp;sr=8-5</v>
      </c>
      <c r="F298" t="s">
        <v>1203</v>
      </c>
      <c r="G298" t="e">
        <f ca="1">IMAGE("https://alssports.vtexassets.com/arquivos/ids/1033650-800-auto?v=637836815187800000&amp;width=800&amp;height=auto&amp;aspect=true")</f>
        <v>#NAME?</v>
      </c>
      <c r="H298" t="e">
        <f ca="1">IMAGE("https://m.media-amazon.com/images/I/71-T4rQXLuL._AC_UL320_.jpg")</f>
        <v>#NAME?</v>
      </c>
      <c r="I298" t="s">
        <v>940</v>
      </c>
      <c r="J298">
        <v>39.33</v>
      </c>
      <c r="K298" s="2" t="s">
        <v>1204</v>
      </c>
      <c r="L298">
        <v>4.5999999999999996</v>
      </c>
      <c r="M298">
        <v>966</v>
      </c>
      <c r="O298" t="s">
        <v>33</v>
      </c>
      <c r="P298" t="s">
        <v>416</v>
      </c>
      <c r="Q298" t="s">
        <v>1205</v>
      </c>
    </row>
    <row r="299" spans="1:17" ht="15.75" x14ac:dyDescent="0.25">
      <c r="A299" s="3" t="str">
        <f>HYPERLINK("https://www.als.com/jr286-vapor-knee-pad/p?skuId=1218525", "https://www.als.com/jr286-vapor-knee-pad/p?skuId=1218525")</f>
        <v>https://www.als.com/jr286-vapor-knee-pad/p?skuId=1218525</v>
      </c>
      <c r="B299" s="3" t="str">
        <f>HYPERLINK("https://www.als.com/jr286-vapor-knee-pad/p", "https://www.als.com/jr286-vapor-knee-pad/p")</f>
        <v>https://www.als.com/jr286-vapor-knee-pad/p</v>
      </c>
      <c r="C299" t="s">
        <v>1206</v>
      </c>
      <c r="D299" t="s">
        <v>1207</v>
      </c>
      <c r="E299" s="3" t="str">
        <f>HYPERLINK("https://www.amazon.com/Nike-Streak-Volleyball-Knee-Black/dp/B00E5LSZSY/ref=sr_1_6?keywords=Nike+Vapor+Volleyball+Knee+Pad&amp;qid=1695124471&amp;sr=8-6", "https://www.amazon.com/Nike-Streak-Volleyball-Knee-Black/dp/B00E5LSZSY/ref=sr_1_6?keywords=Nike+Vapor+Volleyball+Knee+Pad&amp;qid=1695124471&amp;sr=8-6")</f>
        <v>https://www.amazon.com/Nike-Streak-Volleyball-Knee-Black/dp/B00E5LSZSY/ref=sr_1_6?keywords=Nike+Vapor+Volleyball+Knee+Pad&amp;qid=1695124471&amp;sr=8-6</v>
      </c>
      <c r="F299" t="s">
        <v>1208</v>
      </c>
      <c r="G299" t="e">
        <f ca="1">IMAGE("https://alssports.vtexassets.com/arquivos/ids/1331985-800-auto?v=638209729264600000&amp;width=800&amp;height=auto&amp;aspect=true")</f>
        <v>#NAME?</v>
      </c>
      <c r="H299" t="e">
        <f ca="1">IMAGE("https://m.media-amazon.com/images/I/61EgPII7UXS._AC_UL320_.jpg")</f>
        <v>#NAME?</v>
      </c>
      <c r="I299" t="s">
        <v>933</v>
      </c>
      <c r="J299">
        <v>25</v>
      </c>
      <c r="K299" s="2" t="s">
        <v>1209</v>
      </c>
      <c r="L299">
        <v>4.5</v>
      </c>
      <c r="M299">
        <v>6552</v>
      </c>
      <c r="O299" t="s">
        <v>33</v>
      </c>
      <c r="P299" t="s">
        <v>94</v>
      </c>
      <c r="Q299" t="s">
        <v>1210</v>
      </c>
    </row>
    <row r="300" spans="1:17" ht="15.75" x14ac:dyDescent="0.25">
      <c r="A300" s="3" t="str">
        <f>HYPERLINK("https://www.als.com/under-m-ua-training-vent-20-ss/p?skuId=857892", "https://www.als.com/under-m-ua-training-vent-20-ss/p?skuId=857892")</f>
        <v>https://www.als.com/under-m-ua-training-vent-20-ss/p?skuId=857892</v>
      </c>
      <c r="B300" s="3" t="str">
        <f>HYPERLINK("https://www.als.com/under-m-ua-training-vent-20-ss/p", "https://www.als.com/under-m-ua-training-vent-20-ss/p")</f>
        <v>https://www.als.com/under-m-ua-training-vent-20-ss/p</v>
      </c>
      <c r="C300" t="s">
        <v>228</v>
      </c>
      <c r="D300" t="s">
        <v>1211</v>
      </c>
      <c r="E300" s="3" t="str">
        <f>HYPERLINK("https://www.amazon.com/Sportstyle-Left-Chest-Short-Sleeve-T-Shirt/dp/B077XNQ59P/ref=sr_1_18?keywords=Under+Armour+Training+Vent+2.0+Short+Sleeve+Shirt+-+Mens&amp;qid=1695124314&amp;sr=8-18", "https://www.amazon.com/Sportstyle-Left-Chest-Short-Sleeve-T-Shirt/dp/B077XNQ59P/ref=sr_1_18?keywords=Under+Armour+Training+Vent+2.0+Short+Sleeve+Shirt+-+Mens&amp;qid=1695124314&amp;sr=8-18")</f>
        <v>https://www.amazon.com/Sportstyle-Left-Chest-Short-Sleeve-T-Shirt/dp/B077XNQ59P/ref=sr_1_18?keywords=Under+Armour+Training+Vent+2.0+Short+Sleeve+Shirt+-+Mens&amp;qid=1695124314&amp;sr=8-18</v>
      </c>
      <c r="F300" t="s">
        <v>1212</v>
      </c>
      <c r="G300" t="e">
        <f ca="1">IMAGE("https://alssports.vtexassets.com/arquivos/ids/1216263-800-auto?v=638098285417900000&amp;width=800&amp;height=auto&amp;aspect=true")</f>
        <v>#NAME?</v>
      </c>
      <c r="H300" t="e">
        <f ca="1">IMAGE("https://m.media-amazon.com/images/I/51T792jshFL._AC_UL320_.jpg")</f>
        <v>#NAME?</v>
      </c>
      <c r="I300" t="s">
        <v>231</v>
      </c>
      <c r="J300">
        <v>18.75</v>
      </c>
      <c r="K300" s="2" t="s">
        <v>1213</v>
      </c>
      <c r="L300">
        <v>4.5999999999999996</v>
      </c>
      <c r="M300">
        <v>27373</v>
      </c>
      <c r="O300" t="s">
        <v>33</v>
      </c>
      <c r="P300" t="s">
        <v>233</v>
      </c>
      <c r="Q300" t="s">
        <v>234</v>
      </c>
    </row>
    <row r="301" spans="1:17" ht="15.75" x14ac:dyDescent="0.25">
      <c r="A301" s="3" t="str">
        <f>HYPERLINK("https://www.als.com/jr286-vapor-knee-pad/p?skuId=1218525", "https://www.als.com/jr286-vapor-knee-pad/p?skuId=1218525")</f>
        <v>https://www.als.com/jr286-vapor-knee-pad/p?skuId=1218525</v>
      </c>
      <c r="B301" s="3" t="str">
        <f>HYPERLINK("https://www.als.com/jr286-vapor-knee-pad/p", "https://www.als.com/jr286-vapor-knee-pad/p")</f>
        <v>https://www.als.com/jr286-vapor-knee-pad/p</v>
      </c>
      <c r="C301" t="s">
        <v>1206</v>
      </c>
      <c r="D301" t="s">
        <v>1214</v>
      </c>
      <c r="E301" s="3" t="str">
        <f>HYPERLINK("https://www.amazon.com/Essentials-Volleyball-White-X-Small-Small/dp/B00HQJUKMG/ref=sr_1_3?keywords=Nike+Vapor+Volleyball+Knee+Pad&amp;qid=1695124471&amp;sr=8-3", "https://www.amazon.com/Essentials-Volleyball-White-X-Small-Small/dp/B00HQJUKMG/ref=sr_1_3?keywords=Nike+Vapor+Volleyball+Knee+Pad&amp;qid=1695124471&amp;sr=8-3")</f>
        <v>https://www.amazon.com/Essentials-Volleyball-White-X-Small-Small/dp/B00HQJUKMG/ref=sr_1_3?keywords=Nike+Vapor+Volleyball+Knee+Pad&amp;qid=1695124471&amp;sr=8-3</v>
      </c>
      <c r="F301" t="s">
        <v>1215</v>
      </c>
      <c r="G301" t="e">
        <f ca="1">IMAGE("https://alssports.vtexassets.com/arquivos/ids/1331985-800-auto?v=638209729264600000&amp;width=800&amp;height=auto&amp;aspect=true")</f>
        <v>#NAME?</v>
      </c>
      <c r="H301" t="e">
        <f ca="1">IMAGE("https://m.media-amazon.com/images/I/81g04gChA9L._AC_UL320_.jpg")</f>
        <v>#NAME?</v>
      </c>
      <c r="I301" t="s">
        <v>933</v>
      </c>
      <c r="J301">
        <v>24.99</v>
      </c>
      <c r="K301" s="2" t="s">
        <v>1216</v>
      </c>
      <c r="L301">
        <v>4.5999999999999996</v>
      </c>
      <c r="M301">
        <v>13301</v>
      </c>
      <c r="O301" t="s">
        <v>33</v>
      </c>
      <c r="P301" t="s">
        <v>94</v>
      </c>
      <c r="Q301" t="s">
        <v>1210</v>
      </c>
    </row>
    <row r="302" spans="1:17" ht="15.75" x14ac:dyDescent="0.25">
      <c r="A302" s="3" t="str">
        <f>HYPERLINK("https://www.als.com/asics-ws-shoe-gel-nimbus-24/p?skuId=1037727", "https://www.als.com/asics-ws-shoe-gel-nimbus-24/p?skuId=1037727")</f>
        <v>https://www.als.com/asics-ws-shoe-gel-nimbus-24/p?skuId=1037727</v>
      </c>
      <c r="B302" s="3" t="str">
        <f>HYPERLINK("https://www.als.com/asics-ws-shoe-gel-nimbus-24/p", "https://www.als.com/asics-ws-shoe-gel-nimbus-24/p")</f>
        <v>https://www.als.com/asics-ws-shoe-gel-nimbus-24/p</v>
      </c>
      <c r="C302" t="s">
        <v>1217</v>
      </c>
      <c r="D302" t="s">
        <v>1218</v>
      </c>
      <c r="E302" s="3" t="str">
        <f>HYPERLINK("https://www.amazon.com/ASICS-Womens-Gel-Nimbus-Running-Shoes/dp/B09CLNM81K/ref=sr_1_10?keywords=Asics+GEL-NIMBUS+24+Running+Shoe+-+Womens&amp;qid=1695124093&amp;sr=8-10", "https://www.amazon.com/ASICS-Womens-Gel-Nimbus-Running-Shoes/dp/B09CLNM81K/ref=sr_1_10?keywords=Asics+GEL-NIMBUS+24+Running+Shoe+-+Womens&amp;qid=1695124093&amp;sr=8-10")</f>
        <v>https://www.amazon.com/ASICS-Womens-Gel-Nimbus-Running-Shoes/dp/B09CLNM81K/ref=sr_1_10?keywords=Asics+GEL-NIMBUS+24+Running+Shoe+-+Womens&amp;qid=1695124093&amp;sr=8-10</v>
      </c>
      <c r="F302" t="s">
        <v>1219</v>
      </c>
      <c r="G302" t="e">
        <f ca="1">IMAGE("https://alssports.vtexassets.com/arquivos/ids/1109551-800-auto?v=637950821539330000&amp;width=800&amp;height=auto&amp;aspect=true")</f>
        <v>#NAME?</v>
      </c>
      <c r="H302" t="e">
        <f ca="1">IMAGE("https://m.media-amazon.com/images/I/61+oVu-sfZL._AC_UL320_.jpg")</f>
        <v>#NAME?</v>
      </c>
      <c r="I302" t="s">
        <v>1220</v>
      </c>
      <c r="J302">
        <v>99.95</v>
      </c>
      <c r="K302" s="2" t="s">
        <v>1221</v>
      </c>
      <c r="L302">
        <v>4.2</v>
      </c>
      <c r="M302">
        <v>82</v>
      </c>
      <c r="O302" t="s">
        <v>33</v>
      </c>
      <c r="P302" t="s">
        <v>88</v>
      </c>
      <c r="Q302" t="s">
        <v>1222</v>
      </c>
    </row>
    <row r="303" spans="1:17" ht="15.75" x14ac:dyDescent="0.25">
      <c r="A303" s="3" t="str">
        <f>HYPERLINK("https://www.als.com/asics-ws-shoe-gel-nimbus-24/p?skuId=1037727", "https://www.als.com/asics-ws-shoe-gel-nimbus-24/p?skuId=1037727")</f>
        <v>https://www.als.com/asics-ws-shoe-gel-nimbus-24/p?skuId=1037727</v>
      </c>
      <c r="B303" s="3" t="str">
        <f>HYPERLINK("https://www.als.com/asics-ws-shoe-gel-nimbus-24/p", "https://www.als.com/asics-ws-shoe-gel-nimbus-24/p")</f>
        <v>https://www.als.com/asics-ws-shoe-gel-nimbus-24/p</v>
      </c>
      <c r="C303" t="s">
        <v>1217</v>
      </c>
      <c r="D303" t="s">
        <v>1223</v>
      </c>
      <c r="E303" s="3" t="str">
        <f>HYPERLINK("https://www.amazon.com/ASICS-Womens-Gel-Nimbus-LITE-Show-Running/dp/B09CLLNRCZ/ref=sr_1_4?keywords=Asics+GEL-NIMBUS+24+Running+Shoe+-+Womens&amp;qid=1695124093&amp;sr=8-4", "https://www.amazon.com/ASICS-Womens-Gel-Nimbus-LITE-Show-Running/dp/B09CLLNRCZ/ref=sr_1_4?keywords=Asics+GEL-NIMBUS+24+Running+Shoe+-+Womens&amp;qid=1695124093&amp;sr=8-4")</f>
        <v>https://www.amazon.com/ASICS-Womens-Gel-Nimbus-LITE-Show-Running/dp/B09CLLNRCZ/ref=sr_1_4?keywords=Asics+GEL-NIMBUS+24+Running+Shoe+-+Womens&amp;qid=1695124093&amp;sr=8-4</v>
      </c>
      <c r="F303" t="s">
        <v>1224</v>
      </c>
      <c r="G303" t="e">
        <f ca="1">IMAGE("https://alssports.vtexassets.com/arquivos/ids/1109551-800-auto?v=637950821539330000&amp;width=800&amp;height=auto&amp;aspect=true")</f>
        <v>#NAME?</v>
      </c>
      <c r="H303" t="e">
        <f ca="1">IMAGE("https://m.media-amazon.com/images/I/61N+jXUbAAL._AC_UL320_.jpg")</f>
        <v>#NAME?</v>
      </c>
      <c r="I303" t="s">
        <v>1220</v>
      </c>
      <c r="J303">
        <v>99.95</v>
      </c>
      <c r="K303" s="2" t="s">
        <v>1221</v>
      </c>
      <c r="L303">
        <v>4.5999999999999996</v>
      </c>
      <c r="M303">
        <v>133</v>
      </c>
      <c r="O303" t="s">
        <v>33</v>
      </c>
      <c r="P303" t="s">
        <v>88</v>
      </c>
      <c r="Q303" t="s">
        <v>1222</v>
      </c>
    </row>
    <row r="304" spans="1:17" ht="15.75" x14ac:dyDescent="0.25">
      <c r="A304" s="3" t="str">
        <f>HYPERLINK("https://www.als.com/asics-ws-shoe-gel-nimbus-24/p?skuId=1037727", "https://www.als.com/asics-ws-shoe-gel-nimbus-24/p?skuId=1037727")</f>
        <v>https://www.als.com/asics-ws-shoe-gel-nimbus-24/p?skuId=1037727</v>
      </c>
      <c r="B304" s="3" t="str">
        <f>HYPERLINK("https://www.als.com/asics-ws-shoe-gel-nimbus-24/p", "https://www.als.com/asics-ws-shoe-gel-nimbus-24/p")</f>
        <v>https://www.als.com/asics-ws-shoe-gel-nimbus-24/p</v>
      </c>
      <c r="C304" t="s">
        <v>1217</v>
      </c>
      <c r="D304" t="s">
        <v>1225</v>
      </c>
      <c r="E304" s="3" t="str">
        <f>HYPERLINK("https://www.amazon.com/ASICS-Womens-Gel-Nimbus-Running-Piedmont/dp/B09CLLM7F2/ref=sr_1_2?keywords=Asics+GEL-NIMBUS+24+Running+Shoe+-+Womens&amp;qid=1695124093&amp;sr=8-2", "https://www.amazon.com/ASICS-Womens-Gel-Nimbus-Running-Piedmont/dp/B09CLLM7F2/ref=sr_1_2?keywords=Asics+GEL-NIMBUS+24+Running+Shoe+-+Womens&amp;qid=1695124093&amp;sr=8-2")</f>
        <v>https://www.amazon.com/ASICS-Womens-Gel-Nimbus-Running-Piedmont/dp/B09CLLM7F2/ref=sr_1_2?keywords=Asics+GEL-NIMBUS+24+Running+Shoe+-+Womens&amp;qid=1695124093&amp;sr=8-2</v>
      </c>
      <c r="F304" t="s">
        <v>1226</v>
      </c>
      <c r="G304" t="e">
        <f ca="1">IMAGE("https://alssports.vtexassets.com/arquivos/ids/1109551-800-auto?v=637950821539330000&amp;width=800&amp;height=auto&amp;aspect=true")</f>
        <v>#NAME?</v>
      </c>
      <c r="H304" t="e">
        <f ca="1">IMAGE("https://m.media-amazon.com/images/I/612kGLH8XAL._AC_UL320_.jpg")</f>
        <v>#NAME?</v>
      </c>
      <c r="I304" t="s">
        <v>1220</v>
      </c>
      <c r="J304">
        <v>99.95</v>
      </c>
      <c r="K304" s="2" t="s">
        <v>1221</v>
      </c>
      <c r="L304">
        <v>4.2</v>
      </c>
      <c r="M304">
        <v>67</v>
      </c>
      <c r="O304" t="s">
        <v>33</v>
      </c>
      <c r="P304" t="s">
        <v>88</v>
      </c>
      <c r="Q304" t="s">
        <v>1222</v>
      </c>
    </row>
    <row r="305" spans="1:17" ht="15.75" x14ac:dyDescent="0.25">
      <c r="A305" s="3" t="str">
        <f>HYPERLINK("https://www.als.com/asics-ws-shoe-gel-nimbus-24/p?skuId=1037727", "https://www.als.com/asics-ws-shoe-gel-nimbus-24/p?skuId=1037727")</f>
        <v>https://www.als.com/asics-ws-shoe-gel-nimbus-24/p?skuId=1037727</v>
      </c>
      <c r="B305" s="3" t="str">
        <f>HYPERLINK("https://www.als.com/asics-ws-shoe-gel-nimbus-24/p", "https://www.als.com/asics-ws-shoe-gel-nimbus-24/p")</f>
        <v>https://www.als.com/asics-ws-shoe-gel-nimbus-24/p</v>
      </c>
      <c r="C305" t="s">
        <v>1217</v>
      </c>
      <c r="D305" t="s">
        <v>1227</v>
      </c>
      <c r="E305" s="3" t="str">
        <f>HYPERLINK("https://www.amazon.com/ASICS-Womens-Gel-Nimbus-Platinum-Running/dp/B09WBQMGQX/ref=sr_1_3?keywords=Asics+GEL-NIMBUS+24+Running+Shoe+-+Womens&amp;qid=1695124093&amp;sr=8-3", "https://www.amazon.com/ASICS-Womens-Gel-Nimbus-Platinum-Running/dp/B09WBQMGQX/ref=sr_1_3?keywords=Asics+GEL-NIMBUS+24+Running+Shoe+-+Womens&amp;qid=1695124093&amp;sr=8-3")</f>
        <v>https://www.amazon.com/ASICS-Womens-Gel-Nimbus-Platinum-Running/dp/B09WBQMGQX/ref=sr_1_3?keywords=Asics+GEL-NIMBUS+24+Running+Shoe+-+Womens&amp;qid=1695124093&amp;sr=8-3</v>
      </c>
      <c r="F305" t="s">
        <v>1228</v>
      </c>
      <c r="G305" t="e">
        <f ca="1">IMAGE("https://alssports.vtexassets.com/arquivos/ids/1109551-800-auto?v=637950821539330000&amp;width=800&amp;height=auto&amp;aspect=true")</f>
        <v>#NAME?</v>
      </c>
      <c r="H305" t="e">
        <f ca="1">IMAGE("https://m.media-amazon.com/images/I/61nqF74pQTL._AC_UL320_.jpg")</f>
        <v>#NAME?</v>
      </c>
      <c r="I305" t="s">
        <v>1220</v>
      </c>
      <c r="J305">
        <v>99.95</v>
      </c>
      <c r="K305" s="2" t="s">
        <v>1221</v>
      </c>
      <c r="L305">
        <v>4.5999999999999996</v>
      </c>
      <c r="M305">
        <v>47</v>
      </c>
      <c r="O305" t="s">
        <v>33</v>
      </c>
      <c r="P305" t="s">
        <v>88</v>
      </c>
      <c r="Q305" t="s">
        <v>1222</v>
      </c>
    </row>
    <row r="306" spans="1:17" ht="15.75" x14ac:dyDescent="0.25">
      <c r="A306" s="3" t="str">
        <f>HYPERLINK("https://www.als.com/feetur-elite-ultra-light-no-show-tab/p?skuId=1300203", "https://www.als.com/feetur-elite-ultra-light-no-show-tab/p?skuId=1300203")</f>
        <v>https://www.als.com/feetur-elite-ultra-light-no-show-tab/p?skuId=1300203</v>
      </c>
      <c r="B306" s="3" t="str">
        <f>HYPERLINK("https://www.als.com/feetur-elite-ultra-light-no-show-tab/p", "https://www.als.com/feetur-elite-ultra-light-no-show-tab/p")</f>
        <v>https://www.als.com/feetur-elite-ultra-light-no-show-tab/p</v>
      </c>
      <c r="C306" t="s">
        <v>759</v>
      </c>
      <c r="D306" t="s">
        <v>1229</v>
      </c>
      <c r="E306" s="3" t="str">
        <f>HYPERLINK("https://www.amazon.com/Peloton-Elite-Ultra-Light-No-Show-Multi-Color/dp/B0B5HNN96J/ref=sr_1_11?keywords=Feetures+Elite+Ultra+Light+No+Show+Tab+Sock&amp;qid=1695124156&amp;sr=8-11", "https://www.amazon.com/Peloton-Elite-Ultra-Light-No-Show-Multi-Color/dp/B0B5HNN96J/ref=sr_1_11?keywords=Feetures+Elite+Ultra+Light+No+Show+Tab+Sock&amp;qid=1695124156&amp;sr=8-11")</f>
        <v>https://www.amazon.com/Peloton-Elite-Ultra-Light-No-Show-Multi-Color/dp/B0B5HNN96J/ref=sr_1_11?keywords=Feetures+Elite+Ultra+Light+No+Show+Tab+Sock&amp;qid=1695124156&amp;sr=8-11</v>
      </c>
      <c r="F306" t="s">
        <v>1230</v>
      </c>
      <c r="G306" t="e">
        <f ca="1">IMAGE("https://alssports.vtexassets.com/arquivos/ids/1251907-800-auto?v=638131172255300000&amp;width=800&amp;height=auto&amp;aspect=true")</f>
        <v>#NAME?</v>
      </c>
      <c r="H306" t="e">
        <f ca="1">IMAGE("https://m.media-amazon.com/images/I/61MAVyz8vdL._AC_UL320_.jpg")</f>
        <v>#NAME?</v>
      </c>
      <c r="I306" t="s">
        <v>762</v>
      </c>
      <c r="J306">
        <v>16</v>
      </c>
      <c r="K306" s="2" t="s">
        <v>1231</v>
      </c>
      <c r="L306">
        <v>5</v>
      </c>
      <c r="M306">
        <v>1</v>
      </c>
      <c r="O306" t="s">
        <v>33</v>
      </c>
      <c r="P306" t="s">
        <v>26</v>
      </c>
      <c r="Q306" t="s">
        <v>764</v>
      </c>
    </row>
    <row r="307" spans="1:17" ht="15.75" x14ac:dyDescent="0.25">
      <c r="A307" s="3" t="str">
        <f>HYPERLINK("https://www.als.com/frogg-w-hllbndr-pr-stckngft-chst-wdr/p?skuId=1241964", "https://www.als.com/frogg-w-hllbndr-pr-stckngft-chst-wdr/p?skuId=1241964")</f>
        <v>https://www.als.com/frogg-w-hllbndr-pr-stckngft-chst-wdr/p?skuId=1241964</v>
      </c>
      <c r="B307" s="3" t="str">
        <f>HYPERLINK("https://www.als.com/frogg-w-hllbndr-pr-stckngft-chst-wdr/p", "https://www.als.com/frogg-w-hllbndr-pr-stckngft-chst-wdr/p")</f>
        <v>https://www.als.com/frogg-w-hllbndr-pr-stckngft-chst-wdr/p</v>
      </c>
      <c r="C307" t="s">
        <v>1232</v>
      </c>
      <c r="D307" t="s">
        <v>1233</v>
      </c>
      <c r="E307" s="3" t="str">
        <f>HYPERLINK("https://www.amazon.com/Frogg-Toggs-Stockingfoot-Chest-Waders/dp/B07W1L7QN3/ref=sr_1_6?keywords=frogg+toggs+Hellbender+Stockingfoot+Chest+Wader+-+Women%27s&amp;qid=1695124440&amp;sr=8-6", "https://www.amazon.com/Frogg-Toggs-Stockingfoot-Chest-Waders/dp/B07W1L7QN3/ref=sr_1_6?keywords=frogg+toggs+Hellbender+Stockingfoot+Chest+Wader+-+Women%27s&amp;qid=1695124440&amp;sr=8-6")</f>
        <v>https://www.amazon.com/Frogg-Toggs-Stockingfoot-Chest-Waders/dp/B07W1L7QN3/ref=sr_1_6?keywords=frogg+toggs+Hellbender+Stockingfoot+Chest+Wader+-+Women%27s&amp;qid=1695124440&amp;sr=8-6</v>
      </c>
      <c r="F307" t="s">
        <v>1234</v>
      </c>
      <c r="G307" t="e">
        <f ca="1">IMAGE("https://alssports.vtexassets.com/arquivos/ids/1333945-800-auto?v=638210819977900000&amp;width=800&amp;height=auto&amp;aspect=true")</f>
        <v>#NAME?</v>
      </c>
      <c r="H307" t="e">
        <f ca="1">IMAGE("https://m.media-amazon.com/images/I/51TE6snjbqL._AC_UL320_.jpg")</f>
        <v>#NAME?</v>
      </c>
      <c r="I307" t="s">
        <v>1064</v>
      </c>
      <c r="J307">
        <v>98</v>
      </c>
      <c r="K307" s="2" t="s">
        <v>1235</v>
      </c>
      <c r="L307">
        <v>4.0999999999999996</v>
      </c>
      <c r="M307">
        <v>21</v>
      </c>
      <c r="O307" t="s">
        <v>33</v>
      </c>
      <c r="P307" t="s">
        <v>1236</v>
      </c>
      <c r="Q307" t="s">
        <v>1237</v>
      </c>
    </row>
    <row r="308" spans="1:17" ht="15.75" x14ac:dyDescent="0.25">
      <c r="A308" s="3" t="str">
        <f>HYPERLINK("https://www.als.com/vans-shoe-ultrarange-rapidweld/p?skuId=1276177", "https://www.als.com/vans-shoe-ultrarange-rapidweld/p?skuId=1276177")</f>
        <v>https://www.als.com/vans-shoe-ultrarange-rapidweld/p?skuId=1276177</v>
      </c>
      <c r="B308" s="3" t="str">
        <f>HYPERLINK("https://www.als.com/vans-shoe-ultrarange-rapidweld/p", "https://www.als.com/vans-shoe-ultrarange-rapidweld/p")</f>
        <v>https://www.als.com/vans-shoe-ultrarange-rapidweld/p</v>
      </c>
      <c r="C308" t="s">
        <v>1238</v>
      </c>
      <c r="D308" t="s">
        <v>1239</v>
      </c>
      <c r="E308" s="3" t="str">
        <f>HYPERLINK("https://www.amazon.com/Vans-UltraRange-Fashion-Sneaker-Numeric_4_Point_5/dp/B07QJXNR9H/ref=sr_1_10?keywords=Vans+Ultrarange+Rapidweld+Shoe&amp;qid=1695124090&amp;sr=8-10", "https://www.amazon.com/Vans-UltraRange-Fashion-Sneaker-Numeric_4_Point_5/dp/B07QJXNR9H/ref=sr_1_10?keywords=Vans+Ultrarange+Rapidweld+Shoe&amp;qid=1695124090&amp;sr=8-10")</f>
        <v>https://www.amazon.com/Vans-UltraRange-Fashion-Sneaker-Numeric_4_Point_5/dp/B07QJXNR9H/ref=sr_1_10?keywords=Vans+Ultrarange+Rapidweld+Shoe&amp;qid=1695124090&amp;sr=8-10</v>
      </c>
      <c r="F308" t="s">
        <v>1240</v>
      </c>
      <c r="G308" t="e">
        <f ca="1">IMAGE("https://alssports.vtexassets.com/arquivos/ids/1360872-800-auto?v=638235002858000000&amp;width=800&amp;height=auto&amp;aspect=true")</f>
        <v>#NAME?</v>
      </c>
      <c r="H308" t="e">
        <f ca="1">IMAGE("https://m.media-amazon.com/images/I/51hnl44Lh6S._AC_UL320_.jpg")</f>
        <v>#NAME?</v>
      </c>
      <c r="I308" t="s">
        <v>928</v>
      </c>
      <c r="J308">
        <v>80</v>
      </c>
      <c r="K308" s="2" t="s">
        <v>1241</v>
      </c>
      <c r="L308">
        <v>4.5999999999999996</v>
      </c>
      <c r="M308">
        <v>6</v>
      </c>
      <c r="O308" t="s">
        <v>33</v>
      </c>
      <c r="P308" t="s">
        <v>26</v>
      </c>
      <c r="Q308" t="s">
        <v>1242</v>
      </c>
    </row>
    <row r="309" spans="1:17" ht="15.75" x14ac:dyDescent="0.25">
      <c r="A309" s="3" t="str">
        <f>HYPERLINK("https://www.als.com/laspor-shoe-approach-tx4-r/p?skuId=1282021", "https://www.als.com/laspor-shoe-approach-tx4-r/p?skuId=1282021")</f>
        <v>https://www.als.com/laspor-shoe-approach-tx4-r/p?skuId=1282021</v>
      </c>
      <c r="B309" s="3" t="str">
        <f>HYPERLINK("https://www.als.com/laspor-shoe-approach-tx4-r/p", "https://www.als.com/laspor-shoe-approach-tx4-r/p")</f>
        <v>https://www.als.com/laspor-shoe-approach-tx4-r/p</v>
      </c>
      <c r="C309" t="s">
        <v>217</v>
      </c>
      <c r="D309" t="s">
        <v>1243</v>
      </c>
      <c r="E309" s="3" t="str">
        <f>HYPERLINK("https://www.amazon.com/Sportiva-Approach-Hiking-Shoes-Carbon/dp/B07M9X6BPR/ref=sr_1_3?keywords=La+Sportiva+TX4+Shoe+-+Mens&amp;qid=1695124396&amp;sr=8-3", "https://www.amazon.com/Sportiva-Approach-Hiking-Shoes-Carbon/dp/B07M9X6BPR/ref=sr_1_3?keywords=La+Sportiva+TX4+Shoe+-+Mens&amp;qid=1695124396&amp;sr=8-3")</f>
        <v>https://www.amazon.com/Sportiva-Approach-Hiking-Shoes-Carbon/dp/B07M9X6BPR/ref=sr_1_3?keywords=La+Sportiva+TX4+Shoe+-+Mens&amp;qid=1695124396&amp;sr=8-3</v>
      </c>
      <c r="F309" t="s">
        <v>1244</v>
      </c>
      <c r="G309" t="e">
        <f ca="1">IMAGE("https://alssports.vtexassets.com/arquivos/ids/1257651-800-auto?v=638134817479900000&amp;width=800&amp;height=auto&amp;aspect=true")</f>
        <v>#NAME?</v>
      </c>
      <c r="H309" t="e">
        <f ca="1">IMAGE("https://m.media-amazon.com/images/I/71ZWs9yMkuL._AC_UL320_.jpg")</f>
        <v>#NAME?</v>
      </c>
      <c r="I309" t="s">
        <v>220</v>
      </c>
      <c r="J309">
        <v>158.94999999999999</v>
      </c>
      <c r="K309" s="2" t="s">
        <v>1245</v>
      </c>
      <c r="L309">
        <v>4.5</v>
      </c>
      <c r="M309">
        <v>214</v>
      </c>
      <c r="O309" t="s">
        <v>33</v>
      </c>
      <c r="P309" t="s">
        <v>26</v>
      </c>
      <c r="Q309" t="s">
        <v>221</v>
      </c>
    </row>
    <row r="310" spans="1:17" ht="15.75" x14ac:dyDescent="0.25">
      <c r="A310" s="3" t="str">
        <f>HYPERLINK("https://www.als.com/outres-hat-sombriolet-sun-hat/p?skuId=54000", "https://www.als.com/outres-hat-sombriolet-sun-hat/p?skuId=54000")</f>
        <v>https://www.als.com/outres-hat-sombriolet-sun-hat/p?skuId=54000</v>
      </c>
      <c r="B310" s="3" t="str">
        <f>HYPERLINK("https://www.als.com/outres-hat-sombriolet-sun-hat/p", "https://www.als.com/outres-hat-sombriolet-sun-hat/p")</f>
        <v>https://www.als.com/outres-hat-sombriolet-sun-hat/p</v>
      </c>
      <c r="C310" t="s">
        <v>295</v>
      </c>
      <c r="D310" t="s">
        <v>1246</v>
      </c>
      <c r="E310" s="3" t="str">
        <f>HYPERLINK("https://www.amazon.com/Outdoor-Research-Helios-Fatigue-X-Large/dp/B005BVXZUK/ref=sr_1_2?keywords=Outdoor+Research+Sombriolet+Sun+Hat&amp;qid=1695124354&amp;sr=8-2", "https://www.amazon.com/Outdoor-Research-Helios-Fatigue-X-Large/dp/B005BVXZUK/ref=sr_1_2?keywords=Outdoor+Research+Sombriolet+Sun+Hat&amp;qid=1695124354&amp;sr=8-2")</f>
        <v>https://www.amazon.com/Outdoor-Research-Helios-Fatigue-X-Large/dp/B005BVXZUK/ref=sr_1_2?keywords=Outdoor+Research+Sombriolet+Sun+Hat&amp;qid=1695124354&amp;sr=8-2</v>
      </c>
      <c r="F310" t="s">
        <v>1247</v>
      </c>
      <c r="G310" t="e">
        <f ca="1">IMAGE("https://alssports.vtexassets.com/arquivos/ids/1085324-800-auto?v=637917182267970000&amp;width=800&amp;height=auto&amp;aspect=true")</f>
        <v>#NAME?</v>
      </c>
      <c r="H310" t="e">
        <f ca="1">IMAGE("https://m.media-amazon.com/images/I/61NfDCs1UsL._AC_UL320_.jpg")</f>
        <v>#NAME?</v>
      </c>
      <c r="I310" t="s">
        <v>298</v>
      </c>
      <c r="J310">
        <v>23.97</v>
      </c>
      <c r="K310" s="2" t="s">
        <v>1248</v>
      </c>
      <c r="L310">
        <v>4.5</v>
      </c>
      <c r="M310">
        <v>959</v>
      </c>
      <c r="O310" t="s">
        <v>26</v>
      </c>
      <c r="P310" t="s">
        <v>300</v>
      </c>
      <c r="Q310" t="s">
        <v>301</v>
      </c>
    </row>
    <row r="311" spans="1:17" ht="15.75" x14ac:dyDescent="0.25">
      <c r="A311" s="3" t="str">
        <f>HYPERLINK("https://www.als.com/outres-hat-sombriolet-sun-hat/p?skuId=54000", "https://www.als.com/outres-hat-sombriolet-sun-hat/p?skuId=54000")</f>
        <v>https://www.als.com/outres-hat-sombriolet-sun-hat/p?skuId=54000</v>
      </c>
      <c r="B311" s="3" t="str">
        <f>HYPERLINK("https://www.als.com/outres-hat-sombriolet-sun-hat/p", "https://www.als.com/outres-hat-sombriolet-sun-hat/p")</f>
        <v>https://www.als.com/outres-hat-sombriolet-sun-hat/p</v>
      </c>
      <c r="C311" t="s">
        <v>295</v>
      </c>
      <c r="D311" t="s">
        <v>1249</v>
      </c>
      <c r="E311" s="3" t="str">
        <f>HYPERLINK("https://www.amazon.com/Outdoor-Research-Papyrus-Walnut-Medium/dp/B00M45IK9W/ref=sr_1_14?keywords=Outdoor+Research+Sombriolet+Sun+Hat&amp;qid=1695124354&amp;sr=8-14", "https://www.amazon.com/Outdoor-Research-Papyrus-Walnut-Medium/dp/B00M45IK9W/ref=sr_1_14?keywords=Outdoor+Research+Sombriolet+Sun+Hat&amp;qid=1695124354&amp;sr=8-14")</f>
        <v>https://www.amazon.com/Outdoor-Research-Papyrus-Walnut-Medium/dp/B00M45IK9W/ref=sr_1_14?keywords=Outdoor+Research+Sombriolet+Sun+Hat&amp;qid=1695124354&amp;sr=8-14</v>
      </c>
      <c r="F311" t="s">
        <v>1250</v>
      </c>
      <c r="G311" t="e">
        <f ca="1">IMAGE("https://alssports.vtexassets.com/arquivos/ids/1085324-800-auto?v=637917182267970000&amp;width=800&amp;height=auto&amp;aspect=true")</f>
        <v>#NAME?</v>
      </c>
      <c r="H311" t="e">
        <f ca="1">IMAGE("https://m.media-amazon.com/images/I/71VUpo9zWVL._AC_UL320_.jpg")</f>
        <v>#NAME?</v>
      </c>
      <c r="I311" t="s">
        <v>298</v>
      </c>
      <c r="J311">
        <v>23.97</v>
      </c>
      <c r="K311" s="2" t="s">
        <v>1248</v>
      </c>
      <c r="L311">
        <v>3.8</v>
      </c>
      <c r="M311">
        <v>379</v>
      </c>
      <c r="O311" t="s">
        <v>26</v>
      </c>
      <c r="P311" t="s">
        <v>300</v>
      </c>
      <c r="Q311" t="s">
        <v>301</v>
      </c>
    </row>
    <row r="312" spans="1:17" ht="15.75" x14ac:dyDescent="0.25">
      <c r="A312" s="3" t="str">
        <f>HYPERLINK("https://www.als.com/adidas-m-shoe-ultraboost-light/p?skuId=1285844", "https://www.als.com/adidas-m-shoe-ultraboost-light/p?skuId=1285844")</f>
        <v>https://www.als.com/adidas-m-shoe-ultraboost-light/p?skuId=1285844</v>
      </c>
      <c r="B312" s="3" t="str">
        <f>HYPERLINK("https://www.als.com/adidas-m-shoe-ultraboost-light/p", "https://www.als.com/adidas-m-shoe-ultraboost-light/p")</f>
        <v>https://www.als.com/adidas-m-shoe-ultraboost-light/p</v>
      </c>
      <c r="C312" t="s">
        <v>1251</v>
      </c>
      <c r="D312" t="s">
        <v>1252</v>
      </c>
      <c r="E312" s="3" t="str">
        <f>HYPERLINK("https://www.amazon.com/adidas-Ultraboost-Shoes-Mens-White/dp/B09PKXV9R6/ref=sr_1_47?keywords=Adidas+Ultraboost+Light+Running+Shoe&amp;qid=1695124091&amp;sr=8-47", "https://www.amazon.com/adidas-Ultraboost-Shoes-Mens-White/dp/B09PKXV9R6/ref=sr_1_47?keywords=Adidas+Ultraboost+Light+Running+Shoe&amp;qid=1695124091&amp;sr=8-47")</f>
        <v>https://www.amazon.com/adidas-Ultraboost-Shoes-Mens-White/dp/B09PKXV9R6/ref=sr_1_47?keywords=Adidas+Ultraboost+Light+Running+Shoe&amp;qid=1695124091&amp;sr=8-47</v>
      </c>
      <c r="F312" t="s">
        <v>1253</v>
      </c>
      <c r="G312" t="e">
        <f ca="1">IMAGE("https://alssports.vtexassets.com/arquivos/ids/1287149-800-auto?v=638163171209800000&amp;width=800&amp;height=auto&amp;aspect=true")</f>
        <v>#NAME?</v>
      </c>
      <c r="H312" t="e">
        <f ca="1">IMAGE("https://m.media-amazon.com/images/I/5120I5NaO-L._AC_UL320_.jpg")</f>
        <v>#NAME?</v>
      </c>
      <c r="I312" t="s">
        <v>480</v>
      </c>
      <c r="J312">
        <v>67.180000000000007</v>
      </c>
      <c r="K312" s="2" t="s">
        <v>1254</v>
      </c>
      <c r="L312">
        <v>4.2</v>
      </c>
      <c r="M312">
        <v>357</v>
      </c>
      <c r="O312" t="s">
        <v>33</v>
      </c>
      <c r="P312" t="s">
        <v>482</v>
      </c>
      <c r="Q312" t="s">
        <v>1255</v>
      </c>
    </row>
    <row r="313" spans="1:17" ht="15.75" x14ac:dyDescent="0.25">
      <c r="A313" s="3" t="str">
        <f>HYPERLINK("https://www.als.com/adidas-m-shoe-ultraboost-22/p?skuId=1085421", "https://www.als.com/adidas-m-shoe-ultraboost-22/p?skuId=1085421")</f>
        <v>https://www.als.com/adidas-m-shoe-ultraboost-22/p?skuId=1085421</v>
      </c>
      <c r="B313" s="3" t="str">
        <f>HYPERLINK("https://www.als.com/adidas-m-shoe-ultraboost-22/p", "https://www.als.com/adidas-m-shoe-ultraboost-22/p")</f>
        <v>https://www.als.com/adidas-m-shoe-ultraboost-22/p</v>
      </c>
      <c r="C313" t="s">
        <v>477</v>
      </c>
      <c r="D313" t="s">
        <v>1252</v>
      </c>
      <c r="E313" s="3" t="str">
        <f>HYPERLINK("https://www.amazon.com/adidas-Ultraboost-Shoes-Mens-White/dp/B09PKXV9R6/ref=sr_1_32?keywords=adidas+Ultraboost+22+Running+Shoe+-+Mens&amp;qid=1695124353&amp;sr=8-32", "https://www.amazon.com/adidas-Ultraboost-Shoes-Mens-White/dp/B09PKXV9R6/ref=sr_1_32?keywords=adidas+Ultraboost+22+Running+Shoe+-+Mens&amp;qid=1695124353&amp;sr=8-32")</f>
        <v>https://www.amazon.com/adidas-Ultraboost-Shoes-Mens-White/dp/B09PKXV9R6/ref=sr_1_32?keywords=adidas+Ultraboost+22+Running+Shoe+-+Mens&amp;qid=1695124353&amp;sr=8-32</v>
      </c>
      <c r="F313" t="s">
        <v>1253</v>
      </c>
      <c r="G313" t="e">
        <f ca="1">IMAGE("https://alssports.vtexassets.com/arquivos/ids/1159986-800-auto?v=638023104026230000&amp;width=800&amp;height=auto&amp;aspect=true")</f>
        <v>#NAME?</v>
      </c>
      <c r="H313" t="e">
        <f ca="1">IMAGE("https://m.media-amazon.com/images/I/5120I5NaO-L._AC_UL320_.jpg")</f>
        <v>#NAME?</v>
      </c>
      <c r="I313" t="s">
        <v>480</v>
      </c>
      <c r="J313">
        <v>67.180000000000007</v>
      </c>
      <c r="K313" s="2" t="s">
        <v>1254</v>
      </c>
      <c r="L313">
        <v>4.2</v>
      </c>
      <c r="M313">
        <v>357</v>
      </c>
      <c r="O313" t="s">
        <v>33</v>
      </c>
      <c r="P313" t="s">
        <v>482</v>
      </c>
      <c r="Q313" t="s">
        <v>483</v>
      </c>
    </row>
    <row r="314" spans="1:17" ht="15.75" x14ac:dyDescent="0.25">
      <c r="A314" s="3" t="str">
        <f>HYPERLINK("https://www.als.com/frogg-w-hllbndr-pr-stckngft-chst-wdr/p?skuId=1241964", "https://www.als.com/frogg-w-hllbndr-pr-stckngft-chst-wdr/p?skuId=1241964")</f>
        <v>https://www.als.com/frogg-w-hllbndr-pr-stckngft-chst-wdr/p?skuId=1241964</v>
      </c>
      <c r="B314" s="3" t="str">
        <f>HYPERLINK("https://www.als.com/frogg-w-hllbndr-pr-stckngft-chst-wdr/p", "https://www.als.com/frogg-w-hllbndr-pr-stckngft-chst-wdr/p")</f>
        <v>https://www.als.com/frogg-w-hllbndr-pr-stckngft-chst-wdr/p</v>
      </c>
      <c r="C314" t="s">
        <v>1232</v>
      </c>
      <c r="D314" t="s">
        <v>885</v>
      </c>
      <c r="E314" s="3" t="str">
        <f>HYPERLINK("https://www.amazon.com/Frogg-Toggs-Neoprene-Stockingfoot-X-Large/dp/B000ODM858/ref=sr_1_14?keywords=frogg+toggs+Hellbender+Stockingfoot+Chest+Wader+-+Women%27s&amp;qid=1695124440&amp;sr=8-14", "https://www.amazon.com/Frogg-Toggs-Neoprene-Stockingfoot-X-Large/dp/B000ODM858/ref=sr_1_14?keywords=frogg+toggs+Hellbender+Stockingfoot+Chest+Wader+-+Women%27s&amp;qid=1695124440&amp;sr=8-14")</f>
        <v>https://www.amazon.com/Frogg-Toggs-Neoprene-Stockingfoot-X-Large/dp/B000ODM858/ref=sr_1_14?keywords=frogg+toggs+Hellbender+Stockingfoot+Chest+Wader+-+Women%27s&amp;qid=1695124440&amp;sr=8-14</v>
      </c>
      <c r="F314" t="s">
        <v>1256</v>
      </c>
      <c r="G314" t="e">
        <f ca="1">IMAGE("https://alssports.vtexassets.com/arquivos/ids/1333945-800-auto?v=638210819977900000&amp;width=800&amp;height=auto&amp;aspect=true")</f>
        <v>#NAME?</v>
      </c>
      <c r="H314" t="e">
        <f ca="1">IMAGE("https://m.media-amazon.com/images/I/71U52QM5cIL._AC_UL320_.jpg")</f>
        <v>#NAME?</v>
      </c>
      <c r="I314" t="s">
        <v>1064</v>
      </c>
      <c r="J314">
        <v>97.23</v>
      </c>
      <c r="K314" s="2" t="s">
        <v>1257</v>
      </c>
      <c r="L314">
        <v>4.2</v>
      </c>
      <c r="M314">
        <v>145</v>
      </c>
      <c r="O314" t="s">
        <v>33</v>
      </c>
      <c r="P314" t="s">
        <v>1236</v>
      </c>
      <c r="Q314" t="s">
        <v>1237</v>
      </c>
    </row>
    <row r="315" spans="1:17" ht="15.75" x14ac:dyDescent="0.25">
      <c r="A315" s="3" t="str">
        <f>HYPERLINK("https://www.als.com/heydud-m-shoe-wally-sox/p?skuId=599419", "https://www.als.com/heydud-m-shoe-wally-sox/p?skuId=599419")</f>
        <v>https://www.als.com/heydud-m-shoe-wally-sox/p?skuId=599419</v>
      </c>
      <c r="B315" s="3" t="str">
        <f>HYPERLINK("https://www.als.com/heydud-m-shoe-wally-sox/p", "https://www.als.com/heydud-m-shoe-wally-sox/p")</f>
        <v>https://www.als.com/heydud-m-shoe-wally-sox/p</v>
      </c>
      <c r="C315" t="s">
        <v>1195</v>
      </c>
      <c r="D315" t="s">
        <v>1258</v>
      </c>
      <c r="E315" s="3" t="str">
        <f>HYPERLINK("https://www.amazon.com/Hey-Dude-Loafers-Comfortable-Light-Weight/dp/B0B9WN1R8K/ref=sr_1_54?keywords=Hey+Dude+Wally+Sox+Shoe+-+Mens&amp;qid=1695124371&amp;sr=8-54", "https://www.amazon.com/Hey-Dude-Loafers-Comfortable-Light-Weight/dp/B0B9WN1R8K/ref=sr_1_54?keywords=Hey+Dude+Wally+Sox+Shoe+-+Mens&amp;qid=1695124371&amp;sr=8-54")</f>
        <v>https://www.amazon.com/Hey-Dude-Loafers-Comfortable-Light-Weight/dp/B0B9WN1R8K/ref=sr_1_54?keywords=Hey+Dude+Wally+Sox+Shoe+-+Mens&amp;qid=1695124371&amp;sr=8-54</v>
      </c>
      <c r="F315" t="s">
        <v>1259</v>
      </c>
      <c r="G315" t="e">
        <f ca="1">IMAGE("https://alssports.vtexassets.com/arquivos/ids/1385947-800-auto?v=638254856063700000&amp;width=800&amp;height=auto&amp;aspect=true")</f>
        <v>#NAME?</v>
      </c>
      <c r="H315" t="e">
        <f ca="1">IMAGE("https://m.media-amazon.com/images/I/717svx1LvVL._AC_UL320_.jpg")</f>
        <v>#NAME?</v>
      </c>
      <c r="I315" t="s">
        <v>1198</v>
      </c>
      <c r="J315">
        <v>31.79</v>
      </c>
      <c r="K315" s="2" t="s">
        <v>1260</v>
      </c>
      <c r="L315">
        <v>4.5999999999999996</v>
      </c>
      <c r="M315">
        <v>14</v>
      </c>
      <c r="O315" t="s">
        <v>33</v>
      </c>
      <c r="P315" t="s">
        <v>169</v>
      </c>
      <c r="Q315" t="s">
        <v>1200</v>
      </c>
    </row>
    <row r="316" spans="1:17" ht="15.75" x14ac:dyDescent="0.25">
      <c r="A316" s="3" t="str">
        <f>HYPERLINK("https://www.als.com/under-ua-drive-pant/p?skuId=997492", "https://www.als.com/under-ua-drive-pant/p?skuId=997492")</f>
        <v>https://www.als.com/under-ua-drive-pant/p?skuId=997492</v>
      </c>
      <c r="B316" s="3" t="str">
        <f>HYPERLINK("https://www.als.com/under-ua-drive-pant/p", "https://www.als.com/under-ua-drive-pant/p")</f>
        <v>https://www.als.com/under-ua-drive-pant/p</v>
      </c>
      <c r="C316" t="s">
        <v>452</v>
      </c>
      <c r="D316" t="s">
        <v>1261</v>
      </c>
      <c r="E316" s="3" t="str">
        <f>HYPERLINK("https://www.amazon.com/Under-Armour-Brawler-Pants-Medium/dp/B08LNMJKKT/ref=sr_1_26?keywords=Under+Armour+Drive+Pant+-+Men%27s&amp;qid=1695124299&amp;sr=8-26", "https://www.amazon.com/Under-Armour-Brawler-Pants-Medium/dp/B08LNMJKKT/ref=sr_1_26?keywords=Under+Armour+Drive+Pant+-+Men%27s&amp;qid=1695124299&amp;sr=8-26")</f>
        <v>https://www.amazon.com/Under-Armour-Brawler-Pants-Medium/dp/B08LNMJKKT/ref=sr_1_26?keywords=Under+Armour+Drive+Pant+-+Men%27s&amp;qid=1695124299&amp;sr=8-26</v>
      </c>
      <c r="F316" t="s">
        <v>1262</v>
      </c>
      <c r="G316" t="e">
        <f ca="1">IMAGE("https://alssports.vtexassets.com/arquivos/ids/1442508-800-auto?v=638291812057330000&amp;width=800&amp;height=auto&amp;aspect=true")</f>
        <v>#NAME?</v>
      </c>
      <c r="H316" t="e">
        <f ca="1">IMAGE("https://m.media-amazon.com/images/I/417sSTJxKGL._AC_UL320_.jpg")</f>
        <v>#NAME?</v>
      </c>
      <c r="I316" t="s">
        <v>455</v>
      </c>
      <c r="J316">
        <v>45</v>
      </c>
      <c r="K316" s="2" t="s">
        <v>1263</v>
      </c>
      <c r="L316">
        <v>4.5999999999999996</v>
      </c>
      <c r="M316">
        <v>1516</v>
      </c>
      <c r="O316" t="s">
        <v>26</v>
      </c>
      <c r="P316" t="s">
        <v>457</v>
      </c>
      <c r="Q316" t="s">
        <v>458</v>
      </c>
    </row>
    <row r="317" spans="1:17" ht="15.75" x14ac:dyDescent="0.25">
      <c r="A317" s="3" t="str">
        <f>HYPERLINK("https://www.als.com/crocs-classic-clog/p?skuId=1196935", "https://www.als.com/crocs-classic-clog/p?skuId=1196935")</f>
        <v>https://www.als.com/crocs-classic-clog/p?skuId=1196935</v>
      </c>
      <c r="B317" s="3" t="str">
        <f>HYPERLINK("https://www.als.com/crocs-classic-clog/p", "https://www.als.com/crocs-classic-clog/p")</f>
        <v>https://www.als.com/crocs-classic-clog/p</v>
      </c>
      <c r="C317" t="s">
        <v>1100</v>
      </c>
      <c r="D317" t="s">
        <v>1264</v>
      </c>
      <c r="E317" s="3"/>
      <c r="F317" t="s">
        <v>1265</v>
      </c>
      <c r="G317" t="e">
        <f ca="1">IMAGE("https://alssports.vtexassets.com/arquivos/ids/1222253-800-auto?v=638102875835800000&amp;width=800&amp;height=auto&amp;aspect=true")</f>
        <v>#NAME?</v>
      </c>
      <c r="H317" t="e">
        <f ca="1">IMAGE("https://m.media-amazon.com/images/I/61FbH1XO6-L._AC_UL320_.jpg")</f>
        <v>#NAME?</v>
      </c>
      <c r="I317" t="s">
        <v>157</v>
      </c>
      <c r="J317">
        <v>44.03</v>
      </c>
      <c r="K317" s="2" t="s">
        <v>1266</v>
      </c>
      <c r="L317">
        <v>4.8</v>
      </c>
      <c r="M317">
        <v>531405</v>
      </c>
      <c r="O317" t="s">
        <v>33</v>
      </c>
      <c r="P317" t="s">
        <v>26</v>
      </c>
      <c r="Q317" t="s">
        <v>1103</v>
      </c>
    </row>
    <row r="318" spans="1:17" ht="15.75" x14ac:dyDescent="0.25">
      <c r="A318" s="3" t="str">
        <f>HYPERLINK("https://www.als.com/black-diamond-spot-400-headlamp-101632/p?skuId=931481", "https://www.als.com/black-diamond-spot-400-headlamp-101632/p?skuId=931481")</f>
        <v>https://www.als.com/black-diamond-spot-400-headlamp-101632/p?skuId=931481</v>
      </c>
      <c r="B318" s="3" t="str">
        <f>HYPERLINK("https://www.als.com/black-diamond-spot-400-headlamp-101632/p", "https://www.als.com/black-diamond-spot-400-headlamp-101632/p")</f>
        <v>https://www.als.com/black-diamond-spot-400-headlamp-101632/p</v>
      </c>
      <c r="C318" t="s">
        <v>154</v>
      </c>
      <c r="D318" t="s">
        <v>1267</v>
      </c>
      <c r="E318" s="3" t="str">
        <f>HYPERLINK("https://www.amazon.com/Black-Diamond-Headlamp-Unisex-Lumens/dp/B084JCJXM2/ref=sr_1_4?keywords=Black+Diamond+Spot+400+Headlamp&amp;qid=1695124486&amp;sr=8-4", "https://www.amazon.com/Black-Diamond-Headlamp-Unisex-Lumens/dp/B084JCJXM2/ref=sr_1_4?keywords=Black+Diamond+Spot+400+Headlamp&amp;qid=1695124486&amp;sr=8-4")</f>
        <v>https://www.amazon.com/Black-Diamond-Headlamp-Unisex-Lumens/dp/B084JCJXM2/ref=sr_1_4?keywords=Black+Diamond+Spot+400+Headlamp&amp;qid=1695124486&amp;sr=8-4</v>
      </c>
      <c r="F318" t="s">
        <v>1268</v>
      </c>
      <c r="G318" t="e">
        <f ca="1">IMAGE("https://alssports.vtexassets.com/arquivos/ids/1053612-800-auto?v=637867784637730000&amp;width=800&amp;height=auto&amp;aspect=true")</f>
        <v>#NAME?</v>
      </c>
      <c r="H318" t="e">
        <f ca="1">IMAGE("https://m.media-amazon.com/images/I/71ZOYpbIWYS._AC_UL320_.jpg")</f>
        <v>#NAME?</v>
      </c>
      <c r="I318" t="s">
        <v>157</v>
      </c>
      <c r="J318">
        <v>43.88</v>
      </c>
      <c r="K318" s="2" t="s">
        <v>1269</v>
      </c>
      <c r="L318">
        <v>4.5</v>
      </c>
      <c r="M318">
        <v>1208</v>
      </c>
      <c r="O318" t="s">
        <v>33</v>
      </c>
      <c r="P318" t="s">
        <v>26</v>
      </c>
      <c r="Q318" t="s">
        <v>158</v>
      </c>
    </row>
    <row r="319" spans="1:17" ht="15.75" x14ac:dyDescent="0.25">
      <c r="A319" s="3" t="str">
        <f>HYPERLINK("https://www.als.com/camel-bottle-podium-chill/p?skuId=507099", "https://www.als.com/camel-bottle-podium-chill/p?skuId=507099")</f>
        <v>https://www.als.com/camel-bottle-podium-chill/p?skuId=507099</v>
      </c>
      <c r="B319" s="3" t="str">
        <f>HYPERLINK("https://www.als.com/camel-bottle-podium-chill/p", "https://www.als.com/camel-bottle-podium-chill/p")</f>
        <v>https://www.als.com/camel-bottle-podium-chill/p</v>
      </c>
      <c r="C319" t="s">
        <v>242</v>
      </c>
      <c r="D319" t="s">
        <v>1270</v>
      </c>
      <c r="E319" s="3" t="str">
        <f>HYPERLINK("https://www.amazon.com/CamelBak-Podium-Chill-White-Black/dp/B07HGTSN7X/ref=sr_1_1?keywords=CamelBak+Podium+Chill+24oz+Bike+Bottle&amp;qid=1695124311&amp;sr=8-1", "https://www.amazon.com/CamelBak-Podium-Chill-White-Black/dp/B07HGTSN7X/ref=sr_1_1?keywords=CamelBak+Podium+Chill+24oz+Bike+Bottle&amp;qid=1695124311&amp;sr=8-1")</f>
        <v>https://www.amazon.com/CamelBak-Podium-Chill-White-Black/dp/B07HGTSN7X/ref=sr_1_1?keywords=CamelBak+Podium+Chill+24oz+Bike+Bottle&amp;qid=1695124311&amp;sr=8-1</v>
      </c>
      <c r="F319" t="s">
        <v>1271</v>
      </c>
      <c r="G319" t="e">
        <f ca="1">IMAGE("https://alssports.vtexassets.com/arquivos/ids/234175-800-auto?v=636967507056470000&amp;width=800&amp;height=auto&amp;aspect=true")</f>
        <v>#NAME?</v>
      </c>
      <c r="H319" t="e">
        <f ca="1">IMAGE("https://m.media-amazon.com/images/I/613V1KMO+vL._AC_UL320_.jpg")</f>
        <v>#NAME?</v>
      </c>
      <c r="I319" t="s">
        <v>245</v>
      </c>
      <c r="J319">
        <v>15.78</v>
      </c>
      <c r="K319" s="2" t="s">
        <v>1272</v>
      </c>
      <c r="L319">
        <v>4.7</v>
      </c>
      <c r="M319">
        <v>2685</v>
      </c>
      <c r="O319" t="s">
        <v>33</v>
      </c>
      <c r="P319" t="s">
        <v>26</v>
      </c>
      <c r="Q319" t="s">
        <v>247</v>
      </c>
    </row>
    <row r="320" spans="1:17" ht="15.75" x14ac:dyDescent="0.25">
      <c r="A320" s="3" t="str">
        <f>HYPERLINK("https://www.als.com/heydud-m-shoe-wally-braided/p?skuId=599445", "https://www.als.com/heydud-m-shoe-wally-braided/p?skuId=599445")</f>
        <v>https://www.als.com/heydud-m-shoe-wally-braided/p?skuId=599445</v>
      </c>
      <c r="B320" s="3" t="str">
        <f>HYPERLINK("https://www.als.com/heydud-m-shoe-wally-braided/p", "https://www.als.com/heydud-m-shoe-wally-braided/p")</f>
        <v>https://www.als.com/heydud-m-shoe-wally-braided/p</v>
      </c>
      <c r="C320" t="s">
        <v>506</v>
      </c>
      <c r="D320" t="s">
        <v>1273</v>
      </c>
      <c r="E320" s="3" t="str">
        <f>HYPERLINK("https://www.amazon.com/Hey-Dude-Mens-Wally-Corduroy/dp/B07RSZLVFD/ref=sr_1_29?keywords=Hey+Dude+Wally+Braided+Shoe+-+Mens&amp;qid=1695124451&amp;sr=8-29", "https://www.amazon.com/Hey-Dude-Mens-Wally-Corduroy/dp/B07RSZLVFD/ref=sr_1_29?keywords=Hey+Dude+Wally+Braided+Shoe+-+Mens&amp;qid=1695124451&amp;sr=8-29")</f>
        <v>https://www.amazon.com/Hey-Dude-Mens-Wally-Corduroy/dp/B07RSZLVFD/ref=sr_1_29?keywords=Hey+Dude+Wally+Braided+Shoe+-+Mens&amp;qid=1695124451&amp;sr=8-29</v>
      </c>
      <c r="F320" t="s">
        <v>1274</v>
      </c>
      <c r="G320" t="e">
        <f ca="1">IMAGE("https://alssports.vtexassets.com/arquivos/ids/1386107-800-auto?v=638254870959300000&amp;width=800&amp;height=auto&amp;aspect=true")</f>
        <v>#NAME?</v>
      </c>
      <c r="H320" t="e">
        <f ca="1">IMAGE("https://m.media-amazon.com/images/I/61yTb2VJlVL._AC_UL320_.jpg")</f>
        <v>#NAME?</v>
      </c>
      <c r="I320" t="s">
        <v>58</v>
      </c>
      <c r="J320">
        <v>56.92</v>
      </c>
      <c r="K320" s="2" t="s">
        <v>1275</v>
      </c>
      <c r="L320">
        <v>4.7</v>
      </c>
      <c r="M320">
        <v>1423</v>
      </c>
      <c r="O320" t="s">
        <v>33</v>
      </c>
      <c r="P320" t="s">
        <v>26</v>
      </c>
      <c r="Q320" t="s">
        <v>507</v>
      </c>
    </row>
    <row r="321" spans="1:17" ht="15.75" x14ac:dyDescent="0.25">
      <c r="A321" s="3" t="str">
        <f>HYPERLINK("https://www.als.com/sitka-m-pant-mountain-optifade/p?skuId=90738", "https://www.als.com/sitka-m-pant-mountain-optifade/p?skuId=90738")</f>
        <v>https://www.als.com/sitka-m-pant-mountain-optifade/p?skuId=90738</v>
      </c>
      <c r="B321" s="3" t="str">
        <f>HYPERLINK("https://www.als.com/sitka-m-pant-mountain-optifade/p", "https://www.als.com/sitka-m-pant-mountain-optifade/p")</f>
        <v>https://www.als.com/sitka-m-pant-mountain-optifade/p</v>
      </c>
      <c r="C321" t="s">
        <v>260</v>
      </c>
      <c r="D321" t="s">
        <v>1276</v>
      </c>
      <c r="E321" s="3" t="str">
        <f>HYPERLINK("https://www.amazon.com/Gear-Equinox-Optifade-Subalpine-50247-SA-32R/dp/B0B39GLZVS/ref=sr_1_5?keywords=Sitka+Mountain+Pant+-+Mens&amp;qid=1695124392&amp;sr=8-5", "https://www.amazon.com/Gear-Equinox-Optifade-Subalpine-50247-SA-32R/dp/B0B39GLZVS/ref=sr_1_5?keywords=Sitka+Mountain+Pant+-+Mens&amp;qid=1695124392&amp;sr=8-5")</f>
        <v>https://www.amazon.com/Gear-Equinox-Optifade-Subalpine-50247-SA-32R/dp/B0B39GLZVS/ref=sr_1_5?keywords=Sitka+Mountain+Pant+-+Mens&amp;qid=1695124392&amp;sr=8-5</v>
      </c>
      <c r="F321" t="s">
        <v>1277</v>
      </c>
      <c r="G321" t="e">
        <f ca="1">IMAGE("https://alssports.vtexassets.com/arquivos/ids/1369099-800-auto?v=638242004529500000&amp;width=800&amp;height=auto&amp;aspect=true")</f>
        <v>#NAME?</v>
      </c>
      <c r="H321" t="e">
        <f ca="1">IMAGE("https://m.media-amazon.com/images/I/717PeIah05L._AC_UL320_.jpg")</f>
        <v>#NAME?</v>
      </c>
      <c r="I321" t="s">
        <v>263</v>
      </c>
      <c r="J321">
        <v>182.88</v>
      </c>
      <c r="K321" s="2" t="s">
        <v>1278</v>
      </c>
      <c r="L321">
        <v>5</v>
      </c>
      <c r="M321">
        <v>8</v>
      </c>
      <c r="O321" t="s">
        <v>33</v>
      </c>
      <c r="P321" t="s">
        <v>26</v>
      </c>
      <c r="Q321" t="s">
        <v>264</v>
      </c>
    </row>
    <row r="322" spans="1:17" ht="15.75" x14ac:dyDescent="0.25">
      <c r="A322" s="3" t="str">
        <f>HYPERLINK("https://www.als.com/columbia-snuggly-bunny-bunting-snowsuit-infant-125453/p?skuId=1400162", "https://www.als.com/columbia-snuggly-bunny-bunting-snowsuit-infant-125453/p?skuId=1400162")</f>
        <v>https://www.als.com/columbia-snuggly-bunny-bunting-snowsuit-infant-125453/p?skuId=1400162</v>
      </c>
      <c r="B322" s="3" t="str">
        <f>HYPERLINK("https://www.als.com/columbia-snuggly-bunny-bunting-snowsuit-infant-125453/p", "https://www.als.com/columbia-snuggly-bunny-bunting-snowsuit-infant-125453/p")</f>
        <v>https://www.als.com/columbia-snuggly-bunny-bunting-snowsuit-infant-125453/p</v>
      </c>
      <c r="C322" t="s">
        <v>412</v>
      </c>
      <c r="D322" t="s">
        <v>1279</v>
      </c>
      <c r="E322" s="3" t="str">
        <f>HYPERLINK("https://www.amazon.com/Columbia-Snuggly-Bunny-Bunting-Black/dp/B09KMMQXDD/ref=sr_1_1?keywords=Columbia+Snuggly+Bunny+Bunting+-+Infant&amp;qid=1695124478&amp;sr=8-1", "https://www.amazon.com/Columbia-Snuggly-Bunny-Bunting-Black/dp/B09KMMQXDD/ref=sr_1_1?keywords=Columbia+Snuggly+Bunny+Bunting+-+Infant&amp;qid=1695124478&amp;sr=8-1")</f>
        <v>https://www.amazon.com/Columbia-Snuggly-Bunny-Bunting-Black/dp/B09KMMQXDD/ref=sr_1_1?keywords=Columbia+Snuggly+Bunny+Bunting+-+Infant&amp;qid=1695124478&amp;sr=8-1</v>
      </c>
      <c r="F322" t="s">
        <v>1280</v>
      </c>
      <c r="G322" t="e">
        <f ca="1">IMAGE("https://alssports.vtexassets.com/arquivos/ids/1431685-800-auto?v=638285717173730000&amp;width=800&amp;height=auto&amp;aspect=true")</f>
        <v>#NAME?</v>
      </c>
      <c r="H322" t="e">
        <f ca="1">IMAGE("https://m.media-amazon.com/images/I/61SiH9J2EWL._AC_UL320_.jpg")</f>
        <v>#NAME?</v>
      </c>
      <c r="I322" t="s">
        <v>174</v>
      </c>
      <c r="J322">
        <v>69.989999999999995</v>
      </c>
      <c r="K322" s="2" t="s">
        <v>1278</v>
      </c>
      <c r="L322">
        <v>4.7</v>
      </c>
      <c r="M322">
        <v>398</v>
      </c>
      <c r="O322" t="s">
        <v>33</v>
      </c>
      <c r="P322" t="s">
        <v>416</v>
      </c>
      <c r="Q322" t="s">
        <v>417</v>
      </c>
    </row>
    <row r="323" spans="1:17" ht="15.75" x14ac:dyDescent="0.25">
      <c r="A323" s="3" t="str">
        <f>HYPERLINK("https://www.als.com/altra-w-shoe-timp-4/p?skuId=929220", "https://www.als.com/altra-w-shoe-timp-4/p?skuId=929220")</f>
        <v>https://www.als.com/altra-w-shoe-timp-4/p?skuId=929220</v>
      </c>
      <c r="B323" s="3" t="str">
        <f>HYPERLINK("https://www.als.com/altra-w-shoe-timp-4/p", "https://www.als.com/altra-w-shoe-timp-4/p")</f>
        <v>https://www.als.com/altra-w-shoe-timp-4/p</v>
      </c>
      <c r="C323" t="s">
        <v>829</v>
      </c>
      <c r="D323" t="s">
        <v>1281</v>
      </c>
      <c r="E323" s="3" t="str">
        <f>HYPERLINK("https://www.amazon.com/ALTRA-Womens-AL0A7R7O-Provision-Running/dp/B09Y2BKWRG/ref=sr_1_29?keywords=Altra+Timp+4+Running+Shoe+-+Womens&amp;qid=1695124369&amp;sr=8-29", "https://www.amazon.com/ALTRA-Womens-AL0A7R7O-Provision-Running/dp/B09Y2BKWRG/ref=sr_1_29?keywords=Altra+Timp+4+Running+Shoe+-+Womens&amp;qid=1695124369&amp;sr=8-29")</f>
        <v>https://www.amazon.com/ALTRA-Womens-AL0A7R7O-Provision-Running/dp/B09Y2BKWRG/ref=sr_1_29?keywords=Altra+Timp+4+Running+Shoe+-+Womens&amp;qid=1695124369&amp;sr=8-29</v>
      </c>
      <c r="F323" t="s">
        <v>1282</v>
      </c>
      <c r="G323" t="e">
        <f ca="1">IMAGE("https://alssports.vtexassets.com/arquivos/ids/1112796-800-auto?v=637957454637830000&amp;width=800&amp;height=auto&amp;aspect=true")</f>
        <v>#NAME?</v>
      </c>
      <c r="H323" t="e">
        <f ca="1">IMAGE("https://m.media-amazon.com/images/I/71QbMLEtazL._AC_UL320_.jpg")</f>
        <v>#NAME?</v>
      </c>
      <c r="I323" t="s">
        <v>88</v>
      </c>
      <c r="J323">
        <v>139.94999999999999</v>
      </c>
      <c r="K323" s="2" t="s">
        <v>1278</v>
      </c>
      <c r="L323">
        <v>4.3</v>
      </c>
      <c r="M323">
        <v>81</v>
      </c>
      <c r="O323" t="s">
        <v>33</v>
      </c>
      <c r="P323" t="s">
        <v>832</v>
      </c>
      <c r="Q323" t="s">
        <v>833</v>
      </c>
    </row>
    <row r="324" spans="1:17" ht="15.75" x14ac:dyDescent="0.25">
      <c r="A324" s="3" t="str">
        <f>HYPERLINK("https://www.als.com/billab-w-shirt-feeling-free/p?skuId=1290204", "https://www.als.com/billab-w-shirt-feeling-free/p?skuId=1290204")</f>
        <v>https://www.als.com/billab-w-shirt-feeling-free/p?skuId=1290204</v>
      </c>
      <c r="B324" s="3" t="str">
        <f>HYPERLINK("https://www.als.com/billab-w-shirt-feeling-free/p", "https://www.als.com/billab-w-shirt-feeling-free/p")</f>
        <v>https://www.als.com/billab-w-shirt-feeling-free/p</v>
      </c>
      <c r="C324" t="s">
        <v>1283</v>
      </c>
      <c r="D324" t="s">
        <v>1284</v>
      </c>
      <c r="E324" s="3" t="str">
        <f>HYPERLINK("https://www.amazon.com/Billabong-Feeling-Free-Coral-Crush/dp/B0BQDWMRDW/ref=sr_1_2?keywords=Billabong+Feeling+Free+Boxy+T-Shirt+-+Women%27s&amp;qid=1695124369&amp;sr=8-2", "https://www.amazon.com/Billabong-Feeling-Free-Coral-Crush/dp/B0BQDWMRDW/ref=sr_1_2?keywords=Billabong+Feeling+Free+Boxy+T-Shirt+-+Women%27s&amp;qid=1695124369&amp;sr=8-2")</f>
        <v>https://www.amazon.com/Billabong-Feeling-Free-Coral-Crush/dp/B0BQDWMRDW/ref=sr_1_2?keywords=Billabong+Feeling+Free+Boxy+T-Shirt+-+Women%27s&amp;qid=1695124369&amp;sr=8-2</v>
      </c>
      <c r="F324" t="s">
        <v>1285</v>
      </c>
      <c r="G324" t="e">
        <f ca="1">IMAGE("https://alssports.vtexassets.com/arquivos/ids/1330995-800-auto?v=638207262016170000&amp;width=800&amp;height=auto&amp;aspect=true")</f>
        <v>#NAME?</v>
      </c>
      <c r="H324" t="e">
        <f ca="1">IMAGE("https://m.media-amazon.com/images/I/61PzUu5rExL._AC_UL320_.jpg")</f>
        <v>#NAME?</v>
      </c>
      <c r="I324" t="s">
        <v>1286</v>
      </c>
      <c r="J324">
        <v>17.48</v>
      </c>
      <c r="K324" s="2" t="s">
        <v>1287</v>
      </c>
      <c r="L324">
        <v>3.6</v>
      </c>
      <c r="M324">
        <v>7</v>
      </c>
      <c r="O324" t="s">
        <v>33</v>
      </c>
      <c r="P324" t="s">
        <v>140</v>
      </c>
      <c r="Q324" t="s">
        <v>1288</v>
      </c>
    </row>
    <row r="325" spans="1:17" ht="15.75" x14ac:dyDescent="0.25">
      <c r="A325" s="3" t="str">
        <f>HYPERLINK("https://www.als.com/adidas-m-shoe-lite-racer-adapt-50/p?skuId=1338101", "https://www.als.com/adidas-m-shoe-lite-racer-adapt-50/p?skuId=1338101")</f>
        <v>https://www.als.com/adidas-m-shoe-lite-racer-adapt-50/p?skuId=1338101</v>
      </c>
      <c r="B325" s="3" t="str">
        <f>HYPERLINK("https://www.als.com/adidas-m-shoe-lite-racer-adapt-50/p", "https://www.als.com/adidas-m-shoe-lite-racer-adapt-50/p")</f>
        <v>https://www.als.com/adidas-m-shoe-lite-racer-adapt-50/p</v>
      </c>
      <c r="C325" t="s">
        <v>1119</v>
      </c>
      <c r="D325" t="s">
        <v>1289</v>
      </c>
      <c r="E325" s="3" t="str">
        <f>HYPERLINK("https://www.amazon.com/adidas-Racer-Adapt-Running-Black/dp/B09DXTBWQQ/ref=sr_1_2?keywords=adidas+Lite+Racer+Adapt+5.0+Shoe+-+Mens&amp;qid=1695124407&amp;sr=8-2", "https://www.amazon.com/adidas-Racer-Adapt-Running-Black/dp/B09DXTBWQQ/ref=sr_1_2?keywords=adidas+Lite+Racer+Adapt+5.0+Shoe+-+Mens&amp;qid=1695124407&amp;sr=8-2")</f>
        <v>https://www.amazon.com/adidas-Racer-Adapt-Running-Black/dp/B09DXTBWQQ/ref=sr_1_2?keywords=adidas+Lite+Racer+Adapt+5.0+Shoe+-+Mens&amp;qid=1695124407&amp;sr=8-2</v>
      </c>
      <c r="F325" t="s">
        <v>1290</v>
      </c>
      <c r="G325" t="e">
        <f ca="1">IMAGE("https://alssports.vtexassets.com/arquivos/ids/1378546-800-auto?v=638248784142700000&amp;width=800&amp;height=auto&amp;aspect=true")</f>
        <v>#NAME?</v>
      </c>
      <c r="H325" t="e">
        <f ca="1">IMAGE("https://m.media-amazon.com/images/I/71EQ1QdcPFL._AC_UL320_.jpg")</f>
        <v>#NAME?</v>
      </c>
      <c r="I325" t="s">
        <v>274</v>
      </c>
      <c r="J325">
        <v>60.89</v>
      </c>
      <c r="K325" s="2" t="s">
        <v>1291</v>
      </c>
      <c r="L325">
        <v>4.5</v>
      </c>
      <c r="M325">
        <v>2182</v>
      </c>
      <c r="O325" t="s">
        <v>33</v>
      </c>
      <c r="P325" t="s">
        <v>26</v>
      </c>
      <c r="Q325" t="s">
        <v>1123</v>
      </c>
    </row>
    <row r="326" spans="1:17" ht="15.75" x14ac:dyDescent="0.25">
      <c r="A326" s="3" t="str">
        <f>HYPERLINK("https://www.als.com/dakine-backpack-campus-33l/p?skuId=1077424", "https://www.als.com/dakine-backpack-campus-33l/p?skuId=1077424")</f>
        <v>https://www.als.com/dakine-backpack-campus-33l/p?skuId=1077424</v>
      </c>
      <c r="B326" s="3" t="str">
        <f>HYPERLINK("https://www.als.com/dakine-backpack-campus-33l/p", "https://www.als.com/dakine-backpack-campus-33l/p")</f>
        <v>https://www.als.com/dakine-backpack-campus-33l/p</v>
      </c>
      <c r="C326" t="s">
        <v>1292</v>
      </c>
      <c r="D326" t="s">
        <v>1293</v>
      </c>
      <c r="E326" s="3" t="str">
        <f>HYPERLINK("https://www.amazon.com/Dakine-Unisex-Campus-Backpack-Gravity/dp/B0873C8QBX/ref=sr_1_16?keywords=Dakine+Campus+Backpack&amp;qid=1695124147&amp;sr=8-16", "https://www.amazon.com/Dakine-Unisex-Campus-Backpack-Gravity/dp/B0873C8QBX/ref=sr_1_16?keywords=Dakine+Campus+Backpack&amp;qid=1695124147&amp;sr=8-16")</f>
        <v>https://www.amazon.com/Dakine-Unisex-Campus-Backpack-Gravity/dp/B0873C8QBX/ref=sr_1_16?keywords=Dakine+Campus+Backpack&amp;qid=1695124147&amp;sr=8-16</v>
      </c>
      <c r="F326" t="s">
        <v>1294</v>
      </c>
      <c r="G326" t="e">
        <f ca="1">IMAGE("https://alssports.vtexassets.com/arquivos/ids/1202649-800-auto?v=638080238554930000&amp;width=800&amp;height=auto&amp;aspect=true")</f>
        <v>#NAME?</v>
      </c>
      <c r="H326" t="e">
        <f ca="1">IMAGE("https://m.media-amazon.com/images/I/91zClHplIuL._AC_UY218_.jpg")</f>
        <v>#NAME?</v>
      </c>
      <c r="I326" t="s">
        <v>40</v>
      </c>
      <c r="J326">
        <v>65</v>
      </c>
      <c r="K326" s="2" t="s">
        <v>1295</v>
      </c>
      <c r="L326">
        <v>4.7</v>
      </c>
      <c r="M326">
        <v>4</v>
      </c>
      <c r="O326" t="s">
        <v>33</v>
      </c>
      <c r="P326" t="s">
        <v>63</v>
      </c>
      <c r="Q326" t="s">
        <v>1296</v>
      </c>
    </row>
    <row r="327" spans="1:17" ht="15.75" x14ac:dyDescent="0.25">
      <c r="A327" s="3" t="str">
        <f>HYPERLINK("https://www.als.com/bearar-bow-alaskan/p?skuId=969734", "https://www.als.com/bearar-bow-alaskan/p?skuId=969734")</f>
        <v>https://www.als.com/bearar-bow-alaskan/p?skuId=969734</v>
      </c>
      <c r="B327" s="3" t="str">
        <f>HYPERLINK("https://www.als.com/bearar-bow-alaskan/p", "https://www.als.com/bearar-bow-alaskan/p")</f>
        <v>https://www.als.com/bearar-bow-alaskan/p</v>
      </c>
      <c r="C327" t="s">
        <v>657</v>
      </c>
      <c r="D327" t="s">
        <v>1297</v>
      </c>
      <c r="E327" s="3" t="str">
        <f>HYPERLINK("https://www.amazon.com/Bear-Archery-Compound-Package-Country/dp/B0C2QPR2X2/ref=sr_1_35?keywords=Bear+Archery+Alaskan+Compound+Bow&amp;qid=1695124371&amp;sr=8-35", "https://www.amazon.com/Bear-Archery-Compound-Package-Country/dp/B0C2QPR2X2/ref=sr_1_35?keywords=Bear+Archery+Alaskan+Compound+Bow&amp;qid=1695124371&amp;sr=8-35")</f>
        <v>https://www.amazon.com/Bear-Archery-Compound-Package-Country/dp/B0C2QPR2X2/ref=sr_1_35?keywords=Bear+Archery+Alaskan+Compound+Bow&amp;qid=1695124371&amp;sr=8-35</v>
      </c>
      <c r="F327" t="s">
        <v>1298</v>
      </c>
      <c r="G327" t="e">
        <f ca="1">IMAGE("https://alssports.vtexassets.com/arquivos/ids/976192-800-auto?v=637754664177730000&amp;width=800&amp;height=auto&amp;aspect=true")</f>
        <v>#NAME?</v>
      </c>
      <c r="H327" t="e">
        <f ca="1">IMAGE("https://m.media-amazon.com/images/I/61E0EOZ5BUL._AC_UL320_.jpg")</f>
        <v>#NAME?</v>
      </c>
      <c r="I327" t="s">
        <v>660</v>
      </c>
      <c r="J327">
        <v>389.99</v>
      </c>
      <c r="K327" s="2" t="s">
        <v>1299</v>
      </c>
      <c r="L327">
        <v>4.7</v>
      </c>
      <c r="M327">
        <v>7</v>
      </c>
      <c r="O327" t="s">
        <v>33</v>
      </c>
      <c r="P327" t="s">
        <v>661</v>
      </c>
      <c r="Q327" t="s">
        <v>662</v>
      </c>
    </row>
    <row r="328" spans="1:17" ht="15.75" x14ac:dyDescent="0.25">
      <c r="A328" s="3" t="str">
        <f>HYPERLINK("https://www.als.com/under-m-charged-verssert-run-shoe/p?skuId=1204906", "https://www.als.com/under-m-charged-verssert-run-shoe/p?skuId=1204906")</f>
        <v>https://www.als.com/under-m-charged-verssert-run-shoe/p?skuId=1204906</v>
      </c>
      <c r="B328" s="3" t="str">
        <f>HYPERLINK("https://www.als.com/under-m-charged-verssert-run-shoe/p", "https://www.als.com/under-m-charged-verssert-run-shoe/p")</f>
        <v>https://www.als.com/under-m-charged-verssert-run-shoe/p</v>
      </c>
      <c r="C328" t="s">
        <v>60</v>
      </c>
      <c r="D328" t="s">
        <v>1300</v>
      </c>
      <c r="E328" s="3" t="str">
        <f>HYPERLINK("https://www.amazon.com/Under-Armour-Charged-Rogue-Running/dp/B08MV9JYCY/ref=sr_1_26?keywords=Under+Armour+Charged+Verssert+Running+Shoe+-+Mens&amp;qid=1695124491&amp;sr=8-26", "https://www.amazon.com/Under-Armour-Charged-Rogue-Running/dp/B08MV9JYCY/ref=sr_1_26?keywords=Under+Armour+Charged+Verssert+Running+Shoe+-+Mens&amp;qid=1695124491&amp;sr=8-26")</f>
        <v>https://www.amazon.com/Under-Armour-Charged-Rogue-Running/dp/B08MV9JYCY/ref=sr_1_26?keywords=Under+Armour+Charged+Verssert+Running+Shoe+-+Mens&amp;qid=1695124491&amp;sr=8-26</v>
      </c>
      <c r="F328" t="s">
        <v>1301</v>
      </c>
      <c r="G328" t="e">
        <f ca="1">IMAGE("https://alssports.vtexassets.com/arquivos/ids/1282426-800-auto?v=638158001411130000&amp;width=800&amp;height=auto&amp;aspect=true")</f>
        <v>#NAME?</v>
      </c>
      <c r="H328" t="e">
        <f ca="1">IMAGE("https://m.media-amazon.com/images/I/81oRW-q8iFL._AC_UL320_.jpg")</f>
        <v>#NAME?</v>
      </c>
      <c r="I328" t="s">
        <v>63</v>
      </c>
      <c r="J328">
        <v>64.989999999999995</v>
      </c>
      <c r="K328" s="2" t="s">
        <v>1302</v>
      </c>
      <c r="L328">
        <v>4.5999999999999996</v>
      </c>
      <c r="M328">
        <v>1224</v>
      </c>
      <c r="O328" t="s">
        <v>33</v>
      </c>
      <c r="P328" t="s">
        <v>26</v>
      </c>
      <c r="Q328" t="s">
        <v>64</v>
      </c>
    </row>
    <row r="329" spans="1:17" ht="15.75" x14ac:dyDescent="0.25">
      <c r="A329" s="3" t="str">
        <f>HYPERLINK("https://www.als.com/under-m-ua-training-vent-20-ss/p?skuId=857892", "https://www.als.com/under-m-ua-training-vent-20-ss/p?skuId=857892")</f>
        <v>https://www.als.com/under-m-ua-training-vent-20-ss/p?skuId=857892</v>
      </c>
      <c r="B329" s="3" t="str">
        <f>HYPERLINK("https://www.als.com/under-m-ua-training-vent-20-ss/p", "https://www.als.com/under-m-ua-training-vent-20-ss/p")</f>
        <v>https://www.als.com/under-m-ua-training-vent-20-ss/p</v>
      </c>
      <c r="C329" t="s">
        <v>228</v>
      </c>
      <c r="D329" t="s">
        <v>1303</v>
      </c>
      <c r="E329" s="3" t="str">
        <f>HYPERLINK("https://www.amazon.com/Under-Armour-Freedom-Sleeve-T-Shirt/dp/B08NWMGCP6/ref=sr_1_25?keywords=Under+Armour+Training+Vent+2.0+Short+Sleeve+Shirt+-+Mens&amp;qid=1695124314&amp;sr=8-25", "https://www.amazon.com/Under-Armour-Freedom-Sleeve-T-Shirt/dp/B08NWMGCP6/ref=sr_1_25?keywords=Under+Armour+Training+Vent+2.0+Short+Sleeve+Shirt+-+Mens&amp;qid=1695124314&amp;sr=8-25")</f>
        <v>https://www.amazon.com/Under-Armour-Freedom-Sleeve-T-Shirt/dp/B08NWMGCP6/ref=sr_1_25?keywords=Under+Armour+Training+Vent+2.0+Short+Sleeve+Shirt+-+Mens&amp;qid=1695124314&amp;sr=8-25</v>
      </c>
      <c r="F329" t="s">
        <v>1304</v>
      </c>
      <c r="G329" t="e">
        <f ca="1">IMAGE("https://alssports.vtexassets.com/arquivos/ids/1216263-800-auto?v=638098285417900000&amp;width=800&amp;height=auto&amp;aspect=true")</f>
        <v>#NAME?</v>
      </c>
      <c r="H329" t="e">
        <f ca="1">IMAGE("https://m.media-amazon.com/images/I/81vhuRNJywS._AC_UL320_.jpg")</f>
        <v>#NAME?</v>
      </c>
      <c r="I329" t="s">
        <v>231</v>
      </c>
      <c r="J329">
        <v>18.190000000000001</v>
      </c>
      <c r="K329" s="2" t="s">
        <v>1305</v>
      </c>
      <c r="L329">
        <v>4.5999999999999996</v>
      </c>
      <c r="M329">
        <v>886</v>
      </c>
      <c r="O329" t="s">
        <v>33</v>
      </c>
      <c r="P329" t="s">
        <v>233</v>
      </c>
      <c r="Q329" t="s">
        <v>234</v>
      </c>
    </row>
    <row r="330" spans="1:17" ht="15.75" x14ac:dyDescent="0.25">
      <c r="A330" s="3" t="str">
        <f>HYPERLINK("https://www.als.com/keen-w-koven/p?skuId=1240446", "https://www.als.com/keen-w-koven/p?skuId=1240446")</f>
        <v>https://www.als.com/keen-w-koven/p?skuId=1240446</v>
      </c>
      <c r="B330" s="3" t="str">
        <f>HYPERLINK("https://www.als.com/keen-w-koven/p", "https://www.als.com/keen-w-koven/p")</f>
        <v>https://www.als.com/keen-w-koven/p</v>
      </c>
      <c r="C330" t="s">
        <v>737</v>
      </c>
      <c r="D330" t="s">
        <v>1306</v>
      </c>
      <c r="E330" s="3" t="str">
        <f>HYPERLINK("https://www.amazon.com/KEEN-Terradora-Vent-Drizzle-Ocean/dp/B07TBSKJSM/ref=sr_1_19?keywords=KEEN+Koven+Hiking+Shoe+-+Women%27s&amp;qid=1695124139&amp;sr=8-19", "https://www.amazon.com/KEEN-Terradora-Vent-Drizzle-Ocean/dp/B07TBSKJSM/ref=sr_1_19?keywords=KEEN+Koven+Hiking+Shoe+-+Women%27s&amp;qid=1695124139&amp;sr=8-19")</f>
        <v>https://www.amazon.com/KEEN-Terradora-Vent-Drizzle-Ocean/dp/B07TBSKJSM/ref=sr_1_19?keywords=KEEN+Koven+Hiking+Shoe+-+Women%27s&amp;qid=1695124139&amp;sr=8-19</v>
      </c>
      <c r="F330" t="s">
        <v>1307</v>
      </c>
      <c r="G330" t="e">
        <f ca="1">IMAGE("https://alssports.vtexassets.com/arquivos/ids/1211483-800-auto?v=638091747520730000&amp;width=800&amp;height=auto&amp;aspect=true")</f>
        <v>#NAME?</v>
      </c>
      <c r="H330" t="e">
        <f ca="1">IMAGE("https://m.media-amazon.com/images/I/91XObocFPfL._AC_UL320_.jpg")</f>
        <v>#NAME?</v>
      </c>
      <c r="I330" t="s">
        <v>639</v>
      </c>
      <c r="J330">
        <v>103.92</v>
      </c>
      <c r="K330" s="2" t="s">
        <v>1308</v>
      </c>
      <c r="L330">
        <v>4.0999999999999996</v>
      </c>
      <c r="M330">
        <v>1849</v>
      </c>
      <c r="O330" t="s">
        <v>33</v>
      </c>
      <c r="P330" t="s">
        <v>26</v>
      </c>
      <c r="Q330" t="s">
        <v>741</v>
      </c>
    </row>
    <row r="331" spans="1:17" ht="15.75" x14ac:dyDescent="0.25">
      <c r="A331" s="3" t="str">
        <f>HYPERLINK("https://www.als.com/altra-m-shoe-torin-6/p?skuId=1037464", "https://www.als.com/altra-m-shoe-torin-6/p?skuId=1037464")</f>
        <v>https://www.als.com/altra-m-shoe-torin-6/p?skuId=1037464</v>
      </c>
      <c r="B331" s="3" t="str">
        <f>HYPERLINK("https://www.als.com/altra-m-shoe-torin-6/p", "https://www.als.com/altra-m-shoe-torin-6/p")</f>
        <v>https://www.als.com/altra-m-shoe-torin-6/p</v>
      </c>
      <c r="C331" t="s">
        <v>1309</v>
      </c>
      <c r="D331" t="s">
        <v>1310</v>
      </c>
      <c r="E331" s="3" t="str">
        <f>HYPERLINK("https://www.amazon.com/ALTRA-AL0A7R6T-Torin-Running-Mineral/dp/B09QH3S348/ref=sr_1_1?keywords=Altra+Torin+6+Shoe+-+Men%27s&amp;qid=1695124385&amp;sr=8-1", "https://www.amazon.com/ALTRA-AL0A7R6T-Torin-Running-Mineral/dp/B09QH3S348/ref=sr_1_1?keywords=Altra+Torin+6+Shoe+-+Men%27s&amp;qid=1695124385&amp;sr=8-1")</f>
        <v>https://www.amazon.com/ALTRA-AL0A7R6T-Torin-Running-Mineral/dp/B09QH3S348/ref=sr_1_1?keywords=Altra+Torin+6+Shoe+-+Men%27s&amp;qid=1695124385&amp;sr=8-1</v>
      </c>
      <c r="F331" t="s">
        <v>1311</v>
      </c>
      <c r="G331" t="e">
        <f ca="1">IMAGE("https://alssports.vtexassets.com/arquivos/ids/1074390-800-auto?v=637957395047370000&amp;width=800&amp;height=auto&amp;aspect=true")</f>
        <v>#NAME?</v>
      </c>
      <c r="H331" t="e">
        <f ca="1">IMAGE("https://m.media-amazon.com/images/I/71K9WTBIicL._AC_UL320_.jpg")</f>
        <v>#NAME?</v>
      </c>
      <c r="I331" t="s">
        <v>946</v>
      </c>
      <c r="J331">
        <v>64.92</v>
      </c>
      <c r="K331" s="2" t="s">
        <v>1312</v>
      </c>
      <c r="L331">
        <v>4.0999999999999996</v>
      </c>
      <c r="M331">
        <v>459</v>
      </c>
      <c r="O331" t="s">
        <v>33</v>
      </c>
      <c r="P331" t="s">
        <v>44</v>
      </c>
      <c r="Q331" t="s">
        <v>1313</v>
      </c>
    </row>
    <row r="332" spans="1:17" ht="15.75" x14ac:dyDescent="0.25">
      <c r="A332" s="3" t="str">
        <f>HYPERLINK("https://www.als.com/reef-w-sandals-cushion-vista-hi/p?skuId=1280794", "https://www.als.com/reef-w-sandals-cushion-vista-hi/p?skuId=1280794")</f>
        <v>https://www.als.com/reef-w-sandals-cushion-vista-hi/p?skuId=1280794</v>
      </c>
      <c r="B332" s="3" t="str">
        <f>HYPERLINK("https://www.als.com/reef-w-sandals-cushion-vista-hi/p", "https://www.als.com/reef-w-sandals-cushion-vista-hi/p")</f>
        <v>https://www.als.com/reef-w-sandals-cushion-vista-hi/p</v>
      </c>
      <c r="C332" t="s">
        <v>960</v>
      </c>
      <c r="D332" t="s">
        <v>1314</v>
      </c>
      <c r="E332" s="3" t="str">
        <f>HYPERLINK("https://www.amazon.com/Reef-Womens-Sandals-Cushion-Vintage/dp/B08BG1L791/ref=sr_1_48?keywords=REEF+Cushion+Vista+HI+Slide+-+Women%27s&amp;qid=1695124489&amp;sr=8-48", "https://www.amazon.com/Reef-Womens-Sandals-Cushion-Vintage/dp/B08BG1L791/ref=sr_1_48?keywords=REEF+Cushion+Vista+HI+Slide+-+Women%27s&amp;qid=1695124489&amp;sr=8-48")</f>
        <v>https://www.amazon.com/Reef-Womens-Sandals-Cushion-Vintage/dp/B08BG1L791/ref=sr_1_48?keywords=REEF+Cushion+Vista+HI+Slide+-+Women%27s&amp;qid=1695124489&amp;sr=8-48</v>
      </c>
      <c r="F332" t="s">
        <v>1315</v>
      </c>
      <c r="G332" t="e">
        <f ca="1">IMAGE("https://alssports.vtexassets.com/arquivos/ids/1252015-800-auto?v=638131199167330000&amp;width=800&amp;height=auto&amp;aspect=true")</f>
        <v>#NAME?</v>
      </c>
      <c r="H332" t="e">
        <f ca="1">IMAGE("https://m.media-amazon.com/images/I/61-JQa-1+6L._AC_UL320_.jpg")</f>
        <v>#NAME?</v>
      </c>
      <c r="I332" t="s">
        <v>58</v>
      </c>
      <c r="J332">
        <v>56.21</v>
      </c>
      <c r="K332" s="2" t="s">
        <v>1316</v>
      </c>
      <c r="L332">
        <v>5</v>
      </c>
      <c r="M332">
        <v>7</v>
      </c>
      <c r="O332" t="s">
        <v>33</v>
      </c>
      <c r="P332" t="s">
        <v>26</v>
      </c>
      <c r="Q332" t="s">
        <v>963</v>
      </c>
    </row>
    <row r="333" spans="1:17" ht="15.75" x14ac:dyDescent="0.25">
      <c r="A333" s="3" t="str">
        <f>HYPERLINK("https://www.als.com/under-m-ua-training-vent-20-ss/p?skuId=857892", "https://www.als.com/under-m-ua-training-vent-20-ss/p?skuId=857892")</f>
        <v>https://www.als.com/under-m-ua-training-vent-20-ss/p?skuId=857892</v>
      </c>
      <c r="B333" s="3" t="str">
        <f>HYPERLINK("https://www.als.com/under-m-ua-training-vent-20-ss/p", "https://www.als.com/under-m-ua-training-vent-20-ss/p")</f>
        <v>https://www.als.com/under-m-ua-training-vent-20-ss/p</v>
      </c>
      <c r="C333" t="s">
        <v>228</v>
      </c>
      <c r="D333" t="s">
        <v>1317</v>
      </c>
      <c r="E333" s="3" t="str">
        <f>HYPERLINK("https://www.amazon.com/Under-Armour-V-Neck-Academy-Medium/dp/B0785W697M/ref=sr_1_19?keywords=Under+Armour+Training+Vent+2.0+Short+Sleeve+Shirt+-+Mens&amp;qid=1695124314&amp;sr=8-19", "https://www.amazon.com/Under-Armour-V-Neck-Academy-Medium/dp/B0785W697M/ref=sr_1_19?keywords=Under+Armour+Training+Vent+2.0+Short+Sleeve+Shirt+-+Mens&amp;qid=1695124314&amp;sr=8-19")</f>
        <v>https://www.amazon.com/Under-Armour-V-Neck-Academy-Medium/dp/B0785W697M/ref=sr_1_19?keywords=Under+Armour+Training+Vent+2.0+Short+Sleeve+Shirt+-+Mens&amp;qid=1695124314&amp;sr=8-19</v>
      </c>
      <c r="F333" t="s">
        <v>1318</v>
      </c>
      <c r="G333" t="e">
        <f ca="1">IMAGE("https://alssports.vtexassets.com/arquivos/ids/1216263-800-auto?v=638098285417900000&amp;width=800&amp;height=auto&amp;aspect=true")</f>
        <v>#NAME?</v>
      </c>
      <c r="H333" t="e">
        <f ca="1">IMAGE("https://m.media-amazon.com/images/I/51LWeqBz9xL._AC_UL320_.jpg")</f>
        <v>#NAME?</v>
      </c>
      <c r="I333" t="s">
        <v>231</v>
      </c>
      <c r="J333">
        <v>18.170000000000002</v>
      </c>
      <c r="K333" s="2" t="s">
        <v>1319</v>
      </c>
      <c r="L333">
        <v>4.5999999999999996</v>
      </c>
      <c r="M333">
        <v>12942</v>
      </c>
      <c r="O333" t="s">
        <v>33</v>
      </c>
      <c r="P333" t="s">
        <v>233</v>
      </c>
      <c r="Q333" t="s">
        <v>234</v>
      </c>
    </row>
    <row r="334" spans="1:17" ht="15.75" x14ac:dyDescent="0.25">
      <c r="A334" s="3" t="str">
        <f>HYPERLINK("https://www.als.com/crocs-classic-clog/p?skuId=1196935", "https://www.als.com/crocs-classic-clog/p?skuId=1196935")</f>
        <v>https://www.als.com/crocs-classic-clog/p?skuId=1196935</v>
      </c>
      <c r="B334" s="3" t="str">
        <f>HYPERLINK("https://www.als.com/crocs-classic-clog/p", "https://www.als.com/crocs-classic-clog/p")</f>
        <v>https://www.als.com/crocs-classic-clog/p</v>
      </c>
      <c r="C334" t="s">
        <v>1100</v>
      </c>
      <c r="D334" t="s">
        <v>1320</v>
      </c>
      <c r="E334" s="3" t="str">
        <f>HYPERLINK("https://www.amazon.com/Crocs-Classic-Terrain-Graphic-Espresso/dp/B0BX4WGTBD/ref=sr_1_47?keywords=Crocs+Classic+Clog&amp;qid=1695124151&amp;sr=8-47", "https://www.amazon.com/Crocs-Classic-Terrain-Graphic-Espresso/dp/B0BX4WGTBD/ref=sr_1_47?keywords=Crocs+Classic+Clog&amp;qid=1695124151&amp;sr=8-47")</f>
        <v>https://www.amazon.com/Crocs-Classic-Terrain-Graphic-Espresso/dp/B0BX4WGTBD/ref=sr_1_47?keywords=Crocs+Classic+Clog&amp;qid=1695124151&amp;sr=8-47</v>
      </c>
      <c r="F334" t="s">
        <v>1321</v>
      </c>
      <c r="G334" t="e">
        <f ca="1">IMAGE("https://alssports.vtexassets.com/arquivos/ids/1222253-800-auto?v=638102875835800000&amp;width=800&amp;height=auto&amp;aspect=true")</f>
        <v>#NAME?</v>
      </c>
      <c r="H334" t="e">
        <f ca="1">IMAGE("https://m.media-amazon.com/images/I/81M41KE-h5L._AC_UL320_.jpg")</f>
        <v>#NAME?</v>
      </c>
      <c r="I334" t="s">
        <v>157</v>
      </c>
      <c r="J334">
        <v>43.16</v>
      </c>
      <c r="K334" s="2" t="s">
        <v>1322</v>
      </c>
      <c r="L334">
        <v>4.8</v>
      </c>
      <c r="M334">
        <v>6002</v>
      </c>
      <c r="O334" t="s">
        <v>33</v>
      </c>
      <c r="P334" t="s">
        <v>26</v>
      </c>
      <c r="Q334" t="s">
        <v>1103</v>
      </c>
    </row>
    <row r="335" spans="1:17" ht="15.75" x14ac:dyDescent="0.25">
      <c r="A335" s="3" t="str">
        <f>HYPERLINK("https://www.als.com/arcteryx-atom-hoodie-womens-140743/p?skuId=1342906", "https://www.als.com/arcteryx-atom-hoodie-womens-140743/p?skuId=1342906")</f>
        <v>https://www.als.com/arcteryx-atom-hoodie-womens-140743/p?skuId=1342906</v>
      </c>
      <c r="B335" s="3" t="str">
        <f>HYPERLINK("https://www.als.com/arcteryx-atom-hoodie-womens-140743/p", "https://www.als.com/arcteryx-atom-hoodie-womens-140743/p")</f>
        <v>https://www.als.com/arcteryx-atom-hoodie-womens-140743/p</v>
      </c>
      <c r="C335" t="s">
        <v>75</v>
      </c>
      <c r="D335" t="s">
        <v>1323</v>
      </c>
      <c r="E335" s="3" t="str">
        <f>HYPERLINK("https://www.amazon.com/Arcteryx-Lightweight-Versatile-Synthetically-Insulated/dp/B09QLJ1P3K/ref=sr_1_4?keywords=Arcteryx+Atom+Hoodie+-+Womens&amp;qid=1695124299&amp;sr=8-4", "https://www.amazon.com/Arcteryx-Lightweight-Versatile-Synthetically-Insulated/dp/B09QLJ1P3K/ref=sr_1_4?keywords=Arcteryx+Atom+Hoodie+-+Womens&amp;qid=1695124299&amp;sr=8-4")</f>
        <v>https://www.amazon.com/Arcteryx-Lightweight-Versatile-Synthetically-Insulated/dp/B09QLJ1P3K/ref=sr_1_4?keywords=Arcteryx+Atom+Hoodie+-+Womens&amp;qid=1695124299&amp;sr=8-4</v>
      </c>
      <c r="F335" t="s">
        <v>1324</v>
      </c>
      <c r="G335" t="e">
        <f ca="1">IMAGE("https://alssports.vtexassets.com/arquivos/ids/1400872-800-auto?v=638264371846000000&amp;width=800&amp;height=auto&amp;aspect=true")</f>
        <v>#NAME?</v>
      </c>
      <c r="H335" t="e">
        <f ca="1">IMAGE("https://m.media-amazon.com/images/I/71wbA-56T+L._AC_UL320_.jpg")</f>
        <v>#NAME?</v>
      </c>
      <c r="I335" t="s">
        <v>78</v>
      </c>
      <c r="J335">
        <v>259</v>
      </c>
      <c r="K335" s="2" t="s">
        <v>1325</v>
      </c>
      <c r="L335">
        <v>5</v>
      </c>
      <c r="M335">
        <v>3</v>
      </c>
      <c r="O335" t="s">
        <v>33</v>
      </c>
      <c r="P335" t="s">
        <v>26</v>
      </c>
      <c r="Q335" t="s">
        <v>79</v>
      </c>
    </row>
    <row r="336" spans="1:17" ht="15.75" x14ac:dyDescent="0.25">
      <c r="A336" s="3" t="str">
        <f>HYPERLINK("https://www.als.com/arcteryx-atom-lt-hoodie-mens-182542/p?skuId=1342921", "https://www.als.com/arcteryx-atom-lt-hoodie-mens-182542/p?skuId=1342921")</f>
        <v>https://www.als.com/arcteryx-atom-lt-hoodie-mens-182542/p?skuId=1342921</v>
      </c>
      <c r="B336" s="3" t="str">
        <f>HYPERLINK("https://www.als.com/arcteryx-atom-lt-hoodie-mens-182542/p", "https://www.als.com/arcteryx-atom-lt-hoodie-mens-182542/p")</f>
        <v>https://www.als.com/arcteryx-atom-lt-hoodie-mens-182542/p</v>
      </c>
      <c r="C336" t="s">
        <v>1326</v>
      </c>
      <c r="D336" t="s">
        <v>1327</v>
      </c>
      <c r="E336" s="3" t="str">
        <f>HYPERLINK("https://www.amazon.com/Arcteryx-Lightweight-Versatile-Synthetically-Insulated/dp/B09NY5DNQZ/ref=sr_1_2?keywords=Arc%27teryx+Atom+LT+Hoodie+-+Men%27s&amp;qid=1695124123&amp;sr=8-2", "https://www.amazon.com/Arcteryx-Lightweight-Versatile-Synthetically-Insulated/dp/B09NY5DNQZ/ref=sr_1_2?keywords=Arc%27teryx+Atom+LT+Hoodie+-+Men%27s&amp;qid=1695124123&amp;sr=8-2")</f>
        <v>https://www.amazon.com/Arcteryx-Lightweight-Versatile-Synthetically-Insulated/dp/B09NY5DNQZ/ref=sr_1_2?keywords=Arc%27teryx+Atom+LT+Hoodie+-+Men%27s&amp;qid=1695124123&amp;sr=8-2</v>
      </c>
      <c r="F336" t="s">
        <v>1328</v>
      </c>
      <c r="G336" t="e">
        <f ca="1">IMAGE("https://alssports.vtexassets.com/arquivos/ids/1366905-800-auto?v=638240757627370000&amp;width=800&amp;height=auto&amp;aspect=true")</f>
        <v>#NAME?</v>
      </c>
      <c r="H336" t="e">
        <f ca="1">IMAGE("https://m.media-amazon.com/images/I/71Cwpa8kZ+L._AC_UL320_.jpg")</f>
        <v>#NAME?</v>
      </c>
      <c r="I336" t="s">
        <v>78</v>
      </c>
      <c r="J336">
        <v>259</v>
      </c>
      <c r="K336" s="2" t="s">
        <v>1325</v>
      </c>
      <c r="L336">
        <v>4.5</v>
      </c>
      <c r="M336">
        <v>51</v>
      </c>
      <c r="O336" t="s">
        <v>33</v>
      </c>
      <c r="P336" t="s">
        <v>26</v>
      </c>
      <c r="Q336" t="s">
        <v>1329</v>
      </c>
    </row>
    <row r="337" spans="1:17" ht="15.75" x14ac:dyDescent="0.25">
      <c r="A337" s="3" t="str">
        <f>HYPERLINK("https://www.als.com/adidas-m-cleat-x-crazyfast-usa3-fg/p?skuId=1338010", "https://www.als.com/adidas-m-cleat-x-crazyfast-usa3-fg/p?skuId=1338010")</f>
        <v>https://www.als.com/adidas-m-cleat-x-crazyfast-usa3-fg/p?skuId=1338010</v>
      </c>
      <c r="B337" s="3" t="str">
        <f>HYPERLINK("https://www.als.com/adidas-m-cleat-x-crazyfast-usa3-fg/p", "https://www.als.com/adidas-m-cleat-x-crazyfast-usa3-fg/p")</f>
        <v>https://www.als.com/adidas-m-cleat-x-crazyfast-usa3-fg/p</v>
      </c>
      <c r="C337" t="s">
        <v>1088</v>
      </c>
      <c r="D337" t="s">
        <v>1330</v>
      </c>
      <c r="E337" s="3" t="str">
        <f>HYPERLINK("https://www.amazon.com/adidas-Crazyfast-3-Ground-Sneaker-Unisex/dp/B0BHPT776M/ref=sr_1_5?keywords=adidas+X+Crazyfast.3+USA+Firm+Ground+Cleat&amp;qid=1695124446&amp;sr=8-5", "https://www.amazon.com/adidas-Crazyfast-3-Ground-Sneaker-Unisex/dp/B0BHPT776M/ref=sr_1_5?keywords=adidas+X+Crazyfast.3+USA+Firm+Ground+Cleat&amp;qid=1695124446&amp;sr=8-5")</f>
        <v>https://www.amazon.com/adidas-Crazyfast-3-Ground-Sneaker-Unisex/dp/B0BHPT776M/ref=sr_1_5?keywords=adidas+X+Crazyfast.3+USA+Firm+Ground+Cleat&amp;qid=1695124446&amp;sr=8-5</v>
      </c>
      <c r="F337" t="s">
        <v>1331</v>
      </c>
      <c r="G337" t="e">
        <f ca="1">IMAGE("https://alssports.vtexassets.com/arquivos/ids/1378026-800-auto?v=638248732454600000&amp;width=800&amp;height=auto&amp;aspect=true")</f>
        <v>#NAME?</v>
      </c>
      <c r="H337" t="e">
        <f ca="1">IMAGE("https://m.media-amazon.com/images/I/61XR3MCn4FL._AC_UL320_.jpg")</f>
        <v>#NAME?</v>
      </c>
      <c r="I337" t="s">
        <v>1091</v>
      </c>
      <c r="J337">
        <v>65.45</v>
      </c>
      <c r="K337" s="2" t="s">
        <v>1332</v>
      </c>
      <c r="L337">
        <v>4.0999999999999996</v>
      </c>
      <c r="M337">
        <v>6</v>
      </c>
      <c r="O337" t="s">
        <v>33</v>
      </c>
      <c r="P337" t="s">
        <v>916</v>
      </c>
      <c r="Q337" t="s">
        <v>1093</v>
      </c>
    </row>
    <row r="338" spans="1:17" ht="15.75" x14ac:dyDescent="0.25">
      <c r="A338" s="3" t="str">
        <f>HYPERLINK("https://www.als.com/sitka-m-jacket-jetstream/p?skuId=990959", "https://www.als.com/sitka-m-jacket-jetstream/p?skuId=990959")</f>
        <v>https://www.als.com/sitka-m-jacket-jetstream/p?skuId=990959</v>
      </c>
      <c r="B338" s="3" t="str">
        <f>HYPERLINK("https://www.als.com/sitka-m-jacket-jetstream/p", "https://www.als.com/sitka-m-jacket-jetstream/p")</f>
        <v>https://www.als.com/sitka-m-jacket-jetstream/p</v>
      </c>
      <c r="C338" t="s">
        <v>385</v>
      </c>
      <c r="D338" t="s">
        <v>1333</v>
      </c>
      <c r="E338" s="3" t="str">
        <f>HYPERLINK("https://www.amazon.com/SITKA-Gear-Creek-Fleece-Jacket/dp/B086CW745V/ref=sr_1_6?keywords=Sitka+Jetstream+Jacket+-+Men%27s&amp;qid=1695124152&amp;sr=8-6", "https://www.amazon.com/SITKA-Gear-Creek-Fleece-Jacket/dp/B086CW745V/ref=sr_1_6?keywords=Sitka+Jetstream+Jacket+-+Men%27s&amp;qid=1695124152&amp;sr=8-6")</f>
        <v>https://www.amazon.com/SITKA-Gear-Creek-Fleece-Jacket/dp/B086CW745V/ref=sr_1_6?keywords=Sitka+Jetstream+Jacket+-+Men%27s&amp;qid=1695124152&amp;sr=8-6</v>
      </c>
      <c r="F338" t="s">
        <v>1334</v>
      </c>
      <c r="G338" t="e">
        <f ca="1">IMAGE("https://alssports.vtexassets.com/arquivos/ids/1369506-800-auto?v=638242519630400000&amp;width=800&amp;height=auto&amp;aspect=true")</f>
        <v>#NAME?</v>
      </c>
      <c r="H338" t="e">
        <f ca="1">IMAGE("https://m.media-amazon.com/images/I/51VVJE9ggEL._AC_UL320_.jpg")</f>
        <v>#NAME?</v>
      </c>
      <c r="I338" t="s">
        <v>388</v>
      </c>
      <c r="J338">
        <v>129</v>
      </c>
      <c r="K338" s="2" t="s">
        <v>1335</v>
      </c>
      <c r="L338">
        <v>4.2</v>
      </c>
      <c r="M338">
        <v>43</v>
      </c>
      <c r="O338" t="s">
        <v>26</v>
      </c>
      <c r="P338" t="s">
        <v>390</v>
      </c>
      <c r="Q338" t="s">
        <v>391</v>
      </c>
    </row>
    <row r="339" spans="1:17" ht="15.75" x14ac:dyDescent="0.25">
      <c r="A339" s="3" t="str">
        <f>HYPERLINK("https://www.als.com/black-diamond-spot-400-headlamp-101632/p?skuId=931481", "https://www.als.com/black-diamond-spot-400-headlamp-101632/p?skuId=931481")</f>
        <v>https://www.als.com/black-diamond-spot-400-headlamp-101632/p?skuId=931481</v>
      </c>
      <c r="B339" s="3" t="str">
        <f>HYPERLINK("https://www.als.com/black-diamond-spot-400-headlamp-101632/p", "https://www.als.com/black-diamond-spot-400-headlamp-101632/p")</f>
        <v>https://www.als.com/black-diamond-spot-400-headlamp-101632/p</v>
      </c>
      <c r="C339" t="s">
        <v>154</v>
      </c>
      <c r="D339" t="s">
        <v>1336</v>
      </c>
      <c r="E339" s="3" t="str">
        <f>HYPERLINK("https://www.amazon.com/Black-Diamond-Spot-350-Headlamp/dp/B08BHWFNTJ/ref=sr_1_10?keywords=Black+Diamond+Spot+400+Headlamp&amp;qid=1695124486&amp;sr=8-10", "https://www.amazon.com/Black-Diamond-Spot-350-Headlamp/dp/B08BHWFNTJ/ref=sr_1_10?keywords=Black+Diamond+Spot+400+Headlamp&amp;qid=1695124486&amp;sr=8-10")</f>
        <v>https://www.amazon.com/Black-Diamond-Spot-350-Headlamp/dp/B08BHWFNTJ/ref=sr_1_10?keywords=Black+Diamond+Spot+400+Headlamp&amp;qid=1695124486&amp;sr=8-10</v>
      </c>
      <c r="F339" t="s">
        <v>1337</v>
      </c>
      <c r="G339" t="e">
        <f ca="1">IMAGE("https://alssports.vtexassets.com/arquivos/ids/1053612-800-auto?v=637867784637730000&amp;width=800&amp;height=auto&amp;aspect=true")</f>
        <v>#NAME?</v>
      </c>
      <c r="H339" t="e">
        <f ca="1">IMAGE("https://m.media-amazon.com/images/I/71ODVXv3QfL._AC_UL320_.jpg")</f>
        <v>#NAME?</v>
      </c>
      <c r="I339" t="s">
        <v>157</v>
      </c>
      <c r="J339">
        <v>42.95</v>
      </c>
      <c r="K339" s="2" t="s">
        <v>1338</v>
      </c>
      <c r="L339">
        <v>4.7</v>
      </c>
      <c r="M339">
        <v>478</v>
      </c>
      <c r="O339" t="s">
        <v>33</v>
      </c>
      <c r="P339" t="s">
        <v>26</v>
      </c>
      <c r="Q339" t="s">
        <v>158</v>
      </c>
    </row>
    <row r="340" spans="1:17" ht="15.75" x14ac:dyDescent="0.25">
      <c r="A340" s="3" t="str">
        <f>HYPERLINK("https://www.als.com/black-diamond-spot-400-headlamp-101632/p?skuId=931481", "https://www.als.com/black-diamond-spot-400-headlamp-101632/p?skuId=931481")</f>
        <v>https://www.als.com/black-diamond-spot-400-headlamp-101632/p?skuId=931481</v>
      </c>
      <c r="B340" s="3" t="str">
        <f>HYPERLINK("https://www.als.com/black-diamond-spot-400-headlamp-101632/p", "https://www.als.com/black-diamond-spot-400-headlamp-101632/p")</f>
        <v>https://www.als.com/black-diamond-spot-400-headlamp-101632/p</v>
      </c>
      <c r="C340" t="s">
        <v>154</v>
      </c>
      <c r="D340" t="s">
        <v>1339</v>
      </c>
      <c r="E340" s="3" t="str">
        <f>HYPERLINK("https://www.amazon.com/Black-Diamond-Spot-350-Headlamp/dp/B08BHRBP3N/ref=sr_1_41?keywords=Black+Diamond+Spot+400+Headlamp&amp;qid=1695124486&amp;sr=8-41", "https://www.amazon.com/Black-Diamond-Spot-350-Headlamp/dp/B08BHRBP3N/ref=sr_1_41?keywords=Black+Diamond+Spot+400+Headlamp&amp;qid=1695124486&amp;sr=8-41")</f>
        <v>https://www.amazon.com/Black-Diamond-Spot-350-Headlamp/dp/B08BHRBP3N/ref=sr_1_41?keywords=Black+Diamond+Spot+400+Headlamp&amp;qid=1695124486&amp;sr=8-41</v>
      </c>
      <c r="F340" t="s">
        <v>1340</v>
      </c>
      <c r="G340" t="e">
        <f ca="1">IMAGE("https://alssports.vtexassets.com/arquivos/ids/1053612-800-auto?v=637867784637730000&amp;width=800&amp;height=auto&amp;aspect=true")</f>
        <v>#NAME?</v>
      </c>
      <c r="H340" t="e">
        <f ca="1">IMAGE("https://m.media-amazon.com/images/I/71CGz9AXMfL._AC_UL320_.jpg")</f>
        <v>#NAME?</v>
      </c>
      <c r="I340" t="s">
        <v>157</v>
      </c>
      <c r="J340">
        <v>42.95</v>
      </c>
      <c r="K340" s="2" t="s">
        <v>1338</v>
      </c>
      <c r="L340">
        <v>4.7</v>
      </c>
      <c r="M340">
        <v>160</v>
      </c>
      <c r="O340" t="s">
        <v>33</v>
      </c>
      <c r="P340" t="s">
        <v>26</v>
      </c>
      <c r="Q340" t="s">
        <v>158</v>
      </c>
    </row>
    <row r="341" spans="1:17" ht="15.75" x14ac:dyDescent="0.25">
      <c r="A341" s="3" t="str">
        <f>HYPERLINK("https://www.als.com/camel-pack-hydrobak-light/p?skuId=801389", "https://www.als.com/camel-pack-hydrobak-light/p?skuId=801389")</f>
        <v>https://www.als.com/camel-pack-hydrobak-light/p?skuId=801389</v>
      </c>
      <c r="B341" s="3" t="str">
        <f>HYPERLINK("https://www.als.com/camel-pack-hydrobak-light/p", "https://www.als.com/camel-pack-hydrobak-light/p")</f>
        <v>https://www.als.com/camel-pack-hydrobak-light/p</v>
      </c>
      <c r="C341" t="s">
        <v>1341</v>
      </c>
      <c r="D341" t="s">
        <v>1342</v>
      </c>
      <c r="E341" s="3" t="str">
        <f>HYPERLINK("https://www.amazon.com/CamelBak-Hydrobak-Light-Hydration-Silver/dp/B08QV419V9/ref=sr_1_1?keywords=CamelBak+Hydrobak+50oz+Light+Hydration+Pack&amp;qid=1695124403&amp;sr=8-1", "https://www.amazon.com/CamelBak-Hydrobak-Light-Hydration-Silver/dp/B08QV419V9/ref=sr_1_1?keywords=CamelBak+Hydrobak+50oz+Light+Hydration+Pack&amp;qid=1695124403&amp;sr=8-1")</f>
        <v>https://www.amazon.com/CamelBak-Hydrobak-Light-Hydration-Silver/dp/B08QV419V9/ref=sr_1_1?keywords=CamelBak+Hydrobak+50oz+Light+Hydration+Pack&amp;qid=1695124403&amp;sr=8-1</v>
      </c>
      <c r="F341" t="s">
        <v>1343</v>
      </c>
      <c r="G341" t="e">
        <f ca="1">IMAGE("https://alssports.vtexassets.com/arquivos/ids/1023239-800-auto?v=637822756929300000&amp;width=800&amp;height=auto&amp;aspect=true")</f>
        <v>#NAME?</v>
      </c>
      <c r="H341" t="e">
        <f ca="1">IMAGE("https://m.media-amazon.com/images/I/91uVpFE95cL._AC_UL320_.jpg")</f>
        <v>#NAME?</v>
      </c>
      <c r="I341" t="s">
        <v>1344</v>
      </c>
      <c r="J341">
        <v>55</v>
      </c>
      <c r="K341" s="2" t="s">
        <v>1345</v>
      </c>
      <c r="L341">
        <v>4.5</v>
      </c>
      <c r="M341">
        <v>1635</v>
      </c>
      <c r="O341" t="s">
        <v>33</v>
      </c>
      <c r="P341" t="s">
        <v>1346</v>
      </c>
      <c r="Q341" t="s">
        <v>1347</v>
      </c>
    </row>
    <row r="342" spans="1:17" ht="15.75" x14ac:dyDescent="0.25">
      <c r="A342" s="3" t="str">
        <f>HYPERLINK("https://www.als.com/vans-shoe-old-skool/p?skuId=1339083", "https://www.als.com/vans-shoe-old-skool/p?skuId=1339083")</f>
        <v>https://www.als.com/vans-shoe-old-skool/p?skuId=1339083</v>
      </c>
      <c r="B342" s="3" t="str">
        <f>HYPERLINK("https://www.als.com/vans-shoe-old-skool/p", "https://www.als.com/vans-shoe-old-skool/p")</f>
        <v>https://www.als.com/vans-shoe-old-skool/p</v>
      </c>
      <c r="C342" t="s">
        <v>1348</v>
      </c>
      <c r="D342" t="s">
        <v>1349</v>
      </c>
      <c r="E342" s="3" t="str">
        <f>HYPERLINK("https://www.amazon.com/Vans-Old-Skool-Black-Size/dp/B0C21VP4YJ/ref=sr_1_12?keywords=Vans+Canvas+Old+Skool+Shoe&amp;qid=1695124392&amp;sr=8-12", "https://www.amazon.com/Vans-Old-Skool-Black-Size/dp/B0C21VP4YJ/ref=sr_1_12?keywords=Vans+Canvas+Old+Skool+Shoe&amp;qid=1695124392&amp;sr=8-12")</f>
        <v>https://www.amazon.com/Vans-Old-Skool-Black-Size/dp/B0C21VP4YJ/ref=sr_1_12?keywords=Vans+Canvas+Old+Skool+Shoe&amp;qid=1695124392&amp;sr=8-12</v>
      </c>
      <c r="F342" t="s">
        <v>1350</v>
      </c>
      <c r="G342" t="e">
        <f ca="1">IMAGE("https://alssports.vtexassets.com/arquivos/ids/1339950-800-auto?v=638216000421770000&amp;width=800&amp;height=auto&amp;aspect=true")</f>
        <v>#NAME?</v>
      </c>
      <c r="H342" t="e">
        <f ca="1">IMAGE("https://m.media-amazon.com/images/I/41X8QUWxEoL._AC_UL320_.jpg")</f>
        <v>#NAME?</v>
      </c>
      <c r="I342" t="s">
        <v>274</v>
      </c>
      <c r="J342">
        <v>60.11</v>
      </c>
      <c r="K342" s="2" t="s">
        <v>1351</v>
      </c>
      <c r="L342">
        <v>4.5999999999999996</v>
      </c>
      <c r="M342">
        <v>22</v>
      </c>
      <c r="O342" t="s">
        <v>33</v>
      </c>
      <c r="P342" t="s">
        <v>40</v>
      </c>
      <c r="Q342" t="s">
        <v>1352</v>
      </c>
    </row>
    <row r="343" spans="1:17" ht="15.75" x14ac:dyDescent="0.25">
      <c r="A343" s="3" t="str">
        <f>HYPERLINK("https://www.als.com/asics-w-shoe-gel-kayano-29/p?skuId=1037742", "https://www.als.com/asics-w-shoe-gel-kayano-29/p?skuId=1037742")</f>
        <v>https://www.als.com/asics-w-shoe-gel-kayano-29/p?skuId=1037742</v>
      </c>
      <c r="B343" s="3" t="str">
        <f>HYPERLINK("https://www.als.com/asics-w-shoe-gel-kayano-29/p", "https://www.als.com/asics-w-shoe-gel-kayano-29/p")</f>
        <v>https://www.als.com/asics-w-shoe-gel-kayano-29/p</v>
      </c>
      <c r="C343" t="s">
        <v>851</v>
      </c>
      <c r="D343" t="s">
        <v>1353</v>
      </c>
      <c r="E343" s="3" t="str">
        <f>HYPERLINK("https://www.amazon.com/ASICS-Womens-Gel-Contend-Running-Shoes/dp/B09WC7GQ7V/ref=sr_1_20?keywords=Asics+Gel-Kayano+29+Running+Shoe+-+Women%27s&amp;qid=1695124114&amp;sr=8-20", "https://www.amazon.com/ASICS-Womens-Gel-Contend-Running-Shoes/dp/B09WC7GQ7V/ref=sr_1_20?keywords=Asics+Gel-Kayano+29+Running+Shoe+-+Women%27s&amp;qid=1695124114&amp;sr=8-20")</f>
        <v>https://www.amazon.com/ASICS-Womens-Gel-Contend-Running-Shoes/dp/B09WC7GQ7V/ref=sr_1_20?keywords=Asics+Gel-Kayano+29+Running+Shoe+-+Women%27s&amp;qid=1695124114&amp;sr=8-20</v>
      </c>
      <c r="F343" t="s">
        <v>1354</v>
      </c>
      <c r="G343" t="e">
        <f ca="1">IMAGE("https://alssports.vtexassets.com/arquivos/ids/1127320-800-auto?v=637980202666000000&amp;width=800&amp;height=auto&amp;aspect=true")</f>
        <v>#NAME?</v>
      </c>
      <c r="H343" t="e">
        <f ca="1">IMAGE("https://m.media-amazon.com/images/I/61mCQrY9GWL._AC_UL320_.jpg")</f>
        <v>#NAME?</v>
      </c>
      <c r="I343" t="s">
        <v>674</v>
      </c>
      <c r="J343">
        <v>54.95</v>
      </c>
      <c r="K343" s="2" t="s">
        <v>1355</v>
      </c>
      <c r="L343">
        <v>4.5</v>
      </c>
      <c r="M343">
        <v>638</v>
      </c>
      <c r="O343" t="s">
        <v>33</v>
      </c>
      <c r="P343" t="s">
        <v>88</v>
      </c>
      <c r="Q343" t="s">
        <v>854</v>
      </c>
    </row>
    <row r="344" spans="1:17" ht="15.75" x14ac:dyDescent="0.25">
      <c r="A344" s="3" t="str">
        <f>HYPERLINK("https://www.als.com/teva-yth-sandal-original-univeral/p?skuId=715080", "https://www.als.com/teva-yth-sandal-original-univeral/p?skuId=715080")</f>
        <v>https://www.als.com/teva-yth-sandal-original-univeral/p?skuId=715080</v>
      </c>
      <c r="B344" s="3" t="str">
        <f>HYPERLINK("https://www.als.com/teva-yth-sandal-original-univeral/p", "https://www.als.com/teva-yth-sandal-original-univeral/p")</f>
        <v>https://www.als.com/teva-yth-sandal-original-univeral/p</v>
      </c>
      <c r="C344" t="s">
        <v>137</v>
      </c>
      <c r="D344" t="s">
        <v>1356</v>
      </c>
      <c r="E344" s="3" t="str">
        <f>HYPERLINK("https://www.amazon.com/Teva-Original-Universal-Gradiate-Sandal/dp/B0B5LZBQCP/ref=sr_1_7?keywords=Teva+Original+Universal+Sandal+-+Kids%27&amp;qid=1695124396&amp;sr=8-7", "https://www.amazon.com/Teva-Original-Universal-Gradiate-Sandal/dp/B0B5LZBQCP/ref=sr_1_7?keywords=Teva+Original+Universal+Sandal+-+Kids%27&amp;qid=1695124396&amp;sr=8-7")</f>
        <v>https://www.amazon.com/Teva-Original-Universal-Gradiate-Sandal/dp/B0B5LZBQCP/ref=sr_1_7?keywords=Teva+Original+Universal+Sandal+-+Kids%27&amp;qid=1695124396&amp;sr=8-7</v>
      </c>
      <c r="F344" t="s">
        <v>1357</v>
      </c>
      <c r="G344" t="e">
        <f ca="1">IMAGE("https://alssports.vtexassets.com/arquivos/ids/1020862-800-auto?v=637818688399000000&amp;width=800&amp;height=auto&amp;aspect=true")</f>
        <v>#NAME?</v>
      </c>
      <c r="H344" t="e">
        <f ca="1">IMAGE("https://m.media-amazon.com/images/I/719yhK0BxvL._AC_UL320_.jpg")</f>
        <v>#NAME?</v>
      </c>
      <c r="I344" t="s">
        <v>140</v>
      </c>
      <c r="J344">
        <v>34.31</v>
      </c>
      <c r="K344" s="2" t="s">
        <v>1358</v>
      </c>
      <c r="L344">
        <v>4.0999999999999996</v>
      </c>
      <c r="M344">
        <v>4</v>
      </c>
      <c r="O344" t="s">
        <v>33</v>
      </c>
      <c r="P344" t="s">
        <v>26</v>
      </c>
      <c r="Q344" t="s">
        <v>141</v>
      </c>
    </row>
    <row r="345" spans="1:17" ht="15.75" x14ac:dyDescent="0.25">
      <c r="A345" s="3" t="str">
        <f>HYPERLINK("https://www.als.com/mizuno-w-wave-sky-6/p?skuId=1262559", "https://www.als.com/mizuno-w-wave-sky-6/p?skuId=1262559")</f>
        <v>https://www.als.com/mizuno-w-wave-sky-6/p?skuId=1262559</v>
      </c>
      <c r="B345" s="3" t="str">
        <f>HYPERLINK("https://www.als.com/mizuno-w-wave-sky-6/p", "https://www.als.com/mizuno-w-wave-sky-6/p")</f>
        <v>https://www.als.com/mizuno-w-wave-sky-6/p</v>
      </c>
      <c r="C345" t="s">
        <v>200</v>
      </c>
      <c r="D345" t="s">
        <v>1359</v>
      </c>
      <c r="E345" s="3" t="str">
        <f>HYPERLINK("https://www.amazon.com/Mizuno-Womens-Running-Purple-Potion-White/dp/B07HRK38CK/ref=sr_1_25?keywords=Mizuno+Wave+Sky+6+Running+Shoe+-+Women%27s&amp;qid=1695124449&amp;sr=8-25", "https://www.amazon.com/Mizuno-Womens-Running-Purple-Potion-White/dp/B07HRK38CK/ref=sr_1_25?keywords=Mizuno+Wave+Sky+6+Running+Shoe+-+Women%27s&amp;qid=1695124449&amp;sr=8-25")</f>
        <v>https://www.amazon.com/Mizuno-Womens-Running-Purple-Potion-White/dp/B07HRK38CK/ref=sr_1_25?keywords=Mizuno+Wave+Sky+6+Running+Shoe+-+Women%27s&amp;qid=1695124449&amp;sr=8-25</v>
      </c>
      <c r="F345" t="s">
        <v>1360</v>
      </c>
      <c r="G345" t="e">
        <f ca="1">IMAGE("https://alssports.vtexassets.com/arquivos/ids/1277387-800-auto?v=638152938174200000&amp;width=800&amp;height=auto&amp;aspect=true")</f>
        <v>#NAME?</v>
      </c>
      <c r="H345" t="e">
        <f ca="1">IMAGE("https://m.media-amazon.com/images/I/81mYLJTbpWL._AC_UL320_.jpg")</f>
        <v>#NAME?</v>
      </c>
      <c r="I345" t="s">
        <v>164</v>
      </c>
      <c r="J345">
        <v>145.94999999999999</v>
      </c>
      <c r="K345" s="2" t="s">
        <v>1361</v>
      </c>
      <c r="L345">
        <v>5</v>
      </c>
      <c r="M345">
        <v>2</v>
      </c>
      <c r="O345" t="s">
        <v>33</v>
      </c>
      <c r="P345" t="s">
        <v>191</v>
      </c>
      <c r="Q345" t="s">
        <v>203</v>
      </c>
    </row>
    <row r="346" spans="1:17" ht="15.75" x14ac:dyDescent="0.25">
      <c r="A346" s="3" t="str">
        <f>HYPERLINK("https://www.als.com/black-diamond-spot-400-headlamp-101632/p?skuId=931481", "https://www.als.com/black-diamond-spot-400-headlamp-101632/p?skuId=931481")</f>
        <v>https://www.als.com/black-diamond-spot-400-headlamp-101632/p?skuId=931481</v>
      </c>
      <c r="B346" s="3" t="str">
        <f>HYPERLINK("https://www.als.com/black-diamond-spot-400-headlamp-101632/p", "https://www.als.com/black-diamond-spot-400-headlamp-101632/p")</f>
        <v>https://www.als.com/black-diamond-spot-400-headlamp-101632/p</v>
      </c>
      <c r="C346" t="s">
        <v>154</v>
      </c>
      <c r="D346" t="s">
        <v>1362</v>
      </c>
      <c r="E346" s="3" t="str">
        <f>HYPERLINK("https://www.amazon.com/Black-Diamond-Headlamp-Unisex-Lumens/dp/B084JHMX9C/ref=sr_1_3?keywords=Black+Diamond+Spot+400+Headlamp&amp;qid=1695124486&amp;sr=8-3", "https://www.amazon.com/Black-Diamond-Headlamp-Unisex-Lumens/dp/B084JHMX9C/ref=sr_1_3?keywords=Black+Diamond+Spot+400+Headlamp&amp;qid=1695124486&amp;sr=8-3")</f>
        <v>https://www.amazon.com/Black-Diamond-Headlamp-Unisex-Lumens/dp/B084JHMX9C/ref=sr_1_3?keywords=Black+Diamond+Spot+400+Headlamp&amp;qid=1695124486&amp;sr=8-3</v>
      </c>
      <c r="F346" t="s">
        <v>1363</v>
      </c>
      <c r="G346" t="e">
        <f ca="1">IMAGE("https://alssports.vtexassets.com/arquivos/ids/1053612-800-auto?v=637867784637730000&amp;width=800&amp;height=auto&amp;aspect=true")</f>
        <v>#NAME?</v>
      </c>
      <c r="H346" t="e">
        <f ca="1">IMAGE("https://m.media-amazon.com/images/I/719S6KbSCxL._AC_UL320_.jpg")</f>
        <v>#NAME?</v>
      </c>
      <c r="I346" t="s">
        <v>157</v>
      </c>
      <c r="J346">
        <v>42.88</v>
      </c>
      <c r="K346" s="2" t="s">
        <v>1364</v>
      </c>
      <c r="L346">
        <v>4.7</v>
      </c>
      <c r="M346">
        <v>2238</v>
      </c>
      <c r="O346" t="s">
        <v>33</v>
      </c>
      <c r="P346" t="s">
        <v>26</v>
      </c>
      <c r="Q346" t="s">
        <v>158</v>
      </c>
    </row>
    <row r="347" spans="1:17" ht="15.75" x14ac:dyDescent="0.25">
      <c r="A347" s="3" t="str">
        <f>HYPERLINK("https://www.als.com/teva-yth-sandal-original-univeral/p?skuId=715080", "https://www.als.com/teva-yth-sandal-original-univeral/p?skuId=715080")</f>
        <v>https://www.als.com/teva-yth-sandal-original-univeral/p?skuId=715080</v>
      </c>
      <c r="B347" s="3" t="str">
        <f>HYPERLINK("https://www.als.com/teva-yth-sandal-original-univeral/p", "https://www.als.com/teva-yth-sandal-original-univeral/p")</f>
        <v>https://www.als.com/teva-yth-sandal-original-univeral/p</v>
      </c>
      <c r="C347" t="s">
        <v>137</v>
      </c>
      <c r="D347" t="s">
        <v>1365</v>
      </c>
      <c r="E347" s="3" t="str">
        <f>HYPERLINK("https://www.amazon.com/Teva-Original-Universal-Sandal-Unisex/dp/B0B5LXPJNT/ref=sr_1_2?keywords=Teva+Original+Universal+Sandal+-+Kids%27&amp;qid=1695124396&amp;sr=8-2", "https://www.amazon.com/Teva-Original-Universal-Sandal-Unisex/dp/B0B5LXPJNT/ref=sr_1_2?keywords=Teva+Original+Universal+Sandal+-+Kids%27&amp;qid=1695124396&amp;sr=8-2")</f>
        <v>https://www.amazon.com/Teva-Original-Universal-Sandal-Unisex/dp/B0B5LXPJNT/ref=sr_1_2?keywords=Teva+Original+Universal+Sandal+-+Kids%27&amp;qid=1695124396&amp;sr=8-2</v>
      </c>
      <c r="F347" t="s">
        <v>1366</v>
      </c>
      <c r="G347" t="e">
        <f ca="1">IMAGE("https://alssports.vtexassets.com/arquivos/ids/1020862-800-auto?v=637818688399000000&amp;width=800&amp;height=auto&amp;aspect=true")</f>
        <v>#NAME?</v>
      </c>
      <c r="H347" t="e">
        <f ca="1">IMAGE("https://m.media-amazon.com/images/I/71PaEa3AnzL._AC_UL320_.jpg")</f>
        <v>#NAME?</v>
      </c>
      <c r="I347" t="s">
        <v>140</v>
      </c>
      <c r="J347">
        <v>34.26</v>
      </c>
      <c r="K347" s="2" t="s">
        <v>1367</v>
      </c>
      <c r="L347">
        <v>4.3</v>
      </c>
      <c r="M347">
        <v>144</v>
      </c>
      <c r="O347" t="s">
        <v>33</v>
      </c>
      <c r="P347" t="s">
        <v>26</v>
      </c>
      <c r="Q347" t="s">
        <v>141</v>
      </c>
    </row>
    <row r="348" spans="1:17" ht="15.75" x14ac:dyDescent="0.25">
      <c r="A348" s="3" t="str">
        <f>HYPERLINK("https://www.als.com/chaco-m-sandal-zcloud/p?skuId=932120", "https://www.als.com/chaco-m-sandal-zcloud/p?skuId=932120")</f>
        <v>https://www.als.com/chaco-m-sandal-zcloud/p?skuId=932120</v>
      </c>
      <c r="B348" s="3" t="str">
        <f>HYPERLINK("https://www.als.com/chaco-m-sandal-zcloud/p", "https://www.als.com/chaco-m-sandal-zcloud/p")</f>
        <v>https://www.als.com/chaco-m-sandal-zcloud/p</v>
      </c>
      <c r="C348" t="s">
        <v>694</v>
      </c>
      <c r="D348" t="s">
        <v>1368</v>
      </c>
      <c r="E348" s="3" t="str">
        <f>HYPERLINK("https://www.amazon.com/Chaco-Mens-Zcloud-Sandal-Score/dp/B099CDQRC7/ref=sr_1_36?keywords=Chaco+Z%2FCloud+Sandal+-+Mens&amp;qid=1695124430&amp;sr=8-36", "https://www.amazon.com/Chaco-Mens-Zcloud-Sandal-Score/dp/B099CDQRC7/ref=sr_1_36?keywords=Chaco+Z%2FCloud+Sandal+-+Mens&amp;qid=1695124430&amp;sr=8-36")</f>
        <v>https://www.amazon.com/Chaco-Mens-Zcloud-Sandal-Score/dp/B099CDQRC7/ref=sr_1_36?keywords=Chaco+Z%2FCloud+Sandal+-+Mens&amp;qid=1695124430&amp;sr=8-36</v>
      </c>
      <c r="F348" t="s">
        <v>1369</v>
      </c>
      <c r="G348" t="e">
        <f ca="1">IMAGE("https://alssports.vtexassets.com/arquivos/ids/1082383-800-auto?v=637913737461500000&amp;width=800&amp;height=auto&amp;aspect=true")</f>
        <v>#NAME?</v>
      </c>
      <c r="H348" t="e">
        <f ca="1">IMAGE("https://m.media-amazon.com/images/I/81zu5tZYGYL._AC_UL320_.jpg")</f>
        <v>#NAME?</v>
      </c>
      <c r="I348" t="s">
        <v>269</v>
      </c>
      <c r="J348">
        <v>89.96</v>
      </c>
      <c r="K348" s="2" t="s">
        <v>1370</v>
      </c>
      <c r="L348">
        <v>1.9</v>
      </c>
      <c r="M348">
        <v>2</v>
      </c>
      <c r="O348" t="s">
        <v>33</v>
      </c>
      <c r="P348" t="s">
        <v>26</v>
      </c>
      <c r="Q348" t="s">
        <v>697</v>
      </c>
    </row>
    <row r="349" spans="1:17" ht="15.75" x14ac:dyDescent="0.25">
      <c r="A349" s="3" t="str">
        <f>HYPERLINK("https://www.als.com/stanley-the-iceflow-flip-straw-tumbler-30oz-103553/p?skuId=825655", "https://www.als.com/stanley-the-iceflow-flip-straw-tumbler-30oz-103553/p?skuId=825655")</f>
        <v>https://www.als.com/stanley-the-iceflow-flip-straw-tumbler-30oz-103553/p?skuId=825655</v>
      </c>
      <c r="B349" s="3" t="str">
        <f>HYPERLINK("https://www.als.com/stanley-the-iceflow-flip-straw-tumbler-30oz-103553/p", "https://www.als.com/stanley-the-iceflow-flip-straw-tumbler-30oz-103553/p")</f>
        <v>https://www.als.com/stanley-the-iceflow-flip-straw-tumbler-30oz-103553/p</v>
      </c>
      <c r="C349" t="s">
        <v>1371</v>
      </c>
      <c r="D349" t="s">
        <v>1372</v>
      </c>
      <c r="E349" s="3" t="str">
        <f>HYPERLINK("https://www.amazon.com/Stanley-Classic-Stainless-Double-Wall-Insulation/dp/B0B4F9BZ3G/ref=sr_1_18?keywords=Stanley+The+IceFlow+Flip+Straw+Tumbler+-+30oz&amp;qid=1695124318&amp;sr=8-18", "https://www.amazon.com/Stanley-Classic-Stainless-Double-Wall-Insulation/dp/B0B4F9BZ3G/ref=sr_1_18?keywords=Stanley+The+IceFlow+Flip+Straw+Tumbler+-+30oz&amp;qid=1695124318&amp;sr=8-18")</f>
        <v>https://www.amazon.com/Stanley-Classic-Stainless-Double-Wall-Insulation/dp/B0B4F9BZ3G/ref=sr_1_18?keywords=Stanley+The+IceFlow+Flip+Straw+Tumbler+-+30oz&amp;qid=1695124318&amp;sr=8-18</v>
      </c>
      <c r="F349" t="s">
        <v>1373</v>
      </c>
      <c r="G349" t="e">
        <f ca="1">IMAGE("https://alssports.vtexassets.com/arquivos/ids/969718-800-auto?v=637744962130300000&amp;width=800&amp;height=auto&amp;aspect=true")</f>
        <v>#NAME?</v>
      </c>
      <c r="H349" t="e">
        <f ca="1">IMAGE("https://m.media-amazon.com/images/I/51lAt+QX+-L._AC_UL320_.jpg")</f>
        <v>#NAME?</v>
      </c>
      <c r="I349" t="s">
        <v>233</v>
      </c>
      <c r="J349">
        <v>30</v>
      </c>
      <c r="K349" s="2" t="s">
        <v>1374</v>
      </c>
      <c r="L349">
        <v>4.5999999999999996</v>
      </c>
      <c r="M349">
        <v>271</v>
      </c>
      <c r="O349" t="s">
        <v>33</v>
      </c>
      <c r="P349" t="s">
        <v>26</v>
      </c>
      <c r="Q349" t="s">
        <v>1375</v>
      </c>
    </row>
    <row r="350" spans="1:17" ht="15.75" x14ac:dyDescent="0.25">
      <c r="A350" s="3" t="str">
        <f>HYPERLINK("https://www.als.com/gord-rally-mitt/p?skuId=1306142", "https://www.als.com/gord-rally-mitt/p?skuId=1306142")</f>
        <v>https://www.als.com/gord-rally-mitt/p?skuId=1306142</v>
      </c>
      <c r="B350" s="3" t="str">
        <f>HYPERLINK("https://www.als.com/gord-rally-mitt/p", "https://www.als.com/gord-rally-mitt/p")</f>
        <v>https://www.als.com/gord-rally-mitt/p</v>
      </c>
      <c r="C350" t="s">
        <v>682</v>
      </c>
      <c r="D350" t="s">
        <v>1376</v>
      </c>
      <c r="E350" s="3" t="str">
        <f>HYPERLINK("https://www.amazon.com/Gordini-Stomp-Waterproof-Insulated-Mitts/dp/B07CQCCTWP/ref=sr_1_16?keywords=Gordini+Rally+Mitten+-+Mens&amp;qid=1695124309&amp;sr=8-16", "https://www.amazon.com/Gordini-Stomp-Waterproof-Insulated-Mitts/dp/B07CQCCTWP/ref=sr_1_16?keywords=Gordini+Rally+Mitten+-+Mens&amp;qid=1695124309&amp;sr=8-16")</f>
        <v>https://www.amazon.com/Gordini-Stomp-Waterproof-Insulated-Mitts/dp/B07CQCCTWP/ref=sr_1_16?keywords=Gordini+Rally+Mitten+-+Mens&amp;qid=1695124309&amp;sr=8-16</v>
      </c>
      <c r="F350" t="s">
        <v>1377</v>
      </c>
      <c r="G350" t="e">
        <f ca="1">IMAGE("https://alssports.vtexassets.com/arquivos/ids/1427992-800-auto?v=638283287978400000&amp;width=800&amp;height=auto&amp;aspect=true")</f>
        <v>#NAME?</v>
      </c>
      <c r="H350" t="e">
        <f ca="1">IMAGE("https://m.media-amazon.com/images/I/81YGufTmTTL._AC_UL320_.jpg")</f>
        <v>#NAME?</v>
      </c>
      <c r="I350" t="s">
        <v>225</v>
      </c>
      <c r="J350">
        <v>59.99</v>
      </c>
      <c r="K350" s="2" t="s">
        <v>1374</v>
      </c>
      <c r="L350">
        <v>5</v>
      </c>
      <c r="M350">
        <v>2</v>
      </c>
      <c r="O350" t="s">
        <v>33</v>
      </c>
      <c r="P350" t="s">
        <v>26</v>
      </c>
      <c r="Q350" t="s">
        <v>686</v>
      </c>
    </row>
    <row r="351" spans="1:17" ht="15.75" x14ac:dyDescent="0.25">
      <c r="A351" s="3" t="str">
        <f>HYPERLINK("https://www.als.com/peakre-food-cheesy-brccli-chkn--rice/p?skuId=1085059", "https://www.als.com/peakre-food-cheesy-brccli-chkn--rice/p?skuId=1085059")</f>
        <v>https://www.als.com/peakre-food-cheesy-brccli-chkn--rice/p?skuId=1085059</v>
      </c>
      <c r="B351" s="3" t="str">
        <f>HYPERLINK("https://www.als.com/peakre-food-cheesy-brccli-chkn--rice/p", "https://www.als.com/peakre-food-cheesy-brccli-chkn--rice/p")</f>
        <v>https://www.als.com/peakre-food-cheesy-brccli-chkn--rice/p</v>
      </c>
      <c r="C351" t="s">
        <v>340</v>
      </c>
      <c r="D351" t="s">
        <v>1378</v>
      </c>
      <c r="E351" s="3" t="str">
        <f>HYPERLINK("https://www.amazon.com/Peak-Refuel-Mountain-Ingredients-Backpacking/dp/B0CCGJXK24/ref=sr_1_13?keywords=Peak+Refuel+Cheesy+Chicken&amp;qid=1695124122&amp;sr=8-13", "https://www.amazon.com/Peak-Refuel-Mountain-Ingredients-Backpacking/dp/B0CCGJXK24/ref=sr_1_13?keywords=Peak+Refuel+Cheesy+Chicken&amp;qid=1695124122&amp;sr=8-13")</f>
        <v>https://www.amazon.com/Peak-Refuel-Mountain-Ingredients-Backpacking/dp/B0CCGJXK24/ref=sr_1_13?keywords=Peak+Refuel+Cheesy+Chicken&amp;qid=1695124122&amp;sr=8-13</v>
      </c>
      <c r="F351" t="s">
        <v>1379</v>
      </c>
      <c r="G351" t="e">
        <f ca="1">IMAGE("https://alssports.vtexassets.com/arquivos/ids/1089880-800-auto?v=637923217788500000&amp;width=800&amp;height=auto&amp;aspect=true")</f>
        <v>#NAME?</v>
      </c>
      <c r="H351" t="e">
        <f ca="1">IMAGE("https://m.media-amazon.com/images/I/81YnhD-zEXL._AC_UL320_.jpg")</f>
        <v>#NAME?</v>
      </c>
      <c r="I351" t="s">
        <v>99</v>
      </c>
      <c r="J351">
        <v>11.99</v>
      </c>
      <c r="K351" s="2" t="s">
        <v>1380</v>
      </c>
      <c r="L351">
        <v>4.3</v>
      </c>
      <c r="M351">
        <v>11</v>
      </c>
      <c r="O351" t="s">
        <v>33</v>
      </c>
      <c r="P351" t="s">
        <v>26</v>
      </c>
      <c r="Q351" t="s">
        <v>344</v>
      </c>
    </row>
    <row r="352" spans="1:17" ht="15.75" x14ac:dyDescent="0.25">
      <c r="A352" s="3" t="str">
        <f>HYPERLINK("https://www.als.com/vans-shoe-old-skool-classic/p?skuId=486101", "https://www.als.com/vans-shoe-old-skool-classic/p?skuId=486101")</f>
        <v>https://www.als.com/vans-shoe-old-skool-classic/p?skuId=486101</v>
      </c>
      <c r="B352" s="3" t="str">
        <f>HYPERLINK("https://www.als.com/vans-shoe-old-skool-classic/p", "https://www.als.com/vans-shoe-old-skool-classic/p")</f>
        <v>https://www.als.com/vans-shoe-old-skool-classic/p</v>
      </c>
      <c r="C352" t="s">
        <v>271</v>
      </c>
      <c r="D352" t="s">
        <v>1381</v>
      </c>
      <c r="E352" s="3" t="str">
        <f>HYPERLINK("https://www.amazon.com/Vans-Skool-Shoes-Navy-Size/dp/B073S1LJGL/ref=sr_1_47?keywords=Vans+Old+Skool+Skate+Shoe&amp;qid=1695124126&amp;sr=8-47", "https://www.amazon.com/Vans-Skool-Shoes-Navy-Size/dp/B073S1LJGL/ref=sr_1_47?keywords=Vans+Old+Skool+Skate+Shoe&amp;qid=1695124126&amp;sr=8-47")</f>
        <v>https://www.amazon.com/Vans-Skool-Shoes-Navy-Size/dp/B073S1LJGL/ref=sr_1_47?keywords=Vans+Old+Skool+Skate+Shoe&amp;qid=1695124126&amp;sr=8-47</v>
      </c>
      <c r="F352" t="s">
        <v>1382</v>
      </c>
      <c r="G352" t="e">
        <f ca="1">IMAGE("https://alssports.vtexassets.com/arquivos/ids/1076563-800-auto?v=637904803557770000&amp;width=800&amp;height=auto&amp;aspect=true")</f>
        <v>#NAME?</v>
      </c>
      <c r="H352" t="e">
        <f ca="1">IMAGE("https://m.media-amazon.com/images/I/71z4RDmDyTL._AC_UL320_.jpg")</f>
        <v>#NAME?</v>
      </c>
      <c r="I352" t="s">
        <v>274</v>
      </c>
      <c r="J352">
        <v>59.95</v>
      </c>
      <c r="K352" s="2" t="s">
        <v>1380</v>
      </c>
      <c r="L352">
        <v>5</v>
      </c>
      <c r="M352">
        <v>1</v>
      </c>
      <c r="O352" t="s">
        <v>33</v>
      </c>
      <c r="P352" t="s">
        <v>32</v>
      </c>
      <c r="Q352" t="s">
        <v>275</v>
      </c>
    </row>
    <row r="353" spans="1:17" ht="15.75" x14ac:dyDescent="0.25">
      <c r="A353" s="3" t="str">
        <f>HYPERLINK("https://www.als.com/vans-shoe-old-skool/p?skuId=1339083", "https://www.als.com/vans-shoe-old-skool/p?skuId=1339083")</f>
        <v>https://www.als.com/vans-shoe-old-skool/p?skuId=1339083</v>
      </c>
      <c r="B353" s="3" t="str">
        <f>HYPERLINK("https://www.als.com/vans-shoe-old-skool/p", "https://www.als.com/vans-shoe-old-skool/p")</f>
        <v>https://www.als.com/vans-shoe-old-skool/p</v>
      </c>
      <c r="C353" t="s">
        <v>1348</v>
      </c>
      <c r="D353" t="s">
        <v>1383</v>
      </c>
      <c r="E353" s="3" t="str">
        <f>HYPERLINK("https://www.amazon.com/Vans-Unisex-Skool-Skate-Shoes/dp/B001CVUZII/ref=sr_1_11?keywords=Vans+Canvas+Old+Skool+Shoe&amp;qid=1695124392&amp;sr=8-11", "https://www.amazon.com/Vans-Unisex-Skool-Skate-Shoes/dp/B001CVUZII/ref=sr_1_11?keywords=Vans+Canvas+Old+Skool+Shoe&amp;qid=1695124392&amp;sr=8-11")</f>
        <v>https://www.amazon.com/Vans-Unisex-Skool-Skate-Shoes/dp/B001CVUZII/ref=sr_1_11?keywords=Vans+Canvas+Old+Skool+Shoe&amp;qid=1695124392&amp;sr=8-11</v>
      </c>
      <c r="F353" t="s">
        <v>1384</v>
      </c>
      <c r="G353" t="e">
        <f ca="1">IMAGE("https://alssports.vtexassets.com/arquivos/ids/1339950-800-auto?v=638216000421770000&amp;width=800&amp;height=auto&amp;aspect=true")</f>
        <v>#NAME?</v>
      </c>
      <c r="H353" t="e">
        <f ca="1">IMAGE("https://m.media-amazon.com/images/I/71pf7VFs9CL._AC_UL320_.jpg")</f>
        <v>#NAME?</v>
      </c>
      <c r="I353" t="s">
        <v>274</v>
      </c>
      <c r="J353">
        <v>59.95</v>
      </c>
      <c r="K353" s="2" t="s">
        <v>1380</v>
      </c>
      <c r="L353">
        <v>4.7</v>
      </c>
      <c r="M353">
        <v>2789</v>
      </c>
      <c r="O353" t="s">
        <v>33</v>
      </c>
      <c r="P353" t="s">
        <v>40</v>
      </c>
      <c r="Q353" t="s">
        <v>1352</v>
      </c>
    </row>
    <row r="354" spans="1:17" ht="15.75" x14ac:dyDescent="0.25">
      <c r="A354" s="3" t="str">
        <f>HYPERLINK("https://www.als.com/peakre-food-breakfast-skillet/p?skuId=576078", "https://www.als.com/peakre-food-breakfast-skillet/p?skuId=576078")</f>
        <v>https://www.als.com/peakre-food-breakfast-skillet/p?skuId=576078</v>
      </c>
      <c r="B354" s="3" t="str">
        <f>HYPERLINK("https://www.als.com/peakre-food-breakfast-skillet/p", "https://www.als.com/peakre-food-breakfast-skillet/p")</f>
        <v>https://www.als.com/peakre-food-breakfast-skillet/p</v>
      </c>
      <c r="C354" t="s">
        <v>96</v>
      </c>
      <c r="D354" t="s">
        <v>1385</v>
      </c>
      <c r="E354" s="3" t="str">
        <f>HYPERLINK("https://www.amazon.com/ReadyWise-Breakfast-Freeze-Dried-Backpacking-Servings/dp/B083PS886Q/ref=sr_1_1?keywords=Peak+Refuel+Breakfast+Skillet+Freeze+Dried+Meal&amp;qid=1695124134&amp;sr=8-1", "https://www.amazon.com/ReadyWise-Breakfast-Freeze-Dried-Backpacking-Servings/dp/B083PS886Q/ref=sr_1_1?keywords=Peak+Refuel+Breakfast+Skillet+Freeze+Dried+Meal&amp;qid=1695124134&amp;sr=8-1")</f>
        <v>https://www.amazon.com/ReadyWise-Breakfast-Freeze-Dried-Backpacking-Servings/dp/B083PS886Q/ref=sr_1_1?keywords=Peak+Refuel+Breakfast+Skillet+Freeze+Dried+Meal&amp;qid=1695124134&amp;sr=8-1</v>
      </c>
      <c r="F354" t="s">
        <v>1386</v>
      </c>
      <c r="G354" t="e">
        <f ca="1">IMAGE("https://alssports.vtexassets.com/arquivos/ids/1082240-800-auto?v=637913616562400000&amp;width=800&amp;height=auto&amp;aspect=true")</f>
        <v>#NAME?</v>
      </c>
      <c r="H354" t="e">
        <f ca="1">IMAGE("https://m.media-amazon.com/images/I/81YG6OWE0jL._AC_UL320_.jpg")</f>
        <v>#NAME?</v>
      </c>
      <c r="I354" t="s">
        <v>99</v>
      </c>
      <c r="J354">
        <v>11.99</v>
      </c>
      <c r="K354" s="2" t="s">
        <v>1380</v>
      </c>
      <c r="L354">
        <v>3.8</v>
      </c>
      <c r="M354">
        <v>23</v>
      </c>
      <c r="O354" t="s">
        <v>33</v>
      </c>
      <c r="P354" t="s">
        <v>26</v>
      </c>
      <c r="Q354" t="s">
        <v>100</v>
      </c>
    </row>
    <row r="355" spans="1:17" ht="15.75" x14ac:dyDescent="0.25">
      <c r="A355" s="3" t="str">
        <f>HYPERLINK("https://www.als.com/vans-shoe-old-skool-classic/p?skuId=486101", "https://www.als.com/vans-shoe-old-skool-classic/p?skuId=486101")</f>
        <v>https://www.als.com/vans-shoe-old-skool-classic/p?skuId=486101</v>
      </c>
      <c r="B355" s="3" t="str">
        <f>HYPERLINK("https://www.als.com/vans-shoe-old-skool-classic/p", "https://www.als.com/vans-shoe-old-skool-classic/p")</f>
        <v>https://www.als.com/vans-shoe-old-skool-classic/p</v>
      </c>
      <c r="C355" t="s">
        <v>271</v>
      </c>
      <c r="D355" t="s">
        <v>1383</v>
      </c>
      <c r="E355" s="3" t="str">
        <f>HYPERLINK("https://www.amazon.com/Vans-Unisex-Skool-Skate-Shoes/dp/B001CVUZII/ref=sr_1_10?keywords=Vans+Old+Skool+Skate+Shoe&amp;qid=1695124126&amp;sr=8-10", "https://www.amazon.com/Vans-Unisex-Skool-Skate-Shoes/dp/B001CVUZII/ref=sr_1_10?keywords=Vans+Old+Skool+Skate+Shoe&amp;qid=1695124126&amp;sr=8-10")</f>
        <v>https://www.amazon.com/Vans-Unisex-Skool-Skate-Shoes/dp/B001CVUZII/ref=sr_1_10?keywords=Vans+Old+Skool+Skate+Shoe&amp;qid=1695124126&amp;sr=8-10</v>
      </c>
      <c r="F355" t="s">
        <v>1384</v>
      </c>
      <c r="G355" t="e">
        <f ca="1">IMAGE("https://alssports.vtexassets.com/arquivos/ids/1076563-800-auto?v=637904803557770000&amp;width=800&amp;height=auto&amp;aspect=true")</f>
        <v>#NAME?</v>
      </c>
      <c r="H355" t="e">
        <f ca="1">IMAGE("https://m.media-amazon.com/images/I/71pf7VFs9CL._AC_UL320_.jpg")</f>
        <v>#NAME?</v>
      </c>
      <c r="I355" t="s">
        <v>274</v>
      </c>
      <c r="J355">
        <v>59.95</v>
      </c>
      <c r="K355" s="2" t="s">
        <v>1380</v>
      </c>
      <c r="L355">
        <v>4.7</v>
      </c>
      <c r="M355">
        <v>2789</v>
      </c>
      <c r="O355" t="s">
        <v>33</v>
      </c>
      <c r="P355" t="s">
        <v>32</v>
      </c>
      <c r="Q355" t="s">
        <v>275</v>
      </c>
    </row>
    <row r="356" spans="1:17" ht="15.75" x14ac:dyDescent="0.25">
      <c r="A356" s="3" t="str">
        <f>HYPERLINK("https://www.als.com/peakre-food-breakfast-skillet/p?skuId=576078", "https://www.als.com/peakre-food-breakfast-skillet/p?skuId=576078")</f>
        <v>https://www.als.com/peakre-food-breakfast-skillet/p?skuId=576078</v>
      </c>
      <c r="B356" s="3" t="str">
        <f>HYPERLINK("https://www.als.com/peakre-food-breakfast-skillet/p", "https://www.als.com/peakre-food-breakfast-skillet/p")</f>
        <v>https://www.als.com/peakre-food-breakfast-skillet/p</v>
      </c>
      <c r="C356" t="s">
        <v>96</v>
      </c>
      <c r="D356" t="s">
        <v>1378</v>
      </c>
      <c r="E356" s="3" t="str">
        <f>HYPERLINK("https://www.amazon.com/Peak-Refuel-Mountain-Ingredients-Backpacking/dp/B0CCGJXK24/ref=sr_1_3?keywords=Peak+Refuel+Breakfast+Skillet+Freeze+Dried+Meal&amp;qid=1695124134&amp;sr=8-3", "https://www.amazon.com/Peak-Refuel-Mountain-Ingredients-Backpacking/dp/B0CCGJXK24/ref=sr_1_3?keywords=Peak+Refuel+Breakfast+Skillet+Freeze+Dried+Meal&amp;qid=1695124134&amp;sr=8-3")</f>
        <v>https://www.amazon.com/Peak-Refuel-Mountain-Ingredients-Backpacking/dp/B0CCGJXK24/ref=sr_1_3?keywords=Peak+Refuel+Breakfast+Skillet+Freeze+Dried+Meal&amp;qid=1695124134&amp;sr=8-3</v>
      </c>
      <c r="F356" t="s">
        <v>1379</v>
      </c>
      <c r="G356" t="e">
        <f ca="1">IMAGE("https://alssports.vtexassets.com/arquivos/ids/1082240-800-auto?v=637913616562400000&amp;width=800&amp;height=auto&amp;aspect=true")</f>
        <v>#NAME?</v>
      </c>
      <c r="H356" t="e">
        <f ca="1">IMAGE("https://m.media-amazon.com/images/I/81YnhD-zEXL._AC_UL320_.jpg")</f>
        <v>#NAME?</v>
      </c>
      <c r="I356" t="s">
        <v>99</v>
      </c>
      <c r="J356">
        <v>11.99</v>
      </c>
      <c r="K356" s="2" t="s">
        <v>1380</v>
      </c>
      <c r="L356">
        <v>4.3</v>
      </c>
      <c r="M356">
        <v>11</v>
      </c>
      <c r="O356" t="s">
        <v>33</v>
      </c>
      <c r="P356" t="s">
        <v>26</v>
      </c>
      <c r="Q356" t="s">
        <v>100</v>
      </c>
    </row>
    <row r="357" spans="1:17" ht="15.75" x14ac:dyDescent="0.25">
      <c r="A357" s="3" t="str">
        <f>HYPERLINK("https://www.als.com/peakre-food-chicken-teriyaki/p?skuId=659789", "https://www.als.com/peakre-food-chicken-teriyaki/p?skuId=659789")</f>
        <v>https://www.als.com/peakre-food-chicken-teriyaki/p?skuId=659789</v>
      </c>
      <c r="B357" s="3" t="str">
        <f>HYPERLINK("https://www.als.com/peakre-food-chicken-teriyaki/p", "https://www.als.com/peakre-food-chicken-teriyaki/p")</f>
        <v>https://www.als.com/peakre-food-chicken-teriyaki/p</v>
      </c>
      <c r="C357" t="s">
        <v>349</v>
      </c>
      <c r="D357" t="s">
        <v>1387</v>
      </c>
      <c r="E357" s="3" t="str">
        <f>HYPERLINK("https://www.amazon.com/Trailtopia-Teriyaki-Chicken-Rice-Color/dp/B07F2WV2G6/ref=sr_1_27?keywords=Peak+Refuel+Chicken+Teriyaki+Rice+Freeze+Dried+Meal&amp;qid=1695124120&amp;sr=8-27", "https://www.amazon.com/Trailtopia-Teriyaki-Chicken-Rice-Color/dp/B07F2WV2G6/ref=sr_1_27?keywords=Peak+Refuel+Chicken+Teriyaki+Rice+Freeze+Dried+Meal&amp;qid=1695124120&amp;sr=8-27")</f>
        <v>https://www.amazon.com/Trailtopia-Teriyaki-Chicken-Rice-Color/dp/B07F2WV2G6/ref=sr_1_27?keywords=Peak+Refuel+Chicken+Teriyaki+Rice+Freeze+Dried+Meal&amp;qid=1695124120&amp;sr=8-27</v>
      </c>
      <c r="F357" t="s">
        <v>1388</v>
      </c>
      <c r="G357" t="e">
        <f ca="1">IMAGE("https://alssports.vtexassets.com/arquivos/ids/362691-800-auto?v=637193616145330000&amp;width=800&amp;height=auto&amp;aspect=true")</f>
        <v>#NAME?</v>
      </c>
      <c r="H357" t="e">
        <f ca="1">IMAGE("https://m.media-amazon.com/images/I/81TQVKIlucL._AC_UL320_.jpg")</f>
        <v>#NAME?</v>
      </c>
      <c r="I357" t="s">
        <v>99</v>
      </c>
      <c r="J357">
        <v>11.99</v>
      </c>
      <c r="K357" s="2" t="s">
        <v>1380</v>
      </c>
      <c r="L357">
        <v>3.4</v>
      </c>
      <c r="M357">
        <v>11</v>
      </c>
      <c r="O357" t="s">
        <v>33</v>
      </c>
      <c r="P357" t="s">
        <v>26</v>
      </c>
      <c r="Q357" t="s">
        <v>350</v>
      </c>
    </row>
    <row r="358" spans="1:17" ht="15.75" x14ac:dyDescent="0.25">
      <c r="A358" s="3" t="str">
        <f>HYPERLINK("https://www.als.com/peakre-food-beef-stroganoff/p?skuId=659791", "https://www.als.com/peakre-food-beef-stroganoff/p?skuId=659791")</f>
        <v>https://www.als.com/peakre-food-beef-stroganoff/p?skuId=659791</v>
      </c>
      <c r="B358" s="3" t="str">
        <f>HYPERLINK("https://www.als.com/peakre-food-beef-stroganoff/p", "https://www.als.com/peakre-food-beef-stroganoff/p")</f>
        <v>https://www.als.com/peakre-food-beef-stroganoff/p</v>
      </c>
      <c r="C358" t="s">
        <v>357</v>
      </c>
      <c r="D358" t="s">
        <v>1378</v>
      </c>
      <c r="E358" s="3" t="str">
        <f>HYPERLINK("https://www.amazon.com/Peak-Refuel-Mountain-Ingredients-Backpacking/dp/B0CCGJXK24/ref=sr_1_2?keywords=Peak+Refuel+Beef+Stroganoff+Freeze+Dried+Meal&amp;qid=1695124119&amp;sr=8-2", "https://www.amazon.com/Peak-Refuel-Mountain-Ingredients-Backpacking/dp/B0CCGJXK24/ref=sr_1_2?keywords=Peak+Refuel+Beef+Stroganoff+Freeze+Dried+Meal&amp;qid=1695124119&amp;sr=8-2")</f>
        <v>https://www.amazon.com/Peak-Refuel-Mountain-Ingredients-Backpacking/dp/B0CCGJXK24/ref=sr_1_2?keywords=Peak+Refuel+Beef+Stroganoff+Freeze+Dried+Meal&amp;qid=1695124119&amp;sr=8-2</v>
      </c>
      <c r="F358" t="s">
        <v>1379</v>
      </c>
      <c r="G358" t="e">
        <f ca="1">IMAGE("https://alssports.vtexassets.com/arquivos/ids/362697-800-auto?v=637193625962630000&amp;width=800&amp;height=auto&amp;aspect=true")</f>
        <v>#NAME?</v>
      </c>
      <c r="H358" t="e">
        <f ca="1">IMAGE("https://m.media-amazon.com/images/I/81YnhD-zEXL._AC_UL320_.jpg")</f>
        <v>#NAME?</v>
      </c>
      <c r="I358" t="s">
        <v>99</v>
      </c>
      <c r="J358">
        <v>11.99</v>
      </c>
      <c r="K358" s="2" t="s">
        <v>1380</v>
      </c>
      <c r="L358">
        <v>4.3</v>
      </c>
      <c r="M358">
        <v>11</v>
      </c>
      <c r="O358" t="s">
        <v>33</v>
      </c>
      <c r="P358" t="s">
        <v>26</v>
      </c>
      <c r="Q358" t="s">
        <v>358</v>
      </c>
    </row>
    <row r="359" spans="1:17" ht="15.75" x14ac:dyDescent="0.25">
      <c r="A359" s="3" t="str">
        <f>HYPERLINK("https://www.als.com/under-m-ua-training-vent-20-ss/p?skuId=857892", "https://www.als.com/under-m-ua-training-vent-20-ss/p?skuId=857892")</f>
        <v>https://www.als.com/under-m-ua-training-vent-20-ss/p?skuId=857892</v>
      </c>
      <c r="B359" s="3" t="str">
        <f>HYPERLINK("https://www.als.com/under-m-ua-training-vent-20-ss/p", "https://www.als.com/under-m-ua-training-vent-20-ss/p")</f>
        <v>https://www.als.com/under-m-ua-training-vent-20-ss/p</v>
      </c>
      <c r="C359" t="s">
        <v>228</v>
      </c>
      <c r="D359" t="s">
        <v>1389</v>
      </c>
      <c r="E359" s="3" t="str">
        <f>HYPERLINK("https://www.amazon.com/Under-Armour-Emboss-Training-Workout/dp/B07PR27QZ7/ref=sr_1_7?keywords=Under+Armour+Training+Vent+2.0+Short+Sleeve+Shirt+-+Mens&amp;qid=1695124314&amp;sr=8-7", "https://www.amazon.com/Under-Armour-Emboss-Training-Workout/dp/B07PR27QZ7/ref=sr_1_7?keywords=Under+Armour+Training+Vent+2.0+Short+Sleeve+Shirt+-+Mens&amp;qid=1695124314&amp;sr=8-7")</f>
        <v>https://www.amazon.com/Under-Armour-Emboss-Training-Workout/dp/B07PR27QZ7/ref=sr_1_7?keywords=Under+Armour+Training+Vent+2.0+Short+Sleeve+Shirt+-+Mens&amp;qid=1695124314&amp;sr=8-7</v>
      </c>
      <c r="F359" t="s">
        <v>1390</v>
      </c>
      <c r="G359" t="e">
        <f ca="1">IMAGE("https://alssports.vtexassets.com/arquivos/ids/1216263-800-auto?v=638098285417900000&amp;width=800&amp;height=auto&amp;aspect=true")</f>
        <v>#NAME?</v>
      </c>
      <c r="H359" t="e">
        <f ca="1">IMAGE("https://m.media-amazon.com/images/I/81XXICCvrdL._AC_UL320_.jpg")</f>
        <v>#NAME?</v>
      </c>
      <c r="I359" t="s">
        <v>231</v>
      </c>
      <c r="J359">
        <v>17.989999999999998</v>
      </c>
      <c r="K359" s="2" t="s">
        <v>1391</v>
      </c>
      <c r="L359">
        <v>4.5999999999999996</v>
      </c>
      <c r="M359">
        <v>458</v>
      </c>
      <c r="O359" t="s">
        <v>33</v>
      </c>
      <c r="P359" t="s">
        <v>233</v>
      </c>
      <c r="Q359" t="s">
        <v>234</v>
      </c>
    </row>
    <row r="360" spans="1:17" ht="15.75" x14ac:dyDescent="0.25">
      <c r="A360" s="3" t="str">
        <f>HYPERLINK("https://www.als.com/under-m-ua-training-vent-20-ss/p?skuId=857892", "https://www.als.com/under-m-ua-training-vent-20-ss/p?skuId=857892")</f>
        <v>https://www.als.com/under-m-ua-training-vent-20-ss/p?skuId=857892</v>
      </c>
      <c r="B360" s="3" t="str">
        <f>HYPERLINK("https://www.als.com/under-m-ua-training-vent-20-ss/p", "https://www.als.com/under-m-ua-training-vent-20-ss/p")</f>
        <v>https://www.als.com/under-m-ua-training-vent-20-ss/p</v>
      </c>
      <c r="C360" t="s">
        <v>228</v>
      </c>
      <c r="D360" t="s">
        <v>249</v>
      </c>
      <c r="E360" s="3" t="str">
        <f>HYPERLINK("https://www.amazon.com/Under-Armour-Sleeve-T-Shirt-Graphite/dp/B07813WXR2/ref=sr_1_17?keywords=Under+Armour+Training+Vent+2.0+Short+Sleeve+Shirt+-+Mens&amp;qid=1695124314&amp;sr=8-17", "https://www.amazon.com/Under-Armour-Sleeve-T-Shirt-Graphite/dp/B07813WXR2/ref=sr_1_17?keywords=Under+Armour+Training+Vent+2.0+Short+Sleeve+Shirt+-+Mens&amp;qid=1695124314&amp;sr=8-17")</f>
        <v>https://www.amazon.com/Under-Armour-Sleeve-T-Shirt-Graphite/dp/B07813WXR2/ref=sr_1_17?keywords=Under+Armour+Training+Vent+2.0+Short+Sleeve+Shirt+-+Mens&amp;qid=1695124314&amp;sr=8-17</v>
      </c>
      <c r="F360" t="s">
        <v>1392</v>
      </c>
      <c r="G360" t="e">
        <f ca="1">IMAGE("https://alssports.vtexassets.com/arquivos/ids/1216263-800-auto?v=638098285417900000&amp;width=800&amp;height=auto&amp;aspect=true")</f>
        <v>#NAME?</v>
      </c>
      <c r="H360" t="e">
        <f ca="1">IMAGE("https://m.media-amazon.com/images/I/51lcBQJtssL._AC_UL320_.jpg")</f>
        <v>#NAME?</v>
      </c>
      <c r="I360" t="s">
        <v>231</v>
      </c>
      <c r="J360">
        <v>17.989999999999998</v>
      </c>
      <c r="K360" s="2" t="s">
        <v>1391</v>
      </c>
      <c r="L360">
        <v>4.5</v>
      </c>
      <c r="M360">
        <v>79898</v>
      </c>
      <c r="O360" t="s">
        <v>33</v>
      </c>
      <c r="P360" t="s">
        <v>233</v>
      </c>
      <c r="Q360" t="s">
        <v>234</v>
      </c>
    </row>
    <row r="361" spans="1:17" ht="15.75" x14ac:dyDescent="0.25">
      <c r="A361" s="3" t="str">
        <f>HYPERLINK("https://www.als.com/scott-glove-ultimate-warm/p?skuId=549897", "https://www.als.com/scott-glove-ultimate-warm/p?skuId=549897")</f>
        <v>https://www.als.com/scott-glove-ultimate-warm/p?skuId=549897</v>
      </c>
      <c r="B361" s="3" t="str">
        <f>HYPERLINK("https://www.als.com/scott-glove-ultimate-warm/p", "https://www.als.com/scott-glove-ultimate-warm/p")</f>
        <v>https://www.als.com/scott-glove-ultimate-warm/p</v>
      </c>
      <c r="C361" t="s">
        <v>1393</v>
      </c>
      <c r="D361" t="s">
        <v>1394</v>
      </c>
      <c r="E361" s="3" t="str">
        <f>HYPERLINK("https://www.amazon.com/Scott-Ultimate-Gloves-Black-Medium/dp/B09HL9MCMK/ref=sr_1_1?keywords=Scott+Ultimate+Warm+Glove+-+Mens&amp;qid=1695124361&amp;sr=8-1", "https://www.amazon.com/Scott-Ultimate-Gloves-Black-Medium/dp/B09HL9MCMK/ref=sr_1_1?keywords=Scott+Ultimate+Warm+Glove+-+Mens&amp;qid=1695124361&amp;sr=8-1")</f>
        <v>https://www.amazon.com/Scott-Ultimate-Gloves-Black-Medium/dp/B09HL9MCMK/ref=sr_1_1?keywords=Scott+Ultimate+Warm+Glove+-+Mens&amp;qid=1695124361&amp;sr=8-1</v>
      </c>
      <c r="F361" t="s">
        <v>1395</v>
      </c>
      <c r="G361" t="e">
        <f ca="1">IMAGE("https://alssports.vtexassets.com/arquivos/ids/1173949-800-auto?v=638043077543230000&amp;width=800&amp;height=auto&amp;aspect=true")</f>
        <v>#NAME?</v>
      </c>
      <c r="H361" t="e">
        <f ca="1">IMAGE("https://m.media-amazon.com/images/I/71u+NE5l+jL._AC_UL320_.jpg")</f>
        <v>#NAME?</v>
      </c>
      <c r="I361" t="s">
        <v>1396</v>
      </c>
      <c r="J361">
        <v>23.96</v>
      </c>
      <c r="K361" s="2" t="s">
        <v>1397</v>
      </c>
      <c r="L361">
        <v>3.4</v>
      </c>
      <c r="M361">
        <v>7</v>
      </c>
      <c r="O361" t="s">
        <v>33</v>
      </c>
      <c r="P361" t="s">
        <v>140</v>
      </c>
      <c r="Q361" t="s">
        <v>1398</v>
      </c>
    </row>
    <row r="362" spans="1:17" ht="15.75" x14ac:dyDescent="0.25">
      <c r="A362" s="3" t="str">
        <f>HYPERLINK("https://www.als.com/scott-glove-ultimate-warm/p?skuId=549897", "https://www.als.com/scott-glove-ultimate-warm/p?skuId=549897")</f>
        <v>https://www.als.com/scott-glove-ultimate-warm/p?skuId=549897</v>
      </c>
      <c r="B362" s="3" t="str">
        <f>HYPERLINK("https://www.als.com/scott-glove-ultimate-warm/p", "https://www.als.com/scott-glove-ultimate-warm/p")</f>
        <v>https://www.als.com/scott-glove-ultimate-warm/p</v>
      </c>
      <c r="C362" t="s">
        <v>1393</v>
      </c>
      <c r="D362" t="s">
        <v>1399</v>
      </c>
      <c r="E362" s="3" t="str">
        <f>HYPERLINK("https://www.amazon.com/Scott-Womens-Ultimate-Mitts-Medium/dp/B09JV11B6C/ref=sr_1_24?keywords=Scott+Ultimate+Warm+Glove+-+Mens&amp;qid=1695124361&amp;sr=8-24", "https://www.amazon.com/Scott-Womens-Ultimate-Mitts-Medium/dp/B09JV11B6C/ref=sr_1_24?keywords=Scott+Ultimate+Warm+Glove+-+Mens&amp;qid=1695124361&amp;sr=8-24")</f>
        <v>https://www.amazon.com/Scott-Womens-Ultimate-Mitts-Medium/dp/B09JV11B6C/ref=sr_1_24?keywords=Scott+Ultimate+Warm+Glove+-+Mens&amp;qid=1695124361&amp;sr=8-24</v>
      </c>
      <c r="F362" t="s">
        <v>1400</v>
      </c>
      <c r="G362" t="e">
        <f ca="1">IMAGE("https://alssports.vtexassets.com/arquivos/ids/1173949-800-auto?v=638043077543230000&amp;width=800&amp;height=auto&amp;aspect=true")</f>
        <v>#NAME?</v>
      </c>
      <c r="H362" t="e">
        <f ca="1">IMAGE("https://m.media-amazon.com/images/I/61ajaIktbHL._AC_UL320_.jpg")</f>
        <v>#NAME?</v>
      </c>
      <c r="I362" t="s">
        <v>1396</v>
      </c>
      <c r="J362">
        <v>23.95</v>
      </c>
      <c r="K362" s="2" t="s">
        <v>1401</v>
      </c>
      <c r="L362">
        <v>5</v>
      </c>
      <c r="M362">
        <v>1</v>
      </c>
      <c r="O362" t="s">
        <v>33</v>
      </c>
      <c r="P362" t="s">
        <v>140</v>
      </c>
      <c r="Q362" t="s">
        <v>1398</v>
      </c>
    </row>
    <row r="363" spans="1:17" ht="15.75" x14ac:dyDescent="0.25">
      <c r="A363" s="3" t="str">
        <f>HYPERLINK("https://www.als.com/heydud-m-shoe-wally-braided/p?skuId=599445", "https://www.als.com/heydud-m-shoe-wally-braided/p?skuId=599445")</f>
        <v>https://www.als.com/heydud-m-shoe-wally-braided/p?skuId=599445</v>
      </c>
      <c r="B363" s="3" t="str">
        <f>HYPERLINK("https://www.als.com/heydud-m-shoe-wally-braided/p", "https://www.als.com/heydud-m-shoe-wally-braided/p")</f>
        <v>https://www.als.com/heydud-m-shoe-wally-braided/p</v>
      </c>
      <c r="C363" t="s">
        <v>506</v>
      </c>
      <c r="D363" t="s">
        <v>1402</v>
      </c>
      <c r="E363" s="3" t="str">
        <f>HYPERLINK("https://www.amazon.com/Hey-Dude-Stretch-Midnight-Bunker/dp/B08XDDY71J/ref=sr_1_37?keywords=Hey+Dude+Wally+Braided+Shoe+-+Mens&amp;qid=1695124451&amp;sr=8-37", "https://www.amazon.com/Hey-Dude-Stretch-Midnight-Bunker/dp/B08XDDY71J/ref=sr_1_37?keywords=Hey+Dude+Wally+Braided+Shoe+-+Mens&amp;qid=1695124451&amp;sr=8-37")</f>
        <v>https://www.amazon.com/Hey-Dude-Stretch-Midnight-Bunker/dp/B08XDDY71J/ref=sr_1_37?keywords=Hey+Dude+Wally+Braided+Shoe+-+Mens&amp;qid=1695124451&amp;sr=8-37</v>
      </c>
      <c r="F363" t="s">
        <v>1403</v>
      </c>
      <c r="G363" t="e">
        <f ca="1">IMAGE("https://alssports.vtexassets.com/arquivos/ids/1386107-800-auto?v=638254870959300000&amp;width=800&amp;height=auto&amp;aspect=true")</f>
        <v>#NAME?</v>
      </c>
      <c r="H363" t="e">
        <f ca="1">IMAGE("https://m.media-amazon.com/images/I/61XQ9WpcMLL._AC_UL320_.jpg")</f>
        <v>#NAME?</v>
      </c>
      <c r="I363" t="s">
        <v>58</v>
      </c>
      <c r="J363">
        <v>55.6</v>
      </c>
      <c r="K363" s="2" t="s">
        <v>1404</v>
      </c>
      <c r="L363">
        <v>4.7</v>
      </c>
      <c r="M363">
        <v>83</v>
      </c>
      <c r="O363" t="s">
        <v>33</v>
      </c>
      <c r="P363" t="s">
        <v>26</v>
      </c>
      <c r="Q363" t="s">
        <v>507</v>
      </c>
    </row>
    <row r="364" spans="1:17" ht="15.75" x14ac:dyDescent="0.25">
      <c r="A364" s="3" t="str">
        <f>HYPERLINK("https://www.als.com/shimab-pedal-pd-/p?skuId=594007", "https://www.als.com/shimab-pedal-pd-/p?skuId=594007")</f>
        <v>https://www.als.com/shimab-pedal-pd-/p?skuId=594007</v>
      </c>
      <c r="B364" s="3" t="str">
        <f>HYPERLINK("https://www.als.com/shimab-pedal-pd-/p", "https://www.als.com/shimab-pedal-pd-/p")</f>
        <v>https://www.als.com/shimab-pedal-pd-/p</v>
      </c>
      <c r="C364" t="s">
        <v>964</v>
      </c>
      <c r="D364" t="s">
        <v>1405</v>
      </c>
      <c r="E364" s="3" t="str">
        <f>HYPERLINK("https://www.amazon.com/Shimano-PD-T8000-Trekking-Bicycle-Clipless/dp/B01HI6M1KU/ref=sr_1_1?keywords=Shimano+Deore+XT+SPD+Pedal&amp;qid=1695124486&amp;sr=8-1", "https://www.amazon.com/Shimano-PD-T8000-Trekking-Bicycle-Clipless/dp/B01HI6M1KU/ref=sr_1_1?keywords=Shimano+Deore+XT+SPD+Pedal&amp;qid=1695124486&amp;sr=8-1")</f>
        <v>https://www.amazon.com/Shimano-PD-T8000-Trekking-Bicycle-Clipless/dp/B01HI6M1KU/ref=sr_1_1?keywords=Shimano+Deore+XT+SPD+Pedal&amp;qid=1695124486&amp;sr=8-1</v>
      </c>
      <c r="F364" t="s">
        <v>1406</v>
      </c>
      <c r="G364" t="e">
        <f ca="1">IMAGE("https://alssports.vtexassets.com/arquivos/ids/400958-800-auto?v=637243831912700000&amp;width=800&amp;height=auto&amp;aspect=true")</f>
        <v>#NAME?</v>
      </c>
      <c r="H364" t="e">
        <f ca="1">IMAGE("https://m.media-amazon.com/images/I/61adB0yN2NL._AC_UL320_.jpg")</f>
        <v>#NAME?</v>
      </c>
      <c r="I364" t="s">
        <v>967</v>
      </c>
      <c r="J364">
        <v>106.74</v>
      </c>
      <c r="K364" s="2" t="s">
        <v>1407</v>
      </c>
      <c r="L364">
        <v>4.7</v>
      </c>
      <c r="M364">
        <v>1017</v>
      </c>
      <c r="O364" t="s">
        <v>33</v>
      </c>
      <c r="P364" t="s">
        <v>26</v>
      </c>
      <c r="Q364" t="s">
        <v>968</v>
      </c>
    </row>
    <row r="365" spans="1:17" ht="15.75" x14ac:dyDescent="0.25">
      <c r="A365" s="3" t="str">
        <f>HYPERLINK("https://www.als.com/pflueg-reel-supreme-xt-spinning/p?skuId=943388", "https://www.als.com/pflueg-reel-supreme-xt-spinning/p?skuId=943388")</f>
        <v>https://www.als.com/pflueg-reel-supreme-xt-spinning/p?skuId=943388</v>
      </c>
      <c r="B365" s="3" t="str">
        <f>HYPERLINK("https://www.als.com/pflueg-reel-supreme-xt-spinning/p", "https://www.als.com/pflueg-reel-supreme-xt-spinning/p")</f>
        <v>https://www.als.com/pflueg-reel-supreme-xt-spinning/p</v>
      </c>
      <c r="C365" t="s">
        <v>1408</v>
      </c>
      <c r="D365" t="s">
        <v>1409</v>
      </c>
      <c r="E365" s="3" t="str">
        <f>HYPERLINK("https://www.amazon.com/Pflueger-Supreme-Spinning-Fishing-Reel/dp/B096G9Y9Y1/ref=sr_1_3?keywords=Pflueger+Supreme+XT+Spinning+Reel&amp;qid=1695124336&amp;sr=8-3", "https://www.amazon.com/Pflueger-Supreme-Spinning-Fishing-Reel/dp/B096G9Y9Y1/ref=sr_1_3?keywords=Pflueger+Supreme+XT+Spinning+Reel&amp;qid=1695124336&amp;sr=8-3")</f>
        <v>https://www.amazon.com/Pflueger-Supreme-Spinning-Fishing-Reel/dp/B096G9Y9Y1/ref=sr_1_3?keywords=Pflueger+Supreme+XT+Spinning+Reel&amp;qid=1695124336&amp;sr=8-3</v>
      </c>
      <c r="F365" t="s">
        <v>1410</v>
      </c>
      <c r="G365" t="e">
        <f ca="1">IMAGE("https://alssports.vtexassets.com/arquivos/ids/1053300-800-auto?v=637867095703370000&amp;width=800&amp;height=auto&amp;aspect=true")</f>
        <v>#NAME?</v>
      </c>
      <c r="H365" t="e">
        <f ca="1">IMAGE("https://m.media-amazon.com/images/I/81qHd1tAMUL._AC_UY218_.jpg")</f>
        <v>#NAME?</v>
      </c>
      <c r="I365" t="s">
        <v>562</v>
      </c>
      <c r="J365">
        <v>145.01</v>
      </c>
      <c r="K365" s="2" t="s">
        <v>1411</v>
      </c>
      <c r="L365">
        <v>3.2</v>
      </c>
      <c r="M365">
        <v>9</v>
      </c>
      <c r="O365" t="s">
        <v>33</v>
      </c>
      <c r="P365" t="s">
        <v>26</v>
      </c>
      <c r="Q365" t="s">
        <v>1412</v>
      </c>
    </row>
    <row r="366" spans="1:17" ht="15.75" x14ac:dyDescent="0.25">
      <c r="A366" s="3" t="str">
        <f>HYPERLINK("https://www.als.com/bearar-bow-alaskan/p?skuId=969734", "https://www.als.com/bearar-bow-alaskan/p?skuId=969734")</f>
        <v>https://www.als.com/bearar-bow-alaskan/p?skuId=969734</v>
      </c>
      <c r="B366" s="3" t="str">
        <f>HYPERLINK("https://www.als.com/bearar-bow-alaskan/p", "https://www.als.com/bearar-bow-alaskan/p")</f>
        <v>https://www.als.com/bearar-bow-alaskan/p</v>
      </c>
      <c r="C366" t="s">
        <v>657</v>
      </c>
      <c r="D366" t="s">
        <v>1413</v>
      </c>
      <c r="E366" s="3" t="str">
        <f>HYPERLINK("https://www.amazon.com/Bear-Archery-THP-Adapt-Throwback/dp/B0BDSJHXG4/ref=sr_1_27?keywords=Bear+Archery+Alaskan+Compound+Bow&amp;qid=1695124371&amp;sr=8-27", "https://www.amazon.com/Bear-Archery-THP-Adapt-Throwback/dp/B0BDSJHXG4/ref=sr_1_27?keywords=Bear+Archery+Alaskan+Compound+Bow&amp;qid=1695124371&amp;sr=8-27")</f>
        <v>https://www.amazon.com/Bear-Archery-THP-Adapt-Throwback/dp/B0BDSJHXG4/ref=sr_1_27?keywords=Bear+Archery+Alaskan+Compound+Bow&amp;qid=1695124371&amp;sr=8-27</v>
      </c>
      <c r="F366" t="s">
        <v>1414</v>
      </c>
      <c r="G366" t="e">
        <f ca="1">IMAGE("https://alssports.vtexassets.com/arquivos/ids/976192-800-auto?v=637754664177730000&amp;width=800&amp;height=auto&amp;aspect=true")</f>
        <v>#NAME?</v>
      </c>
      <c r="H366" t="e">
        <f ca="1">IMAGE("https://m.media-amazon.com/images/I/61EmxC2b6wL._AC_UL320_.jpg")</f>
        <v>#NAME?</v>
      </c>
      <c r="I366" t="s">
        <v>660</v>
      </c>
      <c r="J366">
        <v>383.87</v>
      </c>
      <c r="K366" s="2" t="s">
        <v>1415</v>
      </c>
      <c r="L366">
        <v>4.7</v>
      </c>
      <c r="M366">
        <v>7</v>
      </c>
      <c r="O366" t="s">
        <v>33</v>
      </c>
      <c r="P366" t="s">
        <v>661</v>
      </c>
      <c r="Q366" t="s">
        <v>662</v>
      </c>
    </row>
    <row r="367" spans="1:17" ht="15.75" x14ac:dyDescent="0.25">
      <c r="A367" s="3" t="str">
        <f>HYPERLINK("https://www.als.com/vans-shoe-classic-slip-on/p?skuId=226085", "https://www.als.com/vans-shoe-classic-slip-on/p?skuId=226085")</f>
        <v>https://www.als.com/vans-shoe-classic-slip-on/p?skuId=226085</v>
      </c>
      <c r="B367" s="3" t="str">
        <f>HYPERLINK("https://www.als.com/vans-shoe-classic-slip-on/p", "https://www.als.com/vans-shoe-classic-slip-on/p")</f>
        <v>https://www.als.com/vans-shoe-classic-slip-on/p</v>
      </c>
      <c r="C367" t="s">
        <v>430</v>
      </c>
      <c r="D367" t="s">
        <v>1416</v>
      </c>
      <c r="E367" s="3" t="str">
        <f>HYPERLINK("https://www.amazon.com/Vans-Unisex-Adults-Classic-Trainers/dp/B07L243PNC/ref=sr_1_45?keywords=Vans+Classic+Slip-On+Shoe&amp;qid=1695124089&amp;sr=8-45", "https://www.amazon.com/Vans-Unisex-Adults-Classic-Trainers/dp/B07L243PNC/ref=sr_1_45?keywords=Vans+Classic+Slip-On+Shoe&amp;qid=1695124089&amp;sr=8-45")</f>
        <v>https://www.amazon.com/Vans-Unisex-Adults-Classic-Trainers/dp/B07L243PNC/ref=sr_1_45?keywords=Vans+Classic+Slip-On+Shoe&amp;qid=1695124089&amp;sr=8-45</v>
      </c>
      <c r="F367" t="s">
        <v>1417</v>
      </c>
      <c r="G367" t="e">
        <f ca="1">IMAGE("https://alssports.vtexassets.com/arquivos/ids/1443076-800-auto?v=638292000890400000&amp;width=800&amp;height=auto&amp;aspect=true")</f>
        <v>#NAME?</v>
      </c>
      <c r="H367" t="e">
        <f ca="1">IMAGE("https://m.media-amazon.com/images/I/710ghlzdjXL._AC_UL320_.jpg")</f>
        <v>#NAME?</v>
      </c>
      <c r="I367" t="s">
        <v>169</v>
      </c>
      <c r="J367">
        <v>51.09</v>
      </c>
      <c r="K367" s="2" t="s">
        <v>1418</v>
      </c>
      <c r="L367">
        <v>4.5</v>
      </c>
      <c r="M367">
        <v>19</v>
      </c>
      <c r="O367" t="s">
        <v>33</v>
      </c>
      <c r="P367" t="s">
        <v>26</v>
      </c>
      <c r="Q367" t="s">
        <v>434</v>
      </c>
    </row>
    <row r="368" spans="1:17" ht="15.75" x14ac:dyDescent="0.25">
      <c r="A368" s="3" t="str">
        <f>HYPERLINK("https://www.als.com/yakimb-18-oz-rooster-tail/p?skuId=1209818", "https://www.als.com/yakimb-18-oz-rooster-tail/p?skuId=1209818")</f>
        <v>https://www.als.com/yakimb-18-oz-rooster-tail/p?skuId=1209818</v>
      </c>
      <c r="B368" s="3" t="str">
        <f>HYPERLINK("https://www.als.com/yakimb-18-oz-rooster-tail/p", "https://www.als.com/yakimb-18-oz-rooster-tail/p")</f>
        <v>https://www.als.com/yakimb-18-oz-rooster-tail/p</v>
      </c>
      <c r="C368" t="s">
        <v>1419</v>
      </c>
      <c r="D368" t="s">
        <v>1420</v>
      </c>
      <c r="E368" s="3" t="str">
        <f>HYPERLINK("https://www.amazon.com/Yakima-Bait-Wordens-Original-Rooster/dp/B003OB6R86/ref=sr_1_4?keywords=Yakima+1%2F8+oz+Original+Rooster+Tail+Lure&amp;qid=1695124404&amp;sr=8-4", "https://www.amazon.com/Yakima-Bait-Wordens-Original-Rooster/dp/B003OB6R86/ref=sr_1_4?keywords=Yakima+1%2F8+oz+Original+Rooster+Tail+Lure&amp;qid=1695124404&amp;sr=8-4")</f>
        <v>https://www.amazon.com/Yakima-Bait-Wordens-Original-Rooster/dp/B003OB6R86/ref=sr_1_4?keywords=Yakima+1%2F8+oz+Original+Rooster+Tail+Lure&amp;qid=1695124404&amp;sr=8-4</v>
      </c>
      <c r="F368" t="s">
        <v>1421</v>
      </c>
      <c r="G368" t="e">
        <f ca="1">IMAGE("https://alssports.vtexassets.com/arquivos/ids/1350286-800-auto?v=638225540506400000&amp;width=800&amp;height=auto&amp;aspect=true")</f>
        <v>#NAME?</v>
      </c>
      <c r="H368" t="e">
        <f ca="1">IMAGE("https://m.media-amazon.com/images/I/51ttb43ECXL._AC_UL320_.jpg")</f>
        <v>#NAME?</v>
      </c>
      <c r="I368" t="s">
        <v>1422</v>
      </c>
      <c r="J368">
        <v>2.13</v>
      </c>
      <c r="K368" s="2" t="s">
        <v>1423</v>
      </c>
      <c r="L368">
        <v>4.5</v>
      </c>
      <c r="M368">
        <v>15</v>
      </c>
      <c r="O368" t="s">
        <v>26</v>
      </c>
      <c r="P368" t="s">
        <v>1424</v>
      </c>
      <c r="Q368" t="s">
        <v>1425</v>
      </c>
    </row>
    <row r="369" spans="1:17" ht="15.75" x14ac:dyDescent="0.25">
      <c r="A369" s="3" t="str">
        <f>HYPERLINK("https://www.als.com/birken-ws-sandal-arizona-soft-ftbed/p?skuId=254551", "https://www.als.com/birken-ws-sandal-arizona-soft-ftbed/p?skuId=254551")</f>
        <v>https://www.als.com/birken-ws-sandal-arizona-soft-ftbed/p?skuId=254551</v>
      </c>
      <c r="B369" s="3" t="str">
        <f>HYPERLINK("https://www.als.com/birken-ws-sandal-arizona-soft-ftbed/p", "https://www.als.com/birken-ws-sandal-arizona-soft-ftbed/p")</f>
        <v>https://www.als.com/birken-ws-sandal-arizona-soft-ftbed/p</v>
      </c>
      <c r="C369" t="s">
        <v>446</v>
      </c>
      <c r="D369" t="s">
        <v>1426</v>
      </c>
      <c r="E369" s="3" t="str">
        <f>HYPERLINK("https://www.amazon.com/Birkenstock-Arizona-Leather-Soft-Footbed/dp/B00EE48SMU/ref=sr_1_4?keywords=Birkenstock+Arizona+Soft+Footbed+Sandal&amp;qid=1695124328&amp;sr=8-4", "https://www.amazon.com/Birkenstock-Arizona-Leather-Soft-Footbed/dp/B00EE48SMU/ref=sr_1_4?keywords=Birkenstock+Arizona+Soft+Footbed+Sandal&amp;qid=1695124328&amp;sr=8-4")</f>
        <v>https://www.amazon.com/Birkenstock-Arizona-Leather-Soft-Footbed/dp/B00EE48SMU/ref=sr_1_4?keywords=Birkenstock+Arizona+Soft+Footbed+Sandal&amp;qid=1695124328&amp;sr=8-4</v>
      </c>
      <c r="F369" t="s">
        <v>1427</v>
      </c>
      <c r="G369" t="e">
        <f ca="1">IMAGE("https://alssports.vtexassets.com/arquivos/ids/1316883-800-auto?v=638198562145970000&amp;width=800&amp;height=auto&amp;aspect=true")</f>
        <v>#NAME?</v>
      </c>
      <c r="H369" t="e">
        <f ca="1">IMAGE("https://m.media-amazon.com/images/I/71ytVB-MD3L._AC_UL320_.jpg")</f>
        <v>#NAME?</v>
      </c>
      <c r="I369" t="s">
        <v>449</v>
      </c>
      <c r="J369">
        <v>114.95</v>
      </c>
      <c r="K369" s="2" t="s">
        <v>1428</v>
      </c>
      <c r="L369">
        <v>4.5</v>
      </c>
      <c r="M369">
        <v>1387</v>
      </c>
      <c r="O369" t="s">
        <v>33</v>
      </c>
      <c r="P369" t="s">
        <v>26</v>
      </c>
      <c r="Q369" t="s">
        <v>451</v>
      </c>
    </row>
    <row r="370" spans="1:17" ht="15.75" x14ac:dyDescent="0.25">
      <c r="A370" s="3" t="str">
        <f>HYPERLINK("https://www.als.com/columbia-powder-lite-novelty-hooded-jacket-girls-125482/p?skuId=1139868", "https://www.als.com/columbia-powder-lite-novelty-hooded-jacket-girls-125482/p?skuId=1139868")</f>
        <v>https://www.als.com/columbia-powder-lite-novelty-hooded-jacket-girls-125482/p?skuId=1139868</v>
      </c>
      <c r="B370" s="3" t="str">
        <f>HYPERLINK("https://www.als.com/columbia-powder-lite-novelty-hooded-jacket-girls-125482/p", "https://www.als.com/columbia-powder-lite-novelty-hooded-jacket-girls-125482/p")</f>
        <v>https://www.als.com/columbia-powder-lite-novelty-hooded-jacket-girls-125482/p</v>
      </c>
      <c r="C370" t="s">
        <v>974</v>
      </c>
      <c r="D370" t="s">
        <v>1429</v>
      </c>
      <c r="E370" s="3" t="str">
        <f>HYPERLINK("https://www.amazon.com/Columbia-Powder-Novelty-Hooded-Jacket/dp/B09KMBZ7CX/ref=sr_1_1?keywords=Columbia+Powder+Lite+Novelty+Hooded+Jacket+-+Girls&amp;qid=1695124483&amp;sr=8-1", "https://www.amazon.com/Columbia-Powder-Novelty-Hooded-Jacket/dp/B09KMBZ7CX/ref=sr_1_1?keywords=Columbia+Powder+Lite+Novelty+Hooded+Jacket+-+Girls&amp;qid=1695124483&amp;sr=8-1")</f>
        <v>https://www.amazon.com/Columbia-Powder-Novelty-Hooded-Jacket/dp/B09KMBZ7CX/ref=sr_1_1?keywords=Columbia+Powder+Lite+Novelty+Hooded+Jacket+-+Girls&amp;qid=1695124483&amp;sr=8-1</v>
      </c>
      <c r="F370" t="s">
        <v>1430</v>
      </c>
      <c r="G370" t="e">
        <f ca="1">IMAGE("https://alssports.vtexassets.com/arquivos/ids/1180419-800-auto?v=638050834194370000&amp;width=800&amp;height=auto&amp;aspect=true")</f>
        <v>#NAME?</v>
      </c>
      <c r="H370" t="e">
        <f ca="1">IMAGE("https://m.media-amazon.com/images/I/71r3x80cyiL._AC_UL320_.jpg")</f>
        <v>#NAME?</v>
      </c>
      <c r="I370" t="s">
        <v>977</v>
      </c>
      <c r="J370">
        <v>71.5</v>
      </c>
      <c r="K370" s="2" t="s">
        <v>1431</v>
      </c>
      <c r="L370">
        <v>3.6</v>
      </c>
      <c r="M370">
        <v>5</v>
      </c>
      <c r="O370" t="s">
        <v>33</v>
      </c>
      <c r="P370" t="s">
        <v>978</v>
      </c>
      <c r="Q370" t="s">
        <v>979</v>
      </c>
    </row>
    <row r="371" spans="1:17" ht="15.75" x14ac:dyDescent="0.25">
      <c r="A371" s="3" t="str">
        <f>HYPERLINK("https://www.als.com/outres-hat-sombriolet-sun-hat/p?skuId=54000", "https://www.als.com/outres-hat-sombriolet-sun-hat/p?skuId=54000")</f>
        <v>https://www.als.com/outres-hat-sombriolet-sun-hat/p?skuId=54000</v>
      </c>
      <c r="B371" s="3" t="str">
        <f>HYPERLINK("https://www.als.com/outres-hat-sombriolet-sun-hat/p", "https://www.als.com/outres-hat-sombriolet-sun-hat/p")</f>
        <v>https://www.als.com/outres-hat-sombriolet-sun-hat/p</v>
      </c>
      <c r="C371" t="s">
        <v>295</v>
      </c>
      <c r="D371" t="s">
        <v>1432</v>
      </c>
      <c r="E371" s="3" t="str">
        <f>HYPERLINK("https://www.amazon.com/Outdoor-Research-Moab-Sun-Hat/dp/B0BQML89K3/ref=sr_1_9?keywords=Outdoor+Research+Sombriolet+Sun+Hat&amp;qid=1695124354&amp;sr=8-9", "https://www.amazon.com/Outdoor-Research-Moab-Sun-Hat/dp/B0BQML89K3/ref=sr_1_9?keywords=Outdoor+Research+Sombriolet+Sun+Hat&amp;qid=1695124354&amp;sr=8-9")</f>
        <v>https://www.amazon.com/Outdoor-Research-Moab-Sun-Hat/dp/B0BQML89K3/ref=sr_1_9?keywords=Outdoor+Research+Sombriolet+Sun+Hat&amp;qid=1695124354&amp;sr=8-9</v>
      </c>
      <c r="F371" t="s">
        <v>1433</v>
      </c>
      <c r="G371" t="e">
        <f ca="1">IMAGE("https://alssports.vtexassets.com/arquivos/ids/1085324-800-auto?v=637917182267970000&amp;width=800&amp;height=auto&amp;aspect=true")</f>
        <v>#NAME?</v>
      </c>
      <c r="H371" t="e">
        <f ca="1">IMAGE("https://m.media-amazon.com/images/I/81k4tvugRsL._AC_UL320_.jpg")</f>
        <v>#NAME?</v>
      </c>
      <c r="I371" t="s">
        <v>298</v>
      </c>
      <c r="J371">
        <v>22.98</v>
      </c>
      <c r="K371" s="2" t="s">
        <v>1434</v>
      </c>
      <c r="L371">
        <v>4.4000000000000004</v>
      </c>
      <c r="M371">
        <v>10</v>
      </c>
      <c r="O371" t="s">
        <v>26</v>
      </c>
      <c r="P371" t="s">
        <v>300</v>
      </c>
      <c r="Q371" t="s">
        <v>301</v>
      </c>
    </row>
    <row r="372" spans="1:17" ht="15.75" x14ac:dyDescent="0.25">
      <c r="A372" s="3" t="str">
        <f>HYPERLINK("https://www.als.com/heydud-m-shoe-wally-braided/p?skuId=599445", "https://www.als.com/heydud-m-shoe-wally-braided/p?skuId=599445")</f>
        <v>https://www.als.com/heydud-m-shoe-wally-braided/p?skuId=599445</v>
      </c>
      <c r="B372" s="3" t="str">
        <f>HYPERLINK("https://www.als.com/heydud-m-shoe-wally-braided/p", "https://www.als.com/heydud-m-shoe-wally-braided/p")</f>
        <v>https://www.als.com/heydud-m-shoe-wally-braided/p</v>
      </c>
      <c r="C372" t="s">
        <v>506</v>
      </c>
      <c r="D372" t="s">
        <v>1435</v>
      </c>
      <c r="E372" s="3" t="str">
        <f>HYPERLINK("https://www.amazon.com/Hey-Dude-Loafers-Comfortable-Light-Weight/dp/B0BZ6298P6/ref=sr_1_6?keywords=Hey+Dude+Wally+Braided+Shoe+-+Mens&amp;qid=1695124451&amp;sr=8-6", "https://www.amazon.com/Hey-Dude-Loafers-Comfortable-Light-Weight/dp/B0BZ6298P6/ref=sr_1_6?keywords=Hey+Dude+Wally+Braided+Shoe+-+Mens&amp;qid=1695124451&amp;sr=8-6")</f>
        <v>https://www.amazon.com/Hey-Dude-Loafers-Comfortable-Light-Weight/dp/B0BZ6298P6/ref=sr_1_6?keywords=Hey+Dude+Wally+Braided+Shoe+-+Mens&amp;qid=1695124451&amp;sr=8-6</v>
      </c>
      <c r="F372" t="s">
        <v>1436</v>
      </c>
      <c r="G372" t="e">
        <f ca="1">IMAGE("https://alssports.vtexassets.com/arquivos/ids/1386107-800-auto?v=638254870959300000&amp;width=800&amp;height=auto&amp;aspect=true")</f>
        <v>#NAME?</v>
      </c>
      <c r="H372" t="e">
        <f ca="1">IMAGE("https://m.media-amazon.com/images/I/61KUSylpRuL._AC_UL320_.jpg")</f>
        <v>#NAME?</v>
      </c>
      <c r="I372" t="s">
        <v>58</v>
      </c>
      <c r="J372">
        <v>55.24</v>
      </c>
      <c r="K372" s="2" t="s">
        <v>1437</v>
      </c>
      <c r="L372">
        <v>4.7</v>
      </c>
      <c r="M372">
        <v>885</v>
      </c>
      <c r="O372" t="s">
        <v>33</v>
      </c>
      <c r="P372" t="s">
        <v>26</v>
      </c>
      <c r="Q372" t="s">
        <v>507</v>
      </c>
    </row>
    <row r="373" spans="1:17" ht="15.75" x14ac:dyDescent="0.25">
      <c r="A373" s="3" t="str">
        <f>HYPERLINK("https://www.als.com/heydud-m-shoe-wally-braided/p?skuId=599445", "https://www.als.com/heydud-m-shoe-wally-braided/p?skuId=599445")</f>
        <v>https://www.als.com/heydud-m-shoe-wally-braided/p?skuId=599445</v>
      </c>
      <c r="B373" s="3" t="str">
        <f>HYPERLINK("https://www.als.com/heydud-m-shoe-wally-braided/p", "https://www.als.com/heydud-m-shoe-wally-braided/p")</f>
        <v>https://www.als.com/heydud-m-shoe-wally-braided/p</v>
      </c>
      <c r="C373" t="s">
        <v>506</v>
      </c>
      <c r="D373" t="s">
        <v>1438</v>
      </c>
      <c r="E373" s="3" t="str">
        <f>HYPERLINK("https://www.amazon.com/Hey-Dude-Mens-Wally-Cobblestone/dp/B095KZVVDL/ref=sr_1_26?keywords=Hey+Dude+Wally+Braided+Shoe+-+Mens&amp;qid=1695124451&amp;sr=8-26", "https://www.amazon.com/Hey-Dude-Mens-Wally-Cobblestone/dp/B095KZVVDL/ref=sr_1_26?keywords=Hey+Dude+Wally+Braided+Shoe+-+Mens&amp;qid=1695124451&amp;sr=8-26")</f>
        <v>https://www.amazon.com/Hey-Dude-Mens-Wally-Cobblestone/dp/B095KZVVDL/ref=sr_1_26?keywords=Hey+Dude+Wally+Braided+Shoe+-+Mens&amp;qid=1695124451&amp;sr=8-26</v>
      </c>
      <c r="F373" t="s">
        <v>1439</v>
      </c>
      <c r="G373" t="e">
        <f ca="1">IMAGE("https://alssports.vtexassets.com/arquivos/ids/1386107-800-auto?v=638254870959300000&amp;width=800&amp;height=auto&amp;aspect=true")</f>
        <v>#NAME?</v>
      </c>
      <c r="H373" t="e">
        <f ca="1">IMAGE("https://m.media-amazon.com/images/I/61KLYR6UYDL._AC_UL320_.jpg")</f>
        <v>#NAME?</v>
      </c>
      <c r="I373" t="s">
        <v>58</v>
      </c>
      <c r="J373">
        <v>55.24</v>
      </c>
      <c r="K373" s="2" t="s">
        <v>1437</v>
      </c>
      <c r="L373">
        <v>4.8</v>
      </c>
      <c r="M373">
        <v>984</v>
      </c>
      <c r="O373" t="s">
        <v>33</v>
      </c>
      <c r="P373" t="s">
        <v>26</v>
      </c>
      <c r="Q373" t="s">
        <v>507</v>
      </c>
    </row>
    <row r="374" spans="1:17" ht="15.75" x14ac:dyDescent="0.25">
      <c r="A374" s="3" t="str">
        <f>HYPERLINK("https://www.als.com/heydud-m-shoe-wally-braided/p?skuId=599445", "https://www.als.com/heydud-m-shoe-wally-braided/p?skuId=599445")</f>
        <v>https://www.als.com/heydud-m-shoe-wally-braided/p?skuId=599445</v>
      </c>
      <c r="B374" s="3" t="str">
        <f>HYPERLINK("https://www.als.com/heydud-m-shoe-wally-braided/p", "https://www.als.com/heydud-m-shoe-wally-braided/p")</f>
        <v>https://www.als.com/heydud-m-shoe-wally-braided/p</v>
      </c>
      <c r="C374" t="s">
        <v>506</v>
      </c>
      <c r="D374" t="s">
        <v>1440</v>
      </c>
      <c r="E374" s="3" t="str">
        <f>HYPERLINK("https://www.amazon.com/Hey-Dude-Loafers-Comfortable-Light-Weight/dp/B0B9WHR4TL/ref=sr_1_16?keywords=Hey+Dude+Wally+Braided+Shoe+-+Mens&amp;qid=1695124451&amp;sr=8-16", "https://www.amazon.com/Hey-Dude-Loafers-Comfortable-Light-Weight/dp/B0B9WHR4TL/ref=sr_1_16?keywords=Hey+Dude+Wally+Braided+Shoe+-+Mens&amp;qid=1695124451&amp;sr=8-16")</f>
        <v>https://www.amazon.com/Hey-Dude-Loafers-Comfortable-Light-Weight/dp/B0B9WHR4TL/ref=sr_1_16?keywords=Hey+Dude+Wally+Braided+Shoe+-+Mens&amp;qid=1695124451&amp;sr=8-16</v>
      </c>
      <c r="F374" t="s">
        <v>1441</v>
      </c>
      <c r="G374" t="e">
        <f ca="1">IMAGE("https://alssports.vtexassets.com/arquivos/ids/1386107-800-auto?v=638254870959300000&amp;width=800&amp;height=auto&amp;aspect=true")</f>
        <v>#NAME?</v>
      </c>
      <c r="H374" t="e">
        <f ca="1">IMAGE("https://m.media-amazon.com/images/I/61T4rc76+DL._AC_UL320_.jpg")</f>
        <v>#NAME?</v>
      </c>
      <c r="I374" t="s">
        <v>58</v>
      </c>
      <c r="J374">
        <v>55.24</v>
      </c>
      <c r="K374" s="2" t="s">
        <v>1437</v>
      </c>
      <c r="L374">
        <v>4.7</v>
      </c>
      <c r="M374">
        <v>239</v>
      </c>
      <c r="O374" t="s">
        <v>33</v>
      </c>
      <c r="P374" t="s">
        <v>26</v>
      </c>
      <c r="Q374" t="s">
        <v>507</v>
      </c>
    </row>
    <row r="375" spans="1:17" ht="15.75" x14ac:dyDescent="0.25">
      <c r="A375" s="3" t="str">
        <f>HYPERLINK("https://www.als.com/heydud-m-shoe-wally-washed-canvas/p?skuId=1317816", "https://www.als.com/heydud-m-shoe-wally-washed-canvas/p?skuId=1317816")</f>
        <v>https://www.als.com/heydud-m-shoe-wally-washed-canvas/p?skuId=1317816</v>
      </c>
      <c r="B375" s="3" t="str">
        <f>HYPERLINK("https://www.als.com/heydud-m-shoe-wally-washed-canvas/p", "https://www.als.com/heydud-m-shoe-wally-washed-canvas/p")</f>
        <v>https://www.als.com/heydud-m-shoe-wally-washed-canvas/p</v>
      </c>
      <c r="C375" t="s">
        <v>501</v>
      </c>
      <c r="D375" t="s">
        <v>1435</v>
      </c>
      <c r="E375" s="3" t="str">
        <f>HYPERLINK("https://www.amazon.com/Hey-Dude-Loafers-Comfortable-Light-Weight/dp/B0B9WZKZ2C/ref=sr_1_9?keywords=Hey+Dude+Wally+Washed+Canvas+Shoe+-+Mens&amp;qid=1695124460&amp;sr=8-9", "https://www.amazon.com/Hey-Dude-Loafers-Comfortable-Light-Weight/dp/B0B9WZKZ2C/ref=sr_1_9?keywords=Hey+Dude+Wally+Washed+Canvas+Shoe+-+Mens&amp;qid=1695124460&amp;sr=8-9")</f>
        <v>https://www.amazon.com/Hey-Dude-Loafers-Comfortable-Light-Weight/dp/B0B9WZKZ2C/ref=sr_1_9?keywords=Hey+Dude+Wally+Washed+Canvas+Shoe+-+Mens&amp;qid=1695124460&amp;sr=8-9</v>
      </c>
      <c r="F375" t="s">
        <v>1442</v>
      </c>
      <c r="G375" t="e">
        <f ca="1">IMAGE("https://alssports.vtexassets.com/arquivos/ids/1388214-800-auto?v=638255521966130000&amp;width=800&amp;height=auto&amp;aspect=true")</f>
        <v>#NAME?</v>
      </c>
      <c r="H375" t="e">
        <f ca="1">IMAGE("https://m.media-amazon.com/images/I/519OkPQ7VsL._AC_UL320_.jpg")</f>
        <v>#NAME?</v>
      </c>
      <c r="I375" t="s">
        <v>58</v>
      </c>
      <c r="J375">
        <v>55.24</v>
      </c>
      <c r="K375" s="2" t="s">
        <v>1437</v>
      </c>
      <c r="L375">
        <v>4.7</v>
      </c>
      <c r="M375">
        <v>885</v>
      </c>
      <c r="O375" t="s">
        <v>33</v>
      </c>
      <c r="P375" t="s">
        <v>26</v>
      </c>
      <c r="Q375" t="s">
        <v>505</v>
      </c>
    </row>
    <row r="376" spans="1:17" ht="15.75" x14ac:dyDescent="0.25">
      <c r="A376" s="3" t="str">
        <f>HYPERLINK("https://www.als.com/heydud-w-shoe-wendy-rise-woven/p?skuId=1317686", "https://www.als.com/heydud-w-shoe-wendy-rise-woven/p?skuId=1317686")</f>
        <v>https://www.als.com/heydud-w-shoe-wendy-rise-woven/p?skuId=1317686</v>
      </c>
      <c r="B376" s="3" t="str">
        <f>HYPERLINK("https://www.als.com/heydud-w-shoe-wendy-rise-woven/p", "https://www.als.com/heydud-w-shoe-wendy-rise-woven/p")</f>
        <v>https://www.als.com/heydud-w-shoe-wendy-rise-woven/p</v>
      </c>
      <c r="C376" t="s">
        <v>425</v>
      </c>
      <c r="D376" t="s">
        <v>1443</v>
      </c>
      <c r="E376" s="3" t="str">
        <f>HYPERLINK("https://www.amazon.com/Hey-Dude-Stretch-Comfortable-Light-Weight/dp/B0B9VBZKNL/ref=sr_1_35?keywords=Hey+Dude+Wendy+Rise+Woven+Shoe+-+Womens&amp;qid=1695124483&amp;sr=8-35", "https://www.amazon.com/Hey-Dude-Stretch-Comfortable-Light-Weight/dp/B0B9VBZKNL/ref=sr_1_35?keywords=Hey+Dude+Wendy+Rise+Woven+Shoe+-+Womens&amp;qid=1695124483&amp;sr=8-35")</f>
        <v>https://www.amazon.com/Hey-Dude-Stretch-Comfortable-Light-Weight/dp/B0B9VBZKNL/ref=sr_1_35?keywords=Hey+Dude+Wendy+Rise+Woven+Shoe+-+Womens&amp;qid=1695124483&amp;sr=8-35</v>
      </c>
      <c r="F376" t="s">
        <v>1444</v>
      </c>
      <c r="G376" t="e">
        <f ca="1">IMAGE("https://alssports.vtexassets.com/arquivos/ids/1387367-800-auto?v=638255482261930000&amp;width=800&amp;height=auto&amp;aspect=true")</f>
        <v>#NAME?</v>
      </c>
      <c r="H376" t="e">
        <f ca="1">IMAGE("https://m.media-amazon.com/images/I/61tBhWirRjL._AC_UL320_.jpg")</f>
        <v>#NAME?</v>
      </c>
      <c r="I376" t="s">
        <v>58</v>
      </c>
      <c r="J376">
        <v>55.24</v>
      </c>
      <c r="K376" s="2" t="s">
        <v>1437</v>
      </c>
      <c r="L376">
        <v>4.0999999999999996</v>
      </c>
      <c r="M376">
        <v>19</v>
      </c>
      <c r="O376" t="s">
        <v>33</v>
      </c>
      <c r="P376" t="s">
        <v>26</v>
      </c>
      <c r="Q376" t="s">
        <v>429</v>
      </c>
    </row>
    <row r="377" spans="1:17" ht="15.75" x14ac:dyDescent="0.25">
      <c r="A377" s="3" t="str">
        <f>HYPERLINK("https://www.als.com/heydud-m-shoe-wally-braided/p?skuId=599445", "https://www.als.com/heydud-m-shoe-wally-braided/p?skuId=599445")</f>
        <v>https://www.als.com/heydud-m-shoe-wally-braided/p?skuId=599445</v>
      </c>
      <c r="B377" s="3" t="str">
        <f>HYPERLINK("https://www.als.com/heydud-m-shoe-wally-braided/p", "https://www.als.com/heydud-m-shoe-wally-braided/p")</f>
        <v>https://www.als.com/heydud-m-shoe-wally-braided/p</v>
      </c>
      <c r="C377" t="s">
        <v>506</v>
      </c>
      <c r="D377" t="s">
        <v>1445</v>
      </c>
      <c r="E377" s="3" t="str">
        <f>HYPERLINK("https://www.amazon.com/Hey-Dude-Chambray-Comfortable-Light-Weight/dp/B08QV4QZR8/ref=sr_1_27?keywords=Hey+Dude+Wally+Braided+Shoe+-+Mens&amp;qid=1695124451&amp;sr=8-27", "https://www.amazon.com/Hey-Dude-Chambray-Comfortable-Light-Weight/dp/B08QV4QZR8/ref=sr_1_27?keywords=Hey+Dude+Wally+Braided+Shoe+-+Mens&amp;qid=1695124451&amp;sr=8-27")</f>
        <v>https://www.amazon.com/Hey-Dude-Chambray-Comfortable-Light-Weight/dp/B08QV4QZR8/ref=sr_1_27?keywords=Hey+Dude+Wally+Braided+Shoe+-+Mens&amp;qid=1695124451&amp;sr=8-27</v>
      </c>
      <c r="F377" t="s">
        <v>1446</v>
      </c>
      <c r="G377" t="e">
        <f ca="1">IMAGE("https://alssports.vtexassets.com/arquivos/ids/1386107-800-auto?v=638254870959300000&amp;width=800&amp;height=auto&amp;aspect=true")</f>
        <v>#NAME?</v>
      </c>
      <c r="H377" t="e">
        <f ca="1">IMAGE("https://m.media-amazon.com/images/I/61dbPHjg9aL._AC_UL320_.jpg")</f>
        <v>#NAME?</v>
      </c>
      <c r="I377" t="s">
        <v>58</v>
      </c>
      <c r="J377">
        <v>55.24</v>
      </c>
      <c r="K377" s="2" t="s">
        <v>1437</v>
      </c>
      <c r="L377">
        <v>4.8</v>
      </c>
      <c r="M377">
        <v>22761</v>
      </c>
      <c r="O377" t="s">
        <v>33</v>
      </c>
      <c r="P377" t="s">
        <v>26</v>
      </c>
      <c r="Q377" t="s">
        <v>507</v>
      </c>
    </row>
    <row r="378" spans="1:17" ht="15.75" x14ac:dyDescent="0.25">
      <c r="A378" s="3" t="str">
        <f>HYPERLINK("https://www.als.com/hurley-boardshort-one-and-only-solid/p?skuId=1333862", "https://www.als.com/hurley-boardshort-one-and-only-solid/p?skuId=1333862")</f>
        <v>https://www.als.com/hurley-boardshort-one-and-only-solid/p?skuId=1333862</v>
      </c>
      <c r="B378" s="3" t="str">
        <f>HYPERLINK("https://www.als.com/hurley-boardshort-one-and-only-solid/p", "https://www.als.com/hurley-boardshort-one-and-only-solid/p")</f>
        <v>https://www.als.com/hurley-boardshort-one-and-only-solid/p</v>
      </c>
      <c r="C378" t="s">
        <v>305</v>
      </c>
      <c r="D378" t="s">
        <v>1447</v>
      </c>
      <c r="E378" s="3" t="str">
        <f>HYPERLINK("https://www.amazon.com/Hurley-Icon-Boardshorts-Inch-Noise/dp/B074PWK4D2/ref=sr_1_17?keywords=Hurley+One+And+Only+Solid+Boardshort+-+Men%27s&amp;qid=1695124435&amp;sr=8-17", "https://www.amazon.com/Hurley-Icon-Boardshorts-Inch-Noise/dp/B074PWK4D2/ref=sr_1_17?keywords=Hurley+One+And+Only+Solid+Boardshort+-+Men%27s&amp;qid=1695124435&amp;sr=8-17")</f>
        <v>https://www.amazon.com/Hurley-Icon-Boardshorts-Inch-Noise/dp/B074PWK4D2/ref=sr_1_17?keywords=Hurley+One+And+Only+Solid+Boardshort+-+Men%27s&amp;qid=1695124435&amp;sr=8-17</v>
      </c>
      <c r="F378" t="s">
        <v>1448</v>
      </c>
      <c r="G378" t="e">
        <f ca="1">IMAGE("https://alssports.vtexassets.com/arquivos/ids/1302714-800-auto?v=638180324007330000&amp;width=800&amp;height=auto&amp;aspect=true")</f>
        <v>#NAME?</v>
      </c>
      <c r="H378" t="e">
        <f ca="1">IMAGE("https://m.media-amazon.com/images/I/81LbE5z6CkL._MCnd_AC_UL320_.jpg")</f>
        <v>#NAME?</v>
      </c>
      <c r="I378" t="s">
        <v>211</v>
      </c>
      <c r="J378">
        <v>34.01</v>
      </c>
      <c r="K378" s="2" t="s">
        <v>1449</v>
      </c>
      <c r="L378">
        <v>4.3</v>
      </c>
      <c r="M378">
        <v>247</v>
      </c>
      <c r="O378" t="s">
        <v>33</v>
      </c>
      <c r="P378" t="s">
        <v>26</v>
      </c>
      <c r="Q378" t="s">
        <v>308</v>
      </c>
    </row>
    <row r="379" spans="1:17" ht="15.75" x14ac:dyDescent="0.25">
      <c r="A379" s="3" t="str">
        <f>HYPERLINK("https://www.als.com/adidas-w-shoe-4dfwd-2/p?skuId=1285989", "https://www.als.com/adidas-w-shoe-4dfwd-2/p?skuId=1285989")</f>
        <v>https://www.als.com/adidas-w-shoe-4dfwd-2/p?skuId=1285989</v>
      </c>
      <c r="B379" s="3" t="str">
        <f>HYPERLINK("https://www.als.com/adidas-w-shoe-4dfwd-2/p", "https://www.als.com/adidas-w-shoe-4dfwd-2/p")</f>
        <v>https://www.als.com/adidas-w-shoe-4dfwd-2/p</v>
      </c>
      <c r="C379" t="s">
        <v>392</v>
      </c>
      <c r="D379" t="s">
        <v>1450</v>
      </c>
      <c r="E379" s="3" t="str">
        <f>HYPERLINK("https://www.amazon.com/adidas-Cloudfoam-Pure-Black-White/dp/B093X3NTSV/ref=sr_1_47?keywords=adidas+4DFWD+2+Shoe+-+Women%27s&amp;qid=1695124326&amp;sr=8-47", "https://www.amazon.com/adidas-Cloudfoam-Pure-Black-White/dp/B093X3NTSV/ref=sr_1_47?keywords=adidas+4DFWD+2+Shoe+-+Women%27s&amp;qid=1695124326&amp;sr=8-47")</f>
        <v>https://www.amazon.com/adidas-Cloudfoam-Pure-Black-White/dp/B093X3NTSV/ref=sr_1_47?keywords=adidas+4DFWD+2+Shoe+-+Women%27s&amp;qid=1695124326&amp;sr=8-47</v>
      </c>
      <c r="F379" t="s">
        <v>1451</v>
      </c>
      <c r="G379" t="e">
        <f ca="1">IMAGE("https://alssports.vtexassets.com/arquivos/ids/1396854-800-auto?v=638260048905170000&amp;width=800&amp;height=auto&amp;aspect=true")</f>
        <v>#NAME?</v>
      </c>
      <c r="H379" t="e">
        <f ca="1">IMAGE("https://m.media-amazon.com/images/I/81VqFaqtKXL._AC_UL320_.jpg")</f>
        <v>#NAME?</v>
      </c>
      <c r="I379" t="s">
        <v>395</v>
      </c>
      <c r="J379">
        <v>67.989999999999995</v>
      </c>
      <c r="K379" s="2" t="s">
        <v>1452</v>
      </c>
      <c r="L379">
        <v>4.3</v>
      </c>
      <c r="M379">
        <v>987</v>
      </c>
      <c r="O379" t="s">
        <v>33</v>
      </c>
      <c r="P379" t="s">
        <v>73</v>
      </c>
      <c r="Q379" t="s">
        <v>397</v>
      </c>
    </row>
    <row r="380" spans="1:17" ht="15.75" x14ac:dyDescent="0.25">
      <c r="A380" s="3" t="str">
        <f>HYPERLINK("https://www.als.com/mizuno-w-wave-sky-6/p?skuId=1262559", "https://www.als.com/mizuno-w-wave-sky-6/p?skuId=1262559")</f>
        <v>https://www.als.com/mizuno-w-wave-sky-6/p?skuId=1262559</v>
      </c>
      <c r="B380" s="3" t="str">
        <f>HYPERLINK("https://www.als.com/mizuno-w-wave-sky-6/p", "https://www.als.com/mizuno-w-wave-sky-6/p")</f>
        <v>https://www.als.com/mizuno-w-wave-sky-6/p</v>
      </c>
      <c r="C380" t="s">
        <v>200</v>
      </c>
      <c r="D380" t="s">
        <v>1453</v>
      </c>
      <c r="E380" s="3" t="str">
        <f>HYPERLINK("https://www.amazon.com/Mizuno-Running-Horizon-Ultimate-Grey-Silver/dp/B091ZK4NT5/ref=sr_1_19?keywords=Mizuno+Wave+Sky+6+Running+Shoe+-+Women%27s&amp;qid=1695124449&amp;sr=8-19", "https://www.amazon.com/Mizuno-Running-Horizon-Ultimate-Grey-Silver/dp/B091ZK4NT5/ref=sr_1_19?keywords=Mizuno+Wave+Sky+6+Running+Shoe+-+Women%27s&amp;qid=1695124449&amp;sr=8-19")</f>
        <v>https://www.amazon.com/Mizuno-Running-Horizon-Ultimate-Grey-Silver/dp/B091ZK4NT5/ref=sr_1_19?keywords=Mizuno+Wave+Sky+6+Running+Shoe+-+Women%27s&amp;qid=1695124449&amp;sr=8-19</v>
      </c>
      <c r="F380" t="s">
        <v>1454</v>
      </c>
      <c r="G380" t="e">
        <f ca="1">IMAGE("https://alssports.vtexassets.com/arquivos/ids/1277387-800-auto?v=638152938174200000&amp;width=800&amp;height=auto&amp;aspect=true")</f>
        <v>#NAME?</v>
      </c>
      <c r="H380" t="e">
        <f ca="1">IMAGE("https://m.media-amazon.com/images/I/81oic07JSaL._AC_UL320_.jpg")</f>
        <v>#NAME?</v>
      </c>
      <c r="I380" t="s">
        <v>164</v>
      </c>
      <c r="J380">
        <v>144.5</v>
      </c>
      <c r="K380" s="2" t="s">
        <v>1452</v>
      </c>
      <c r="L380">
        <v>4.5</v>
      </c>
      <c r="M380">
        <v>28</v>
      </c>
      <c r="O380" t="s">
        <v>33</v>
      </c>
      <c r="P380" t="s">
        <v>191</v>
      </c>
      <c r="Q380" t="s">
        <v>203</v>
      </c>
    </row>
    <row r="381" spans="1:17" ht="15.75" x14ac:dyDescent="0.25">
      <c r="A381" s="3" t="str">
        <f>HYPERLINK("https://www.als.com/cotopa-allpa-35l-travel-pack/p?skuId=1351782", "https://www.als.com/cotopa-allpa-35l-travel-pack/p?skuId=1351782")</f>
        <v>https://www.als.com/cotopa-allpa-35l-travel-pack/p?skuId=1351782</v>
      </c>
      <c r="B381" s="3" t="str">
        <f>HYPERLINK("https://www.als.com/cotopa-allpa-35l-travel-pack/p", "https://www.als.com/cotopa-allpa-35l-travel-pack/p")</f>
        <v>https://www.als.com/cotopa-allpa-35l-travel-pack/p</v>
      </c>
      <c r="C381" t="s">
        <v>723</v>
      </c>
      <c r="D381" t="s">
        <v>1455</v>
      </c>
      <c r="E381" s="3" t="str">
        <f>HYPERLINK("https://www.amazon.com/Cotopaxi-Allpa-28L-Travel-Pack/dp/B08WYXKS6B/ref=sr_1_5?keywords=Cotopaxi+Allpa+35L+Travel+Pack&amp;qid=1695124131&amp;sr=8-5", "https://www.amazon.com/Cotopaxi-Allpa-28L-Travel-Pack/dp/B08WYXKS6B/ref=sr_1_5?keywords=Cotopaxi+Allpa+35L+Travel+Pack&amp;qid=1695124131&amp;sr=8-5")</f>
        <v>https://www.amazon.com/Cotopaxi-Allpa-28L-Travel-Pack/dp/B08WYXKS6B/ref=sr_1_5?keywords=Cotopaxi+Allpa+35L+Travel+Pack&amp;qid=1695124131&amp;sr=8-5</v>
      </c>
      <c r="F381" t="s">
        <v>1456</v>
      </c>
      <c r="G381" t="e">
        <f ca="1">IMAGE("https://alssports.vtexassets.com/arquivos/ids/1417252-800-auto?v=638272767166230000&amp;width=800&amp;height=auto&amp;aspect=true")</f>
        <v>#NAME?</v>
      </c>
      <c r="H381" t="e">
        <f ca="1">IMAGE("https://m.media-amazon.com/images/I/51wxSiwRbmL._AC_UL320_.jpg")</f>
        <v>#NAME?</v>
      </c>
      <c r="I381" t="s">
        <v>726</v>
      </c>
      <c r="J381">
        <v>170</v>
      </c>
      <c r="K381" s="2" t="s">
        <v>1457</v>
      </c>
      <c r="L381">
        <v>4.5999999999999996</v>
      </c>
      <c r="M381">
        <v>252</v>
      </c>
      <c r="O381" t="s">
        <v>33</v>
      </c>
      <c r="P381" t="s">
        <v>26</v>
      </c>
      <c r="Q381" t="s">
        <v>728</v>
      </c>
    </row>
    <row r="382" spans="1:17" ht="15.75" x14ac:dyDescent="0.25">
      <c r="A382" s="3" t="str">
        <f>HYPERLINK("https://www.als.com/under-ua-drive-pant/p?skuId=997492", "https://www.als.com/under-ua-drive-pant/p?skuId=997492")</f>
        <v>https://www.als.com/under-ua-drive-pant/p?skuId=997492</v>
      </c>
      <c r="B382" s="3" t="str">
        <f>HYPERLINK("https://www.als.com/under-ua-drive-pant/p", "https://www.als.com/under-ua-drive-pant/p")</f>
        <v>https://www.als.com/under-ua-drive-pant/p</v>
      </c>
      <c r="C382" t="s">
        <v>452</v>
      </c>
      <c r="D382" t="s">
        <v>1458</v>
      </c>
      <c r="E382" s="3" t="str">
        <f>HYPERLINK("https://www.amazon.com/Under-Armour-Standard-Tapered-Pants/dp/B0BGVTQTGB/ref=sr_1_32?keywords=Under+Armour+Drive+Pant+-+Men%27s&amp;qid=1695124299&amp;sr=8-32", "https://www.amazon.com/Under-Armour-Standard-Tapered-Pants/dp/B0BGVTQTGB/ref=sr_1_32?keywords=Under+Armour+Drive+Pant+-+Men%27s&amp;qid=1695124299&amp;sr=8-32")</f>
        <v>https://www.amazon.com/Under-Armour-Standard-Tapered-Pants/dp/B0BGVTQTGB/ref=sr_1_32?keywords=Under+Armour+Drive+Pant+-+Men%27s&amp;qid=1695124299&amp;sr=8-32</v>
      </c>
      <c r="F382" t="s">
        <v>1459</v>
      </c>
      <c r="G382" t="e">
        <f ca="1">IMAGE("https://alssports.vtexassets.com/arquivos/ids/1442508-800-auto?v=638291812057330000&amp;width=800&amp;height=auto&amp;aspect=true")</f>
        <v>#NAME?</v>
      </c>
      <c r="H382" t="e">
        <f ca="1">IMAGE("https://m.media-amazon.com/images/I/412fTRN1x0L._AC_UL320_.jpg")</f>
        <v>#NAME?</v>
      </c>
      <c r="I382" t="s">
        <v>455</v>
      </c>
      <c r="J382">
        <v>43.32</v>
      </c>
      <c r="K382" s="2" t="s">
        <v>1460</v>
      </c>
      <c r="L382">
        <v>4.4000000000000004</v>
      </c>
      <c r="M382">
        <v>93</v>
      </c>
      <c r="O382" t="s">
        <v>26</v>
      </c>
      <c r="P382" t="s">
        <v>457</v>
      </c>
      <c r="Q382" t="s">
        <v>458</v>
      </c>
    </row>
    <row r="383" spans="1:17" ht="15.75" x14ac:dyDescent="0.25">
      <c r="A383" s="3" t="str">
        <f>HYPERLINK("https://www.als.com/heydud-m-shoe-wally-stretch/p?skuId=869179", "https://www.als.com/heydud-m-shoe-wally-stretch/p?skuId=869179")</f>
        <v>https://www.als.com/heydud-m-shoe-wally-stretch/p?skuId=869179</v>
      </c>
      <c r="B383" s="3" t="str">
        <f>HYPERLINK("https://www.als.com/heydud-m-shoe-wally-stretch/p", "https://www.als.com/heydud-m-shoe-wally-stretch/p")</f>
        <v>https://www.als.com/heydud-m-shoe-wally-stretch/p</v>
      </c>
      <c r="C383" t="s">
        <v>1461</v>
      </c>
      <c r="D383" t="s">
        <v>1462</v>
      </c>
      <c r="E383" s="3" t="str">
        <f>HYPERLINK("https://www.amazon.com/Hey-Dude-Loafers-Comfortable-Light-Weight/dp/B0B9R6DY4X/ref=sr_1_14?keywords=Hey+Dude+Wally+Stretch+Shoe+-+Men%27s&amp;qid=1695124356&amp;sr=8-14", "https://www.amazon.com/Hey-Dude-Loafers-Comfortable-Light-Weight/dp/B0B9R6DY4X/ref=sr_1_14?keywords=Hey+Dude+Wally+Stretch+Shoe+-+Men%27s&amp;qid=1695124356&amp;sr=8-14")</f>
        <v>https://www.amazon.com/Hey-Dude-Loafers-Comfortable-Light-Weight/dp/B0B9R6DY4X/ref=sr_1_14?keywords=Hey+Dude+Wally+Stretch+Shoe+-+Men%27s&amp;qid=1695124356&amp;sr=8-14</v>
      </c>
      <c r="F383" t="s">
        <v>1463</v>
      </c>
      <c r="G383" t="e">
        <f ca="1">IMAGE("https://alssports.vtexassets.com/arquivos/ids/1386801-800-auto?v=638255461303700000&amp;width=800&amp;height=auto&amp;aspect=true")</f>
        <v>#NAME?</v>
      </c>
      <c r="H383" t="e">
        <f ca="1">IMAGE("https://m.media-amazon.com/images/I/51-biZKb3eL._AC_UL320_.jpg")</f>
        <v>#NAME?</v>
      </c>
      <c r="I383" t="s">
        <v>1198</v>
      </c>
      <c r="J383">
        <v>30.55</v>
      </c>
      <c r="K383" s="2" t="s">
        <v>1464</v>
      </c>
      <c r="L383">
        <v>4.7</v>
      </c>
      <c r="M383">
        <v>335</v>
      </c>
      <c r="O383" t="s">
        <v>33</v>
      </c>
      <c r="P383" t="s">
        <v>169</v>
      </c>
      <c r="Q383" t="s">
        <v>1465</v>
      </c>
    </row>
    <row r="384" spans="1:17" ht="15.75" x14ac:dyDescent="0.25">
      <c r="A384" s="3" t="str">
        <f>HYPERLINK("https://www.als.com/owala-bottle-free-sip-32-oz/p?skuId=1326138", "https://www.als.com/owala-bottle-free-sip-32-oz/p?skuId=1326138")</f>
        <v>https://www.als.com/owala-bottle-free-sip-32-oz/p?skuId=1326138</v>
      </c>
      <c r="B384" s="3" t="str">
        <f>HYPERLINK("https://www.als.com/owala-bottle-free-sip-32-oz/p", "https://www.als.com/owala-bottle-free-sip-32-oz/p")</f>
        <v>https://www.als.com/owala-bottle-free-sip-32-oz/p</v>
      </c>
      <c r="C384" t="s">
        <v>459</v>
      </c>
      <c r="D384" t="s">
        <v>1466</v>
      </c>
      <c r="E384" s="3" t="str">
        <f>HYPERLINK("https://www.amazon.com/Owala-Insulated-Stainless-Steel-Locking-24-Ounce/dp/B085DV99W2/ref=sr_1_8?keywords=Owala+FreeSip+Stainless+Steel+Water+Bottle+-+32oz&amp;qid=1695124104&amp;sr=8-8", "https://www.amazon.com/Owala-Insulated-Stainless-Steel-Locking-24-Ounce/dp/B085DV99W2/ref=sr_1_8?keywords=Owala+FreeSip+Stainless+Steel+Water+Bottle+-+32oz&amp;qid=1695124104&amp;sr=8-8")</f>
        <v>https://www.amazon.com/Owala-Insulated-Stainless-Steel-Locking-24-Ounce/dp/B085DV99W2/ref=sr_1_8?keywords=Owala+FreeSip+Stainless+Steel+Water+Bottle+-+32oz&amp;qid=1695124104&amp;sr=8-8</v>
      </c>
      <c r="F384" t="s">
        <v>1467</v>
      </c>
      <c r="G384" t="e">
        <f ca="1">IMAGE("https://alssports.vtexassets.com/arquivos/ids/1355955-800-auto?v=638230513195900000&amp;width=800&amp;height=auto&amp;aspect=true")</f>
        <v>#NAME?</v>
      </c>
      <c r="H384" t="e">
        <f ca="1">IMAGE("https://m.media-amazon.com/images/I/71kQ6E3WUjL._AC_UL320_.jpg")</f>
        <v>#NAME?</v>
      </c>
      <c r="I384" t="s">
        <v>462</v>
      </c>
      <c r="J384">
        <v>27.99</v>
      </c>
      <c r="K384" s="2" t="s">
        <v>1468</v>
      </c>
      <c r="L384">
        <v>4.5</v>
      </c>
      <c r="M384">
        <v>397</v>
      </c>
      <c r="O384" t="s">
        <v>33</v>
      </c>
      <c r="P384" t="s">
        <v>26</v>
      </c>
      <c r="Q384" t="s">
        <v>464</v>
      </c>
    </row>
    <row r="385" spans="1:17" ht="15.75" x14ac:dyDescent="0.25">
      <c r="A385" s="3" t="str">
        <f>HYPERLINK("https://www.als.com/owala-ss-32oz-freesip-h2o-bottle/p?skuId=1195209", "https://www.als.com/owala-ss-32oz-freesip-h2o-bottle/p?skuId=1195209")</f>
        <v>https://www.als.com/owala-ss-32oz-freesip-h2o-bottle/p?skuId=1195209</v>
      </c>
      <c r="B385" s="3" t="str">
        <f>HYPERLINK("https://www.als.com/owala-ss-32oz-freesip-h2o-bottle/p", "https://www.als.com/owala-ss-32oz-freesip-h2o-bottle/p")</f>
        <v>https://www.als.com/owala-ss-32oz-freesip-h2o-bottle/p</v>
      </c>
      <c r="C385" t="s">
        <v>465</v>
      </c>
      <c r="D385" t="s">
        <v>1466</v>
      </c>
      <c r="E385" s="3" t="str">
        <f>HYPERLINK("https://www.amazon.com/Owala-Insulated-Stainless-Steel-Locking-24-Ounce/dp/B085DV99W2/ref=sr_1_3?keywords=Owala+Free+Sip+Stainless+Steel+Water+Bottle+-+32oz&amp;qid=1695124108&amp;sr=8-3", "https://www.amazon.com/Owala-Insulated-Stainless-Steel-Locking-24-Ounce/dp/B085DV99W2/ref=sr_1_3?keywords=Owala+Free+Sip+Stainless+Steel+Water+Bottle+-+32oz&amp;qid=1695124108&amp;sr=8-3")</f>
        <v>https://www.amazon.com/Owala-Insulated-Stainless-Steel-Locking-24-Ounce/dp/B085DV99W2/ref=sr_1_3?keywords=Owala+Free+Sip+Stainless+Steel+Water+Bottle+-+32oz&amp;qid=1695124108&amp;sr=8-3</v>
      </c>
      <c r="F385" t="s">
        <v>1467</v>
      </c>
      <c r="G385" t="e">
        <f ca="1">IMAGE("https://alssports.vtexassets.com/arquivos/ids/1363762-800-auto?v=638236670706530000&amp;width=800&amp;height=auto&amp;aspect=true")</f>
        <v>#NAME?</v>
      </c>
      <c r="H385" t="e">
        <f ca="1">IMAGE("https://m.media-amazon.com/images/I/71kQ6E3WUjL._AC_UL320_.jpg")</f>
        <v>#NAME?</v>
      </c>
      <c r="I385" t="s">
        <v>462</v>
      </c>
      <c r="J385">
        <v>27.99</v>
      </c>
      <c r="K385" s="2" t="s">
        <v>1468</v>
      </c>
      <c r="L385">
        <v>4.5</v>
      </c>
      <c r="M385">
        <v>397</v>
      </c>
      <c r="O385" t="s">
        <v>33</v>
      </c>
      <c r="P385" t="s">
        <v>26</v>
      </c>
      <c r="Q385" t="s">
        <v>466</v>
      </c>
    </row>
    <row r="386" spans="1:17" ht="15.75" x14ac:dyDescent="0.25">
      <c r="A386" s="3" t="str">
        <f>HYPERLINK("https://www.als.com/chaco-m-sandal-zcloud/p?skuId=932120", "https://www.als.com/chaco-m-sandal-zcloud/p?skuId=932120")</f>
        <v>https://www.als.com/chaco-m-sandal-zcloud/p?skuId=932120</v>
      </c>
      <c r="B386" s="3" t="str">
        <f>HYPERLINK("https://www.als.com/chaco-m-sandal-zcloud/p", "https://www.als.com/chaco-m-sandal-zcloud/p")</f>
        <v>https://www.als.com/chaco-m-sandal-zcloud/p</v>
      </c>
      <c r="C386" t="s">
        <v>694</v>
      </c>
      <c r="D386" t="s">
        <v>1469</v>
      </c>
      <c r="E386" s="3" t="str">
        <f>HYPERLINK("https://www.amazon.com/Chaco-Mens-Canyon-Tally-Black/dp/B07G2SMN4F/ref=sr_1_12?keywords=Chaco+Z%2FCloud+Sandal+-+Mens&amp;qid=1695124430&amp;sr=8-12", "https://www.amazon.com/Chaco-Mens-Canyon-Tally-Black/dp/B07G2SMN4F/ref=sr_1_12?keywords=Chaco+Z%2FCloud+Sandal+-+Mens&amp;qid=1695124430&amp;sr=8-12")</f>
        <v>https://www.amazon.com/Chaco-Mens-Canyon-Tally-Black/dp/B07G2SMN4F/ref=sr_1_12?keywords=Chaco+Z%2FCloud+Sandal+-+Mens&amp;qid=1695124430&amp;sr=8-12</v>
      </c>
      <c r="F386" t="s">
        <v>1470</v>
      </c>
      <c r="G386" t="e">
        <f ca="1">IMAGE("https://alssports.vtexassets.com/arquivos/ids/1082383-800-auto?v=637913737461500000&amp;width=800&amp;height=auto&amp;aspect=true")</f>
        <v>#NAME?</v>
      </c>
      <c r="H386" t="e">
        <f ca="1">IMAGE("https://m.media-amazon.com/images/I/61peIOwratL._AC_UL320_.jpg")</f>
        <v>#NAME?</v>
      </c>
      <c r="I386" t="s">
        <v>269</v>
      </c>
      <c r="J386">
        <v>89</v>
      </c>
      <c r="K386" s="2" t="s">
        <v>1471</v>
      </c>
      <c r="L386">
        <v>4.3</v>
      </c>
      <c r="M386">
        <v>122</v>
      </c>
      <c r="O386" t="s">
        <v>33</v>
      </c>
      <c r="P386" t="s">
        <v>26</v>
      </c>
      <c r="Q386" t="s">
        <v>697</v>
      </c>
    </row>
    <row r="387" spans="1:17" ht="15.75" x14ac:dyDescent="0.25">
      <c r="A387" s="3" t="str">
        <f>HYPERLINK("https://www.als.com/sorel-m-boot-madson-ii-moc-toe-wp/p?skuId=1067549", "https://www.als.com/sorel-m-boot-madson-ii-moc-toe-wp/p?skuId=1067549")</f>
        <v>https://www.als.com/sorel-m-boot-madson-ii-moc-toe-wp/p?skuId=1067549</v>
      </c>
      <c r="B387" s="3" t="str">
        <f>HYPERLINK("https://www.als.com/sorel-m-boot-madson-ii-moc-toe-wp/p", "https://www.als.com/sorel-m-boot-madson-ii-moc-toe-wp/p")</f>
        <v>https://www.als.com/sorel-m-boot-madson-ii-moc-toe-wp/p</v>
      </c>
      <c r="C387" t="s">
        <v>70</v>
      </c>
      <c r="D387" t="s">
        <v>1472</v>
      </c>
      <c r="E387" s="3" t="str">
        <f>HYPERLINK("https://www.amazon.com/Sorel-Madson-Hiker-Waterproof-Saddle/dp/B0821ZV4H2/ref=sr_1_7?keywords=Sorel+Madson+II+Moc+Toe+Waterproof+Boot+-+Men%27s&amp;qid=1695124455&amp;sr=8-7", "https://www.amazon.com/Sorel-Madson-Hiker-Waterproof-Saddle/dp/B0821ZV4H2/ref=sr_1_7?keywords=Sorel+Madson+II+Moc+Toe+Waterproof+Boot+-+Men%27s&amp;qid=1695124455&amp;sr=8-7")</f>
        <v>https://www.amazon.com/Sorel-Madson-Hiker-Waterproof-Saddle/dp/B0821ZV4H2/ref=sr_1_7?keywords=Sorel+Madson+II+Moc+Toe+Waterproof+Boot+-+Men%27s&amp;qid=1695124455&amp;sr=8-7</v>
      </c>
      <c r="F387" t="s">
        <v>1473</v>
      </c>
      <c r="G387" t="e">
        <f ca="1">IMAGE("https://alssports.vtexassets.com/arquivos/ids/1131590-800-auto?v=637986124854400000&amp;width=800&amp;height=auto&amp;aspect=true")</f>
        <v>#NAME?</v>
      </c>
      <c r="H387" t="e">
        <f ca="1">IMAGE("https://m.media-amazon.com/images/I/71cHcZKd8tL._AC_UL320_.jpg")</f>
        <v>#NAME?</v>
      </c>
      <c r="I387" t="s">
        <v>73</v>
      </c>
      <c r="J387">
        <v>169.5</v>
      </c>
      <c r="K387" s="2" t="s">
        <v>1474</v>
      </c>
      <c r="L387">
        <v>4.5</v>
      </c>
      <c r="M387">
        <v>274</v>
      </c>
      <c r="O387" t="s">
        <v>33</v>
      </c>
      <c r="P387" t="s">
        <v>26</v>
      </c>
      <c r="Q387" t="s">
        <v>74</v>
      </c>
    </row>
    <row r="388" spans="1:17" ht="15.75" x14ac:dyDescent="0.25">
      <c r="A388" s="3" t="str">
        <f>HYPERLINK("https://www.als.com/heydud-m-shoe-wally-braided/p?skuId=599445", "https://www.als.com/heydud-m-shoe-wally-braided/p?skuId=599445")</f>
        <v>https://www.als.com/heydud-m-shoe-wally-braided/p?skuId=599445</v>
      </c>
      <c r="B388" s="3" t="str">
        <f>HYPERLINK("https://www.als.com/heydud-m-shoe-wally-braided/p", "https://www.als.com/heydud-m-shoe-wally-braided/p")</f>
        <v>https://www.als.com/heydud-m-shoe-wally-braided/p</v>
      </c>
      <c r="C388" t="s">
        <v>506</v>
      </c>
      <c r="D388" t="s">
        <v>1475</v>
      </c>
      <c r="E388" s="3" t="str">
        <f>HYPERLINK("https://www.amazon.com/Hey-Dude-Loafers-Comfortable-Light-Weight/dp/B0B9YN3V12/ref=sr_1_21?keywords=Hey+Dude+Wally+Braided+Shoe+-+Mens&amp;qid=1695124451&amp;sr=8-21", "https://www.amazon.com/Hey-Dude-Loafers-Comfortable-Light-Weight/dp/B0B9YN3V12/ref=sr_1_21?keywords=Hey+Dude+Wally+Braided+Shoe+-+Mens&amp;qid=1695124451&amp;sr=8-21")</f>
        <v>https://www.amazon.com/Hey-Dude-Loafers-Comfortable-Light-Weight/dp/B0B9YN3V12/ref=sr_1_21?keywords=Hey+Dude+Wally+Braided+Shoe+-+Mens&amp;qid=1695124451&amp;sr=8-21</v>
      </c>
      <c r="F388" t="s">
        <v>1476</v>
      </c>
      <c r="G388" t="e">
        <f ca="1">IMAGE("https://alssports.vtexassets.com/arquivos/ids/1386107-800-auto?v=638254870959300000&amp;width=800&amp;height=auto&amp;aspect=true")</f>
        <v>#NAME?</v>
      </c>
      <c r="H388" t="e">
        <f ca="1">IMAGE("https://m.media-amazon.com/images/I/71V1mOLxXzL._AC_UL320_.jpg")</f>
        <v>#NAME?</v>
      </c>
      <c r="I388" t="s">
        <v>58</v>
      </c>
      <c r="J388">
        <v>55</v>
      </c>
      <c r="K388" s="2" t="s">
        <v>1477</v>
      </c>
      <c r="L388">
        <v>4.7</v>
      </c>
      <c r="M388">
        <v>50</v>
      </c>
      <c r="O388" t="s">
        <v>33</v>
      </c>
      <c r="P388" t="s">
        <v>26</v>
      </c>
      <c r="Q388" t="s">
        <v>507</v>
      </c>
    </row>
    <row r="389" spans="1:17" ht="15.75" x14ac:dyDescent="0.25">
      <c r="A389" s="3" t="str">
        <f>HYPERLINK("https://www.als.com/reef-w-sandals-cushion-vista-hi/p?skuId=1280794", "https://www.als.com/reef-w-sandals-cushion-vista-hi/p?skuId=1280794")</f>
        <v>https://www.als.com/reef-w-sandals-cushion-vista-hi/p?skuId=1280794</v>
      </c>
      <c r="B389" s="3" t="str">
        <f>HYPERLINK("https://www.als.com/reef-w-sandals-cushion-vista-hi/p", "https://www.als.com/reef-w-sandals-cushion-vista-hi/p")</f>
        <v>https://www.als.com/reef-w-sandals-cushion-vista-hi/p</v>
      </c>
      <c r="C389" t="s">
        <v>960</v>
      </c>
      <c r="D389" t="s">
        <v>1478</v>
      </c>
      <c r="E389" s="3" t="str">
        <f>HYPERLINK("https://www.amazon.com/Reef-Womens-Sandals-Cushion-Vintage/dp/B08BG2VT21/ref=sr_1_42?keywords=REEF+Cushion+Vista+HI+Slide+-+Women%27s&amp;qid=1695124489&amp;sr=8-42", "https://www.amazon.com/Reef-Womens-Sandals-Cushion-Vintage/dp/B08BG2VT21/ref=sr_1_42?keywords=REEF+Cushion+Vista+HI+Slide+-+Women%27s&amp;qid=1695124489&amp;sr=8-42")</f>
        <v>https://www.amazon.com/Reef-Womens-Sandals-Cushion-Vintage/dp/B08BG2VT21/ref=sr_1_42?keywords=REEF+Cushion+Vista+HI+Slide+-+Women%27s&amp;qid=1695124489&amp;sr=8-42</v>
      </c>
      <c r="F389" t="s">
        <v>1479</v>
      </c>
      <c r="G389" t="e">
        <f ca="1">IMAGE("https://alssports.vtexassets.com/arquivos/ids/1252015-800-auto?v=638131199167330000&amp;width=800&amp;height=auto&amp;aspect=true")</f>
        <v>#NAME?</v>
      </c>
      <c r="H389" t="e">
        <f ca="1">IMAGE("https://m.media-amazon.com/images/I/61-JQa-1+6L._AC_UL320_.jpg")</f>
        <v>#NAME?</v>
      </c>
      <c r="I389" t="s">
        <v>58</v>
      </c>
      <c r="J389">
        <v>55</v>
      </c>
      <c r="K389" s="2" t="s">
        <v>1477</v>
      </c>
      <c r="L389">
        <v>4.0999999999999996</v>
      </c>
      <c r="M389">
        <v>35</v>
      </c>
      <c r="O389" t="s">
        <v>33</v>
      </c>
      <c r="P389" t="s">
        <v>26</v>
      </c>
      <c r="Q389" t="s">
        <v>963</v>
      </c>
    </row>
    <row r="390" spans="1:17" ht="15.75" x14ac:dyDescent="0.25">
      <c r="A390" s="3" t="str">
        <f>HYPERLINK("https://www.als.com/heydud-m-shoe-wally-washed-canvas/p?skuId=1317816", "https://www.als.com/heydud-m-shoe-wally-washed-canvas/p?skuId=1317816")</f>
        <v>https://www.als.com/heydud-m-shoe-wally-washed-canvas/p?skuId=1317816</v>
      </c>
      <c r="B390" s="3" t="str">
        <f>HYPERLINK("https://www.als.com/heydud-m-shoe-wally-washed-canvas/p", "https://www.als.com/heydud-m-shoe-wally-washed-canvas/p")</f>
        <v>https://www.als.com/heydud-m-shoe-wally-washed-canvas/p</v>
      </c>
      <c r="C390" t="s">
        <v>501</v>
      </c>
      <c r="D390" t="s">
        <v>1475</v>
      </c>
      <c r="E390" s="3" t="str">
        <f>HYPERLINK("https://www.amazon.com/Hey-Dude-Loafers-Comfortable-Light-Weight/dp/B0B9YN3V12/ref=sr_1_44?keywords=Hey+Dude+Wally+Washed+Canvas+Shoe+-+Mens&amp;qid=1695124460&amp;sr=8-44", "https://www.amazon.com/Hey-Dude-Loafers-Comfortable-Light-Weight/dp/B0B9YN3V12/ref=sr_1_44?keywords=Hey+Dude+Wally+Washed+Canvas+Shoe+-+Mens&amp;qid=1695124460&amp;sr=8-44")</f>
        <v>https://www.amazon.com/Hey-Dude-Loafers-Comfortable-Light-Weight/dp/B0B9YN3V12/ref=sr_1_44?keywords=Hey+Dude+Wally+Washed+Canvas+Shoe+-+Mens&amp;qid=1695124460&amp;sr=8-44</v>
      </c>
      <c r="F390" t="s">
        <v>1476</v>
      </c>
      <c r="G390" t="e">
        <f ca="1">IMAGE("https://alssports.vtexassets.com/arquivos/ids/1388214-800-auto?v=638255521966130000&amp;width=800&amp;height=auto&amp;aspect=true")</f>
        <v>#NAME?</v>
      </c>
      <c r="H390" t="e">
        <f ca="1">IMAGE("https://m.media-amazon.com/images/I/71V1mOLxXzL._AC_UL320_.jpg")</f>
        <v>#NAME?</v>
      </c>
      <c r="I390" t="s">
        <v>58</v>
      </c>
      <c r="J390">
        <v>55</v>
      </c>
      <c r="K390" s="2" t="s">
        <v>1477</v>
      </c>
      <c r="L390">
        <v>4.7</v>
      </c>
      <c r="M390">
        <v>50</v>
      </c>
      <c r="O390" t="s">
        <v>33</v>
      </c>
      <c r="P390" t="s">
        <v>26</v>
      </c>
      <c r="Q390" t="s">
        <v>505</v>
      </c>
    </row>
    <row r="391" spans="1:17" ht="15.75" x14ac:dyDescent="0.25">
      <c r="A391" s="3" t="str">
        <f>HYPERLINK("https://www.als.com/reef-w-sandals-cushion-vista-hi/p?skuId=1280794", "https://www.als.com/reef-w-sandals-cushion-vista-hi/p?skuId=1280794")</f>
        <v>https://www.als.com/reef-w-sandals-cushion-vista-hi/p?skuId=1280794</v>
      </c>
      <c r="B391" s="3" t="str">
        <f>HYPERLINK("https://www.als.com/reef-w-sandals-cushion-vista-hi/p", "https://www.als.com/reef-w-sandals-cushion-vista-hi/p")</f>
        <v>https://www.als.com/reef-w-sandals-cushion-vista-hi/p</v>
      </c>
      <c r="C391" t="s">
        <v>960</v>
      </c>
      <c r="D391" t="s">
        <v>1480</v>
      </c>
      <c r="E391" s="3" t="str">
        <f>HYPERLINK("https://www.amazon.com/Reef-Womens-Sandals-Cushion-Natural/dp/B07WRHS9FQ/ref=sr_1_34?keywords=REEF+Cushion+Vista+HI+Slide+-+Women%27s&amp;qid=1695124489&amp;sr=8-34", "https://www.amazon.com/Reef-Womens-Sandals-Cushion-Natural/dp/B07WRHS9FQ/ref=sr_1_34?keywords=REEF+Cushion+Vista+HI+Slide+-+Women%27s&amp;qid=1695124489&amp;sr=8-34")</f>
        <v>https://www.amazon.com/Reef-Womens-Sandals-Cushion-Natural/dp/B07WRHS9FQ/ref=sr_1_34?keywords=REEF+Cushion+Vista+HI+Slide+-+Women%27s&amp;qid=1695124489&amp;sr=8-34</v>
      </c>
      <c r="F391" t="s">
        <v>1481</v>
      </c>
      <c r="G391" t="e">
        <f ca="1">IMAGE("https://alssports.vtexassets.com/arquivos/ids/1252015-800-auto?v=638131199167330000&amp;width=800&amp;height=auto&amp;aspect=true")</f>
        <v>#NAME?</v>
      </c>
      <c r="H391" t="e">
        <f ca="1">IMAGE("https://m.media-amazon.com/images/I/619rAxzQQwL._AC_UL320_.jpg")</f>
        <v>#NAME?</v>
      </c>
      <c r="I391" t="s">
        <v>58</v>
      </c>
      <c r="J391">
        <v>55</v>
      </c>
      <c r="K391" s="2" t="s">
        <v>1477</v>
      </c>
      <c r="L391">
        <v>4.2</v>
      </c>
      <c r="M391">
        <v>513</v>
      </c>
      <c r="O391" t="s">
        <v>33</v>
      </c>
      <c r="P391" t="s">
        <v>26</v>
      </c>
      <c r="Q391" t="s">
        <v>963</v>
      </c>
    </row>
    <row r="392" spans="1:17" ht="15.75" x14ac:dyDescent="0.25">
      <c r="A392" s="3" t="str">
        <f>HYPERLINK("https://www.als.com/reef-w-sandals-cushion-vista-hi/p?skuId=1280794", "https://www.als.com/reef-w-sandals-cushion-vista-hi/p?skuId=1280794")</f>
        <v>https://www.als.com/reef-w-sandals-cushion-vista-hi/p?skuId=1280794</v>
      </c>
      <c r="B392" s="3" t="str">
        <f>HYPERLINK("https://www.als.com/reef-w-sandals-cushion-vista-hi/p", "https://www.als.com/reef-w-sandals-cushion-vista-hi/p")</f>
        <v>https://www.als.com/reef-w-sandals-cushion-vista-hi/p</v>
      </c>
      <c r="C392" t="s">
        <v>960</v>
      </c>
      <c r="D392" t="s">
        <v>1482</v>
      </c>
      <c r="E392" s="3" t="str">
        <f>HYPERLINK("https://www.amazon.com/Reef-Womens-Cushion-Sandal-Vintage/dp/B0BPK2RQ68/ref=sr_1_17?keywords=REEF+Cushion+Vista+HI+Slide+-+Women%27s&amp;qid=1695124489&amp;sr=8-17", "https://www.amazon.com/Reef-Womens-Cushion-Sandal-Vintage/dp/B0BPK2RQ68/ref=sr_1_17?keywords=REEF+Cushion+Vista+HI+Slide+-+Women%27s&amp;qid=1695124489&amp;sr=8-17")</f>
        <v>https://www.amazon.com/Reef-Womens-Cushion-Sandal-Vintage/dp/B0BPK2RQ68/ref=sr_1_17?keywords=REEF+Cushion+Vista+HI+Slide+-+Women%27s&amp;qid=1695124489&amp;sr=8-17</v>
      </c>
      <c r="F392" t="s">
        <v>1483</v>
      </c>
      <c r="G392" t="e">
        <f ca="1">IMAGE("https://alssports.vtexassets.com/arquivos/ids/1252015-800-auto?v=638131199167330000&amp;width=800&amp;height=auto&amp;aspect=true")</f>
        <v>#NAME?</v>
      </c>
      <c r="H392" t="e">
        <f ca="1">IMAGE("https://m.media-amazon.com/images/I/61w1bUJwIQL._AC_UL320_.jpg")</f>
        <v>#NAME?</v>
      </c>
      <c r="I392" t="s">
        <v>58</v>
      </c>
      <c r="J392">
        <v>55</v>
      </c>
      <c r="K392" s="2" t="s">
        <v>1477</v>
      </c>
      <c r="L392">
        <v>5</v>
      </c>
      <c r="M392">
        <v>4</v>
      </c>
      <c r="O392" t="s">
        <v>33</v>
      </c>
      <c r="P392" t="s">
        <v>26</v>
      </c>
      <c r="Q392" t="s">
        <v>963</v>
      </c>
    </row>
    <row r="393" spans="1:17" ht="15.75" x14ac:dyDescent="0.25">
      <c r="A393" s="3" t="str">
        <f>HYPERLINK("https://www.als.com/reef-w-sandals-cushion-vista-hi/p?skuId=1280794", "https://www.als.com/reef-w-sandals-cushion-vista-hi/p?skuId=1280794")</f>
        <v>https://www.als.com/reef-w-sandals-cushion-vista-hi/p?skuId=1280794</v>
      </c>
      <c r="B393" s="3" t="str">
        <f>HYPERLINK("https://www.als.com/reef-w-sandals-cushion-vista-hi/p", "https://www.als.com/reef-w-sandals-cushion-vista-hi/p")</f>
        <v>https://www.als.com/reef-w-sandals-cushion-vista-hi/p</v>
      </c>
      <c r="C393" t="s">
        <v>960</v>
      </c>
      <c r="D393" t="s">
        <v>1484</v>
      </c>
      <c r="E393" s="3" t="str">
        <f>HYPERLINK("https://www.amazon.com/Reef-Womens-Cushion-Cloud-Flip-Flop/dp/B0B5W4KCFW/ref=sr_1_25?keywords=REEF+Cushion+Vista+HI+Slide+-+Women%27s&amp;qid=1695124489&amp;sr=8-25", "https://www.amazon.com/Reef-Womens-Cushion-Cloud-Flip-Flop/dp/B0B5W4KCFW/ref=sr_1_25?keywords=REEF+Cushion+Vista+HI+Slide+-+Women%27s&amp;qid=1695124489&amp;sr=8-25")</f>
        <v>https://www.amazon.com/Reef-Womens-Cushion-Cloud-Flip-Flop/dp/B0B5W4KCFW/ref=sr_1_25?keywords=REEF+Cushion+Vista+HI+Slide+-+Women%27s&amp;qid=1695124489&amp;sr=8-25</v>
      </c>
      <c r="F393" t="s">
        <v>1485</v>
      </c>
      <c r="G393" t="e">
        <f ca="1">IMAGE("https://alssports.vtexassets.com/arquivos/ids/1252015-800-auto?v=638131199167330000&amp;width=800&amp;height=auto&amp;aspect=true")</f>
        <v>#NAME?</v>
      </c>
      <c r="H393" t="e">
        <f ca="1">IMAGE("https://m.media-amazon.com/images/I/71QQbWHAgzL._AC_UL320_.jpg")</f>
        <v>#NAME?</v>
      </c>
      <c r="I393" t="s">
        <v>58</v>
      </c>
      <c r="J393">
        <v>55</v>
      </c>
      <c r="K393" s="2" t="s">
        <v>1477</v>
      </c>
      <c r="L393">
        <v>3.9</v>
      </c>
      <c r="M393">
        <v>126</v>
      </c>
      <c r="O393" t="s">
        <v>33</v>
      </c>
      <c r="P393" t="s">
        <v>26</v>
      </c>
      <c r="Q393" t="s">
        <v>963</v>
      </c>
    </row>
    <row r="394" spans="1:17" ht="15.75" x14ac:dyDescent="0.25">
      <c r="A394" s="3" t="str">
        <f>HYPERLINK("https://www.als.com/reef-w-sandals-cushion-vista-hi/p?skuId=1280794", "https://www.als.com/reef-w-sandals-cushion-vista-hi/p?skuId=1280794")</f>
        <v>https://www.als.com/reef-w-sandals-cushion-vista-hi/p?skuId=1280794</v>
      </c>
      <c r="B394" s="3" t="str">
        <f>HYPERLINK("https://www.als.com/reef-w-sandals-cushion-vista-hi/p", "https://www.als.com/reef-w-sandals-cushion-vista-hi/p")</f>
        <v>https://www.als.com/reef-w-sandals-cushion-vista-hi/p</v>
      </c>
      <c r="C394" t="s">
        <v>960</v>
      </c>
      <c r="D394" t="s">
        <v>1486</v>
      </c>
      <c r="E394" s="3" t="str">
        <f>HYPERLINK("https://www.amazon.com/Reef-Womens-Cushion-Slide-Sandal/dp/B0B1JNSHXH/ref=sr_1_16?keywords=REEF+Cushion+Vista+HI+Slide+-+Women%27s&amp;qid=1695124489&amp;sr=8-16", "https://www.amazon.com/Reef-Womens-Cushion-Slide-Sandal/dp/B0B1JNSHXH/ref=sr_1_16?keywords=REEF+Cushion+Vista+HI+Slide+-+Women%27s&amp;qid=1695124489&amp;sr=8-16")</f>
        <v>https://www.amazon.com/Reef-Womens-Cushion-Slide-Sandal/dp/B0B1JNSHXH/ref=sr_1_16?keywords=REEF+Cushion+Vista+HI+Slide+-+Women%27s&amp;qid=1695124489&amp;sr=8-16</v>
      </c>
      <c r="F394" t="s">
        <v>1487</v>
      </c>
      <c r="G394" t="e">
        <f ca="1">IMAGE("https://alssports.vtexassets.com/arquivos/ids/1252015-800-auto?v=638131199167330000&amp;width=800&amp;height=auto&amp;aspect=true")</f>
        <v>#NAME?</v>
      </c>
      <c r="H394" t="e">
        <f ca="1">IMAGE("https://m.media-amazon.com/images/I/51KuUqTscAL._AC_UL320_.jpg")</f>
        <v>#NAME?</v>
      </c>
      <c r="I394" t="s">
        <v>58</v>
      </c>
      <c r="J394">
        <v>55</v>
      </c>
      <c r="K394" s="2" t="s">
        <v>1477</v>
      </c>
      <c r="L394">
        <v>4.5</v>
      </c>
      <c r="M394">
        <v>82</v>
      </c>
      <c r="O394" t="s">
        <v>33</v>
      </c>
      <c r="P394" t="s">
        <v>26</v>
      </c>
      <c r="Q394" t="s">
        <v>963</v>
      </c>
    </row>
    <row r="395" spans="1:17" ht="15.75" x14ac:dyDescent="0.25">
      <c r="A395" s="3" t="str">
        <f>HYPERLINK("https://www.als.com/reef-w-sandals-cushion-vista-hi/p?skuId=1280794", "https://www.als.com/reef-w-sandals-cushion-vista-hi/p?skuId=1280794")</f>
        <v>https://www.als.com/reef-w-sandals-cushion-vista-hi/p?skuId=1280794</v>
      </c>
      <c r="B395" s="3" t="str">
        <f>HYPERLINK("https://www.als.com/reef-w-sandals-cushion-vista-hi/p", "https://www.als.com/reef-w-sandals-cushion-vista-hi/p")</f>
        <v>https://www.als.com/reef-w-sandals-cushion-vista-hi/p</v>
      </c>
      <c r="C395" t="s">
        <v>960</v>
      </c>
      <c r="D395" t="s">
        <v>1488</v>
      </c>
      <c r="E395" s="3" t="str">
        <f>HYPERLINK("https://www.amazon.com/Reef-Womens-Sandals-Cushion-Bloom/dp/B09RYBWTMW/ref=sr_1_2?keywords=REEF+Cushion+Vista+HI+Slide+-+Women%27s&amp;qid=1695124489&amp;sr=8-2", "https://www.amazon.com/Reef-Womens-Sandals-Cushion-Bloom/dp/B09RYBWTMW/ref=sr_1_2?keywords=REEF+Cushion+Vista+HI+Slide+-+Women%27s&amp;qid=1695124489&amp;sr=8-2")</f>
        <v>https://www.amazon.com/Reef-Womens-Sandals-Cushion-Bloom/dp/B09RYBWTMW/ref=sr_1_2?keywords=REEF+Cushion+Vista+HI+Slide+-+Women%27s&amp;qid=1695124489&amp;sr=8-2</v>
      </c>
      <c r="F395" t="s">
        <v>1489</v>
      </c>
      <c r="G395" t="e">
        <f ca="1">IMAGE("https://alssports.vtexassets.com/arquivos/ids/1252015-800-auto?v=638131199167330000&amp;width=800&amp;height=auto&amp;aspect=true")</f>
        <v>#NAME?</v>
      </c>
      <c r="H395" t="e">
        <f ca="1">IMAGE("https://m.media-amazon.com/images/I/61JtL-Z5XUL._AC_UL320_.jpg")</f>
        <v>#NAME?</v>
      </c>
      <c r="I395" t="s">
        <v>58</v>
      </c>
      <c r="J395">
        <v>55</v>
      </c>
      <c r="K395" s="2" t="s">
        <v>1477</v>
      </c>
      <c r="L395">
        <v>4</v>
      </c>
      <c r="M395">
        <v>147</v>
      </c>
      <c r="O395" t="s">
        <v>33</v>
      </c>
      <c r="P395" t="s">
        <v>26</v>
      </c>
      <c r="Q395" t="s">
        <v>963</v>
      </c>
    </row>
    <row r="396" spans="1:17" ht="15.75" x14ac:dyDescent="0.25">
      <c r="A396" s="3" t="str">
        <f>HYPERLINK("https://www.als.com/owala-ss-32oz-freesip-h2o-bottle/p?skuId=1195209", "https://www.als.com/owala-ss-32oz-freesip-h2o-bottle/p?skuId=1195209")</f>
        <v>https://www.als.com/owala-ss-32oz-freesip-h2o-bottle/p?skuId=1195209</v>
      </c>
      <c r="B396" s="3" t="str">
        <f>HYPERLINK("https://www.als.com/owala-ss-32oz-freesip-h2o-bottle/p", "https://www.als.com/owala-ss-32oz-freesip-h2o-bottle/p")</f>
        <v>https://www.als.com/owala-ss-32oz-freesip-h2o-bottle/p</v>
      </c>
      <c r="C396" t="s">
        <v>465</v>
      </c>
      <c r="D396" t="s">
        <v>1490</v>
      </c>
      <c r="E396" s="3" t="str">
        <f>HYPERLINK("https://www.amazon.com/Owala-Insulated-Stainless-BPA-Free-Mandalorian/dp/B0B3JSC69M/ref=sr_1_11?keywords=Owala+Free+Sip+Stainless+Steel+Water+Bottle+-+32oz&amp;qid=1695124108&amp;sr=8-11", "https://www.amazon.com/Owala-Insulated-Stainless-BPA-Free-Mandalorian/dp/B0B3JSC69M/ref=sr_1_11?keywords=Owala+Free+Sip+Stainless+Steel+Water+Bottle+-+32oz&amp;qid=1695124108&amp;sr=8-11")</f>
        <v>https://www.amazon.com/Owala-Insulated-Stainless-BPA-Free-Mandalorian/dp/B0B3JSC69M/ref=sr_1_11?keywords=Owala+Free+Sip+Stainless+Steel+Water+Bottle+-+32oz&amp;qid=1695124108&amp;sr=8-11</v>
      </c>
      <c r="F396" t="s">
        <v>1491</v>
      </c>
      <c r="G396" t="e">
        <f ca="1">IMAGE("https://alssports.vtexassets.com/arquivos/ids/1363762-800-auto?v=638236670706530000&amp;width=800&amp;height=auto&amp;aspect=true")</f>
        <v>#NAME?</v>
      </c>
      <c r="H396" t="e">
        <f ca="1">IMAGE("https://m.media-amazon.com/images/I/414VG0YP4WL._AC_UL320_.jpg")</f>
        <v>#NAME?</v>
      </c>
      <c r="I396" t="s">
        <v>462</v>
      </c>
      <c r="J396">
        <v>27.92</v>
      </c>
      <c r="K396" s="2" t="s">
        <v>1492</v>
      </c>
      <c r="L396">
        <v>4.8</v>
      </c>
      <c r="M396">
        <v>1992</v>
      </c>
      <c r="O396" t="s">
        <v>33</v>
      </c>
      <c r="P396" t="s">
        <v>26</v>
      </c>
      <c r="Q396" t="s">
        <v>466</v>
      </c>
    </row>
    <row r="397" spans="1:17" ht="15.75" x14ac:dyDescent="0.25">
      <c r="A397" s="3" t="str">
        <f>HYPERLINK("https://www.als.com/oakley-lineminer-xm-goggle/p?skuId=1322891", "https://www.als.com/oakley-lineminer-xm-goggle/p?skuId=1322891")</f>
        <v>https://www.als.com/oakley-lineminer-xm-goggle/p?skuId=1322891</v>
      </c>
      <c r="B397" s="3" t="str">
        <f>HYPERLINK("https://www.als.com/oakley-lineminer-xm-goggle/p", "https://www.als.com/oakley-lineminer-xm-goggle/p")</f>
        <v>https://www.als.com/oakley-lineminer-xm-goggle/p</v>
      </c>
      <c r="C397" t="s">
        <v>1493</v>
      </c>
      <c r="D397" t="s">
        <v>1494</v>
      </c>
      <c r="E397" s="3" t="str">
        <f>HYPERLINK("https://www.amazon.com/Oakley-Miner-Youth-Goggle-Replacement/dp/B079SX1JNM/ref=sr_1_41?keywords=Oakley+Line+Miner+M+Snow+Goggle&amp;qid=1695124326&amp;sr=8-41", "https://www.amazon.com/Oakley-Miner-Youth-Goggle-Replacement/dp/B079SX1JNM/ref=sr_1_41?keywords=Oakley+Line+Miner+M+Snow+Goggle&amp;qid=1695124326&amp;sr=8-41")</f>
        <v>https://www.amazon.com/Oakley-Miner-Youth-Goggle-Replacement/dp/B079SX1JNM/ref=sr_1_41?keywords=Oakley+Line+Miner+M+Snow+Goggle&amp;qid=1695124326&amp;sr=8-41</v>
      </c>
      <c r="F397" t="s">
        <v>1495</v>
      </c>
      <c r="G397" t="e">
        <f ca="1">IMAGE("https://alssports.vtexassets.com/arquivos/ids/1362246-800-auto?v=638235821541230000&amp;width=800&amp;height=auto&amp;aspect=true")</f>
        <v>#NAME?</v>
      </c>
      <c r="H397" t="e">
        <f ca="1">IMAGE("https://m.media-amazon.com/images/I/5180jnEvU8L._AC_UL320_.jpg")</f>
        <v>#NAME?</v>
      </c>
      <c r="I397" t="s">
        <v>1496</v>
      </c>
      <c r="J397">
        <v>55</v>
      </c>
      <c r="K397" s="2" t="s">
        <v>1492</v>
      </c>
      <c r="L397">
        <v>5</v>
      </c>
      <c r="M397">
        <v>11</v>
      </c>
      <c r="O397" t="s">
        <v>33</v>
      </c>
      <c r="P397" t="s">
        <v>1497</v>
      </c>
      <c r="Q397" t="s">
        <v>1498</v>
      </c>
    </row>
    <row r="398" spans="1:17" ht="15.75" x14ac:dyDescent="0.25">
      <c r="A398" s="3" t="str">
        <f>HYPERLINK("https://www.als.com/oakley-lineminer-xm-goggle/p?skuId=1322891", "https://www.als.com/oakley-lineminer-xm-goggle/p?skuId=1322891")</f>
        <v>https://www.als.com/oakley-lineminer-xm-goggle/p?skuId=1322891</v>
      </c>
      <c r="B398" s="3" t="str">
        <f>HYPERLINK("https://www.als.com/oakley-lineminer-xm-goggle/p", "https://www.als.com/oakley-lineminer-xm-goggle/p")</f>
        <v>https://www.als.com/oakley-lineminer-xm-goggle/p</v>
      </c>
      <c r="C398" t="s">
        <v>1493</v>
      </c>
      <c r="D398" t="s">
        <v>1499</v>
      </c>
      <c r="E398" s="3" t="str">
        <f>HYPERLINK("https://www.amazon.com/Oakley-Replacement-Snowmobile-Goggles-Accessories/dp/B079STGYM3/ref=sr_1_11?keywords=Oakley+Line+Miner+M+Snow+Goggle&amp;qid=1695124326&amp;sr=8-11", "https://www.amazon.com/Oakley-Replacement-Snowmobile-Goggles-Accessories/dp/B079STGYM3/ref=sr_1_11?keywords=Oakley+Line+Miner+M+Snow+Goggle&amp;qid=1695124326&amp;sr=8-11")</f>
        <v>https://www.amazon.com/Oakley-Replacement-Snowmobile-Goggles-Accessories/dp/B079STGYM3/ref=sr_1_11?keywords=Oakley+Line+Miner+M+Snow+Goggle&amp;qid=1695124326&amp;sr=8-11</v>
      </c>
      <c r="F398" t="s">
        <v>1500</v>
      </c>
      <c r="G398" t="e">
        <f ca="1">IMAGE("https://alssports.vtexassets.com/arquivos/ids/1362246-800-auto?v=638235821541230000&amp;width=800&amp;height=auto&amp;aspect=true")</f>
        <v>#NAME?</v>
      </c>
      <c r="H398" t="e">
        <f ca="1">IMAGE("https://m.media-amazon.com/images/I/51ya+tzRtOL._AC_UL320_.jpg")</f>
        <v>#NAME?</v>
      </c>
      <c r="I398" t="s">
        <v>1496</v>
      </c>
      <c r="J398">
        <v>55</v>
      </c>
      <c r="K398" s="2" t="s">
        <v>1492</v>
      </c>
      <c r="L398">
        <v>3.5</v>
      </c>
      <c r="M398">
        <v>7</v>
      </c>
      <c r="O398" t="s">
        <v>33</v>
      </c>
      <c r="P398" t="s">
        <v>1497</v>
      </c>
      <c r="Q398" t="s">
        <v>1498</v>
      </c>
    </row>
    <row r="399" spans="1:17" ht="15.75" x14ac:dyDescent="0.25">
      <c r="A399" s="3" t="str">
        <f>HYPERLINK("https://www.als.com/reef-w-sandals-cushion-vista-hi/p?skuId=1280794", "https://www.als.com/reef-w-sandals-cushion-vista-hi/p?skuId=1280794")</f>
        <v>https://www.als.com/reef-w-sandals-cushion-vista-hi/p?skuId=1280794</v>
      </c>
      <c r="B399" s="3" t="str">
        <f>HYPERLINK("https://www.als.com/reef-w-sandals-cushion-vista-hi/p", "https://www.als.com/reef-w-sandals-cushion-vista-hi/p")</f>
        <v>https://www.als.com/reef-w-sandals-cushion-vista-hi/p</v>
      </c>
      <c r="C399" t="s">
        <v>960</v>
      </c>
      <c r="D399" t="s">
        <v>1501</v>
      </c>
      <c r="E399" s="3" t="str">
        <f>HYPERLINK("https://www.amazon.com/Reef-Womens-Cushion-Sandal-Black/dp/B0BPK1V8XL/ref=sr_1_9?keywords=REEF+Cushion+Vista+HI+Slide+-+Women%27s&amp;qid=1695124489&amp;sr=8-9", "https://www.amazon.com/Reef-Womens-Cushion-Sandal-Black/dp/B0BPK1V8XL/ref=sr_1_9?keywords=REEF+Cushion+Vista+HI+Slide+-+Women%27s&amp;qid=1695124489&amp;sr=8-9")</f>
        <v>https://www.amazon.com/Reef-Womens-Cushion-Sandal-Black/dp/B0BPK1V8XL/ref=sr_1_9?keywords=REEF+Cushion+Vista+HI+Slide+-+Women%27s&amp;qid=1695124489&amp;sr=8-9</v>
      </c>
      <c r="F399" t="s">
        <v>1502</v>
      </c>
      <c r="G399" t="e">
        <f ca="1">IMAGE("https://alssports.vtexassets.com/arquivos/ids/1252015-800-auto?v=638131199167330000&amp;width=800&amp;height=auto&amp;aspect=true")</f>
        <v>#NAME?</v>
      </c>
      <c r="H399" t="e">
        <f ca="1">IMAGE("https://m.media-amazon.com/images/I/51Eprs0gnDL._AC_UL320_.jpg")</f>
        <v>#NAME?</v>
      </c>
      <c r="I399" t="s">
        <v>58</v>
      </c>
      <c r="J399">
        <v>54.95</v>
      </c>
      <c r="K399" s="2" t="s">
        <v>1503</v>
      </c>
      <c r="L399">
        <v>3.7</v>
      </c>
      <c r="M399">
        <v>17</v>
      </c>
      <c r="O399" t="s">
        <v>33</v>
      </c>
      <c r="P399" t="s">
        <v>26</v>
      </c>
      <c r="Q399" t="s">
        <v>963</v>
      </c>
    </row>
    <row r="400" spans="1:17" ht="15.75" x14ac:dyDescent="0.25">
      <c r="A400" s="3" t="str">
        <f>HYPERLINK("https://www.als.com/heydud-m-shoe-wally-braided/p?skuId=599445", "https://www.als.com/heydud-m-shoe-wally-braided/p?skuId=599445")</f>
        <v>https://www.als.com/heydud-m-shoe-wally-braided/p?skuId=599445</v>
      </c>
      <c r="B400" s="3" t="str">
        <f>HYPERLINK("https://www.als.com/heydud-m-shoe-wally-braided/p", "https://www.als.com/heydud-m-shoe-wally-braided/p")</f>
        <v>https://www.als.com/heydud-m-shoe-wally-braided/p</v>
      </c>
      <c r="C400" t="s">
        <v>506</v>
      </c>
      <c r="D400" t="s">
        <v>1504</v>
      </c>
      <c r="E400" s="3" t="str">
        <f>HYPERLINK("https://www.amazon.com/Hey-Dude-Braided-Comfortable-Light-Weight/dp/B08XBDVG1W/ref=sr_1_4?keywords=Hey+Dude+Wally+Braided+Shoe+-+Mens&amp;qid=1695124451&amp;sr=8-4", "https://www.amazon.com/Hey-Dude-Braided-Comfortable-Light-Weight/dp/B08XBDVG1W/ref=sr_1_4?keywords=Hey+Dude+Wally+Braided+Shoe+-+Mens&amp;qid=1695124451&amp;sr=8-4")</f>
        <v>https://www.amazon.com/Hey-Dude-Braided-Comfortable-Light-Weight/dp/B08XBDVG1W/ref=sr_1_4?keywords=Hey+Dude+Wally+Braided+Shoe+-+Mens&amp;qid=1695124451&amp;sr=8-4</v>
      </c>
      <c r="F400" t="s">
        <v>1505</v>
      </c>
      <c r="G400" t="e">
        <f ca="1">IMAGE("https://alssports.vtexassets.com/arquivos/ids/1386107-800-auto?v=638254870959300000&amp;width=800&amp;height=auto&amp;aspect=true")</f>
        <v>#NAME?</v>
      </c>
      <c r="H400" t="e">
        <f ca="1">IMAGE("https://m.media-amazon.com/images/I/61rHVJO5oVL._AC_UL320_.jpg")</f>
        <v>#NAME?</v>
      </c>
      <c r="I400" t="s">
        <v>58</v>
      </c>
      <c r="J400">
        <v>54.95</v>
      </c>
      <c r="K400" s="2" t="s">
        <v>1503</v>
      </c>
      <c r="L400">
        <v>4.7</v>
      </c>
      <c r="M400">
        <v>235</v>
      </c>
      <c r="O400" t="s">
        <v>33</v>
      </c>
      <c r="P400" t="s">
        <v>26</v>
      </c>
      <c r="Q400" t="s">
        <v>507</v>
      </c>
    </row>
    <row r="401" spans="1:17" ht="15.75" x14ac:dyDescent="0.25">
      <c r="A401" s="3" t="str">
        <f>HYPERLINK("https://www.als.com/reef-w-sandals-cushion-vista-hi/p?skuId=1280794", "https://www.als.com/reef-w-sandals-cushion-vista-hi/p?skuId=1280794")</f>
        <v>https://www.als.com/reef-w-sandals-cushion-vista-hi/p?skuId=1280794</v>
      </c>
      <c r="B401" s="3" t="str">
        <f>HYPERLINK("https://www.als.com/reef-w-sandals-cushion-vista-hi/p", "https://www.als.com/reef-w-sandals-cushion-vista-hi/p")</f>
        <v>https://www.als.com/reef-w-sandals-cushion-vista-hi/p</v>
      </c>
      <c r="C401" t="s">
        <v>960</v>
      </c>
      <c r="D401" t="s">
        <v>1506</v>
      </c>
      <c r="E401" s="3" t="str">
        <f>HYPERLINK("https://www.amazon.com/Reef-Womens-Water-Sandal-Crystal/dp/B0B7TX4KLV/ref=sr_1_15?keywords=REEF+Cushion+Vista+HI+Slide+-+Women%27s&amp;qid=1695124489&amp;sr=8-15", "https://www.amazon.com/Reef-Womens-Water-Sandal-Crystal/dp/B0B7TX4KLV/ref=sr_1_15?keywords=REEF+Cushion+Vista+HI+Slide+-+Women%27s&amp;qid=1695124489&amp;sr=8-15")</f>
        <v>https://www.amazon.com/Reef-Womens-Water-Sandal-Crystal/dp/B0B7TX4KLV/ref=sr_1_15?keywords=REEF+Cushion+Vista+HI+Slide+-+Women%27s&amp;qid=1695124489&amp;sr=8-15</v>
      </c>
      <c r="F401" t="s">
        <v>1507</v>
      </c>
      <c r="G401" t="e">
        <f ca="1">IMAGE("https://alssports.vtexassets.com/arquivos/ids/1252015-800-auto?v=638131199167330000&amp;width=800&amp;height=auto&amp;aspect=true")</f>
        <v>#NAME?</v>
      </c>
      <c r="H401" t="e">
        <f ca="1">IMAGE("https://m.media-amazon.com/images/I/51CxF0MEpIL._AC_UL320_.jpg")</f>
        <v>#NAME?</v>
      </c>
      <c r="I401" t="s">
        <v>58</v>
      </c>
      <c r="J401">
        <v>54.95</v>
      </c>
      <c r="K401" s="2" t="s">
        <v>1503</v>
      </c>
      <c r="L401">
        <v>4.5</v>
      </c>
      <c r="M401">
        <v>90</v>
      </c>
      <c r="O401" t="s">
        <v>33</v>
      </c>
      <c r="P401" t="s">
        <v>26</v>
      </c>
      <c r="Q401" t="s">
        <v>963</v>
      </c>
    </row>
    <row r="402" spans="1:17" ht="15.75" x14ac:dyDescent="0.25">
      <c r="A402" s="3" t="str">
        <f>HYPERLINK("https://www.als.com/reef-w-sandals-cushion-vista-hi/p?skuId=1280794", "https://www.als.com/reef-w-sandals-cushion-vista-hi/p?skuId=1280794")</f>
        <v>https://www.als.com/reef-w-sandals-cushion-vista-hi/p?skuId=1280794</v>
      </c>
      <c r="B402" s="3" t="str">
        <f>HYPERLINK("https://www.als.com/reef-w-sandals-cushion-vista-hi/p", "https://www.als.com/reef-w-sandals-cushion-vista-hi/p")</f>
        <v>https://www.als.com/reef-w-sandals-cushion-vista-hi/p</v>
      </c>
      <c r="C402" t="s">
        <v>960</v>
      </c>
      <c r="D402" t="s">
        <v>1508</v>
      </c>
      <c r="E402" s="3" t="str">
        <f>HYPERLINK("https://www.amazon.com/Reef-Womens-Sandals-Cushion-Natural/dp/B083ZKHL5F/ref=sr_1_10?keywords=REEF+Cushion+Vista+HI+Slide+-+Women%27s&amp;qid=1695124489&amp;sr=8-10", "https://www.amazon.com/Reef-Womens-Sandals-Cushion-Natural/dp/B083ZKHL5F/ref=sr_1_10?keywords=REEF+Cushion+Vista+HI+Slide+-+Women%27s&amp;qid=1695124489&amp;sr=8-10")</f>
        <v>https://www.amazon.com/Reef-Womens-Sandals-Cushion-Natural/dp/B083ZKHL5F/ref=sr_1_10?keywords=REEF+Cushion+Vista+HI+Slide+-+Women%27s&amp;qid=1695124489&amp;sr=8-10</v>
      </c>
      <c r="F402" t="s">
        <v>1509</v>
      </c>
      <c r="G402" t="e">
        <f ca="1">IMAGE("https://alssports.vtexassets.com/arquivos/ids/1252015-800-auto?v=638131199167330000&amp;width=800&amp;height=auto&amp;aspect=true")</f>
        <v>#NAME?</v>
      </c>
      <c r="H402" t="e">
        <f ca="1">IMAGE("https://m.media-amazon.com/images/I/61kzAGdZ5SL._AC_UL320_.jpg")</f>
        <v>#NAME?</v>
      </c>
      <c r="I402" t="s">
        <v>58</v>
      </c>
      <c r="J402">
        <v>54.95</v>
      </c>
      <c r="K402" s="2" t="s">
        <v>1503</v>
      </c>
      <c r="L402">
        <v>4.2</v>
      </c>
      <c r="M402">
        <v>370</v>
      </c>
      <c r="O402" t="s">
        <v>33</v>
      </c>
      <c r="P402" t="s">
        <v>26</v>
      </c>
      <c r="Q402" t="s">
        <v>963</v>
      </c>
    </row>
    <row r="403" spans="1:17" ht="15.75" x14ac:dyDescent="0.25">
      <c r="A403" s="3" t="str">
        <f>HYPERLINK("https://www.als.com/dakine-classic-hip-pack/p?skuId=767744", "https://www.als.com/dakine-classic-hip-pack/p?skuId=767744")</f>
        <v>https://www.als.com/dakine-classic-hip-pack/p?skuId=767744</v>
      </c>
      <c r="B403" s="3" t="str">
        <f>HYPERLINK("https://www.als.com/dakine-classic-hip-pack/p", "https://www.als.com/dakine-classic-hip-pack/p")</f>
        <v>https://www.als.com/dakine-classic-hip-pack/p</v>
      </c>
      <c r="C403" t="s">
        <v>992</v>
      </c>
      <c r="D403" t="s">
        <v>1510</v>
      </c>
      <c r="E403" s="3" t="str">
        <f>HYPERLINK("https://www.amazon.com/Dakine-Unisex-Hip-Pack-Taapuna/dp/B07KS3C8BD/ref=sr_1_47?keywords=Dakine+Classic+Hip+Pack&amp;qid=1695124161&amp;sr=8-47", "https://www.amazon.com/Dakine-Unisex-Hip-Pack-Taapuna/dp/B07KS3C8BD/ref=sr_1_47?keywords=Dakine+Classic+Hip+Pack&amp;qid=1695124161&amp;sr=8-47")</f>
        <v>https://www.amazon.com/Dakine-Unisex-Hip-Pack-Taapuna/dp/B07KS3C8BD/ref=sr_1_47?keywords=Dakine+Classic+Hip+Pack&amp;qid=1695124161&amp;sr=8-47</v>
      </c>
      <c r="F403" t="s">
        <v>1511</v>
      </c>
      <c r="G403" t="e">
        <f ca="1">IMAGE("https://alssports.vtexassets.com/arquivos/ids/1189032-800-auto?v=638059541136000000&amp;width=800&amp;height=auto&amp;aspect=true")</f>
        <v>#NAME?</v>
      </c>
      <c r="H403" t="e">
        <f ca="1">IMAGE("https://m.media-amazon.com/images/I/913b9IS7caL._AC_UL320_.jpg")</f>
        <v>#NAME?</v>
      </c>
      <c r="I403" t="s">
        <v>995</v>
      </c>
      <c r="J403">
        <v>10.98</v>
      </c>
      <c r="K403" s="2" t="s">
        <v>1512</v>
      </c>
      <c r="L403">
        <v>4.5999999999999996</v>
      </c>
      <c r="M403">
        <v>337</v>
      </c>
      <c r="O403" t="s">
        <v>33</v>
      </c>
      <c r="P403" t="s">
        <v>611</v>
      </c>
      <c r="Q403" t="s">
        <v>997</v>
      </c>
    </row>
    <row r="404" spans="1:17" ht="15.75" x14ac:dyDescent="0.25">
      <c r="A404" s="3" t="str">
        <f>HYPERLINK("https://www.als.com/sorel-m-explorer-boot/p?skuId=1237286", "https://www.als.com/sorel-m-explorer-boot/p?skuId=1237286")</f>
        <v>https://www.als.com/sorel-m-explorer-boot/p?skuId=1237286</v>
      </c>
      <c r="B404" s="3" t="str">
        <f>HYPERLINK("https://www.als.com/sorel-m-explorer-boot/p", "https://www.als.com/sorel-m-explorer-boot/p")</f>
        <v>https://www.als.com/sorel-m-explorer-boot/p</v>
      </c>
      <c r="C404" t="s">
        <v>1094</v>
      </c>
      <c r="D404" t="s">
        <v>1095</v>
      </c>
      <c r="E404" s="3" t="str">
        <f>HYPERLINK("https://www.amazon.com/Sorel-Mens-Ankeny-Waterproof-Boot/dp/B0B2JVC17S/ref=sr_1_20?keywords=Sorel+Explorer+Boot+-+Mens&amp;qid=1695124329&amp;sr=8-20", "https://www.amazon.com/Sorel-Mens-Ankeny-Waterproof-Boot/dp/B0B2JVC17S/ref=sr_1_20?keywords=Sorel+Explorer+Boot+-+Mens&amp;qid=1695124329&amp;sr=8-20")</f>
        <v>https://www.amazon.com/Sorel-Mens-Ankeny-Waterproof-Boot/dp/B0B2JVC17S/ref=sr_1_20?keywords=Sorel+Explorer+Boot+-+Mens&amp;qid=1695124329&amp;sr=8-20</v>
      </c>
      <c r="F404" t="s">
        <v>1513</v>
      </c>
      <c r="G404" t="e">
        <f ca="1">IMAGE("https://alssports.vtexassets.com/arquivos/ids/1316684-800-auto?v=638198518766100000&amp;width=800&amp;height=auto&amp;aspect=true")</f>
        <v>#NAME?</v>
      </c>
      <c r="H404" t="e">
        <f ca="1">IMAGE("https://m.media-amazon.com/images/I/61Kj7Jhi0DL._AC_UL320_.jpg")</f>
        <v>#NAME?</v>
      </c>
      <c r="I404" t="s">
        <v>1097</v>
      </c>
      <c r="J404">
        <v>76.83</v>
      </c>
      <c r="K404" s="2" t="s">
        <v>1514</v>
      </c>
      <c r="L404">
        <v>4.4000000000000004</v>
      </c>
      <c r="M404">
        <v>126</v>
      </c>
      <c r="O404" t="s">
        <v>33</v>
      </c>
      <c r="P404" t="s">
        <v>832</v>
      </c>
      <c r="Q404" t="s">
        <v>1099</v>
      </c>
    </row>
    <row r="405" spans="1:17" ht="15.75" x14ac:dyDescent="0.25">
      <c r="A405" s="3" t="str">
        <f>HYPERLINK("https://www.als.com/seasum-dry-bag-ultra-sil/p?skuId=1284260", "https://www.als.com/seasum-dry-bag-ultra-sil/p?skuId=1284260")</f>
        <v>https://www.als.com/seasum-dry-bag-ultra-sil/p?skuId=1284260</v>
      </c>
      <c r="B405" s="3" t="str">
        <f>HYPERLINK("https://www.als.com/seasum-dry-bag-ultra-sil/p", "https://www.als.com/seasum-dry-bag-ultra-sil/p")</f>
        <v>https://www.als.com/seasum-dry-bag-ultra-sil/p</v>
      </c>
      <c r="C405" t="s">
        <v>1515</v>
      </c>
      <c r="D405" t="s">
        <v>1516</v>
      </c>
      <c r="E405" s="3" t="str">
        <f>HYPERLINK("https://www.amazon.com/Sea-Summit-River-Orange-20-Liter/dp/B001PR071E/ref=sr_1_15?keywords=Sea+to+Summit+Ultra-Sil+Dry+Bag&amp;qid=1695124478&amp;sr=8-15", "https://www.amazon.com/Sea-Summit-River-Orange-20-Liter/dp/B001PR071E/ref=sr_1_15?keywords=Sea+to+Summit+Ultra-Sil+Dry+Bag&amp;qid=1695124478&amp;sr=8-15")</f>
        <v>https://www.amazon.com/Sea-Summit-River-Orange-20-Liter/dp/B001PR071E/ref=sr_1_15?keywords=Sea+to+Summit+Ultra-Sil+Dry+Bag&amp;qid=1695124478&amp;sr=8-15</v>
      </c>
      <c r="F405" t="s">
        <v>1517</v>
      </c>
      <c r="G405" t="e">
        <f ca="1">IMAGE("https://alssports.vtexassets.com/arquivos/ids/1257254-800-auto?v=638134633277170000&amp;width=800&amp;height=auto&amp;aspect=true")</f>
        <v>#NAME?</v>
      </c>
      <c r="H405" t="e">
        <f ca="1">IMAGE("https://m.media-amazon.com/images/I/81SXY4H-rfL._AC_UL320_.jpg")</f>
        <v>#NAME?</v>
      </c>
      <c r="I405" t="s">
        <v>140</v>
      </c>
      <c r="J405">
        <v>33.71</v>
      </c>
      <c r="K405" s="2" t="s">
        <v>1518</v>
      </c>
      <c r="L405">
        <v>4.7</v>
      </c>
      <c r="M405">
        <v>977</v>
      </c>
      <c r="O405" t="s">
        <v>26</v>
      </c>
      <c r="P405" t="s">
        <v>26</v>
      </c>
      <c r="Q405" t="s">
        <v>1519</v>
      </c>
    </row>
    <row r="406" spans="1:17" ht="15.75" x14ac:dyDescent="0.25">
      <c r="A406" s="3" t="str">
        <f>HYPERLINK("https://www.als.com/seasum-dry-bag-ultra-sil/p?skuId=1284260", "https://www.als.com/seasum-dry-bag-ultra-sil/p?skuId=1284260")</f>
        <v>https://www.als.com/seasum-dry-bag-ultra-sil/p?skuId=1284260</v>
      </c>
      <c r="B406" s="3" t="str">
        <f>HYPERLINK("https://www.als.com/seasum-dry-bag-ultra-sil/p", "https://www.als.com/seasum-dry-bag-ultra-sil/p")</f>
        <v>https://www.als.com/seasum-dry-bag-ultra-sil/p</v>
      </c>
      <c r="C406" t="s">
        <v>1515</v>
      </c>
      <c r="D406" t="s">
        <v>1520</v>
      </c>
      <c r="E406" s="3" t="str">
        <f>HYPERLINK("https://www.amazon.com/Sea-Summit-Lightweight-70D-Sack/dp/B0754LHPND/ref=sr_1_14?keywords=Sea+to+Summit+Ultra-Sil+Dry+Bag&amp;qid=1695124478&amp;sr=8-14", "https://www.amazon.com/Sea-Summit-Lightweight-70D-Sack/dp/B0754LHPND/ref=sr_1_14?keywords=Sea+to+Summit+Ultra-Sil+Dry+Bag&amp;qid=1695124478&amp;sr=8-14")</f>
        <v>https://www.amazon.com/Sea-Summit-Lightweight-70D-Sack/dp/B0754LHPND/ref=sr_1_14?keywords=Sea+to+Summit+Ultra-Sil+Dry+Bag&amp;qid=1695124478&amp;sr=8-14</v>
      </c>
      <c r="F406" t="s">
        <v>1521</v>
      </c>
      <c r="G406" t="e">
        <f ca="1">IMAGE("https://alssports.vtexassets.com/arquivos/ids/1257254-800-auto?v=638134633277170000&amp;width=800&amp;height=auto&amp;aspect=true")</f>
        <v>#NAME?</v>
      </c>
      <c r="H406" t="e">
        <f ca="1">IMAGE("https://m.media-amazon.com/images/I/81Y0uq-8eeL._AC_UL320_.jpg")</f>
        <v>#NAME?</v>
      </c>
      <c r="I406" t="s">
        <v>140</v>
      </c>
      <c r="J406">
        <v>33.71</v>
      </c>
      <c r="K406" s="2" t="s">
        <v>1518</v>
      </c>
      <c r="L406">
        <v>4.5</v>
      </c>
      <c r="M406">
        <v>237</v>
      </c>
      <c r="O406" t="s">
        <v>26</v>
      </c>
      <c r="P406" t="s">
        <v>26</v>
      </c>
      <c r="Q406" t="s">
        <v>1519</v>
      </c>
    </row>
    <row r="407" spans="1:17" ht="15.75" x14ac:dyDescent="0.25">
      <c r="A407" s="3" t="str">
        <f>HYPERLINK("https://www.als.com/shimab-pedal-pd-m9100-spd-cleat-pack/p?skuId=500218", "https://www.als.com/shimab-pedal-pd-m9100-spd-cleat-pack/p?skuId=500218")</f>
        <v>https://www.als.com/shimab-pedal-pd-m9100-spd-cleat-pack/p?skuId=500218</v>
      </c>
      <c r="B407" s="3" t="str">
        <f>HYPERLINK("https://www.als.com/shimab-pedal-pd-m9100-spd-cleat-pack/p", "https://www.als.com/shimab-pedal-pd-m9100-spd-cleat-pack/p")</f>
        <v>https://www.als.com/shimab-pedal-pd-m9100-spd-cleat-pack/p</v>
      </c>
      <c r="C407" t="s">
        <v>541</v>
      </c>
      <c r="D407" t="s">
        <v>1522</v>
      </c>
      <c r="E407" s="3" t="str">
        <f>HYPERLINK("https://www.amazon.com/SHIMANO-PD-M9100-Pedal-Cleat-Included/dp/B07H8W4CF5/ref=sr_1_2?keywords=Shimano+TR+PD-M9100+Pedal&amp;qid=1695124455&amp;sr=8-2", "https://www.amazon.com/SHIMANO-PD-M9100-Pedal-Cleat-Included/dp/B07H8W4CF5/ref=sr_1_2?keywords=Shimano+TR+PD-M9100+Pedal&amp;qid=1695124455&amp;sr=8-2")</f>
        <v>https://www.amazon.com/SHIMANO-PD-M9100-Pedal-Cleat-Included/dp/B07H8W4CF5/ref=sr_1_2?keywords=Shimano+TR+PD-M9100+Pedal&amp;qid=1695124455&amp;sr=8-2</v>
      </c>
      <c r="F407" t="s">
        <v>1523</v>
      </c>
      <c r="G407" t="e">
        <f ca="1">IMAGE("https://alssports.vtexassets.com/arquivos/ids/1120618-800-auto?v=637969747990030000&amp;width=800&amp;height=auto&amp;aspect=true")</f>
        <v>#NAME?</v>
      </c>
      <c r="H407" t="e">
        <f ca="1">IMAGE("https://m.media-amazon.com/images/I/71Is17kNwaL._AC_UL320_.jpg")</f>
        <v>#NAME?</v>
      </c>
      <c r="I407" t="s">
        <v>544</v>
      </c>
      <c r="J407">
        <v>151.80000000000001</v>
      </c>
      <c r="K407" s="2" t="s">
        <v>1524</v>
      </c>
      <c r="L407">
        <v>4.7</v>
      </c>
      <c r="M407">
        <v>449</v>
      </c>
      <c r="O407" t="s">
        <v>33</v>
      </c>
      <c r="P407" t="s">
        <v>26</v>
      </c>
      <c r="Q407" t="s">
        <v>546</v>
      </c>
    </row>
    <row r="408" spans="1:17" ht="15.75" x14ac:dyDescent="0.25">
      <c r="A408" s="3" t="str">
        <f>HYPERLINK("https://www.als.com/stance-sock-icon/p?skuId=1091441", "https://www.als.com/stance-sock-icon/p?skuId=1091441")</f>
        <v>https://www.als.com/stance-sock-icon/p?skuId=1091441</v>
      </c>
      <c r="B408" s="3" t="str">
        <f>HYPERLINK("https://www.als.com/stance-sock-icon/p", "https://www.als.com/stance-sock-icon/p")</f>
        <v>https://www.als.com/stance-sock-icon/p</v>
      </c>
      <c r="C408" t="s">
        <v>1525</v>
      </c>
      <c r="D408" t="s">
        <v>1526</v>
      </c>
      <c r="E408" s="3" t="str">
        <f>HYPERLINK("https://www.amazon.com/Stance-Mens-Sock-Curren-Medium/dp/B07VM9W3TK/ref=sr_1_21?keywords=Stance+Icon+Crew+Sock+-+Men%27s&amp;qid=1695124489&amp;sr=8-21", "https://www.amazon.com/Stance-Mens-Sock-Curren-Medium/dp/B07VM9W3TK/ref=sr_1_21?keywords=Stance+Icon+Crew+Sock+-+Men%27s&amp;qid=1695124489&amp;sr=8-21")</f>
        <v>https://www.amazon.com/Stance-Mens-Sock-Curren-Medium/dp/B07VM9W3TK/ref=sr_1_21?keywords=Stance+Icon+Crew+Sock+-+Men%27s&amp;qid=1695124489&amp;sr=8-21</v>
      </c>
      <c r="F408" t="s">
        <v>1527</v>
      </c>
      <c r="G408" t="e">
        <f ca="1">IMAGE("https://alssports.vtexassets.com/arquivos/ids/1223973-800-auto?v=638103759659500000&amp;width=800&amp;height=auto&amp;aspect=true")</f>
        <v>#NAME?</v>
      </c>
      <c r="H408" t="e">
        <f ca="1">IMAGE("https://m.media-amazon.com/images/I/91BItH0cycL._AC_UL320_.jpg")</f>
        <v>#NAME?</v>
      </c>
      <c r="I408" t="s">
        <v>1528</v>
      </c>
      <c r="J408">
        <v>8.39</v>
      </c>
      <c r="K408" s="2" t="s">
        <v>1529</v>
      </c>
      <c r="L408">
        <v>4.8</v>
      </c>
      <c r="M408">
        <v>1776</v>
      </c>
      <c r="O408" t="s">
        <v>26</v>
      </c>
      <c r="P408" t="s">
        <v>26</v>
      </c>
      <c r="Q408" t="s">
        <v>1530</v>
      </c>
    </row>
    <row r="409" spans="1:17" ht="15.75" x14ac:dyDescent="0.25">
      <c r="A409" s="3" t="str">
        <f>HYPERLINK("https://www.als.com/columbia-lodge-quilted-crew-sweatshirt-womens-115095/p?skuId=1035487", "https://www.als.com/columbia-lodge-quilted-crew-sweatshirt-womens-115095/p?skuId=1035487")</f>
        <v>https://www.als.com/columbia-lodge-quilted-crew-sweatshirt-womens-115095/p?skuId=1035487</v>
      </c>
      <c r="B409" s="3" t="str">
        <f>HYPERLINK("https://www.als.com/columbia-lodge-quilted-crew-sweatshirt-womens-115095/p", "https://www.als.com/columbia-lodge-quilted-crew-sweatshirt-womens-115095/p")</f>
        <v>https://www.als.com/columbia-lodge-quilted-crew-sweatshirt-womens-115095/p</v>
      </c>
      <c r="C409" t="s">
        <v>1531</v>
      </c>
      <c r="D409" t="s">
        <v>1532</v>
      </c>
      <c r="E409" s="3" t="str">
        <f>HYPERLINK("https://www.amazon.com/Columbia-Lodge-Black-Olive-Green/dp/B07TP98NVK/ref=sr_1_5?keywords=Columbia+Lodge+Quilted+Crew+Sweatshirt+-+Women%27s&amp;qid=1695124486&amp;sr=8-5", "https://www.amazon.com/Columbia-Lodge-Black-Olive-Green/dp/B07TP98NVK/ref=sr_1_5?keywords=Columbia+Lodge+Quilted+Crew+Sweatshirt+-+Women%27s&amp;qid=1695124486&amp;sr=8-5")</f>
        <v>https://www.amazon.com/Columbia-Lodge-Black-Olive-Green/dp/B07TP98NVK/ref=sr_1_5?keywords=Columbia+Lodge+Quilted+Crew+Sweatshirt+-+Women%27s&amp;qid=1695124486&amp;sr=8-5</v>
      </c>
      <c r="F409" t="s">
        <v>1533</v>
      </c>
      <c r="G409" t="e">
        <f ca="1">IMAGE("https://alssports.vtexassets.com/arquivos/ids/1118817-800-auto?v=638276324471200000&amp;width=800&amp;height=auto&amp;aspect=true")</f>
        <v>#NAME?</v>
      </c>
      <c r="H409" t="e">
        <f ca="1">IMAGE("https://m.media-amazon.com/images/I/51bS3bq5X8L._AC_UL320_.jpg")</f>
        <v>#NAME?</v>
      </c>
      <c r="I409" t="s">
        <v>1534</v>
      </c>
      <c r="J409">
        <v>54.79</v>
      </c>
      <c r="K409" s="2" t="s">
        <v>1535</v>
      </c>
      <c r="L409">
        <v>4.2</v>
      </c>
      <c r="M409">
        <v>3</v>
      </c>
      <c r="O409" t="s">
        <v>33</v>
      </c>
      <c r="P409" t="s">
        <v>26</v>
      </c>
      <c r="Q409" t="s">
        <v>1536</v>
      </c>
    </row>
    <row r="410" spans="1:17" ht="15.75" x14ac:dyDescent="0.25">
      <c r="A410" s="3" t="str">
        <f>HYPERLINK("https://www.als.com/under-w-shoe-hovr-sonic-5/p?skuId=1014508", "https://www.als.com/under-w-shoe-hovr-sonic-5/p?skuId=1014508")</f>
        <v>https://www.als.com/under-w-shoe-hovr-sonic-5/p?skuId=1014508</v>
      </c>
      <c r="B410" s="3" t="str">
        <f>HYPERLINK("https://www.als.com/under-w-shoe-hovr-sonic-5/p", "https://www.als.com/under-w-shoe-hovr-sonic-5/p")</f>
        <v>https://www.als.com/under-w-shoe-hovr-sonic-5/p</v>
      </c>
      <c r="C410" t="s">
        <v>1201</v>
      </c>
      <c r="D410" t="s">
        <v>1537</v>
      </c>
      <c r="E410" s="3" t="str">
        <f>HYPERLINK("https://www.amazon.com/Under-Armour-Womens-Sonic-Running/dp/B07PYYR892/ref=sr_1_4?keywords=Under+Armour+Hovr+Sonic+5+Running+Shoe+-+Womens&amp;qid=1695124412&amp;sr=8-4", "https://www.amazon.com/Under-Armour-Womens-Sonic-Running/dp/B07PYYR892/ref=sr_1_4?keywords=Under+Armour+Hovr+Sonic+5+Running+Shoe+-+Womens&amp;qid=1695124412&amp;sr=8-4")</f>
        <v>https://www.amazon.com/Under-Armour-Womens-Sonic-Running/dp/B07PYYR892/ref=sr_1_4?keywords=Under+Armour+Hovr+Sonic+5+Running+Shoe+-+Womens&amp;qid=1695124412&amp;sr=8-4</v>
      </c>
      <c r="F410" t="s">
        <v>1538</v>
      </c>
      <c r="G410" t="e">
        <f ca="1">IMAGE("https://alssports.vtexassets.com/arquivos/ids/1033650-800-auto?v=637836815187800000&amp;width=800&amp;height=auto&amp;aspect=true")</f>
        <v>#NAME?</v>
      </c>
      <c r="H410" t="e">
        <f ca="1">IMAGE("https://m.media-amazon.com/images/I/81sYklgt39L._AC_UL320_.jpg")</f>
        <v>#NAME?</v>
      </c>
      <c r="I410" t="s">
        <v>940</v>
      </c>
      <c r="J410">
        <v>37.020000000000003</v>
      </c>
      <c r="K410" s="2" t="s">
        <v>1539</v>
      </c>
      <c r="L410">
        <v>4.5999999999999996</v>
      </c>
      <c r="M410">
        <v>999</v>
      </c>
      <c r="O410" t="s">
        <v>33</v>
      </c>
      <c r="P410" t="s">
        <v>416</v>
      </c>
      <c r="Q410" t="s">
        <v>1205</v>
      </c>
    </row>
    <row r="411" spans="1:17" ht="15.75" x14ac:dyDescent="0.25">
      <c r="A411" s="3" t="str">
        <f>HYPERLINK("https://www.als.com/osprey-backpack-poco-lt-child-carrier/p?skuId=804276", "https://www.als.com/osprey-backpack-poco-lt-child-carrier/p?skuId=804276")</f>
        <v>https://www.als.com/osprey-backpack-poco-lt-child-carrier/p?skuId=804276</v>
      </c>
      <c r="B411" s="3" t="str">
        <f>HYPERLINK("https://www.als.com/osprey-backpack-poco-lt-child-carrier/p", "https://www.als.com/osprey-backpack-poco-lt-child-carrier/p")</f>
        <v>https://www.als.com/osprey-backpack-poco-lt-child-carrier/p</v>
      </c>
      <c r="C411" t="s">
        <v>435</v>
      </c>
      <c r="D411" t="s">
        <v>1540</v>
      </c>
      <c r="E411" s="3" t="str">
        <f>HYPERLINK("https://www.amazon.com/Osprey-Poco-LT-Child-Carrier/dp/B08LNZQGWG/ref=sr_1_1?keywords=Osprey+Poco+LT+Child+Carrier+Backpack&amp;qid=1695124430&amp;sr=8-1", "https://www.amazon.com/Osprey-Poco-LT-Child-Carrier/dp/B08LNZQGWG/ref=sr_1_1?keywords=Osprey+Poco+LT+Child+Carrier+Backpack&amp;qid=1695124430&amp;sr=8-1")</f>
        <v>https://www.amazon.com/Osprey-Poco-LT-Child-Carrier/dp/B08LNZQGWG/ref=sr_1_1?keywords=Osprey+Poco+LT+Child+Carrier+Backpack&amp;qid=1695124430&amp;sr=8-1</v>
      </c>
      <c r="F411" t="s">
        <v>1541</v>
      </c>
      <c r="G411" t="e">
        <f ca="1">IMAGE("https://alssports.vtexassets.com/arquivos/ids/1063030-800-auto?v=637881558219570000&amp;width=800&amp;height=auto&amp;aspect=true")</f>
        <v>#NAME?</v>
      </c>
      <c r="H411" t="e">
        <f ca="1">IMAGE("https://m.media-amazon.com/images/I/71U9avHF0OL._AC_UL320_.jpg")</f>
        <v>#NAME?</v>
      </c>
      <c r="I411" t="s">
        <v>438</v>
      </c>
      <c r="J411">
        <v>252.16</v>
      </c>
      <c r="K411" s="2" t="s">
        <v>1542</v>
      </c>
      <c r="L411">
        <v>4.7</v>
      </c>
      <c r="M411">
        <v>323</v>
      </c>
      <c r="O411" t="s">
        <v>33</v>
      </c>
      <c r="P411" t="s">
        <v>26</v>
      </c>
      <c r="Q411" t="s">
        <v>440</v>
      </c>
    </row>
    <row r="412" spans="1:17" ht="15.75" x14ac:dyDescent="0.25">
      <c r="A412" s="3" t="str">
        <f>HYPERLINK("https://www.als.com/heydud-m-shoe-wally-washed-canvas/p?skuId=1317816", "https://www.als.com/heydud-m-shoe-wally-washed-canvas/p?skuId=1317816")</f>
        <v>https://www.als.com/heydud-m-shoe-wally-washed-canvas/p?skuId=1317816</v>
      </c>
      <c r="B412" s="3" t="str">
        <f>HYPERLINK("https://www.als.com/heydud-m-shoe-wally-washed-canvas/p", "https://www.als.com/heydud-m-shoe-wally-washed-canvas/p")</f>
        <v>https://www.als.com/heydud-m-shoe-wally-washed-canvas/p</v>
      </c>
      <c r="C412" t="s">
        <v>501</v>
      </c>
      <c r="D412" t="s">
        <v>1543</v>
      </c>
      <c r="E412" s="3" t="str">
        <f>HYPERLINK("https://www.amazon.com/Hey-Dude-Loafers-Comfortable-Light-Weight/dp/B0B9WVJNW5/ref=sr_1_60?keywords=Hey+Dude+Wally+Washed+Canvas+Shoe+-+Mens&amp;qid=1695124460&amp;sr=8-60", "https://www.amazon.com/Hey-Dude-Loafers-Comfortable-Light-Weight/dp/B0B9WVJNW5/ref=sr_1_60?keywords=Hey+Dude+Wally+Washed+Canvas+Shoe+-+Mens&amp;qid=1695124460&amp;sr=8-60")</f>
        <v>https://www.amazon.com/Hey-Dude-Loafers-Comfortable-Light-Weight/dp/B0B9WVJNW5/ref=sr_1_60?keywords=Hey+Dude+Wally+Washed+Canvas+Shoe+-+Mens&amp;qid=1695124460&amp;sr=8-60</v>
      </c>
      <c r="F412" t="s">
        <v>1544</v>
      </c>
      <c r="G412" t="e">
        <f ca="1">IMAGE("https://alssports.vtexassets.com/arquivos/ids/1388214-800-auto?v=638255521966130000&amp;width=800&amp;height=auto&amp;aspect=true")</f>
        <v>#NAME?</v>
      </c>
      <c r="H412" t="e">
        <f ca="1">IMAGE("https://m.media-amazon.com/images/I/71emzKgz2iL._AC_UL320_.jpg")</f>
        <v>#NAME?</v>
      </c>
      <c r="I412" t="s">
        <v>58</v>
      </c>
      <c r="J412">
        <v>54.59</v>
      </c>
      <c r="K412" s="2" t="s">
        <v>1545</v>
      </c>
      <c r="L412">
        <v>4.9000000000000004</v>
      </c>
      <c r="M412">
        <v>12</v>
      </c>
      <c r="O412" t="s">
        <v>33</v>
      </c>
      <c r="P412" t="s">
        <v>26</v>
      </c>
      <c r="Q412" t="s">
        <v>505</v>
      </c>
    </row>
    <row r="413" spans="1:17" ht="15.75" x14ac:dyDescent="0.25">
      <c r="A413" s="3" t="str">
        <f>HYPERLINK("https://www.als.com/altra-w-shoe-timp-4/p?skuId=929220", "https://www.als.com/altra-w-shoe-timp-4/p?skuId=929220")</f>
        <v>https://www.als.com/altra-w-shoe-timp-4/p?skuId=929220</v>
      </c>
      <c r="B413" s="3" t="str">
        <f>HYPERLINK("https://www.als.com/altra-w-shoe-timp-4/p", "https://www.als.com/altra-w-shoe-timp-4/p")</f>
        <v>https://www.als.com/altra-w-shoe-timp-4/p</v>
      </c>
      <c r="C413" t="s">
        <v>829</v>
      </c>
      <c r="D413" t="s">
        <v>1546</v>
      </c>
      <c r="E413" s="3" t="str">
        <f>HYPERLINK("https://www.amazon.com/ALTRA-Womens-AL0A4VRA-All-WTHR-Running/dp/B08P4MFTK4/ref=sr_1_21?keywords=Altra+Timp+4+Running+Shoe+-+Womens&amp;qid=1695124369&amp;sr=8-21", "https://www.amazon.com/ALTRA-Womens-AL0A4VRA-All-WTHR-Running/dp/B08P4MFTK4/ref=sr_1_21?keywords=Altra+Timp+4+Running+Shoe+-+Womens&amp;qid=1695124369&amp;sr=8-21")</f>
        <v>https://www.amazon.com/ALTRA-Womens-AL0A4VRA-All-WTHR-Running/dp/B08P4MFTK4/ref=sr_1_21?keywords=Altra+Timp+4+Running+Shoe+-+Womens&amp;qid=1695124369&amp;sr=8-21</v>
      </c>
      <c r="F413" t="s">
        <v>1547</v>
      </c>
      <c r="G413" t="e">
        <f ca="1">IMAGE("https://alssports.vtexassets.com/arquivos/ids/1112796-800-auto?v=637957454637830000&amp;width=800&amp;height=auto&amp;aspect=true")</f>
        <v>#NAME?</v>
      </c>
      <c r="H413" t="e">
        <f ca="1">IMAGE("https://m.media-amazon.com/images/I/41Y96lB+a9L._AC_UL320_.jpg")</f>
        <v>#NAME?</v>
      </c>
      <c r="I413" t="s">
        <v>88</v>
      </c>
      <c r="J413">
        <v>134.25</v>
      </c>
      <c r="K413" s="2" t="s">
        <v>1548</v>
      </c>
      <c r="L413">
        <v>4.4000000000000004</v>
      </c>
      <c r="M413">
        <v>359</v>
      </c>
      <c r="O413" t="s">
        <v>33</v>
      </c>
      <c r="P413" t="s">
        <v>832</v>
      </c>
      <c r="Q413" t="s">
        <v>833</v>
      </c>
    </row>
    <row r="414" spans="1:17" ht="15.75" x14ac:dyDescent="0.25">
      <c r="A414" s="3" t="str">
        <f>HYPERLINK("https://www.als.com/keen-w-koven/p?skuId=1240446", "https://www.als.com/keen-w-koven/p?skuId=1240446")</f>
        <v>https://www.als.com/keen-w-koven/p?skuId=1240446</v>
      </c>
      <c r="B414" s="3" t="str">
        <f>HYPERLINK("https://www.als.com/keen-w-koven/p", "https://www.als.com/keen-w-koven/p")</f>
        <v>https://www.als.com/keen-w-koven/p</v>
      </c>
      <c r="C414" t="s">
        <v>737</v>
      </c>
      <c r="D414" t="s">
        <v>1549</v>
      </c>
      <c r="E414" s="3" t="str">
        <f>HYPERLINK("https://www.amazon.com/KEEN-Womens-Height-Waterproof-Ipanema/dp/B0B2PNFLPX/ref=sr_1_24?keywords=KEEN+Koven+Hiking+Shoe+-+Women%27s&amp;qid=1695124139&amp;sr=8-24", "https://www.amazon.com/KEEN-Womens-Height-Waterproof-Ipanema/dp/B0B2PNFLPX/ref=sr_1_24?keywords=KEEN+Koven+Hiking+Shoe+-+Women%27s&amp;qid=1695124139&amp;sr=8-24")</f>
        <v>https://www.amazon.com/KEEN-Womens-Height-Waterproof-Ipanema/dp/B0B2PNFLPX/ref=sr_1_24?keywords=KEEN+Koven+Hiking+Shoe+-+Women%27s&amp;qid=1695124139&amp;sr=8-24</v>
      </c>
      <c r="F414" t="s">
        <v>1550</v>
      </c>
      <c r="G414" t="e">
        <f ca="1">IMAGE("https://alssports.vtexassets.com/arquivos/ids/1211483-800-auto?v=638091747520730000&amp;width=800&amp;height=auto&amp;aspect=true")</f>
        <v>#NAME?</v>
      </c>
      <c r="H414" t="e">
        <f ca="1">IMAGE("https://m.media-amazon.com/images/I/71ft9rOTL9L._AC_UL320_.jpg")</f>
        <v>#NAME?</v>
      </c>
      <c r="I414" t="s">
        <v>639</v>
      </c>
      <c r="J414">
        <v>100.59</v>
      </c>
      <c r="K414" s="2" t="s">
        <v>1551</v>
      </c>
      <c r="L414">
        <v>4.4000000000000004</v>
      </c>
      <c r="M414">
        <v>7</v>
      </c>
      <c r="O414" t="s">
        <v>33</v>
      </c>
      <c r="P414" t="s">
        <v>26</v>
      </c>
      <c r="Q414" t="s">
        <v>741</v>
      </c>
    </row>
    <row r="415" spans="1:17" ht="15.75" x14ac:dyDescent="0.25">
      <c r="A415" s="3" t="str">
        <f>HYPERLINK("https://www.als.com/under-w-shoe-hovr-sonic-5/p?skuId=1014508", "https://www.als.com/under-w-shoe-hovr-sonic-5/p?skuId=1014508")</f>
        <v>https://www.als.com/under-w-shoe-hovr-sonic-5/p?skuId=1014508</v>
      </c>
      <c r="B415" s="3" t="str">
        <f>HYPERLINK("https://www.als.com/under-w-shoe-hovr-sonic-5/p", "https://www.als.com/under-w-shoe-hovr-sonic-5/p")</f>
        <v>https://www.als.com/under-w-shoe-hovr-sonic-5/p</v>
      </c>
      <c r="C415" t="s">
        <v>1201</v>
      </c>
      <c r="D415" t="s">
        <v>1552</v>
      </c>
      <c r="E415" s="3" t="str">
        <f>HYPERLINK("https://www.amazon.com/Under-Armour-Womens-Running-Daiquiri/dp/B07HKK3BD7/ref=sr_1_11?keywords=Under+Armour+Hovr+Sonic+5+Running+Shoe+-+Womens&amp;qid=1695124412&amp;sr=8-11", "https://www.amazon.com/Under-Armour-Womens-Running-Daiquiri/dp/B07HKK3BD7/ref=sr_1_11?keywords=Under+Armour+Hovr+Sonic+5+Running+Shoe+-+Womens&amp;qid=1695124412&amp;sr=8-11")</f>
        <v>https://www.amazon.com/Under-Armour-Womens-Running-Daiquiri/dp/B07HKK3BD7/ref=sr_1_11?keywords=Under+Armour+Hovr+Sonic+5+Running+Shoe+-+Womens&amp;qid=1695124412&amp;sr=8-11</v>
      </c>
      <c r="F415" t="s">
        <v>1553</v>
      </c>
      <c r="G415" t="e">
        <f ca="1">IMAGE("https://alssports.vtexassets.com/arquivos/ids/1033650-800-auto?v=637836815187800000&amp;width=800&amp;height=auto&amp;aspect=true")</f>
        <v>#NAME?</v>
      </c>
      <c r="H415" t="e">
        <f ca="1">IMAGE("https://m.media-amazon.com/images/I/61mlOnDZCAL._AC_UL320_.jpg")</f>
        <v>#NAME?</v>
      </c>
      <c r="I415" t="s">
        <v>940</v>
      </c>
      <c r="J415">
        <v>36.799999999999997</v>
      </c>
      <c r="K415" s="2" t="s">
        <v>1554</v>
      </c>
      <c r="L415">
        <v>4.5</v>
      </c>
      <c r="M415">
        <v>2483</v>
      </c>
      <c r="O415" t="s">
        <v>33</v>
      </c>
      <c r="P415" t="s">
        <v>416</v>
      </c>
      <c r="Q415" t="s">
        <v>1205</v>
      </c>
    </row>
    <row r="416" spans="1:17" ht="15.75" x14ac:dyDescent="0.25">
      <c r="A416" s="3" t="str">
        <f>HYPERLINK("https://www.als.com/feetur-elite-ultra-light-no-show-tab/p?skuId=1300203", "https://www.als.com/feetur-elite-ultra-light-no-show-tab/p?skuId=1300203")</f>
        <v>https://www.als.com/feetur-elite-ultra-light-no-show-tab/p?skuId=1300203</v>
      </c>
      <c r="B416" s="3" t="str">
        <f>HYPERLINK("https://www.als.com/feetur-elite-ultra-light-no-show-tab/p", "https://www.als.com/feetur-elite-ultra-light-no-show-tab/p")</f>
        <v>https://www.als.com/feetur-elite-ultra-light-no-show-tab/p</v>
      </c>
      <c r="C416" t="s">
        <v>759</v>
      </c>
      <c r="D416" t="s">
        <v>1555</v>
      </c>
      <c r="E416" s="3" t="str">
        <f>HYPERLINK("https://www.amazon.com/Feetures-Performance-Ultra-Light-Medium/dp/B0055X9QKM/ref=sr_1_13?keywords=Feetures+Elite+Ultra+Light+No+Show+Tab+Sock&amp;qid=1695124156&amp;sr=8-13", "https://www.amazon.com/Feetures-Performance-Ultra-Light-Medium/dp/B0055X9QKM/ref=sr_1_13?keywords=Feetures+Elite+Ultra+Light+No+Show+Tab+Sock&amp;qid=1695124156&amp;sr=8-13")</f>
        <v>https://www.amazon.com/Feetures-Performance-Ultra-Light-Medium/dp/B0055X9QKM/ref=sr_1_13?keywords=Feetures+Elite+Ultra+Light+No+Show+Tab+Sock&amp;qid=1695124156&amp;sr=8-13</v>
      </c>
      <c r="F416" t="s">
        <v>1556</v>
      </c>
      <c r="G416" t="e">
        <f ca="1">IMAGE("https://alssports.vtexassets.com/arquivos/ids/1251907-800-auto?v=638131172255300000&amp;width=800&amp;height=auto&amp;aspect=true")</f>
        <v>#NAME?</v>
      </c>
      <c r="H416" t="e">
        <f ca="1">IMAGE("https://m.media-amazon.com/images/I/81kItDpdPkL._AC_UL320_.jpg")</f>
        <v>#NAME?</v>
      </c>
      <c r="I416" t="s">
        <v>762</v>
      </c>
      <c r="J416">
        <v>15</v>
      </c>
      <c r="K416" s="2" t="s">
        <v>1557</v>
      </c>
      <c r="L416">
        <v>4.5999999999999996</v>
      </c>
      <c r="M416">
        <v>3147</v>
      </c>
      <c r="O416" t="s">
        <v>33</v>
      </c>
      <c r="P416" t="s">
        <v>26</v>
      </c>
      <c r="Q416" t="s">
        <v>764</v>
      </c>
    </row>
    <row r="417" spans="1:17" ht="15.75" x14ac:dyDescent="0.25">
      <c r="A417" s="3" t="str">
        <f>HYPERLINK("https://www.als.com/adid-o-m-boot-terrex-free-hiker-2-gtx/p?skuId=1087960", "https://www.als.com/adid-o-m-boot-terrex-free-hiker-2-gtx/p?skuId=1087960")</f>
        <v>https://www.als.com/adid-o-m-boot-terrex-free-hiker-2-gtx/p?skuId=1087960</v>
      </c>
      <c r="B417" s="3" t="str">
        <f>HYPERLINK("https://www.als.com/adid-o-m-boot-terrex-free-hiker-2-gtx/p", "https://www.als.com/adid-o-m-boot-terrex-free-hiker-2-gtx/p")</f>
        <v>https://www.als.com/adid-o-m-boot-terrex-free-hiker-2-gtx/p</v>
      </c>
      <c r="C417" t="s">
        <v>629</v>
      </c>
      <c r="D417" t="s">
        <v>619</v>
      </c>
      <c r="E417" s="3" t="str">
        <f>HYPERLINK("https://www.amazon.com/adidas-Terrex-Skychaser-Gore-TEX-Hiking/dp/B09NCGSHYP/ref=sr_1_14?keywords=adidas+Terrex+Free+Hiker+2+Gore-Tex+Hiking+Shoe+-+Men%27s&amp;qid=1695124133&amp;sr=8-14", "https://www.amazon.com/adidas-Terrex-Skychaser-Gore-TEX-Hiking/dp/B09NCGSHYP/ref=sr_1_14?keywords=adidas+Terrex+Free+Hiker+2+Gore-Tex+Hiking+Shoe+-+Men%27s&amp;qid=1695124133&amp;sr=8-14")</f>
        <v>https://www.amazon.com/adidas-Terrex-Skychaser-Gore-TEX-Hiking/dp/B09NCGSHYP/ref=sr_1_14?keywords=adidas+Terrex+Free+Hiker+2+Gore-Tex+Hiking+Shoe+-+Men%27s&amp;qid=1695124133&amp;sr=8-14</v>
      </c>
      <c r="F417" t="s">
        <v>620</v>
      </c>
      <c r="G417" t="e">
        <f ca="1">IMAGE("https://alssports.vtexassets.com/arquivos/ids/1167770-800-auto?v=638032858310700000&amp;width=800&amp;height=auto&amp;aspect=true")</f>
        <v>#NAME?</v>
      </c>
      <c r="H417" t="e">
        <f ca="1">IMAGE("https://m.media-amazon.com/images/I/51ijQ57X11L._AC_UL320_.jpg")</f>
        <v>#NAME?</v>
      </c>
      <c r="I417" t="s">
        <v>625</v>
      </c>
      <c r="J417">
        <v>95.95</v>
      </c>
      <c r="K417" s="2" t="s">
        <v>1558</v>
      </c>
      <c r="L417">
        <v>4.3</v>
      </c>
      <c r="M417">
        <v>12</v>
      </c>
      <c r="O417" t="s">
        <v>33</v>
      </c>
      <c r="P417" t="s">
        <v>627</v>
      </c>
      <c r="Q417" t="s">
        <v>630</v>
      </c>
    </row>
    <row r="418" spans="1:17" ht="15.75" x14ac:dyDescent="0.25">
      <c r="A418" s="3" t="str">
        <f>HYPERLINK("https://www.als.com/adid-o-m-boot-free-hiker-2-gtx/p?skuId=1276368", "https://www.als.com/adid-o-m-boot-free-hiker-2-gtx/p?skuId=1276368")</f>
        <v>https://www.als.com/adid-o-m-boot-free-hiker-2-gtx/p?skuId=1276368</v>
      </c>
      <c r="B418" s="3" t="str">
        <f>HYPERLINK("https://www.als.com/adid-o-m-boot-free-hiker-2-gtx/p", "https://www.als.com/adid-o-m-boot-free-hiker-2-gtx/p")</f>
        <v>https://www.als.com/adid-o-m-boot-free-hiker-2-gtx/p</v>
      </c>
      <c r="C418" t="s">
        <v>622</v>
      </c>
      <c r="D418" t="s">
        <v>619</v>
      </c>
      <c r="E418" s="3" t="str">
        <f>HYPERLINK("https://www.amazon.com/adidas-Terrex-Skychaser-Gore-TEX-Hiking/dp/B09NCGSHYP/ref=sr_1_13?keywords=adidas+Terrex+Free+Hiker+Gore-Tex+2.0+Hiking+Shoe+-+Men%27s&amp;qid=1695124395&amp;sr=8-13", "https://www.amazon.com/adidas-Terrex-Skychaser-Gore-TEX-Hiking/dp/B09NCGSHYP/ref=sr_1_13?keywords=adidas+Terrex+Free+Hiker+Gore-Tex+2.0+Hiking+Shoe+-+Men%27s&amp;qid=1695124395&amp;sr=8-13")</f>
        <v>https://www.amazon.com/adidas-Terrex-Skychaser-Gore-TEX-Hiking/dp/B09NCGSHYP/ref=sr_1_13?keywords=adidas+Terrex+Free+Hiker+Gore-Tex+2.0+Hiking+Shoe+-+Men%27s&amp;qid=1695124395&amp;sr=8-13</v>
      </c>
      <c r="F418" t="s">
        <v>620</v>
      </c>
      <c r="G418" t="e">
        <f ca="1">IMAGE("https://alssports.vtexassets.com/arquivos/ids/1274061-800-auto?v=638150973883100000&amp;width=800&amp;height=auto&amp;aspect=true")</f>
        <v>#NAME?</v>
      </c>
      <c r="H418" t="e">
        <f ca="1">IMAGE("https://m.media-amazon.com/images/I/51ijQ57X11L._AC_UL320_.jpg")</f>
        <v>#NAME?</v>
      </c>
      <c r="I418" t="s">
        <v>625</v>
      </c>
      <c r="J418">
        <v>95.95</v>
      </c>
      <c r="K418" s="2" t="s">
        <v>1558</v>
      </c>
      <c r="L418">
        <v>4.3</v>
      </c>
      <c r="M418">
        <v>12</v>
      </c>
      <c r="O418" t="s">
        <v>33</v>
      </c>
      <c r="P418" t="s">
        <v>627</v>
      </c>
      <c r="Q418" t="s">
        <v>628</v>
      </c>
    </row>
    <row r="419" spans="1:17" ht="15.75" x14ac:dyDescent="0.25">
      <c r="A419" s="3" t="str">
        <f>HYPERLINK("https://www.als.com/billab-m-range-ls/p?skuId=1309700", "https://www.als.com/billab-m-range-ls/p?skuId=1309700")</f>
        <v>https://www.als.com/billab-m-range-ls/p?skuId=1309700</v>
      </c>
      <c r="B419" s="3" t="str">
        <f>HYPERLINK("https://www.als.com/billab-m-range-ls/p", "https://www.als.com/billab-m-range-ls/p")</f>
        <v>https://www.als.com/billab-m-range-ls/p</v>
      </c>
      <c r="C419" t="s">
        <v>470</v>
      </c>
      <c r="D419" t="s">
        <v>1559</v>
      </c>
      <c r="E419" s="3" t="str">
        <f>HYPERLINK("https://www.amazon.com/Billabong-Arch-Long-Sleeve-Space/dp/B0BQDVT8NK/ref=sr_1_8?keywords=Billabong+A%2FDiv+Range+Long-Sleeve+T-Shirt+-+Men%27s&amp;qid=1695124331&amp;sr=8-8", "https://www.amazon.com/Billabong-Arch-Long-Sleeve-Space/dp/B0BQDVT8NK/ref=sr_1_8?keywords=Billabong+A%2FDiv+Range+Long-Sleeve+T-Shirt+-+Men%27s&amp;qid=1695124331&amp;sr=8-8")</f>
        <v>https://www.amazon.com/Billabong-Arch-Long-Sleeve-Space/dp/B0BQDVT8NK/ref=sr_1_8?keywords=Billabong+A%2FDiv+Range+Long-Sleeve+T-Shirt+-+Men%27s&amp;qid=1695124331&amp;sr=8-8</v>
      </c>
      <c r="F419" t="s">
        <v>1560</v>
      </c>
      <c r="G419" t="e">
        <f ca="1">IMAGE("https://alssports.vtexassets.com/arquivos/ids/1335774-800-auto?v=638212333997870000&amp;width=800&amp;height=auto&amp;aspect=true")</f>
        <v>#NAME?</v>
      </c>
      <c r="H419" t="e">
        <f ca="1">IMAGE("https://m.media-amazon.com/images/I/717+tQxbsXL._AC_UL320_.jpg")</f>
        <v>#NAME?</v>
      </c>
      <c r="I419" t="s">
        <v>473</v>
      </c>
      <c r="J419">
        <v>18.98</v>
      </c>
      <c r="K419" s="2" t="s">
        <v>1561</v>
      </c>
      <c r="L419">
        <v>4</v>
      </c>
      <c r="M419">
        <v>1</v>
      </c>
      <c r="O419" t="s">
        <v>33</v>
      </c>
      <c r="P419" t="s">
        <v>475</v>
      </c>
      <c r="Q419" t="s">
        <v>476</v>
      </c>
    </row>
    <row r="420" spans="1:17" ht="15.75" x14ac:dyDescent="0.25">
      <c r="A420" s="3" t="str">
        <f>HYPERLINK("https://www.als.com/smitho-goggle-skyline/p?skuId=1073396", "https://www.als.com/smitho-goggle-skyline/p?skuId=1073396")</f>
        <v>https://www.als.com/smitho-goggle-skyline/p?skuId=1073396</v>
      </c>
      <c r="B420" s="3" t="str">
        <f>HYPERLINK("https://www.als.com/smitho-goggle-skyline/p", "https://www.als.com/smitho-goggle-skyline/p")</f>
        <v>https://www.als.com/smitho-goggle-skyline/p</v>
      </c>
      <c r="C420" t="s">
        <v>186</v>
      </c>
      <c r="D420" t="s">
        <v>1562</v>
      </c>
      <c r="E420" s="3" t="str">
        <f>HYPERLINK("https://www.amazon.com/Smith-Optics-Cariboo-OTG-Snowmobile/dp/B00U7XMV70/ref=sr_1_28?keywords=Smith+Optics+Skyline+Snow+Goggle&amp;qid=1695124362&amp;sr=8-28", "https://www.amazon.com/Smith-Optics-Cariboo-OTG-Snowmobile/dp/B00U7XMV70/ref=sr_1_28?keywords=Smith+Optics+Skyline+Snow+Goggle&amp;qid=1695124362&amp;sr=8-28")</f>
        <v>https://www.amazon.com/Smith-Optics-Cariboo-OTG-Snowmobile/dp/B00U7XMV70/ref=sr_1_28?keywords=Smith+Optics+Skyline+Snow+Goggle&amp;qid=1695124362&amp;sr=8-28</v>
      </c>
      <c r="F420" t="s">
        <v>1563</v>
      </c>
      <c r="G420" t="e">
        <f ca="1">IMAGE("https://alssports.vtexassets.com/arquivos/ids/1173752-800-auto?v=638042496618870000&amp;width=800&amp;height=auto&amp;aspect=true")</f>
        <v>#NAME?</v>
      </c>
      <c r="H420" t="e">
        <f ca="1">IMAGE("https://m.media-amazon.com/images/I/61Qzum4L5RL._AC_UL320_.jpg")</f>
        <v>#NAME?</v>
      </c>
      <c r="I420" t="s">
        <v>189</v>
      </c>
      <c r="J420">
        <v>50</v>
      </c>
      <c r="K420" s="2" t="s">
        <v>1564</v>
      </c>
      <c r="L420">
        <v>4.4000000000000004</v>
      </c>
      <c r="M420">
        <v>38</v>
      </c>
      <c r="O420" t="s">
        <v>33</v>
      </c>
      <c r="P420" t="s">
        <v>191</v>
      </c>
      <c r="Q420" t="s">
        <v>192</v>
      </c>
    </row>
    <row r="421" spans="1:17" ht="15.75" x14ac:dyDescent="0.25">
      <c r="A421" s="3" t="str">
        <f>HYPERLINK("https://www.als.com/smitho-goggle-skyline/p?skuId=1073396", "https://www.als.com/smitho-goggle-skyline/p?skuId=1073396")</f>
        <v>https://www.als.com/smitho-goggle-skyline/p?skuId=1073396</v>
      </c>
      <c r="B421" s="3" t="str">
        <f>HYPERLINK("https://www.als.com/smitho-goggle-skyline/p", "https://www.als.com/smitho-goggle-skyline/p")</f>
        <v>https://www.als.com/smitho-goggle-skyline/p</v>
      </c>
      <c r="C421" t="s">
        <v>186</v>
      </c>
      <c r="D421" t="s">
        <v>1565</v>
      </c>
      <c r="E421" s="3" t="str">
        <f>HYPERLINK("https://www.amazon.com/ZERO-TECH-BASE-Replacement-Snowboad/dp/B09TDHKQW9/ref=sr_1_6?keywords=Smith+Optics+Skyline+Snow+Goggle&amp;qid=1695124362&amp;sr=8-6", "https://www.amazon.com/ZERO-TECH-BASE-Replacement-Snowboad/dp/B09TDHKQW9/ref=sr_1_6?keywords=Smith+Optics+Skyline+Snow+Goggle&amp;qid=1695124362&amp;sr=8-6")</f>
        <v>https://www.amazon.com/ZERO-TECH-BASE-Replacement-Snowboad/dp/B09TDHKQW9/ref=sr_1_6?keywords=Smith+Optics+Skyline+Snow+Goggle&amp;qid=1695124362&amp;sr=8-6</v>
      </c>
      <c r="F421" t="s">
        <v>1566</v>
      </c>
      <c r="G421" t="e">
        <f ca="1">IMAGE("https://alssports.vtexassets.com/arquivos/ids/1173752-800-auto?v=638042496618870000&amp;width=800&amp;height=auto&amp;aspect=true")</f>
        <v>#NAME?</v>
      </c>
      <c r="H421" t="e">
        <f ca="1">IMAGE("https://m.media-amazon.com/images/I/41M59ZPCToL._AC_UL320_.jpg")</f>
        <v>#NAME?</v>
      </c>
      <c r="I421" t="s">
        <v>189</v>
      </c>
      <c r="J421">
        <v>49.99</v>
      </c>
      <c r="K421" s="2" t="s">
        <v>1567</v>
      </c>
      <c r="L421">
        <v>4.2</v>
      </c>
      <c r="M421">
        <v>12</v>
      </c>
      <c r="O421" t="s">
        <v>33</v>
      </c>
      <c r="P421" t="s">
        <v>191</v>
      </c>
      <c r="Q421" t="s">
        <v>192</v>
      </c>
    </row>
    <row r="422" spans="1:17" ht="15.75" x14ac:dyDescent="0.25">
      <c r="A422" s="3" t="str">
        <f>HYPERLINK("https://www.als.com/smitho-goggle-skyline/p?skuId=1073396", "https://www.als.com/smitho-goggle-skyline/p?skuId=1073396")</f>
        <v>https://www.als.com/smitho-goggle-skyline/p?skuId=1073396</v>
      </c>
      <c r="B422" s="3" t="str">
        <f>HYPERLINK("https://www.als.com/smitho-goggle-skyline/p", "https://www.als.com/smitho-goggle-skyline/p")</f>
        <v>https://www.als.com/smitho-goggle-skyline/p</v>
      </c>
      <c r="C422" t="s">
        <v>186</v>
      </c>
      <c r="D422" t="s">
        <v>1565</v>
      </c>
      <c r="E422" s="3" t="str">
        <f>HYPERLINK("https://www.amazon.com/ZERO-TECH-BASE-Replacement-Snowboad/dp/B09TDLLSV7/ref=sr_1_3?keywords=Smith+Optics+Skyline+Snow+Goggle&amp;qid=1695124362&amp;sr=8-3", "https://www.amazon.com/ZERO-TECH-BASE-Replacement-Snowboad/dp/B09TDLLSV7/ref=sr_1_3?keywords=Smith+Optics+Skyline+Snow+Goggle&amp;qid=1695124362&amp;sr=8-3")</f>
        <v>https://www.amazon.com/ZERO-TECH-BASE-Replacement-Snowboad/dp/B09TDLLSV7/ref=sr_1_3?keywords=Smith+Optics+Skyline+Snow+Goggle&amp;qid=1695124362&amp;sr=8-3</v>
      </c>
      <c r="F422" t="s">
        <v>1568</v>
      </c>
      <c r="G422" t="e">
        <f ca="1">IMAGE("https://alssports.vtexassets.com/arquivos/ids/1173752-800-auto?v=638042496618870000&amp;width=800&amp;height=auto&amp;aspect=true")</f>
        <v>#NAME?</v>
      </c>
      <c r="H422" t="e">
        <f ca="1">IMAGE("https://m.media-amazon.com/images/I/41Aoz4M0HfL._AC_UL320_.jpg")</f>
        <v>#NAME?</v>
      </c>
      <c r="I422" t="s">
        <v>189</v>
      </c>
      <c r="J422">
        <v>49.99</v>
      </c>
      <c r="K422" s="2" t="s">
        <v>1567</v>
      </c>
      <c r="L422">
        <v>5</v>
      </c>
      <c r="M422">
        <v>2</v>
      </c>
      <c r="O422" t="s">
        <v>33</v>
      </c>
      <c r="P422" t="s">
        <v>191</v>
      </c>
      <c r="Q422" t="s">
        <v>192</v>
      </c>
    </row>
    <row r="423" spans="1:17" ht="15.75" x14ac:dyDescent="0.25">
      <c r="A423" s="3" t="str">
        <f>HYPERLINK("https://www.als.com/smitho-goggle-skyline/p?skuId=1073396", "https://www.als.com/smitho-goggle-skyline/p?skuId=1073396")</f>
        <v>https://www.als.com/smitho-goggle-skyline/p?skuId=1073396</v>
      </c>
      <c r="B423" s="3" t="str">
        <f>HYPERLINK("https://www.als.com/smitho-goggle-skyline/p", "https://www.als.com/smitho-goggle-skyline/p")</f>
        <v>https://www.als.com/smitho-goggle-skyline/p</v>
      </c>
      <c r="C423" t="s">
        <v>186</v>
      </c>
      <c r="D423" t="s">
        <v>1565</v>
      </c>
      <c r="E423" s="3" t="str">
        <f>HYPERLINK("https://www.amazon.com/ZERO-TECH-BASE-Replacement-Snowboad/dp/B09TFDFY4X/ref=sr_1_4?keywords=Smith+Optics+Skyline+Snow+Goggle&amp;qid=1695124362&amp;sr=8-4", "https://www.amazon.com/ZERO-TECH-BASE-Replacement-Snowboad/dp/B09TFDFY4X/ref=sr_1_4?keywords=Smith+Optics+Skyline+Snow+Goggle&amp;qid=1695124362&amp;sr=8-4")</f>
        <v>https://www.amazon.com/ZERO-TECH-BASE-Replacement-Snowboad/dp/B09TFDFY4X/ref=sr_1_4?keywords=Smith+Optics+Skyline+Snow+Goggle&amp;qid=1695124362&amp;sr=8-4</v>
      </c>
      <c r="F423" t="s">
        <v>1569</v>
      </c>
      <c r="G423" t="e">
        <f ca="1">IMAGE("https://alssports.vtexassets.com/arquivos/ids/1173752-800-auto?v=638042496618870000&amp;width=800&amp;height=auto&amp;aspect=true")</f>
        <v>#NAME?</v>
      </c>
      <c r="H423" t="e">
        <f ca="1">IMAGE("https://m.media-amazon.com/images/I/41iDTZSe28L._AC_UL320_.jpg")</f>
        <v>#NAME?</v>
      </c>
      <c r="I423" t="s">
        <v>189</v>
      </c>
      <c r="J423">
        <v>49.99</v>
      </c>
      <c r="K423" s="2" t="s">
        <v>1567</v>
      </c>
      <c r="L423">
        <v>4.5999999999999996</v>
      </c>
      <c r="M423">
        <v>7</v>
      </c>
      <c r="O423" t="s">
        <v>33</v>
      </c>
      <c r="P423" t="s">
        <v>191</v>
      </c>
      <c r="Q423" t="s">
        <v>192</v>
      </c>
    </row>
    <row r="424" spans="1:17" ht="15.75" x14ac:dyDescent="0.25">
      <c r="A424" s="3" t="str">
        <f>HYPERLINK("https://www.als.com/smitho-goggle-skyline/p?skuId=1073396", "https://www.als.com/smitho-goggle-skyline/p?skuId=1073396")</f>
        <v>https://www.als.com/smitho-goggle-skyline/p?skuId=1073396</v>
      </c>
      <c r="B424" s="3" t="str">
        <f>HYPERLINK("https://www.als.com/smitho-goggle-skyline/p", "https://www.als.com/smitho-goggle-skyline/p")</f>
        <v>https://www.als.com/smitho-goggle-skyline/p</v>
      </c>
      <c r="C424" t="s">
        <v>186</v>
      </c>
      <c r="D424" t="s">
        <v>1565</v>
      </c>
      <c r="E424" s="3" t="str">
        <f>HYPERLINK("https://www.amazon.com/ZERO-TECH-BASE-Replacement-Snowboad/dp/B09TDFVV59/ref=sr_1_5?keywords=Smith+Optics+Skyline+Snow+Goggle&amp;qid=1695124362&amp;sr=8-5", "https://www.amazon.com/ZERO-TECH-BASE-Replacement-Snowboad/dp/B09TDFVV59/ref=sr_1_5?keywords=Smith+Optics+Skyline+Snow+Goggle&amp;qid=1695124362&amp;sr=8-5")</f>
        <v>https://www.amazon.com/ZERO-TECH-BASE-Replacement-Snowboad/dp/B09TDFVV59/ref=sr_1_5?keywords=Smith+Optics+Skyline+Snow+Goggle&amp;qid=1695124362&amp;sr=8-5</v>
      </c>
      <c r="F424" t="s">
        <v>1570</v>
      </c>
      <c r="G424" t="e">
        <f ca="1">IMAGE("https://alssports.vtexassets.com/arquivos/ids/1173752-800-auto?v=638042496618870000&amp;width=800&amp;height=auto&amp;aspect=true")</f>
        <v>#NAME?</v>
      </c>
      <c r="H424" t="e">
        <f ca="1">IMAGE("https://m.media-amazon.com/images/I/41Wod4bpAbL._AC_UL320_.jpg")</f>
        <v>#NAME?</v>
      </c>
      <c r="I424" t="s">
        <v>189</v>
      </c>
      <c r="J424">
        <v>49.99</v>
      </c>
      <c r="K424" s="2" t="s">
        <v>1567</v>
      </c>
      <c r="L424">
        <v>4</v>
      </c>
      <c r="M424">
        <v>29</v>
      </c>
      <c r="O424" t="s">
        <v>33</v>
      </c>
      <c r="P424" t="s">
        <v>191</v>
      </c>
      <c r="Q424" t="s">
        <v>192</v>
      </c>
    </row>
    <row r="425" spans="1:17" ht="15.75" x14ac:dyDescent="0.25">
      <c r="A425" s="3" t="str">
        <f>HYPERLINK("https://www.als.com/adidas-m-shoe-ultraboost-light/p?skuId=1285844", "https://www.als.com/adidas-m-shoe-ultraboost-light/p?skuId=1285844")</f>
        <v>https://www.als.com/adidas-m-shoe-ultraboost-light/p?skuId=1285844</v>
      </c>
      <c r="B425" s="3" t="str">
        <f>HYPERLINK("https://www.als.com/adidas-m-shoe-ultraboost-light/p", "https://www.als.com/adidas-m-shoe-ultraboost-light/p")</f>
        <v>https://www.als.com/adidas-m-shoe-ultraboost-light/p</v>
      </c>
      <c r="C425" t="s">
        <v>1251</v>
      </c>
      <c r="D425" t="s">
        <v>1571</v>
      </c>
      <c r="E425" s="3" t="str">
        <f>HYPERLINK("https://www.amazon.com/adidas-Ultraboost-Personal-Sneaker-Metallic/dp/B07SCZ4S41/ref=sr_1_10?keywords=Adidas+Ultraboost+Light+Running+Shoe&amp;qid=1695124091&amp;sr=8-10", "https://www.amazon.com/adidas-Ultraboost-Personal-Sneaker-Metallic/dp/B07SCZ4S41/ref=sr_1_10?keywords=Adidas+Ultraboost+Light+Running+Shoe&amp;qid=1695124091&amp;sr=8-10")</f>
        <v>https://www.amazon.com/adidas-Ultraboost-Personal-Sneaker-Metallic/dp/B07SCZ4S41/ref=sr_1_10?keywords=Adidas+Ultraboost+Light+Running+Shoe&amp;qid=1695124091&amp;sr=8-10</v>
      </c>
      <c r="F425" t="s">
        <v>1572</v>
      </c>
      <c r="G425" t="e">
        <f ca="1">IMAGE("https://alssports.vtexassets.com/arquivos/ids/1287149-800-auto?v=638163171209800000&amp;width=800&amp;height=auto&amp;aspect=true")</f>
        <v>#NAME?</v>
      </c>
      <c r="H425" t="e">
        <f ca="1">IMAGE("https://m.media-amazon.com/images/I/71NwH77LNGL._AC_UL320_.jpg")</f>
        <v>#NAME?</v>
      </c>
      <c r="I425" t="s">
        <v>480</v>
      </c>
      <c r="J425">
        <v>63.29</v>
      </c>
      <c r="K425" s="2" t="s">
        <v>1573</v>
      </c>
      <c r="L425">
        <v>4.3</v>
      </c>
      <c r="M425">
        <v>745</v>
      </c>
      <c r="O425" t="s">
        <v>33</v>
      </c>
      <c r="P425" t="s">
        <v>482</v>
      </c>
      <c r="Q425" t="s">
        <v>1255</v>
      </c>
    </row>
    <row r="426" spans="1:17" ht="15.75" x14ac:dyDescent="0.25">
      <c r="A426" s="3" t="str">
        <f>HYPERLINK("https://www.als.com/under-m-ua-training-vent-20-ss/p?skuId=857892", "https://www.als.com/under-m-ua-training-vent-20-ss/p?skuId=857892")</f>
        <v>https://www.als.com/under-m-ua-training-vent-20-ss/p?skuId=857892</v>
      </c>
      <c r="B426" s="3" t="str">
        <f>HYPERLINK("https://www.als.com/under-m-ua-training-vent-20-ss/p", "https://www.als.com/under-m-ua-training-vent-20-ss/p")</f>
        <v>https://www.als.com/under-m-ua-training-vent-20-ss/p</v>
      </c>
      <c r="C426" t="s">
        <v>228</v>
      </c>
      <c r="D426" t="s">
        <v>1574</v>
      </c>
      <c r="E426" s="3" t="str">
        <f>HYPERLINK("https://www.amazon.com/Under-Armour-Training-Short-Sleeve/dp/B07YXNNSBH/ref=sr_1_5?keywords=Under+Armour+Training+Vent+2.0+Short+Sleeve+Shirt+-+Mens&amp;qid=1695124314&amp;sr=8-5", "https://www.amazon.com/Under-Armour-Training-Short-Sleeve/dp/B07YXNNSBH/ref=sr_1_5?keywords=Under+Armour+Training+Vent+2.0+Short+Sleeve+Shirt+-+Mens&amp;qid=1695124314&amp;sr=8-5")</f>
        <v>https://www.amazon.com/Under-Armour-Training-Short-Sleeve/dp/B07YXNNSBH/ref=sr_1_5?keywords=Under+Armour+Training+Vent+2.0+Short+Sleeve+Shirt+-+Mens&amp;qid=1695124314&amp;sr=8-5</v>
      </c>
      <c r="F426" t="s">
        <v>1575</v>
      </c>
      <c r="G426" t="e">
        <f ca="1">IMAGE("https://alssports.vtexassets.com/arquivos/ids/1216263-800-auto?v=638098285417900000&amp;width=800&amp;height=auto&amp;aspect=true")</f>
        <v>#NAME?</v>
      </c>
      <c r="H426" t="e">
        <f ca="1">IMAGE("https://m.media-amazon.com/images/I/51HNJ+x4lKL._AC_UL320_.jpg")</f>
        <v>#NAME?</v>
      </c>
      <c r="I426" t="s">
        <v>231</v>
      </c>
      <c r="J426">
        <v>17.48</v>
      </c>
      <c r="K426" s="2" t="s">
        <v>1576</v>
      </c>
      <c r="L426">
        <v>4.4000000000000004</v>
      </c>
      <c r="M426">
        <v>68</v>
      </c>
      <c r="O426" t="s">
        <v>33</v>
      </c>
      <c r="P426" t="s">
        <v>233</v>
      </c>
      <c r="Q426" t="s">
        <v>234</v>
      </c>
    </row>
    <row r="427" spans="1:17" ht="15.75" x14ac:dyDescent="0.25">
      <c r="A427" s="3" t="str">
        <f>HYPERLINK("https://www.als.com/under-m-charged-verssert-run-shoe/p?skuId=1204906", "https://www.als.com/under-m-charged-verssert-run-shoe/p?skuId=1204906")</f>
        <v>https://www.als.com/under-m-charged-verssert-run-shoe/p?skuId=1204906</v>
      </c>
      <c r="B427" s="3" t="str">
        <f>HYPERLINK("https://www.als.com/under-m-charged-verssert-run-shoe/p", "https://www.als.com/under-m-charged-verssert-run-shoe/p")</f>
        <v>https://www.als.com/under-m-charged-verssert-run-shoe/p</v>
      </c>
      <c r="C427" t="s">
        <v>60</v>
      </c>
      <c r="D427" t="s">
        <v>1577</v>
      </c>
      <c r="E427" s="3" t="str">
        <f>HYPERLINK("https://www.amazon.com/Under-Armour-Charged-Running-X-Wide/dp/B09LSBS78L/ref=sr_1_12?keywords=Under+Armour+Charged+Verssert+Running+Shoe+-+Mens&amp;qid=1695124491&amp;sr=8-12", "https://www.amazon.com/Under-Armour-Charged-Running-X-Wide/dp/B09LSBS78L/ref=sr_1_12?keywords=Under+Armour+Charged+Verssert+Running+Shoe+-+Mens&amp;qid=1695124491&amp;sr=8-12")</f>
        <v>https://www.amazon.com/Under-Armour-Charged-Running-X-Wide/dp/B09LSBS78L/ref=sr_1_12?keywords=Under+Armour+Charged+Verssert+Running+Shoe+-+Mens&amp;qid=1695124491&amp;sr=8-12</v>
      </c>
      <c r="F427" t="s">
        <v>1578</v>
      </c>
      <c r="G427" t="e">
        <f ca="1">IMAGE("https://alssports.vtexassets.com/arquivos/ids/1282426-800-auto?v=638158001411130000&amp;width=800&amp;height=auto&amp;aspect=true")</f>
        <v>#NAME?</v>
      </c>
      <c r="H427" t="e">
        <f ca="1">IMAGE("https://m.media-amazon.com/images/I/71sdON1GKpL._AC_UL320_.jpg")</f>
        <v>#NAME?</v>
      </c>
      <c r="I427" t="s">
        <v>63</v>
      </c>
      <c r="J427">
        <v>62.23</v>
      </c>
      <c r="K427" s="2" t="s">
        <v>1579</v>
      </c>
      <c r="L427">
        <v>4.5999999999999996</v>
      </c>
      <c r="M427">
        <v>266</v>
      </c>
      <c r="O427" t="s">
        <v>33</v>
      </c>
      <c r="P427" t="s">
        <v>26</v>
      </c>
      <c r="Q427" t="s">
        <v>64</v>
      </c>
    </row>
    <row r="428" spans="1:17" ht="15.75" x14ac:dyDescent="0.25">
      <c r="A428" s="3" t="str">
        <f>HYPERLINK("https://www.als.com/hurley-boardshort-one-and-only-solid/p?skuId=1333862", "https://www.als.com/hurley-boardshort-one-and-only-solid/p?skuId=1333862")</f>
        <v>https://www.als.com/hurley-boardshort-one-and-only-solid/p?skuId=1333862</v>
      </c>
      <c r="B428" s="3" t="str">
        <f>HYPERLINK("https://www.als.com/hurley-boardshort-one-and-only-solid/p", "https://www.als.com/hurley-boardshort-one-and-only-solid/p")</f>
        <v>https://www.als.com/hurley-boardshort-one-and-only-solid/p</v>
      </c>
      <c r="C428" t="s">
        <v>305</v>
      </c>
      <c r="D428" t="s">
        <v>1580</v>
      </c>
      <c r="E428" s="3" t="str">
        <f>HYPERLINK("https://www.amazon.com/Hurley-One-Only-20-Boardshorts/dp/B084938DQ8/ref=sr_1_20?keywords=Hurley+One+And+Only+Solid+Boardshort+-+Men%27s&amp;qid=1695124435&amp;sr=8-20", "https://www.amazon.com/Hurley-One-Only-20-Boardshorts/dp/B084938DQ8/ref=sr_1_20?keywords=Hurley+One+And+Only+Solid+Boardshort+-+Men%27s&amp;qid=1695124435&amp;sr=8-20")</f>
        <v>https://www.amazon.com/Hurley-One-Only-20-Boardshorts/dp/B084938DQ8/ref=sr_1_20?keywords=Hurley+One+And+Only+Solid+Boardshort+-+Men%27s&amp;qid=1695124435&amp;sr=8-20</v>
      </c>
      <c r="F428" t="s">
        <v>1581</v>
      </c>
      <c r="G428" t="e">
        <f ca="1">IMAGE("https://alssports.vtexassets.com/arquivos/ids/1302714-800-auto?v=638180324007330000&amp;width=800&amp;height=auto&amp;aspect=true")</f>
        <v>#NAME?</v>
      </c>
      <c r="H428" t="e">
        <f ca="1">IMAGE("https://m.media-amazon.com/images/I/51wqqHuAY0S._MCnd_AC_UL320_.jpg")</f>
        <v>#NAME?</v>
      </c>
      <c r="I428" t="s">
        <v>211</v>
      </c>
      <c r="J428">
        <v>33.17</v>
      </c>
      <c r="K428" s="2" t="s">
        <v>1582</v>
      </c>
      <c r="L428">
        <v>4.5999999999999996</v>
      </c>
      <c r="M428">
        <v>3</v>
      </c>
      <c r="O428" t="s">
        <v>33</v>
      </c>
      <c r="P428" t="s">
        <v>26</v>
      </c>
      <c r="Q428" t="s">
        <v>308</v>
      </c>
    </row>
    <row r="429" spans="1:17" ht="15.75" x14ac:dyDescent="0.25">
      <c r="A429" s="3" t="str">
        <f>HYPERLINK("https://www.als.com/outres-mens-ferrosi-pants/p?skuId=1113349", "https://www.als.com/outres-mens-ferrosi-pants/p?skuId=1113349")</f>
        <v>https://www.als.com/outres-mens-ferrosi-pants/p?skuId=1113349</v>
      </c>
      <c r="B429" s="3" t="str">
        <f>HYPERLINK("https://www.als.com/outres-mens-ferrosi-pants/p", "https://www.als.com/outres-mens-ferrosi-pants/p")</f>
        <v>https://www.als.com/outres-mens-ferrosi-pants/p</v>
      </c>
      <c r="C429" t="s">
        <v>579</v>
      </c>
      <c r="D429" t="s">
        <v>1583</v>
      </c>
      <c r="E429" s="3" t="str">
        <f>HYPERLINK("https://www.amazon.com/Outdoor-Research-Mens-Zendo-Joggers/dp/B08VF9JY77/ref=sr_1_14?keywords=Outdoor+Research+Ferrosi+Pant+-+Men%27s&amp;qid=1695124132&amp;sr=8-14", "https://www.amazon.com/Outdoor-Research-Mens-Zendo-Joggers/dp/B08VF9JY77/ref=sr_1_14?keywords=Outdoor+Research+Ferrosi+Pant+-+Men%27s&amp;qid=1695124132&amp;sr=8-14")</f>
        <v>https://www.amazon.com/Outdoor-Research-Mens-Zendo-Joggers/dp/B08VF9JY77/ref=sr_1_14?keywords=Outdoor+Research+Ferrosi+Pant+-+Men%27s&amp;qid=1695124132&amp;sr=8-14</v>
      </c>
      <c r="F429" t="s">
        <v>1584</v>
      </c>
      <c r="G429" t="e">
        <f ca="1">IMAGE("https://alssports.vtexassets.com/arquivos/ids/1243751-800-auto?v=638121884180200000&amp;width=800&amp;height=auto&amp;aspect=true")</f>
        <v>#NAME?</v>
      </c>
      <c r="H429" t="e">
        <f ca="1">IMAGE("https://m.media-amazon.com/images/I/51BSP7v90BL._AC_UL320_.jpg")</f>
        <v>#NAME?</v>
      </c>
      <c r="I429" t="s">
        <v>582</v>
      </c>
      <c r="J429">
        <v>55.26</v>
      </c>
      <c r="K429" s="2" t="s">
        <v>1585</v>
      </c>
      <c r="L429">
        <v>5</v>
      </c>
      <c r="M429">
        <v>4</v>
      </c>
      <c r="O429" t="s">
        <v>33</v>
      </c>
      <c r="P429" t="s">
        <v>584</v>
      </c>
      <c r="Q429" t="s">
        <v>585</v>
      </c>
    </row>
    <row r="430" spans="1:17" ht="15.75" x14ac:dyDescent="0.25">
      <c r="A430" s="3" t="str">
        <f>HYPERLINK("https://www.als.com/altra-m-shoe-torin-6/p?skuId=1037464", "https://www.als.com/altra-m-shoe-torin-6/p?skuId=1037464")</f>
        <v>https://www.als.com/altra-m-shoe-torin-6/p?skuId=1037464</v>
      </c>
      <c r="B430" s="3" t="str">
        <f>HYPERLINK("https://www.als.com/altra-m-shoe-torin-6/p", "https://www.als.com/altra-m-shoe-torin-6/p")</f>
        <v>https://www.als.com/altra-m-shoe-torin-6/p</v>
      </c>
      <c r="C430" t="s">
        <v>1309</v>
      </c>
      <c r="D430" t="s">
        <v>1586</v>
      </c>
      <c r="E430" s="3" t="str">
        <f>HYPERLINK("https://www.amazon.com/ALTRA-Mens-AL0A5475-Provision-Running/dp/B09HPPN52L/ref=sr_1_8?keywords=Altra+Torin+6+Shoe+-+Men%27s&amp;qid=1695124385&amp;sr=8-8", "https://www.amazon.com/ALTRA-Mens-AL0A5475-Provision-Running/dp/B09HPPN52L/ref=sr_1_8?keywords=Altra+Torin+6+Shoe+-+Men%27s&amp;qid=1695124385&amp;sr=8-8")</f>
        <v>https://www.amazon.com/ALTRA-Mens-AL0A5475-Provision-Running/dp/B09HPPN52L/ref=sr_1_8?keywords=Altra+Torin+6+Shoe+-+Men%27s&amp;qid=1695124385&amp;sr=8-8</v>
      </c>
      <c r="F430" t="s">
        <v>1587</v>
      </c>
      <c r="G430" t="e">
        <f ca="1">IMAGE("https://alssports.vtexassets.com/arquivos/ids/1074390-800-auto?v=637957395047370000&amp;width=800&amp;height=auto&amp;aspect=true")</f>
        <v>#NAME?</v>
      </c>
      <c r="H430" t="e">
        <f ca="1">IMAGE("https://m.media-amazon.com/images/I/71EH4kzzQUL._AC_UL320_.jpg")</f>
        <v>#NAME?</v>
      </c>
      <c r="I430" t="s">
        <v>946</v>
      </c>
      <c r="J430">
        <v>61.99</v>
      </c>
      <c r="K430" s="2" t="s">
        <v>1588</v>
      </c>
      <c r="L430">
        <v>4.3</v>
      </c>
      <c r="M430">
        <v>398</v>
      </c>
      <c r="O430" t="s">
        <v>33</v>
      </c>
      <c r="P430" t="s">
        <v>44</v>
      </c>
      <c r="Q430" t="s">
        <v>1313</v>
      </c>
    </row>
    <row r="431" spans="1:17" ht="15.75" x14ac:dyDescent="0.25">
      <c r="A431" s="3" t="str">
        <f>HYPERLINK("https://www.als.com/under-ua-drive-pant/p?skuId=997492", "https://www.als.com/under-ua-drive-pant/p?skuId=997492")</f>
        <v>https://www.als.com/under-ua-drive-pant/p?skuId=997492</v>
      </c>
      <c r="B431" s="3" t="str">
        <f>HYPERLINK("https://www.als.com/under-ua-drive-pant/p", "https://www.als.com/under-ua-drive-pant/p")</f>
        <v>https://www.als.com/under-ua-drive-pant/p</v>
      </c>
      <c r="C431" t="s">
        <v>452</v>
      </c>
      <c r="D431" t="s">
        <v>1589</v>
      </c>
      <c r="E431" s="3" t="str">
        <f>HYPERLINK("https://www.amazon.com/Under-Armour-Standard-Pants-Khaki/dp/B09WCTFCGZ/ref=sr_1_3?keywords=Under+Armour+Drive+Pant+-+Men%27s&amp;qid=1695124299&amp;sr=8-3", "https://www.amazon.com/Under-Armour-Standard-Pants-Khaki/dp/B09WCTFCGZ/ref=sr_1_3?keywords=Under+Armour+Drive+Pant+-+Men%27s&amp;qid=1695124299&amp;sr=8-3")</f>
        <v>https://www.amazon.com/Under-Armour-Standard-Pants-Khaki/dp/B09WCTFCGZ/ref=sr_1_3?keywords=Under+Armour+Drive+Pant+-+Men%27s&amp;qid=1695124299&amp;sr=8-3</v>
      </c>
      <c r="F431" t="s">
        <v>1590</v>
      </c>
      <c r="G431" t="e">
        <f ca="1">IMAGE("https://alssports.vtexassets.com/arquivos/ids/1442508-800-auto?v=638291812057330000&amp;width=800&amp;height=auto&amp;aspect=true")</f>
        <v>#NAME?</v>
      </c>
      <c r="H431" t="e">
        <f ca="1">IMAGE("https://m.media-amazon.com/images/I/61U6lAqOvzL._AC_UL320_.jpg")</f>
        <v>#NAME?</v>
      </c>
      <c r="I431" t="s">
        <v>455</v>
      </c>
      <c r="J431">
        <v>42.15</v>
      </c>
      <c r="K431" s="2" t="s">
        <v>1591</v>
      </c>
      <c r="L431">
        <v>4.7</v>
      </c>
      <c r="M431">
        <v>178</v>
      </c>
      <c r="O431" t="s">
        <v>26</v>
      </c>
      <c r="P431" t="s">
        <v>457</v>
      </c>
      <c r="Q431" t="s">
        <v>458</v>
      </c>
    </row>
    <row r="432" spans="1:17" ht="15.75" x14ac:dyDescent="0.25">
      <c r="A432" s="3" t="str">
        <f>HYPERLINK("https://www.als.com/crocs-classic-clog/p?skuId=1196935", "https://www.als.com/crocs-classic-clog/p?skuId=1196935")</f>
        <v>https://www.als.com/crocs-classic-clog/p?skuId=1196935</v>
      </c>
      <c r="B432" s="3" t="str">
        <f>HYPERLINK("https://www.als.com/crocs-classic-clog/p", "https://www.als.com/crocs-classic-clog/p")</f>
        <v>https://www.als.com/crocs-classic-clog/p</v>
      </c>
      <c r="C432" t="s">
        <v>1100</v>
      </c>
      <c r="D432" t="s">
        <v>1592</v>
      </c>
      <c r="E432" s="3" t="str">
        <f>HYPERLINK("https://www.amazon.com/Crocs-Classic-Sparkly-Metallic-Glitter/dp/B0C2XFY2VW/ref=sr_1_33?keywords=Crocs+Classic+Clog&amp;qid=1695124151&amp;sr=8-33", "https://www.amazon.com/Crocs-Classic-Sparkly-Metallic-Glitter/dp/B0C2XFY2VW/ref=sr_1_33?keywords=Crocs+Classic+Clog&amp;qid=1695124151&amp;sr=8-33")</f>
        <v>https://www.amazon.com/Crocs-Classic-Sparkly-Metallic-Glitter/dp/B0C2XFY2VW/ref=sr_1_33?keywords=Crocs+Classic+Clog&amp;qid=1695124151&amp;sr=8-33</v>
      </c>
      <c r="F432" t="s">
        <v>1593</v>
      </c>
      <c r="G432" t="e">
        <f ca="1">IMAGE("https://alssports.vtexassets.com/arquivos/ids/1222253-800-auto?v=638102875835800000&amp;width=800&amp;height=auto&amp;aspect=true")</f>
        <v>#NAME?</v>
      </c>
      <c r="H432" t="e">
        <f ca="1">IMAGE("https://m.media-amazon.com/images/I/81VaHLz5TfL._AC_UL320_.jpg")</f>
        <v>#NAME?</v>
      </c>
      <c r="I432" t="s">
        <v>157</v>
      </c>
      <c r="J432">
        <v>41.24</v>
      </c>
      <c r="K432" s="2" t="s">
        <v>1594</v>
      </c>
      <c r="L432">
        <v>4.7</v>
      </c>
      <c r="M432">
        <v>63</v>
      </c>
      <c r="O432" t="s">
        <v>33</v>
      </c>
      <c r="P432" t="s">
        <v>26</v>
      </c>
      <c r="Q432" t="s">
        <v>1103</v>
      </c>
    </row>
    <row r="433" spans="1:17" ht="15.75" x14ac:dyDescent="0.25">
      <c r="A433" s="3" t="str">
        <f>HYPERLINK("https://www.als.com/reding-reel-run/p?skuId=668675", "https://www.als.com/reding-reel-run/p?skuId=668675")</f>
        <v>https://www.als.com/reding-reel-run/p?skuId=668675</v>
      </c>
      <c r="B433" s="3" t="str">
        <f>HYPERLINK("https://www.als.com/reding-reel-run/p", "https://www.als.com/reding-reel-run/p")</f>
        <v>https://www.als.com/reding-reel-run/p</v>
      </c>
      <c r="C433" t="s">
        <v>636</v>
      </c>
      <c r="D433" t="s">
        <v>1595</v>
      </c>
      <c r="E433" s="3" t="str">
        <f>HYPERLINK("https://www.amazon.com/Redington-Fishing-Lightweight-Design-Clicker/dp/B09XFC5XWV/ref=sr_1_15?keywords=Redington+Run+Fishing+Reel&amp;qid=1695124368&amp;sr=8-15", "https://www.amazon.com/Redington-Fishing-Lightweight-Design-Clicker/dp/B09XFC5XWV/ref=sr_1_15?keywords=Redington+Run+Fishing+Reel&amp;qid=1695124368&amp;sr=8-15")</f>
        <v>https://www.amazon.com/Redington-Fishing-Lightweight-Design-Clicker/dp/B09XFC5XWV/ref=sr_1_15?keywords=Redington+Run+Fishing+Reel&amp;qid=1695124368&amp;sr=8-15</v>
      </c>
      <c r="F433" t="s">
        <v>1596</v>
      </c>
      <c r="G433" t="e">
        <f ca="1">IMAGE("https://alssports.vtexassets.com/arquivos/ids/965822-800-auto?v=637738270480870000&amp;width=800&amp;height=auto&amp;aspect=true")</f>
        <v>#NAME?</v>
      </c>
      <c r="H433" t="e">
        <f ca="1">IMAGE("https://m.media-amazon.com/images/I/61XyX87sM3L._AC_UY218_.jpg")</f>
        <v>#NAME?</v>
      </c>
      <c r="I433" t="s">
        <v>639</v>
      </c>
      <c r="J433">
        <v>98.99</v>
      </c>
      <c r="K433" s="2" t="s">
        <v>1597</v>
      </c>
      <c r="L433">
        <v>4.5999999999999996</v>
      </c>
      <c r="M433">
        <v>412</v>
      </c>
      <c r="O433" t="s">
        <v>33</v>
      </c>
      <c r="P433" t="s">
        <v>26</v>
      </c>
      <c r="Q433" t="s">
        <v>641</v>
      </c>
    </row>
    <row r="434" spans="1:17" ht="15.75" x14ac:dyDescent="0.25">
      <c r="A434" s="3" t="str">
        <f>HYPERLINK("https://www.als.com/seasum-dry-bag-ultra-sil/p?skuId=1284260", "https://www.als.com/seasum-dry-bag-ultra-sil/p?skuId=1284260")</f>
        <v>https://www.als.com/seasum-dry-bag-ultra-sil/p?skuId=1284260</v>
      </c>
      <c r="B434" s="3" t="str">
        <f>HYPERLINK("https://www.als.com/seasum-dry-bag-ultra-sil/p", "https://www.als.com/seasum-dry-bag-ultra-sil/p")</f>
        <v>https://www.als.com/seasum-dry-bag-ultra-sil/p</v>
      </c>
      <c r="C434" t="s">
        <v>1515</v>
      </c>
      <c r="D434" t="s">
        <v>1598</v>
      </c>
      <c r="E434" s="3" t="str">
        <f>HYPERLINK("https://www.amazon.com/Sea-Summit-Lightweight-Multi-Purpose-Storage/dp/B0BVWFY3FC/ref=sr_1_10?keywords=Sea+to+Summit+Ultra-Sil+Dry+Bag&amp;qid=1695124478&amp;sr=8-10", "https://www.amazon.com/Sea-Summit-Lightweight-Multi-Purpose-Storage/dp/B0BVWFY3FC/ref=sr_1_10?keywords=Sea+to+Summit+Ultra-Sil+Dry+Bag&amp;qid=1695124478&amp;sr=8-10")</f>
        <v>https://www.amazon.com/Sea-Summit-Lightweight-Multi-Purpose-Storage/dp/B0BVWFY3FC/ref=sr_1_10?keywords=Sea+to+Summit+Ultra-Sil+Dry+Bag&amp;qid=1695124478&amp;sr=8-10</v>
      </c>
      <c r="F434" t="s">
        <v>1599</v>
      </c>
      <c r="G434" t="e">
        <f ca="1">IMAGE("https://alssports.vtexassets.com/arquivos/ids/1257254-800-auto?v=638134633277170000&amp;width=800&amp;height=auto&amp;aspect=true")</f>
        <v>#NAME?</v>
      </c>
      <c r="H434" t="e">
        <f ca="1">IMAGE("https://m.media-amazon.com/images/I/51OsUvxcjXL._AC_UL320_.jpg")</f>
        <v>#NAME?</v>
      </c>
      <c r="I434" t="s">
        <v>140</v>
      </c>
      <c r="J434">
        <v>32.950000000000003</v>
      </c>
      <c r="K434" s="2" t="s">
        <v>1600</v>
      </c>
      <c r="L434">
        <v>4.9000000000000004</v>
      </c>
      <c r="M434">
        <v>45</v>
      </c>
      <c r="O434" t="s">
        <v>26</v>
      </c>
      <c r="P434" t="s">
        <v>26</v>
      </c>
      <c r="Q434" t="s">
        <v>1519</v>
      </c>
    </row>
    <row r="435" spans="1:17" ht="15.75" x14ac:dyDescent="0.25">
      <c r="A435" s="3" t="str">
        <f>HYPERLINK("https://www.als.com/mizuno-w-wave-sky-6/p?skuId=1262559", "https://www.als.com/mizuno-w-wave-sky-6/p?skuId=1262559")</f>
        <v>https://www.als.com/mizuno-w-wave-sky-6/p?skuId=1262559</v>
      </c>
      <c r="B435" s="3" t="str">
        <f>HYPERLINK("https://www.als.com/mizuno-w-wave-sky-6/p", "https://www.als.com/mizuno-w-wave-sky-6/p")</f>
        <v>https://www.als.com/mizuno-w-wave-sky-6/p</v>
      </c>
      <c r="C435" t="s">
        <v>200</v>
      </c>
      <c r="D435" t="s">
        <v>1601</v>
      </c>
      <c r="E435" s="3" t="str">
        <f>HYPERLINK("https://www.amazon.com/Mizuno-Running-Womens-Inspire-Black-Silver/dp/B09Z7FPPVR/ref=sr_1_23?keywords=Mizuno+Wave+Sky+6+Running+Shoe+-+Women%27s&amp;qid=1695124449&amp;sr=8-23", "https://www.amazon.com/Mizuno-Running-Womens-Inspire-Black-Silver/dp/B09Z7FPPVR/ref=sr_1_23?keywords=Mizuno+Wave+Sky+6+Running+Shoe+-+Women%27s&amp;qid=1695124449&amp;sr=8-23")</f>
        <v>https://www.amazon.com/Mizuno-Running-Womens-Inspire-Black-Silver/dp/B09Z7FPPVR/ref=sr_1_23?keywords=Mizuno+Wave+Sky+6+Running+Shoe+-+Women%27s&amp;qid=1695124449&amp;sr=8-23</v>
      </c>
      <c r="F435" t="s">
        <v>1602</v>
      </c>
      <c r="G435" t="e">
        <f ca="1">IMAGE("https://alssports.vtexassets.com/arquivos/ids/1277387-800-auto?v=638152938174200000&amp;width=800&amp;height=auto&amp;aspect=true")</f>
        <v>#NAME?</v>
      </c>
      <c r="H435" t="e">
        <f ca="1">IMAGE("https://m.media-amazon.com/images/I/81OAj49YoTL._AC_UL320_.jpg")</f>
        <v>#NAME?</v>
      </c>
      <c r="I435" t="s">
        <v>164</v>
      </c>
      <c r="J435">
        <v>139.94999999999999</v>
      </c>
      <c r="K435" s="2" t="s">
        <v>1603</v>
      </c>
      <c r="L435">
        <v>4.3</v>
      </c>
      <c r="M435">
        <v>27</v>
      </c>
      <c r="O435" t="s">
        <v>33</v>
      </c>
      <c r="P435" t="s">
        <v>191</v>
      </c>
      <c r="Q435" t="s">
        <v>203</v>
      </c>
    </row>
    <row r="436" spans="1:17" ht="15.75" x14ac:dyDescent="0.25">
      <c r="A436" s="3" t="str">
        <f>HYPERLINK("https://www.als.com/adidas-w-slide-adilette-comfort/p?skuId=1286469", "https://www.als.com/adidas-w-slide-adilette-comfort/p?skuId=1286469")</f>
        <v>https://www.als.com/adidas-w-slide-adilette-comfort/p?skuId=1286469</v>
      </c>
      <c r="B436" s="3" t="str">
        <f>HYPERLINK("https://www.als.com/adidas-w-slide-adilette-comfort/p", "https://www.als.com/adidas-w-slide-adilette-comfort/p")</f>
        <v>https://www.als.com/adidas-w-slide-adilette-comfort/p</v>
      </c>
      <c r="C436" t="s">
        <v>441</v>
      </c>
      <c r="D436" t="s">
        <v>1604</v>
      </c>
      <c r="E436" s="3" t="str">
        <f>HYPERLINK("https://www.amazon.com/adidas-Womens-Adilette-Comfort-Metallic/dp/B09Y2L4YKM/ref=sr_1_39?keywords=Adidas+Adilette+Comfort+Sandal+-+Women%27s&amp;qid=1695124352&amp;sr=8-39", "https://www.amazon.com/adidas-Womens-Adilette-Comfort-Metallic/dp/B09Y2L4YKM/ref=sr_1_39?keywords=Adidas+Adilette+Comfort+Sandal+-+Women%27s&amp;qid=1695124352&amp;sr=8-39")</f>
        <v>https://www.amazon.com/adidas-Womens-Adilette-Comfort-Metallic/dp/B09Y2L4YKM/ref=sr_1_39?keywords=Adidas+Adilette+Comfort+Sandal+-+Women%27s&amp;qid=1695124352&amp;sr=8-39</v>
      </c>
      <c r="F436" t="s">
        <v>1605</v>
      </c>
      <c r="G436" t="e">
        <f ca="1">IMAGE("https://alssports.vtexassets.com/arquivos/ids/1250704-800-auto?v=638128818653670000&amp;width=800&amp;height=auto&amp;aspect=true")</f>
        <v>#NAME?</v>
      </c>
      <c r="H436" t="e">
        <f ca="1">IMAGE("https://m.media-amazon.com/images/I/61o-kWSEMvL._AC_UL320_.jpg")</f>
        <v>#NAME?</v>
      </c>
      <c r="I436" t="s">
        <v>444</v>
      </c>
      <c r="J436">
        <v>23</v>
      </c>
      <c r="K436" s="2" t="s">
        <v>1606</v>
      </c>
      <c r="L436">
        <v>3.7</v>
      </c>
      <c r="M436">
        <v>3</v>
      </c>
      <c r="O436" t="s">
        <v>33</v>
      </c>
      <c r="P436" t="s">
        <v>140</v>
      </c>
      <c r="Q436" t="s">
        <v>445</v>
      </c>
    </row>
    <row r="437" spans="1:17" ht="15.75" x14ac:dyDescent="0.25">
      <c r="A437" s="3" t="str">
        <f>HYPERLINK("https://www.als.com/mcdavi-girdle-rival-34-length-7-pad/p?skuId=1032041", "https://www.als.com/mcdavi-girdle-rival-34-length-7-pad/p?skuId=1032041")</f>
        <v>https://www.als.com/mcdavi-girdle-rival-34-length-7-pad/p?skuId=1032041</v>
      </c>
      <c r="B437" s="3" t="str">
        <f>HYPERLINK("https://www.als.com/mcdavi-girdle-rival-34-length-7-pad/p", "https://www.als.com/mcdavi-girdle-rival-34-length-7-pad/p")</f>
        <v>https://www.als.com/mcdavi-girdle-rival-34-length-7-pad/p</v>
      </c>
      <c r="C437" t="s">
        <v>1607</v>
      </c>
      <c r="D437" t="s">
        <v>1608</v>
      </c>
      <c r="E437" s="3" t="str">
        <f>HYPERLINK("https://www.amazon.com/McDavid-Rival-Integrated-7-Pad-Tight/dp/B09XFVWDCY/ref=sr_1_3?keywords=McDavid+Rival+7-Pad+3%2F4+Tight+-+Men%27s&amp;qid=1695124410&amp;sr=8-3", "https://www.amazon.com/McDavid-Rival-Integrated-7-Pad-Tight/dp/B09XFVWDCY/ref=sr_1_3?keywords=McDavid+Rival+7-Pad+3%2F4+Tight+-+Men%27s&amp;qid=1695124410&amp;sr=8-3")</f>
        <v>https://www.amazon.com/McDavid-Rival-Integrated-7-Pad-Tight/dp/B09XFVWDCY/ref=sr_1_3?keywords=McDavid+Rival+7-Pad+3%2F4+Tight+-+Men%27s&amp;qid=1695124410&amp;sr=8-3</v>
      </c>
      <c r="F437" t="s">
        <v>1609</v>
      </c>
      <c r="G437" t="e">
        <f ca="1">IMAGE("https://alssports.vtexassets.com/arquivos/ids/1069624-800-auto?v=637896163978530000&amp;width=800&amp;height=auto&amp;aspect=true")</f>
        <v>#NAME?</v>
      </c>
      <c r="H437" t="e">
        <f ca="1">IMAGE("https://m.media-amazon.com/images/I/61hFbb+qrHL._AC_UL320_.jpg")</f>
        <v>#NAME?</v>
      </c>
      <c r="I437" t="s">
        <v>1610</v>
      </c>
      <c r="J437">
        <v>41.11</v>
      </c>
      <c r="K437" s="2" t="s">
        <v>1611</v>
      </c>
      <c r="L437">
        <v>3.9</v>
      </c>
      <c r="M437">
        <v>33</v>
      </c>
      <c r="O437" t="s">
        <v>33</v>
      </c>
      <c r="P437" t="s">
        <v>26</v>
      </c>
      <c r="Q437" t="s">
        <v>1612</v>
      </c>
    </row>
    <row r="438" spans="1:17" ht="15.75" x14ac:dyDescent="0.25">
      <c r="A438" s="3" t="str">
        <f>HYPERLINK("https://www.als.com/bearar-bow-alaskan/p?skuId=969734", "https://www.als.com/bearar-bow-alaskan/p?skuId=969734")</f>
        <v>https://www.als.com/bearar-bow-alaskan/p?skuId=969734</v>
      </c>
      <c r="B438" s="3" t="str">
        <f>HYPERLINK("https://www.als.com/bearar-bow-alaskan/p", "https://www.als.com/bearar-bow-alaskan/p")</f>
        <v>https://www.als.com/bearar-bow-alaskan/p</v>
      </c>
      <c r="C438" t="s">
        <v>657</v>
      </c>
      <c r="D438" t="s">
        <v>1613</v>
      </c>
      <c r="E438" s="3" t="str">
        <f>HYPERLINK("https://www.amazon.com/Bear-Archery-AV24A100A7R-Species-Timber/dp/B09J1SM767/ref=sr_1_11?keywords=Bear+Archery+Alaskan+Compound+Bow&amp;qid=1695124371&amp;sr=8-11", "https://www.amazon.com/Bear-Archery-AV24A100A7R-Species-Timber/dp/B09J1SM767/ref=sr_1_11?keywords=Bear+Archery+Alaskan+Compound+Bow&amp;qid=1695124371&amp;sr=8-11")</f>
        <v>https://www.amazon.com/Bear-Archery-AV24A100A7R-Species-Timber/dp/B09J1SM767/ref=sr_1_11?keywords=Bear+Archery+Alaskan+Compound+Bow&amp;qid=1695124371&amp;sr=8-11</v>
      </c>
      <c r="F438" t="s">
        <v>1614</v>
      </c>
      <c r="G438" t="e">
        <f ca="1">IMAGE("https://alssports.vtexassets.com/arquivos/ids/976192-800-auto?v=637754664177730000&amp;width=800&amp;height=auto&amp;aspect=true")</f>
        <v>#NAME?</v>
      </c>
      <c r="H438" t="e">
        <f ca="1">IMAGE("https://m.media-amazon.com/images/I/61t1YhJq71L._AC_UL320_.jpg")</f>
        <v>#NAME?</v>
      </c>
      <c r="I438" t="s">
        <v>660</v>
      </c>
      <c r="J438">
        <v>369.99</v>
      </c>
      <c r="K438" s="2" t="s">
        <v>1615</v>
      </c>
      <c r="L438">
        <v>4.0999999999999996</v>
      </c>
      <c r="M438">
        <v>7</v>
      </c>
      <c r="O438" t="s">
        <v>33</v>
      </c>
      <c r="P438" t="s">
        <v>661</v>
      </c>
      <c r="Q438" t="s">
        <v>662</v>
      </c>
    </row>
    <row r="439" spans="1:17" ht="15.75" x14ac:dyDescent="0.25">
      <c r="A439" s="3" t="str">
        <f>HYPERLINK("https://www.als.com/bearar-bow-alaskan/p?skuId=969734", "https://www.als.com/bearar-bow-alaskan/p?skuId=969734")</f>
        <v>https://www.als.com/bearar-bow-alaskan/p?skuId=969734</v>
      </c>
      <c r="B439" s="3" t="str">
        <f>HYPERLINK("https://www.als.com/bearar-bow-alaskan/p", "https://www.als.com/bearar-bow-alaskan/p")</f>
        <v>https://www.als.com/bearar-bow-alaskan/p</v>
      </c>
      <c r="C439" t="s">
        <v>657</v>
      </c>
      <c r="D439" t="s">
        <v>1616</v>
      </c>
      <c r="E439" s="3" t="str">
        <f>HYPERLINK("https://www.amazon.com/Bear-Archery-Cruzer-Compound-Package/dp/B0BSVL1MQB/ref=sr_1_20?keywords=Bear+Archery+Alaskan+Compound+Bow&amp;qid=1695124371&amp;sr=8-20", "https://www.amazon.com/Bear-Archery-Cruzer-Compound-Package/dp/B0BSVL1MQB/ref=sr_1_20?keywords=Bear+Archery+Alaskan+Compound+Bow&amp;qid=1695124371&amp;sr=8-20")</f>
        <v>https://www.amazon.com/Bear-Archery-Cruzer-Compound-Package/dp/B0BSVL1MQB/ref=sr_1_20?keywords=Bear+Archery+Alaskan+Compound+Bow&amp;qid=1695124371&amp;sr=8-20</v>
      </c>
      <c r="F439" t="s">
        <v>1617</v>
      </c>
      <c r="G439" t="e">
        <f ca="1">IMAGE("https://alssports.vtexassets.com/arquivos/ids/976192-800-auto?v=637754664177730000&amp;width=800&amp;height=auto&amp;aspect=true")</f>
        <v>#NAME?</v>
      </c>
      <c r="H439" t="e">
        <f ca="1">IMAGE("https://m.media-amazon.com/images/I/61-l7VkCYpL._AC_UL320_.jpg")</f>
        <v>#NAME?</v>
      </c>
      <c r="I439" t="s">
        <v>660</v>
      </c>
      <c r="J439">
        <v>369.99</v>
      </c>
      <c r="K439" s="2" t="s">
        <v>1615</v>
      </c>
      <c r="L439">
        <v>3.5</v>
      </c>
      <c r="M439">
        <v>6</v>
      </c>
      <c r="O439" t="s">
        <v>33</v>
      </c>
      <c r="P439" t="s">
        <v>661</v>
      </c>
      <c r="Q439" t="s">
        <v>662</v>
      </c>
    </row>
    <row r="440" spans="1:17" ht="15.75" x14ac:dyDescent="0.25">
      <c r="A440" s="3" t="str">
        <f>HYPERLINK("https://www.als.com/bearar-bow-alaskan/p?skuId=969734", "https://www.als.com/bearar-bow-alaskan/p?skuId=969734")</f>
        <v>https://www.als.com/bearar-bow-alaskan/p?skuId=969734</v>
      </c>
      <c r="B440" s="3" t="str">
        <f>HYPERLINK("https://www.als.com/bearar-bow-alaskan/p", "https://www.als.com/bearar-bow-alaskan/p")</f>
        <v>https://www.als.com/bearar-bow-alaskan/p</v>
      </c>
      <c r="C440" t="s">
        <v>657</v>
      </c>
      <c r="D440" t="s">
        <v>1618</v>
      </c>
      <c r="E440" s="3" t="str">
        <f>HYPERLINK("https://www.amazon.com/Bear-Archery-AV13A210A7R-Timber-Strata/dp/B08NCYY3B2/ref=sr_1_8?keywords=Bear+Archery+Alaskan+Compound+Bow&amp;qid=1695124371&amp;sr=8-8", "https://www.amazon.com/Bear-Archery-AV13A210A7R-Timber-Strata/dp/B08NCYY3B2/ref=sr_1_8?keywords=Bear+Archery+Alaskan+Compound+Bow&amp;qid=1695124371&amp;sr=8-8")</f>
        <v>https://www.amazon.com/Bear-Archery-AV13A210A7R-Timber-Strata/dp/B08NCYY3B2/ref=sr_1_8?keywords=Bear+Archery+Alaskan+Compound+Bow&amp;qid=1695124371&amp;sr=8-8</v>
      </c>
      <c r="F440" t="s">
        <v>1619</v>
      </c>
      <c r="G440" t="e">
        <f ca="1">IMAGE("https://alssports.vtexassets.com/arquivos/ids/976192-800-auto?v=637754664177730000&amp;width=800&amp;height=auto&amp;aspect=true")</f>
        <v>#NAME?</v>
      </c>
      <c r="H440" t="e">
        <f ca="1">IMAGE("https://m.media-amazon.com/images/I/61bz-iGVmcL._AC_UL320_.jpg")</f>
        <v>#NAME?</v>
      </c>
      <c r="I440" t="s">
        <v>660</v>
      </c>
      <c r="J440">
        <v>369.99</v>
      </c>
      <c r="K440" s="2" t="s">
        <v>1615</v>
      </c>
      <c r="L440">
        <v>4.5</v>
      </c>
      <c r="M440">
        <v>196</v>
      </c>
      <c r="O440" t="s">
        <v>33</v>
      </c>
      <c r="P440" t="s">
        <v>661</v>
      </c>
      <c r="Q440" t="s">
        <v>662</v>
      </c>
    </row>
    <row r="441" spans="1:17" ht="15.75" x14ac:dyDescent="0.25">
      <c r="A441" s="3" t="str">
        <f>HYPERLINK("https://www.als.com/under-m-short-ua-training-stretch/p?skuId=817748", "https://www.als.com/under-m-short-ua-training-stretch/p?skuId=817748")</f>
        <v>https://www.als.com/under-m-short-ua-training-stretch/p?skuId=817748</v>
      </c>
      <c r="B441" s="3" t="str">
        <f>HYPERLINK("https://www.als.com/under-m-short-ua-training-stretch/p", "https://www.als.com/under-m-short-ua-training-stretch/p")</f>
        <v>https://www.als.com/under-m-short-ua-training-stretch/p</v>
      </c>
      <c r="C441" t="s">
        <v>599</v>
      </c>
      <c r="D441" t="s">
        <v>1620</v>
      </c>
      <c r="E441" s="3" t="str">
        <f>HYPERLINK("https://www.amazon.com/Under-Armour-Graphic-Shorts-XX-Large/dp/B077XK3GXF/ref=sr_1_12?keywords=Under+Armour+Training+Stretch+Short+-+Men%27s&amp;qid=1695124338&amp;sr=8-12", "https://www.amazon.com/Under-Armour-Graphic-Shorts-XX-Large/dp/B077XK3GXF/ref=sr_1_12?keywords=Under+Armour+Training+Stretch+Short+-+Men%27s&amp;qid=1695124338&amp;sr=8-12")</f>
        <v>https://www.amazon.com/Under-Armour-Graphic-Shorts-XX-Large/dp/B077XK3GXF/ref=sr_1_12?keywords=Under+Armour+Training+Stretch+Short+-+Men%27s&amp;qid=1695124338&amp;sr=8-12</v>
      </c>
      <c r="F441" t="s">
        <v>1621</v>
      </c>
      <c r="G441" t="e">
        <f ca="1">IMAGE("https://alssports.vtexassets.com/arquivos/ids/1087251-800-auto?v=638271167205870000&amp;width=800&amp;height=auto&amp;aspect=true")</f>
        <v>#NAME?</v>
      </c>
      <c r="H441" t="e">
        <f ca="1">IMAGE("https://m.media-amazon.com/images/I/71SyFtoKoBL._AC_UL320_.jpg")</f>
        <v>#NAME?</v>
      </c>
      <c r="I441" t="s">
        <v>602</v>
      </c>
      <c r="J441">
        <v>14.79</v>
      </c>
      <c r="K441" s="2" t="s">
        <v>1622</v>
      </c>
      <c r="L441">
        <v>4.7</v>
      </c>
      <c r="M441">
        <v>63930</v>
      </c>
      <c r="O441" t="s">
        <v>33</v>
      </c>
      <c r="P441" t="s">
        <v>233</v>
      </c>
      <c r="Q441" t="s">
        <v>604</v>
      </c>
    </row>
    <row r="442" spans="1:17" ht="15.75" x14ac:dyDescent="0.25">
      <c r="A442" s="3" t="str">
        <f>HYPERLINK("https://www.als.com/camel-eddy-20oz/p?skuId=983593", "https://www.als.com/camel-eddy-20oz/p?skuId=983593")</f>
        <v>https://www.als.com/camel-eddy-20oz/p?skuId=983593</v>
      </c>
      <c r="B442" s="3" t="str">
        <f>HYPERLINK("https://www.als.com/camel-eddy-20oz/p", "https://www.als.com/camel-eddy-20oz/p")</f>
        <v>https://www.als.com/camel-eddy-20oz/p</v>
      </c>
      <c r="C442" t="s">
        <v>1623</v>
      </c>
      <c r="D442" t="s">
        <v>1624</v>
      </c>
      <c r="E442" s="3" t="str">
        <f>HYPERLINK("https://www.amazon.com/CamelBak-Bottle-Accessory-Valves-Straws/dp/B01LRW25YI/ref=sr_1_48?keywords=CamelBak+Eddy+Bottle+-+20oz&amp;qid=1695124430&amp;sr=8-48", "https://www.amazon.com/CamelBak-Bottle-Accessory-Valves-Straws/dp/B01LRW25YI/ref=sr_1_48?keywords=CamelBak+Eddy+Bottle+-+20oz&amp;qid=1695124430&amp;sr=8-48")</f>
        <v>https://www.amazon.com/CamelBak-Bottle-Accessory-Valves-Straws/dp/B01LRW25YI/ref=sr_1_48?keywords=CamelBak+Eddy+Bottle+-+20oz&amp;qid=1695124430&amp;sr=8-48</v>
      </c>
      <c r="F442" t="s">
        <v>1625</v>
      </c>
      <c r="G442" t="e">
        <f ca="1">IMAGE("https://alssports.vtexassets.com/arquivos/ids/1353425-800-auto?v=638229001016800000&amp;width=800&amp;height=auto&amp;aspect=true")</f>
        <v>#NAME?</v>
      </c>
      <c r="H442" t="e">
        <f ca="1">IMAGE("https://m.media-amazon.com/images/I/71MfqJBYt6L._AC_UL320_.jpg")</f>
        <v>#NAME?</v>
      </c>
      <c r="I442" t="s">
        <v>130</v>
      </c>
      <c r="J442">
        <v>8.18</v>
      </c>
      <c r="K442" s="2" t="s">
        <v>1626</v>
      </c>
      <c r="L442">
        <v>4.7</v>
      </c>
      <c r="M442">
        <v>4057</v>
      </c>
      <c r="O442" t="s">
        <v>26</v>
      </c>
      <c r="P442" t="s">
        <v>256</v>
      </c>
      <c r="Q442" t="s">
        <v>1627</v>
      </c>
    </row>
    <row r="443" spans="1:17" ht="15.75" x14ac:dyDescent="0.25">
      <c r="A443" s="3" t="str">
        <f>HYPERLINK("https://www.als.com/asics-w-shoe-gel-kayano-29/p?skuId=1037742", "https://www.als.com/asics-w-shoe-gel-kayano-29/p?skuId=1037742")</f>
        <v>https://www.als.com/asics-w-shoe-gel-kayano-29/p?skuId=1037742</v>
      </c>
      <c r="B443" s="3" t="str">
        <f>HYPERLINK("https://www.als.com/asics-w-shoe-gel-kayano-29/p", "https://www.als.com/asics-w-shoe-gel-kayano-29/p")</f>
        <v>https://www.als.com/asics-w-shoe-gel-kayano-29/p</v>
      </c>
      <c r="C443" t="s">
        <v>851</v>
      </c>
      <c r="D443" t="s">
        <v>1628</v>
      </c>
      <c r="E443" s="3" t="str">
        <f>HYPERLINK("https://www.amazon.com/ASICS-Gel-Venture-Running-Piedmont-Metropolis/dp/B09Q6LV2PS/ref=sr_1_26?keywords=Asics+Gel-Kayano+29+Running+Shoe+-+Women%27s&amp;qid=1695124114&amp;sr=8-26", "https://www.amazon.com/ASICS-Gel-Venture-Running-Piedmont-Metropolis/dp/B09Q6LV2PS/ref=sr_1_26?keywords=Asics+Gel-Kayano+29+Running+Shoe+-+Women%27s&amp;qid=1695124114&amp;sr=8-26")</f>
        <v>https://www.amazon.com/ASICS-Gel-Venture-Running-Piedmont-Metropolis/dp/B09Q6LV2PS/ref=sr_1_26?keywords=Asics+Gel-Kayano+29+Running+Shoe+-+Women%27s&amp;qid=1695124114&amp;sr=8-26</v>
      </c>
      <c r="F443" t="s">
        <v>1629</v>
      </c>
      <c r="G443" t="e">
        <f ca="1">IMAGE("https://alssports.vtexassets.com/arquivos/ids/1127320-800-auto?v=637980202666000000&amp;width=800&amp;height=auto&amp;aspect=true")</f>
        <v>#NAME?</v>
      </c>
      <c r="H443" t="e">
        <f ca="1">IMAGE("https://m.media-amazon.com/images/I/615jKNTNWKL._AC_UL320_.jpg")</f>
        <v>#NAME?</v>
      </c>
      <c r="I443" t="s">
        <v>674</v>
      </c>
      <c r="J443">
        <v>52.33</v>
      </c>
      <c r="K443" s="2" t="s">
        <v>1630</v>
      </c>
      <c r="L443">
        <v>4.4000000000000004</v>
      </c>
      <c r="M443">
        <v>18561</v>
      </c>
      <c r="O443" t="s">
        <v>33</v>
      </c>
      <c r="P443" t="s">
        <v>88</v>
      </c>
      <c r="Q443" t="s">
        <v>854</v>
      </c>
    </row>
    <row r="444" spans="1:17" ht="15.75" x14ac:dyDescent="0.25">
      <c r="A444" s="3" t="str">
        <f>HYPERLINK("https://www.als.com/adidas-yth-cleat-goletto-viii-fg/p?skuId=936336", "https://www.als.com/adidas-yth-cleat-goletto-viii-fg/p?skuId=936336")</f>
        <v>https://www.als.com/adidas-yth-cleat-goletto-viii-fg/p?skuId=936336</v>
      </c>
      <c r="B444" s="3" t="str">
        <f>HYPERLINK("https://www.als.com/adidas-yth-cleat-goletto-viii-fg/p", "https://www.als.com/adidas-yth-cleat-goletto-viii-fg/p")</f>
        <v>https://www.als.com/adidas-yth-cleat-goletto-viii-fg/p</v>
      </c>
      <c r="C444" t="s">
        <v>1038</v>
      </c>
      <c r="D444" t="s">
        <v>1631</v>
      </c>
      <c r="E444" s="3" t="str">
        <f>HYPERLINK("https://www.amazon.com/adidas-Goletto-Ground-Soccer-Unisex/dp/B091MYBR6R/ref=sr_1_3?keywords=adidas+Goletto+VIII+Firm+Ground+Soccer+Cleat+-+Youth&amp;qid=1695124164&amp;sr=8-3", "https://www.amazon.com/adidas-Goletto-Ground-Soccer-Unisex/dp/B091MYBR6R/ref=sr_1_3?keywords=adidas+Goletto+VIII+Firm+Ground+Soccer+Cleat+-+Youth&amp;qid=1695124164&amp;sr=8-3")</f>
        <v>https://www.amazon.com/adidas-Goletto-Ground-Soccer-Unisex/dp/B091MYBR6R/ref=sr_1_3?keywords=adidas+Goletto+VIII+Firm+Ground+Soccer+Cleat+-+Youth&amp;qid=1695124164&amp;sr=8-3</v>
      </c>
      <c r="F444" t="s">
        <v>1632</v>
      </c>
      <c r="G444" t="e">
        <f ca="1">IMAGE("https://alssports.vtexassets.com/arquivos/ids/1076483-800-auto?v=637904785042600000&amp;width=800&amp;height=auto&amp;aspect=true")</f>
        <v>#NAME?</v>
      </c>
      <c r="H444" t="e">
        <f ca="1">IMAGE("https://m.media-amazon.com/images/I/61zHiWYvTBL._AC_UL320_.jpg")</f>
        <v>#NAME?</v>
      </c>
      <c r="I444" t="s">
        <v>1041</v>
      </c>
      <c r="J444">
        <v>24.47</v>
      </c>
      <c r="K444" s="2" t="s">
        <v>1633</v>
      </c>
      <c r="L444">
        <v>4.9000000000000004</v>
      </c>
      <c r="M444">
        <v>12</v>
      </c>
      <c r="O444" t="s">
        <v>33</v>
      </c>
      <c r="P444" t="s">
        <v>26</v>
      </c>
      <c r="Q444" t="s">
        <v>1043</v>
      </c>
    </row>
    <row r="445" spans="1:17" ht="15.75" x14ac:dyDescent="0.25">
      <c r="A445" s="3" t="str">
        <f>HYPERLINK("https://www.als.com/bearar-bow-alaskan/p?skuId=969734", "https://www.als.com/bearar-bow-alaskan/p?skuId=969734")</f>
        <v>https://www.als.com/bearar-bow-alaskan/p?skuId=969734</v>
      </c>
      <c r="B445" s="3" t="str">
        <f>HYPERLINK("https://www.als.com/bearar-bow-alaskan/p", "https://www.als.com/bearar-bow-alaskan/p")</f>
        <v>https://www.als.com/bearar-bow-alaskan/p</v>
      </c>
      <c r="C445" t="s">
        <v>657</v>
      </c>
      <c r="D445" t="s">
        <v>1634</v>
      </c>
      <c r="E445" s="3" t="str">
        <f>HYPERLINK("https://www.amazon.com/Bear-Archery-Rant-Compound-CAMO/dp/B082VT77LS/ref=sr_1_40?keywords=Bear+Archery+Alaskan+Compound+Bow&amp;qid=1695124371&amp;sr=8-40", "https://www.amazon.com/Bear-Archery-Rant-Compound-CAMO/dp/B082VT77LS/ref=sr_1_40?keywords=Bear+Archery+Alaskan+Compound+Bow&amp;qid=1695124371&amp;sr=8-40")</f>
        <v>https://www.amazon.com/Bear-Archery-Rant-Compound-CAMO/dp/B082VT77LS/ref=sr_1_40?keywords=Bear+Archery+Alaskan+Compound+Bow&amp;qid=1695124371&amp;sr=8-40</v>
      </c>
      <c r="F445" t="s">
        <v>1635</v>
      </c>
      <c r="G445" t="e">
        <f ca="1">IMAGE("https://alssports.vtexassets.com/arquivos/ids/976192-800-auto?v=637754664177730000&amp;width=800&amp;height=auto&amp;aspect=true")</f>
        <v>#NAME?</v>
      </c>
      <c r="H445" t="e">
        <f ca="1">IMAGE("https://m.media-amazon.com/images/I/71PedJTZO0L._AC_UL320_.jpg")</f>
        <v>#NAME?</v>
      </c>
      <c r="I445" t="s">
        <v>660</v>
      </c>
      <c r="J445">
        <v>367.39</v>
      </c>
      <c r="K445" s="2" t="s">
        <v>1636</v>
      </c>
      <c r="L445">
        <v>4.4000000000000004</v>
      </c>
      <c r="M445">
        <v>96</v>
      </c>
      <c r="O445" t="s">
        <v>33</v>
      </c>
      <c r="P445" t="s">
        <v>661</v>
      </c>
      <c r="Q445" t="s">
        <v>662</v>
      </c>
    </row>
    <row r="446" spans="1:17" ht="15.75" x14ac:dyDescent="0.25">
      <c r="A446" s="3" t="str">
        <f>HYPERLINK("https://www.als.com/under-m-shirt-new-freedom-flag/p?skuId=857665", "https://www.als.com/under-m-shirt-new-freedom-flag/p?skuId=857665")</f>
        <v>https://www.als.com/under-m-shirt-new-freedom-flag/p?skuId=857665</v>
      </c>
      <c r="B446" s="3" t="str">
        <f>HYPERLINK("https://www.als.com/under-m-shirt-new-freedom-flag/p", "https://www.als.com/under-m-shirt-new-freedom-flag/p")</f>
        <v>https://www.als.com/under-m-shirt-new-freedom-flag/p</v>
      </c>
      <c r="C446" t="s">
        <v>248</v>
      </c>
      <c r="D446" t="s">
        <v>1211</v>
      </c>
      <c r="E446" s="3" t="str">
        <f>HYPERLINK("https://www.amazon.com/Under-Armour-Sportstyle-Chest-Sleeve/dp/B07DGJP5JX/ref=sr_1_30?keywords=Under+Armour+Freedom+Flag+T-Shirt+-+Men%27s&amp;qid=1695124359&amp;sr=8-30", "https://www.amazon.com/Under-Armour-Sportstyle-Chest-Sleeve/dp/B07DGJP5JX/ref=sr_1_30?keywords=Under+Armour+Freedom+Flag+T-Shirt+-+Men%27s&amp;qid=1695124359&amp;sr=8-30")</f>
        <v>https://www.amazon.com/Under-Armour-Sportstyle-Chest-Sleeve/dp/B07DGJP5JX/ref=sr_1_30?keywords=Under+Armour+Freedom+Flag+T-Shirt+-+Men%27s&amp;qid=1695124359&amp;sr=8-30</v>
      </c>
      <c r="F446" t="s">
        <v>1637</v>
      </c>
      <c r="G446" t="e">
        <f ca="1">IMAGE("https://alssports.vtexassets.com/arquivos/ids/1045548-800-auto?v=637853795707530000&amp;width=800&amp;height=auto&amp;aspect=true")</f>
        <v>#NAME?</v>
      </c>
      <c r="H446" t="e">
        <f ca="1">IMAGE("https://m.media-amazon.com/images/I/41PFLp7qlWL._AC_UL320_.jpg")</f>
        <v>#NAME?</v>
      </c>
      <c r="I446" t="s">
        <v>245</v>
      </c>
      <c r="J446">
        <v>14.69</v>
      </c>
      <c r="K446" s="2" t="s">
        <v>1638</v>
      </c>
      <c r="L446">
        <v>4.5999999999999996</v>
      </c>
      <c r="M446">
        <v>27373</v>
      </c>
      <c r="O446" t="s">
        <v>33</v>
      </c>
      <c r="P446" t="s">
        <v>251</v>
      </c>
      <c r="Q446" t="s">
        <v>252</v>
      </c>
    </row>
    <row r="447" spans="1:17" ht="15.75" x14ac:dyDescent="0.25">
      <c r="A447" s="3" t="str">
        <f>HYPERLINK("https://www.als.com/sal-sh-m-shoe-speedcross-6-gtx/p?skuId=1067266", "https://www.als.com/sal-sh-m-shoe-speedcross-6-gtx/p?skuId=1067266")</f>
        <v>https://www.als.com/sal-sh-m-shoe-speedcross-6-gtx/p?skuId=1067266</v>
      </c>
      <c r="B447" s="3" t="str">
        <f>HYPERLINK("https://www.als.com/sal-sh-m-shoe-speedcross-6-gtx/p", "https://www.als.com/sal-sh-m-shoe-speedcross-6-gtx/p")</f>
        <v>https://www.als.com/sal-sh-m-shoe-speedcross-6-gtx/p</v>
      </c>
      <c r="C447" t="s">
        <v>1639</v>
      </c>
      <c r="D447" t="s">
        <v>1640</v>
      </c>
      <c r="E447" s="3" t="str">
        <f>HYPERLINK("https://www.amazon.com/Salomon-ALPHACROSS-Gore-TEX-Trail-Running/dp/B0B5JVB86N/ref=sr_1_9?keywords=Salomon+Speedcross+6+Gore-Tex+Shoe+-+Mens&amp;qid=1695124153&amp;sr=8-9", "https://www.amazon.com/Salomon-ALPHACROSS-Gore-TEX-Trail-Running/dp/B0B5JVB86N/ref=sr_1_9?keywords=Salomon+Speedcross+6+Gore-Tex+Shoe+-+Mens&amp;qid=1695124153&amp;sr=8-9")</f>
        <v>https://www.amazon.com/Salomon-ALPHACROSS-Gore-TEX-Trail-Running/dp/B0B5JVB86N/ref=sr_1_9?keywords=Salomon+Speedcross+6+Gore-Tex+Shoe+-+Mens&amp;qid=1695124153&amp;sr=8-9</v>
      </c>
      <c r="F447" t="s">
        <v>1641</v>
      </c>
      <c r="G447" t="e">
        <f ca="1">IMAGE("https://alssports.vtexassets.com/arquivos/ids/1278354-800-auto?v=638155540293900000&amp;width=800&amp;height=auto&amp;aspect=true")</f>
        <v>#NAME?</v>
      </c>
      <c r="H447" t="e">
        <f ca="1">IMAGE("https://m.media-amazon.com/images/I/81YJm-7NiSL._AC_UL320_.jpg")</f>
        <v>#NAME?</v>
      </c>
      <c r="I447" t="s">
        <v>1013</v>
      </c>
      <c r="J447">
        <v>78.16</v>
      </c>
      <c r="K447" s="2" t="s">
        <v>1642</v>
      </c>
      <c r="L447">
        <v>4.5</v>
      </c>
      <c r="M447">
        <v>31</v>
      </c>
      <c r="O447" t="s">
        <v>33</v>
      </c>
      <c r="P447" t="s">
        <v>88</v>
      </c>
      <c r="Q447" t="s">
        <v>1643</v>
      </c>
    </row>
    <row r="448" spans="1:17" ht="15.75" x14ac:dyDescent="0.25">
      <c r="A448" s="3" t="str">
        <f>HYPERLINK("https://www.als.com/altra-w-shoe-timp-4/p?skuId=929220", "https://www.als.com/altra-w-shoe-timp-4/p?skuId=929220")</f>
        <v>https://www.als.com/altra-w-shoe-timp-4/p?skuId=929220</v>
      </c>
      <c r="B448" s="3" t="str">
        <f>HYPERLINK("https://www.als.com/altra-w-shoe-timp-4/p", "https://www.als.com/altra-w-shoe-timp-4/p")</f>
        <v>https://www.als.com/altra-w-shoe-timp-4/p</v>
      </c>
      <c r="C448" t="s">
        <v>829</v>
      </c>
      <c r="D448" t="s">
        <v>1644</v>
      </c>
      <c r="E448" s="3" t="str">
        <f>HYPERLINK("https://www.amazon.com/ALTRA-Womens-AL0A4VR3-Escalante-Running/dp/B082Q31Q46/ref=sr_1_18?keywords=Altra+Timp+4+Running+Shoe+-+Womens&amp;qid=1695124369&amp;sr=8-18", "https://www.amazon.com/ALTRA-Womens-AL0A4VR3-Escalante-Running/dp/B082Q31Q46/ref=sr_1_18?keywords=Altra+Timp+4+Running+Shoe+-+Womens&amp;qid=1695124369&amp;sr=8-18")</f>
        <v>https://www.amazon.com/ALTRA-Womens-AL0A4VR3-Escalante-Running/dp/B082Q31Q46/ref=sr_1_18?keywords=Altra+Timp+4+Running+Shoe+-+Womens&amp;qid=1695124369&amp;sr=8-18</v>
      </c>
      <c r="F448" t="s">
        <v>1645</v>
      </c>
      <c r="G448" t="e">
        <f ca="1">IMAGE("https://alssports.vtexassets.com/arquivos/ids/1112796-800-auto?v=637957454637830000&amp;width=800&amp;height=auto&amp;aspect=true")</f>
        <v>#NAME?</v>
      </c>
      <c r="H448" t="e">
        <f ca="1">IMAGE("https://m.media-amazon.com/images/I/71MTqCz0lDL._AC_UL320_.jpg")</f>
        <v>#NAME?</v>
      </c>
      <c r="I448" t="s">
        <v>88</v>
      </c>
      <c r="J448">
        <v>130.15</v>
      </c>
      <c r="K448" s="2" t="s">
        <v>1646</v>
      </c>
      <c r="L448">
        <v>4.7</v>
      </c>
      <c r="M448">
        <v>1096</v>
      </c>
      <c r="O448" t="s">
        <v>33</v>
      </c>
      <c r="P448" t="s">
        <v>832</v>
      </c>
      <c r="Q448" t="s">
        <v>833</v>
      </c>
    </row>
    <row r="449" spans="1:17" ht="15.75" x14ac:dyDescent="0.25">
      <c r="A449" s="3" t="str">
        <f>HYPERLINK("https://www.als.com/adid-o-m-boot-terrex-free-hiker-2-gtx/p?skuId=1087960", "https://www.als.com/adid-o-m-boot-terrex-free-hiker-2-gtx/p?skuId=1087960")</f>
        <v>https://www.als.com/adid-o-m-boot-terrex-free-hiker-2-gtx/p?skuId=1087960</v>
      </c>
      <c r="B449" s="3" t="str">
        <f>HYPERLINK("https://www.als.com/adid-o-m-boot-terrex-free-hiker-2-gtx/p", "https://www.als.com/adid-o-m-boot-terrex-free-hiker-2-gtx/p")</f>
        <v>https://www.als.com/adid-o-m-boot-terrex-free-hiker-2-gtx/p</v>
      </c>
      <c r="C449" t="s">
        <v>629</v>
      </c>
      <c r="D449" t="s">
        <v>1647</v>
      </c>
      <c r="E449" s="3" t="str">
        <f>HYPERLINK("https://www.amazon.com/adidas-Terrex-Skychaser-Gore-TEX-Hiking/dp/B09VCGLL7Z/ref=sr_1_37?keywords=adidas+Terrex+Free+Hiker+2+Gore-Tex+Hiking+Shoe+-+Men%27s&amp;qid=1695124133&amp;sr=8-37", "https://www.amazon.com/adidas-Terrex-Skychaser-Gore-TEX-Hiking/dp/B09VCGLL7Z/ref=sr_1_37?keywords=adidas+Terrex+Free+Hiker+2+Gore-Tex+Hiking+Shoe+-+Men%27s&amp;qid=1695124133&amp;sr=8-37")</f>
        <v>https://www.amazon.com/adidas-Terrex-Skychaser-Gore-TEX-Hiking/dp/B09VCGLL7Z/ref=sr_1_37?keywords=adidas+Terrex+Free+Hiker+2+Gore-Tex+Hiking+Shoe+-+Men%27s&amp;qid=1695124133&amp;sr=8-37</v>
      </c>
      <c r="F449" t="s">
        <v>1648</v>
      </c>
      <c r="G449" t="e">
        <f ca="1">IMAGE("https://alssports.vtexassets.com/arquivos/ids/1167770-800-auto?v=638032858310700000&amp;width=800&amp;height=auto&amp;aspect=true")</f>
        <v>#NAME?</v>
      </c>
      <c r="H449" t="e">
        <f ca="1">IMAGE("https://m.media-amazon.com/images/I/71aUw1dEFQL._AC_UL320_.jpg")</f>
        <v>#NAME?</v>
      </c>
      <c r="I449" t="s">
        <v>625</v>
      </c>
      <c r="J449">
        <v>93.5</v>
      </c>
      <c r="K449" s="2" t="s">
        <v>1649</v>
      </c>
      <c r="L449">
        <v>3.8</v>
      </c>
      <c r="M449">
        <v>7</v>
      </c>
      <c r="O449" t="s">
        <v>33</v>
      </c>
      <c r="P449" t="s">
        <v>627</v>
      </c>
      <c r="Q449" t="s">
        <v>630</v>
      </c>
    </row>
    <row r="450" spans="1:17" ht="15.75" x14ac:dyDescent="0.25">
      <c r="A450" s="3" t="str">
        <f>HYPERLINK("https://www.als.com/adid-o-m-boot-free-hiker-2-gtx/p?skuId=1276368", "https://www.als.com/adid-o-m-boot-free-hiker-2-gtx/p?skuId=1276368")</f>
        <v>https://www.als.com/adid-o-m-boot-free-hiker-2-gtx/p?skuId=1276368</v>
      </c>
      <c r="B450" s="3" t="str">
        <f>HYPERLINK("https://www.als.com/adid-o-m-boot-free-hiker-2-gtx/p", "https://www.als.com/adid-o-m-boot-free-hiker-2-gtx/p")</f>
        <v>https://www.als.com/adid-o-m-boot-free-hiker-2-gtx/p</v>
      </c>
      <c r="C450" t="s">
        <v>622</v>
      </c>
      <c r="D450" t="s">
        <v>1647</v>
      </c>
      <c r="E450" s="3" t="str">
        <f>HYPERLINK("https://www.amazon.com/adidas-Terrex-Skychaser-Gore-TEX-Hiking/dp/B09VCGLL7Z/ref=sr_1_38?keywords=adidas+Terrex+Free+Hiker+Gore-Tex+2.0+Hiking+Shoe+-+Men%27s&amp;qid=1695124395&amp;sr=8-38", "https://www.amazon.com/adidas-Terrex-Skychaser-Gore-TEX-Hiking/dp/B09VCGLL7Z/ref=sr_1_38?keywords=adidas+Terrex+Free+Hiker+Gore-Tex+2.0+Hiking+Shoe+-+Men%27s&amp;qid=1695124395&amp;sr=8-38")</f>
        <v>https://www.amazon.com/adidas-Terrex-Skychaser-Gore-TEX-Hiking/dp/B09VCGLL7Z/ref=sr_1_38?keywords=adidas+Terrex+Free+Hiker+Gore-Tex+2.0+Hiking+Shoe+-+Men%27s&amp;qid=1695124395&amp;sr=8-38</v>
      </c>
      <c r="F450" t="s">
        <v>1648</v>
      </c>
      <c r="G450" t="e">
        <f ca="1">IMAGE("https://alssports.vtexassets.com/arquivos/ids/1274061-800-auto?v=638150973883100000&amp;width=800&amp;height=auto&amp;aspect=true")</f>
        <v>#NAME?</v>
      </c>
      <c r="H450" t="e">
        <f ca="1">IMAGE("https://m.media-amazon.com/images/I/71aUw1dEFQL._AC_UL320_.jpg")</f>
        <v>#NAME?</v>
      </c>
      <c r="I450" t="s">
        <v>625</v>
      </c>
      <c r="J450">
        <v>93.5</v>
      </c>
      <c r="K450" s="2" t="s">
        <v>1649</v>
      </c>
      <c r="L450">
        <v>3.8</v>
      </c>
      <c r="M450">
        <v>7</v>
      </c>
      <c r="O450" t="s">
        <v>33</v>
      </c>
      <c r="P450" t="s">
        <v>627</v>
      </c>
      <c r="Q450" t="s">
        <v>628</v>
      </c>
    </row>
    <row r="451" spans="1:17" ht="15.75" x14ac:dyDescent="0.25">
      <c r="A451" s="3" t="str">
        <f>HYPERLINK("https://www.als.com/adid-o-w-boot-free-hiker-2-gtx/p?skuId=1276361", "https://www.als.com/adid-o-w-boot-free-hiker-2-gtx/p?skuId=1276361")</f>
        <v>https://www.als.com/adid-o-w-boot-free-hiker-2-gtx/p?skuId=1276361</v>
      </c>
      <c r="B451" s="3" t="str">
        <f>HYPERLINK("https://www.als.com/adid-o-w-boot-free-hiker-2-gtx/p", "https://www.als.com/adid-o-w-boot-free-hiker-2-gtx/p")</f>
        <v>https://www.als.com/adid-o-w-boot-free-hiker-2-gtx/p</v>
      </c>
      <c r="C451" t="s">
        <v>650</v>
      </c>
      <c r="D451" t="s">
        <v>1647</v>
      </c>
      <c r="E451" s="3" t="str">
        <f>HYPERLINK("https://www.amazon.com/adidas-Terrex-Skychaser-Gore-TEX-Hiking/dp/B09VCK3J5G/ref=sr_1_20?keywords=adidas+Terrex+Free+Hiker+Gore-Tex+2.0+Hiking+Shoe+-+Womens&amp;qid=1695124163&amp;sr=8-20", "https://www.amazon.com/adidas-Terrex-Skychaser-Gore-TEX-Hiking/dp/B09VCK3J5G/ref=sr_1_20?keywords=adidas+Terrex+Free+Hiker+Gore-Tex+2.0+Hiking+Shoe+-+Womens&amp;qid=1695124163&amp;sr=8-20")</f>
        <v>https://www.amazon.com/adidas-Terrex-Skychaser-Gore-TEX-Hiking/dp/B09VCK3J5G/ref=sr_1_20?keywords=adidas+Terrex+Free+Hiker+Gore-Tex+2.0+Hiking+Shoe+-+Womens&amp;qid=1695124163&amp;sr=8-20</v>
      </c>
      <c r="F451" t="s">
        <v>1650</v>
      </c>
      <c r="G451" t="e">
        <f ca="1">IMAGE("https://alssports.vtexassets.com/arquivos/ids/1274057-800-auto?v=638150971944670000&amp;width=800&amp;height=auto&amp;aspect=true")</f>
        <v>#NAME?</v>
      </c>
      <c r="H451" t="e">
        <f ca="1">IMAGE("https://m.media-amazon.com/images/I/71aUw1dEFQL._AC_UL320_.jpg")</f>
        <v>#NAME?</v>
      </c>
      <c r="I451" t="s">
        <v>625</v>
      </c>
      <c r="J451">
        <v>93.5</v>
      </c>
      <c r="K451" s="2" t="s">
        <v>1649</v>
      </c>
      <c r="L451">
        <v>3.8</v>
      </c>
      <c r="M451">
        <v>7</v>
      </c>
      <c r="O451" t="s">
        <v>33</v>
      </c>
      <c r="P451" t="s">
        <v>627</v>
      </c>
      <c r="Q451" t="s">
        <v>653</v>
      </c>
    </row>
    <row r="452" spans="1:17" ht="15.75" x14ac:dyDescent="0.25">
      <c r="A452" s="3" t="str">
        <f>HYPERLINK("https://www.als.com/altra-w-shoe-timp-4/p?skuId=929220", "https://www.als.com/altra-w-shoe-timp-4/p?skuId=929220")</f>
        <v>https://www.als.com/altra-w-shoe-timp-4/p?skuId=929220</v>
      </c>
      <c r="B452" s="3" t="str">
        <f>HYPERLINK("https://www.als.com/altra-w-shoe-timp-4/p", "https://www.als.com/altra-w-shoe-timp-4/p")</f>
        <v>https://www.als.com/altra-w-shoe-timp-4/p</v>
      </c>
      <c r="C452" t="s">
        <v>829</v>
      </c>
      <c r="D452" t="s">
        <v>1651</v>
      </c>
      <c r="E452" s="3" t="str">
        <f>HYPERLINK("https://www.amazon.com/ALTRA-Womens-AL0A4VR9-All-WTHR-Running/dp/B08P4MNNCP/ref=sr_1_25?keywords=Altra+Timp+4+Running+Shoe+-+Womens&amp;qid=1695124369&amp;sr=8-25", "https://www.amazon.com/ALTRA-Womens-AL0A4VR9-All-WTHR-Running/dp/B08P4MNNCP/ref=sr_1_25?keywords=Altra+Timp+4+Running+Shoe+-+Womens&amp;qid=1695124369&amp;sr=8-25")</f>
        <v>https://www.amazon.com/ALTRA-Womens-AL0A4VR9-All-WTHR-Running/dp/B08P4MNNCP/ref=sr_1_25?keywords=Altra+Timp+4+Running+Shoe+-+Womens&amp;qid=1695124369&amp;sr=8-25</v>
      </c>
      <c r="F452" t="s">
        <v>1652</v>
      </c>
      <c r="G452" t="e">
        <f ca="1">IMAGE("https://alssports.vtexassets.com/arquivos/ids/1112796-800-auto?v=637957454637830000&amp;width=800&amp;height=auto&amp;aspect=true")</f>
        <v>#NAME?</v>
      </c>
      <c r="H452" t="e">
        <f ca="1">IMAGE("https://m.media-amazon.com/images/I/61oB77JQahL._AC_UL320_.jpg")</f>
        <v>#NAME?</v>
      </c>
      <c r="I452" t="s">
        <v>88</v>
      </c>
      <c r="J452">
        <v>130</v>
      </c>
      <c r="K452" s="2" t="s">
        <v>1653</v>
      </c>
      <c r="L452">
        <v>4.2</v>
      </c>
      <c r="M452">
        <v>239</v>
      </c>
      <c r="O452" t="s">
        <v>33</v>
      </c>
      <c r="P452" t="s">
        <v>832</v>
      </c>
      <c r="Q452" t="s">
        <v>833</v>
      </c>
    </row>
    <row r="453" spans="1:17" ht="15.75" x14ac:dyDescent="0.25">
      <c r="A453" s="3" t="str">
        <f>HYPERLINK("https://www.als.com/altra-w-shoe-timp-4/p?skuId=929220", "https://www.als.com/altra-w-shoe-timp-4/p?skuId=929220")</f>
        <v>https://www.als.com/altra-w-shoe-timp-4/p?skuId=929220</v>
      </c>
      <c r="B453" s="3" t="str">
        <f>HYPERLINK("https://www.als.com/altra-w-shoe-timp-4/p", "https://www.als.com/altra-w-shoe-timp-4/p")</f>
        <v>https://www.als.com/altra-w-shoe-timp-4/p</v>
      </c>
      <c r="C453" t="s">
        <v>829</v>
      </c>
      <c r="D453" t="s">
        <v>1654</v>
      </c>
      <c r="E453" s="3" t="str">
        <f>HYPERLINK("https://www.amazon.com/ALTRA-Womens-AL0A82CM-Superior-Running/dp/B0BK2J13CT/ref=sr_1_22?keywords=Altra+Timp+4+Running+Shoe+-+Womens&amp;qid=1695124369&amp;sr=8-22", "https://www.amazon.com/ALTRA-Womens-AL0A82CM-Superior-Running/dp/B0BK2J13CT/ref=sr_1_22?keywords=Altra+Timp+4+Running+Shoe+-+Womens&amp;qid=1695124369&amp;sr=8-22")</f>
        <v>https://www.amazon.com/ALTRA-Womens-AL0A82CM-Superior-Running/dp/B0BK2J13CT/ref=sr_1_22?keywords=Altra+Timp+4+Running+Shoe+-+Womens&amp;qid=1695124369&amp;sr=8-22</v>
      </c>
      <c r="F453" t="s">
        <v>1655</v>
      </c>
      <c r="G453" t="e">
        <f ca="1">IMAGE("https://alssports.vtexassets.com/arquivos/ids/1112796-800-auto?v=637957454637830000&amp;width=800&amp;height=auto&amp;aspect=true")</f>
        <v>#NAME?</v>
      </c>
      <c r="H453" t="e">
        <f ca="1">IMAGE("https://m.media-amazon.com/images/I/71i5-63V5tL._AC_UL320_.jpg")</f>
        <v>#NAME?</v>
      </c>
      <c r="I453" t="s">
        <v>88</v>
      </c>
      <c r="J453">
        <v>129.94999999999999</v>
      </c>
      <c r="K453" s="2" t="s">
        <v>1656</v>
      </c>
      <c r="L453">
        <v>3.8</v>
      </c>
      <c r="M453">
        <v>5</v>
      </c>
      <c r="O453" t="s">
        <v>33</v>
      </c>
      <c r="P453" t="s">
        <v>832</v>
      </c>
      <c r="Q453" t="s">
        <v>833</v>
      </c>
    </row>
    <row r="454" spans="1:17" ht="15.75" x14ac:dyDescent="0.25">
      <c r="A454" s="3" t="str">
        <f>HYPERLINK("https://www.als.com/under-m-charged-verssert-run-shoe/p?skuId=1204906", "https://www.als.com/under-m-charged-verssert-run-shoe/p?skuId=1204906")</f>
        <v>https://www.als.com/under-m-charged-verssert-run-shoe/p?skuId=1204906</v>
      </c>
      <c r="B454" s="3" t="str">
        <f>HYPERLINK("https://www.als.com/under-m-charged-verssert-run-shoe/p", "https://www.als.com/under-m-charged-verssert-run-shoe/p")</f>
        <v>https://www.als.com/under-m-charged-verssert-run-shoe/p</v>
      </c>
      <c r="C454" t="s">
        <v>60</v>
      </c>
      <c r="D454" t="s">
        <v>1657</v>
      </c>
      <c r="E454" s="3" t="str">
        <f>HYPERLINK("https://www.amazon.com/Under-Armour-Surge-Running-Black/dp/B09692NZPM/ref=sr_1_20?keywords=Under+Armour+Charged+Verssert+Running+Shoe+-+Mens&amp;qid=1695124491&amp;sr=8-20", "https://www.amazon.com/Under-Armour-Surge-Running-Black/dp/B09692NZPM/ref=sr_1_20?keywords=Under+Armour+Charged+Verssert+Running+Shoe+-+Mens&amp;qid=1695124491&amp;sr=8-20")</f>
        <v>https://www.amazon.com/Under-Armour-Surge-Running-Black/dp/B09692NZPM/ref=sr_1_20?keywords=Under+Armour+Charged+Verssert+Running+Shoe+-+Mens&amp;qid=1695124491&amp;sr=8-20</v>
      </c>
      <c r="F454" t="s">
        <v>1658</v>
      </c>
      <c r="G454" t="e">
        <f ca="1">IMAGE("https://alssports.vtexassets.com/arquivos/ids/1282426-800-auto?v=638158001411130000&amp;width=800&amp;height=auto&amp;aspect=true")</f>
        <v>#NAME?</v>
      </c>
      <c r="H454" t="e">
        <f ca="1">IMAGE("https://m.media-amazon.com/images/I/51sQuWP5SdL._AC_UL320_.jpg")</f>
        <v>#NAME?</v>
      </c>
      <c r="I454" t="s">
        <v>63</v>
      </c>
      <c r="J454">
        <v>60.78</v>
      </c>
      <c r="K454" s="2" t="s">
        <v>1659</v>
      </c>
      <c r="L454">
        <v>4.5999999999999996</v>
      </c>
      <c r="M454">
        <v>5036</v>
      </c>
      <c r="O454" t="s">
        <v>33</v>
      </c>
      <c r="P454" t="s">
        <v>26</v>
      </c>
      <c r="Q454" t="s">
        <v>64</v>
      </c>
    </row>
    <row r="455" spans="1:17" ht="15.75" x14ac:dyDescent="0.25">
      <c r="A455" s="3" t="str">
        <f>HYPERLINK("https://www.als.com/under-girls-ua-fly-by-shorts/p?skuId=1145406", "https://www.als.com/under-girls-ua-fly-by-shorts/p?skuId=1145406")</f>
        <v>https://www.als.com/under-girls-ua-fly-by-shorts/p?skuId=1145406</v>
      </c>
      <c r="B455" s="3" t="str">
        <f>HYPERLINK("https://www.als.com/under-girls-ua-fly-by-shorts/p", "https://www.als.com/under-girls-ua-fly-by-shorts/p")</f>
        <v>https://www.als.com/under-girls-ua-fly-by-shorts/p</v>
      </c>
      <c r="C455" t="s">
        <v>1660</v>
      </c>
      <c r="D455" t="s">
        <v>1661</v>
      </c>
      <c r="E455" s="3" t="str">
        <f>HYPERLINK("https://www.amazon.com/Under-Armour-Printed-Shorts-Cerise/dp/B08LMF75FK/ref=sr_1_6?keywords=Under+Armour+Fly+By+Short+-+Girls&amp;qid=1695124352&amp;sr=8-6", "https://www.amazon.com/Under-Armour-Printed-Shorts-Cerise/dp/B08LMF75FK/ref=sr_1_6?keywords=Under+Armour+Fly+By+Short+-+Girls&amp;qid=1695124352&amp;sr=8-6")</f>
        <v>https://www.amazon.com/Under-Armour-Printed-Shorts-Cerise/dp/B08LMF75FK/ref=sr_1_6?keywords=Under+Armour+Fly+By+Short+-+Girls&amp;qid=1695124352&amp;sr=8-6</v>
      </c>
      <c r="F455" t="s">
        <v>1662</v>
      </c>
      <c r="G455" t="e">
        <f ca="1">IMAGE("https://alssports.vtexassets.com/arquivos/ids/1216188-800-auto?v=638098245991900000&amp;width=800&amp;height=auto&amp;aspect=true")</f>
        <v>#NAME?</v>
      </c>
      <c r="H455" t="e">
        <f ca="1">IMAGE("https://m.media-amazon.com/images/I/818X41iveKL._AC_UL320_.jpg")</f>
        <v>#NAME?</v>
      </c>
      <c r="I455" t="s">
        <v>293</v>
      </c>
      <c r="J455">
        <v>9.7200000000000006</v>
      </c>
      <c r="K455" s="2" t="s">
        <v>1663</v>
      </c>
      <c r="L455">
        <v>4.8</v>
      </c>
      <c r="M455">
        <v>528</v>
      </c>
      <c r="O455" t="s">
        <v>33</v>
      </c>
      <c r="P455" t="s">
        <v>1664</v>
      </c>
      <c r="Q455" t="s">
        <v>1665</v>
      </c>
    </row>
    <row r="456" spans="1:17" ht="15.75" x14ac:dyDescent="0.25">
      <c r="A456" s="3" t="str">
        <f>HYPERLINK("https://www.als.com/chaco-w-z-cloud-x2/p?skuId=1189915", "https://www.als.com/chaco-w-z-cloud-x2/p?skuId=1189915")</f>
        <v>https://www.als.com/chaco-w-z-cloud-x2/p?skuId=1189915</v>
      </c>
      <c r="B456" s="3" t="str">
        <f>HYPERLINK("https://www.als.com/chaco-w-z-cloud-x2/p", "https://www.als.com/chaco-w-z-cloud-x2/p")</f>
        <v>https://www.als.com/chaco-w-z-cloud-x2/p</v>
      </c>
      <c r="C456" t="s">
        <v>1666</v>
      </c>
      <c r="D456" t="s">
        <v>538</v>
      </c>
      <c r="E456" s="3" t="str">
        <f>HYPERLINK("https://www.amazon.com/Chaco-Redrock-Hiking-Shoes-Black/dp/B000ZIIBXU/ref=sr_1_14?keywords=Chaco+Z%2FCloud+X2+Sandal+-+Women%27s&amp;qid=1695124356&amp;sr=8-14", "https://www.amazon.com/Chaco-Redrock-Hiking-Shoes-Black/dp/B000ZIIBXU/ref=sr_1_14?keywords=Chaco+Z%2FCloud+X2+Sandal+-+Women%27s&amp;qid=1695124356&amp;sr=8-14")</f>
        <v>https://www.amazon.com/Chaco-Redrock-Hiking-Shoes-Black/dp/B000ZIIBXU/ref=sr_1_14?keywords=Chaco+Z%2FCloud+X2+Sandal+-+Women%27s&amp;qid=1695124356&amp;sr=8-14</v>
      </c>
      <c r="F456" t="s">
        <v>1667</v>
      </c>
      <c r="G456" t="e">
        <f ca="1">IMAGE("https://alssports.vtexassets.com/arquivos/ids/1151291-800-auto?v=638011934399000000&amp;width=800&amp;height=auto&amp;aspect=true")</f>
        <v>#NAME?</v>
      </c>
      <c r="H456" t="e">
        <f ca="1">IMAGE("https://m.media-amazon.com/images/I/716r4CqpBnL._AC_UL320_.jpg")</f>
        <v>#NAME?</v>
      </c>
      <c r="I456" t="s">
        <v>268</v>
      </c>
      <c r="J456">
        <v>33.950000000000003</v>
      </c>
      <c r="K456" s="2" t="s">
        <v>1668</v>
      </c>
      <c r="L456">
        <v>4.5</v>
      </c>
      <c r="M456">
        <v>3398</v>
      </c>
      <c r="O456" t="s">
        <v>33</v>
      </c>
      <c r="P456" t="s">
        <v>269</v>
      </c>
      <c r="Q456" t="s">
        <v>1669</v>
      </c>
    </row>
    <row r="457" spans="1:17" ht="15.75" x14ac:dyDescent="0.25">
      <c r="A457" s="3" t="str">
        <f>HYPERLINK("https://www.als.com/chaco-w-sandal-mega-zcloud/p?skuId=932008", "https://www.als.com/chaco-w-sandal-mega-zcloud/p?skuId=932008")</f>
        <v>https://www.als.com/chaco-w-sandal-mega-zcloud/p?skuId=932008</v>
      </c>
      <c r="B457" s="3" t="str">
        <f>HYPERLINK("https://www.als.com/chaco-w-sandal-mega-zcloud/p", "https://www.als.com/chaco-w-sandal-mega-zcloud/p")</f>
        <v>https://www.als.com/chaco-w-sandal-mega-zcloud/p</v>
      </c>
      <c r="C457" t="s">
        <v>564</v>
      </c>
      <c r="D457" t="s">
        <v>538</v>
      </c>
      <c r="E457" s="3" t="str">
        <f>HYPERLINK("https://www.amazon.com/Chaco-Redrock-Hiking-Shoes-Black/dp/B000ZIIBXU/ref=sr_1_14?keywords=Chaco+Mega+Z%2FCloud+Sandal+-+Women%27s&amp;qid=1695124146&amp;sr=8-14", "https://www.amazon.com/Chaco-Redrock-Hiking-Shoes-Black/dp/B000ZIIBXU/ref=sr_1_14?keywords=Chaco+Mega+Z%2FCloud+Sandal+-+Women%27s&amp;qid=1695124146&amp;sr=8-14")</f>
        <v>https://www.amazon.com/Chaco-Redrock-Hiking-Shoes-Black/dp/B000ZIIBXU/ref=sr_1_14?keywords=Chaco+Mega+Z%2FCloud+Sandal+-+Women%27s&amp;qid=1695124146&amp;sr=8-14</v>
      </c>
      <c r="F457" t="s">
        <v>1667</v>
      </c>
      <c r="G457" t="e">
        <f ca="1">IMAGE("https://alssports.vtexassets.com/arquivos/ids/1428304-800-auto?v=638283389320470000&amp;width=800&amp;height=auto&amp;aspect=true")</f>
        <v>#NAME?</v>
      </c>
      <c r="H457" t="e">
        <f ca="1">IMAGE("https://m.media-amazon.com/images/I/716r4CqpBnL._AC_UL320_.jpg")</f>
        <v>#NAME?</v>
      </c>
      <c r="I457" t="s">
        <v>268</v>
      </c>
      <c r="J457">
        <v>33.950000000000003</v>
      </c>
      <c r="K457" s="2" t="s">
        <v>1668</v>
      </c>
      <c r="L457">
        <v>4.5</v>
      </c>
      <c r="M457" t="s">
        <v>26</v>
      </c>
      <c r="O457" t="s">
        <v>33</v>
      </c>
      <c r="P457" t="s">
        <v>269</v>
      </c>
      <c r="Q457" t="s">
        <v>568</v>
      </c>
    </row>
    <row r="458" spans="1:17" ht="15.75" x14ac:dyDescent="0.25">
      <c r="A458" s="3" t="str">
        <f>HYPERLINK("https://www.als.com/chaco-w-sandal-z2-classic/p?skuId=931925", "https://www.als.com/chaco-w-sandal-z2-classic/p?skuId=931925")</f>
        <v>https://www.als.com/chaco-w-sandal-z2-classic/p?skuId=931925</v>
      </c>
      <c r="B458" s="3" t="str">
        <f>HYPERLINK("https://www.als.com/chaco-w-sandal-z2-classic/p", "https://www.als.com/chaco-w-sandal-z2-classic/p")</f>
        <v>https://www.als.com/chaco-w-sandal-z2-classic/p</v>
      </c>
      <c r="C458" t="s">
        <v>569</v>
      </c>
      <c r="D458" t="s">
        <v>538</v>
      </c>
      <c r="E458" s="3" t="str">
        <f>HYPERLINK("https://www.amazon.com/Chaco-Redrock-Hiking-Shoes-Black/dp/B000ZIIBXU/ref=sr_1_15?keywords=Chaco+Z%2F2+Classic+Sandal+-+Women%27s&amp;qid=1695124158&amp;sr=8-15", "https://www.amazon.com/Chaco-Redrock-Hiking-Shoes-Black/dp/B000ZIIBXU/ref=sr_1_15?keywords=Chaco+Z%2F2+Classic+Sandal+-+Women%27s&amp;qid=1695124158&amp;sr=8-15")</f>
        <v>https://www.amazon.com/Chaco-Redrock-Hiking-Shoes-Black/dp/B000ZIIBXU/ref=sr_1_15?keywords=Chaco+Z%2F2+Classic+Sandal+-+Women%27s&amp;qid=1695124158&amp;sr=8-15</v>
      </c>
      <c r="F458" t="s">
        <v>1667</v>
      </c>
      <c r="G458" t="e">
        <f ca="1">IMAGE("https://alssports.vtexassets.com/arquivos/ids/1041595-800-auto?v=637847825645570000&amp;width=800&amp;height=auto&amp;aspect=true")</f>
        <v>#NAME?</v>
      </c>
      <c r="H458" t="e">
        <f ca="1">IMAGE("https://m.media-amazon.com/images/I/716r4CqpBnL._AC_UL320_.jpg")</f>
        <v>#NAME?</v>
      </c>
      <c r="I458" t="s">
        <v>268</v>
      </c>
      <c r="J458">
        <v>33.950000000000003</v>
      </c>
      <c r="K458" s="2" t="s">
        <v>1668</v>
      </c>
      <c r="L458">
        <v>4.5</v>
      </c>
      <c r="M458">
        <v>3398</v>
      </c>
      <c r="O458" t="s">
        <v>33</v>
      </c>
      <c r="P458" t="s">
        <v>269</v>
      </c>
      <c r="Q458" t="s">
        <v>570</v>
      </c>
    </row>
    <row r="459" spans="1:17" ht="15.75" x14ac:dyDescent="0.25">
      <c r="A459" s="3" t="str">
        <f>HYPERLINK("https://www.als.com/under-m-charged-verssert-run-shoe/p?skuId=1204906", "https://www.als.com/under-m-charged-verssert-run-shoe/p?skuId=1204906")</f>
        <v>https://www.als.com/under-m-charged-verssert-run-shoe/p?skuId=1204906</v>
      </c>
      <c r="B459" s="3" t="str">
        <f>HYPERLINK("https://www.als.com/under-m-charged-verssert-run-shoe/p", "https://www.als.com/under-m-charged-verssert-run-shoe/p")</f>
        <v>https://www.als.com/under-m-charged-verssert-run-shoe/p</v>
      </c>
      <c r="C459" t="s">
        <v>60</v>
      </c>
      <c r="D459" t="s">
        <v>1670</v>
      </c>
      <c r="E459" s="3" t="str">
        <f>HYPERLINK("https://www.amazon.com/Under-Armour-Charged-Assert-Running/dp/B0BGQMQTKG/ref=sr_1_5?keywords=Under+Armour+Charged+Verssert+Running+Shoe+-+Mens&amp;qid=1695124491&amp;sr=8-5", "https://www.amazon.com/Under-Armour-Charged-Assert-Running/dp/B0BGQMQTKG/ref=sr_1_5?keywords=Under+Armour+Charged+Verssert+Running+Shoe+-+Mens&amp;qid=1695124491&amp;sr=8-5")</f>
        <v>https://www.amazon.com/Under-Armour-Charged-Assert-Running/dp/B0BGQMQTKG/ref=sr_1_5?keywords=Under+Armour+Charged+Verssert+Running+Shoe+-+Mens&amp;qid=1695124491&amp;sr=8-5</v>
      </c>
      <c r="F459" t="s">
        <v>1671</v>
      </c>
      <c r="G459" t="e">
        <f ca="1">IMAGE("https://alssports.vtexassets.com/arquivos/ids/1282426-800-auto?v=638158001411130000&amp;width=800&amp;height=auto&amp;aspect=true")</f>
        <v>#NAME?</v>
      </c>
      <c r="H459" t="e">
        <f ca="1">IMAGE("https://m.media-amazon.com/images/I/71f1KIZSAZL._AC_UL320_.jpg")</f>
        <v>#NAME?</v>
      </c>
      <c r="I459" t="s">
        <v>63</v>
      </c>
      <c r="J459">
        <v>60.51</v>
      </c>
      <c r="K459" s="2" t="s">
        <v>1672</v>
      </c>
      <c r="L459">
        <v>4.4000000000000004</v>
      </c>
      <c r="M459">
        <v>26</v>
      </c>
      <c r="O459" t="s">
        <v>33</v>
      </c>
      <c r="P459" t="s">
        <v>26</v>
      </c>
      <c r="Q459" t="s">
        <v>64</v>
      </c>
    </row>
    <row r="460" spans="1:17" ht="15.75" x14ac:dyDescent="0.25">
      <c r="A460" s="3" t="str">
        <f>HYPERLINK("https://www.als.com/under-m-charged-verssert-run-shoe/p?skuId=1204906", "https://www.als.com/under-m-charged-verssert-run-shoe/p?skuId=1204906")</f>
        <v>https://www.als.com/under-m-charged-verssert-run-shoe/p?skuId=1204906</v>
      </c>
      <c r="B460" s="3" t="str">
        <f>HYPERLINK("https://www.als.com/under-m-charged-verssert-run-shoe/p", "https://www.als.com/under-m-charged-verssert-run-shoe/p")</f>
        <v>https://www.als.com/under-m-charged-verssert-run-shoe/p</v>
      </c>
      <c r="C460" t="s">
        <v>60</v>
      </c>
      <c r="D460" t="s">
        <v>1673</v>
      </c>
      <c r="E460" s="3" t="str">
        <f>HYPERLINK("https://www.amazon.com/Under-Armour-Charged-Assert-Running/dp/B09XBW8F76/ref=sr_1_6?keywords=Under+Armour+Charged+Verssert+Running+Shoe+-+Mens&amp;qid=1695124491&amp;sr=8-6", "https://www.amazon.com/Under-Armour-Charged-Assert-Running/dp/B09XBW8F76/ref=sr_1_6?keywords=Under+Armour+Charged+Verssert+Running+Shoe+-+Mens&amp;qid=1695124491&amp;sr=8-6")</f>
        <v>https://www.amazon.com/Under-Armour-Charged-Assert-Running/dp/B09XBW8F76/ref=sr_1_6?keywords=Under+Armour+Charged+Verssert+Running+Shoe+-+Mens&amp;qid=1695124491&amp;sr=8-6</v>
      </c>
      <c r="F460" t="s">
        <v>1674</v>
      </c>
      <c r="G460" t="e">
        <f ca="1">IMAGE("https://alssports.vtexassets.com/arquivos/ids/1282426-800-auto?v=638158001411130000&amp;width=800&amp;height=auto&amp;aspect=true")</f>
        <v>#NAME?</v>
      </c>
      <c r="H460" t="e">
        <f ca="1">IMAGE("https://m.media-amazon.com/images/I/61ynNc0nmrL._AC_UL320_.jpg")</f>
        <v>#NAME?</v>
      </c>
      <c r="I460" t="s">
        <v>63</v>
      </c>
      <c r="J460">
        <v>60.51</v>
      </c>
      <c r="K460" s="2" t="s">
        <v>1672</v>
      </c>
      <c r="L460">
        <v>4.5</v>
      </c>
      <c r="M460">
        <v>757</v>
      </c>
      <c r="O460" t="s">
        <v>33</v>
      </c>
      <c r="P460" t="s">
        <v>26</v>
      </c>
      <c r="Q460" t="s">
        <v>64</v>
      </c>
    </row>
    <row r="461" spans="1:17" ht="15.75" x14ac:dyDescent="0.25">
      <c r="A461" s="3" t="str">
        <f>HYPERLINK("https://www.als.com/reding-boot-benchmark---sticky-rubber/p?skuId=575133", "https://www.als.com/reding-boot-benchmark---sticky-rubber/p?skuId=575133")</f>
        <v>https://www.als.com/reding-boot-benchmark---sticky-rubber/p?skuId=575133</v>
      </c>
      <c r="B461" s="3" t="str">
        <f>HYPERLINK("https://www.als.com/reding-boot-benchmark---sticky-rubber/p", "https://www.als.com/reding-boot-benchmark---sticky-rubber/p")</f>
        <v>https://www.als.com/reding-boot-benchmark---sticky-rubber/p</v>
      </c>
      <c r="C461" t="s">
        <v>745</v>
      </c>
      <c r="D461" t="s">
        <v>746</v>
      </c>
      <c r="E461" s="3" t="str">
        <f>HYPERLINK("https://www.amazon.com/Redington-BENCHMARK-Wading-Boots-Sticky/dp/B084XX4S3X/ref=sr_1_1?keywords=Redington+Benchmark+Wading+Boot&amp;qid=1695124429&amp;sr=8-1", "https://www.amazon.com/Redington-BENCHMARK-Wading-Boots-Sticky/dp/B084XX4S3X/ref=sr_1_1?keywords=Redington+Benchmark+Wading+Boot&amp;qid=1695124429&amp;sr=8-1")</f>
        <v>https://www.amazon.com/Redington-BENCHMARK-Wading-Boots-Sticky/dp/B084XX4S3X/ref=sr_1_1?keywords=Redington+Benchmark+Wading+Boot&amp;qid=1695124429&amp;sr=8-1</v>
      </c>
      <c r="F461" t="s">
        <v>1675</v>
      </c>
      <c r="G461" t="e">
        <f ca="1">IMAGE("https://alssports.vtexassets.com/arquivos/ids/363994-800-auto?v=637200010729430000&amp;width=800&amp;height=auto&amp;aspect=true")</f>
        <v>#NAME?</v>
      </c>
      <c r="H461" t="e">
        <f ca="1">IMAGE("https://m.media-amazon.com/images/I/91xHhOwCotL._AC_UL320_.jpg")</f>
        <v>#NAME?</v>
      </c>
      <c r="I461" t="s">
        <v>639</v>
      </c>
      <c r="J461">
        <v>96.65</v>
      </c>
      <c r="K461" s="2" t="s">
        <v>1676</v>
      </c>
      <c r="L461">
        <v>4.4000000000000004</v>
      </c>
      <c r="M461" t="s">
        <v>26</v>
      </c>
      <c r="O461" t="s">
        <v>33</v>
      </c>
      <c r="P461" t="s">
        <v>26</v>
      </c>
      <c r="Q461" t="s">
        <v>749</v>
      </c>
    </row>
    <row r="462" spans="1:17" ht="15.75" x14ac:dyDescent="0.25">
      <c r="A462" s="3" t="str">
        <f>HYPERLINK("https://www.als.com/mizuno-m-wave-sky-6/p?skuId=1249127", "https://www.als.com/mizuno-m-wave-sky-6/p?skuId=1249127")</f>
        <v>https://www.als.com/mizuno-m-wave-sky-6/p?skuId=1249127</v>
      </c>
      <c r="B462" s="3" t="str">
        <f>HYPERLINK("https://www.als.com/mizuno-m-wave-sky-6/p", "https://www.als.com/mizuno-m-wave-sky-6/p")</f>
        <v>https://www.als.com/mizuno-m-wave-sky-6/p</v>
      </c>
      <c r="C462" t="s">
        <v>204</v>
      </c>
      <c r="D462" t="s">
        <v>1677</v>
      </c>
      <c r="E462" s="3" t="str">
        <f>HYPERLINK("https://www.amazon.com/Mizuno-Running-Rider-Odysy-Grey-Metallic/dp/B09KP3MFXT/ref=sr_1_13?keywords=Mizuno+Wave+Sky+6+Wide+Running+Shoe+-+Mens&amp;qid=1695124408&amp;sr=8-13", "https://www.amazon.com/Mizuno-Running-Rider-Odysy-Grey-Metallic/dp/B09KP3MFXT/ref=sr_1_13?keywords=Mizuno+Wave+Sky+6+Wide+Running+Shoe+-+Mens&amp;qid=1695124408&amp;sr=8-13")</f>
        <v>https://www.amazon.com/Mizuno-Running-Rider-Odysy-Grey-Metallic/dp/B09KP3MFXT/ref=sr_1_13?keywords=Mizuno+Wave+Sky+6+Wide+Running+Shoe+-+Mens&amp;qid=1695124408&amp;sr=8-13</v>
      </c>
      <c r="F462" t="s">
        <v>1678</v>
      </c>
      <c r="G462" t="e">
        <f ca="1">IMAGE("https://alssports.vtexassets.com/arquivos/ids/1277484-800-auto?v=638152954723900000&amp;width=800&amp;height=auto&amp;aspect=true")</f>
        <v>#NAME?</v>
      </c>
      <c r="H462" t="e">
        <f ca="1">IMAGE("https://m.media-amazon.com/images/I/810oEalQY9L._AC_UL320_.jpg")</f>
        <v>#NAME?</v>
      </c>
      <c r="I462" t="s">
        <v>164</v>
      </c>
      <c r="J462">
        <v>136.84</v>
      </c>
      <c r="K462" s="2" t="s">
        <v>1679</v>
      </c>
      <c r="L462">
        <v>4.5999999999999996</v>
      </c>
      <c r="M462">
        <v>207</v>
      </c>
      <c r="O462" t="s">
        <v>33</v>
      </c>
      <c r="P462" t="s">
        <v>164</v>
      </c>
      <c r="Q462" t="s">
        <v>207</v>
      </c>
    </row>
    <row r="463" spans="1:17" ht="15.75" x14ac:dyDescent="0.25">
      <c r="A463" s="3" t="str">
        <f>HYPERLINK("https://www.als.com/smitho-helmet-wilder-jr-mips/p?skuId=1277864", "https://www.als.com/smitho-helmet-wilder-jr-mips/p?skuId=1277864")</f>
        <v>https://www.als.com/smitho-helmet-wilder-jr-mips/p?skuId=1277864</v>
      </c>
      <c r="B463" s="3" t="str">
        <f>HYPERLINK("https://www.als.com/smitho-helmet-wilder-jr-mips/p", "https://www.als.com/smitho-helmet-wilder-jr-mips/p")</f>
        <v>https://www.als.com/smitho-helmet-wilder-jr-mips/p</v>
      </c>
      <c r="C463" t="s">
        <v>864</v>
      </c>
      <c r="D463" t="s">
        <v>1680</v>
      </c>
      <c r="E463" s="3" t="str">
        <f>HYPERLINK("https://www.amazon.com/Smith-Optics-Unisex-Sports-Helmet/dp/B00UMBKV8S/ref=sr_1_9?keywords=Smith+Optics+Wilder+Jr.+Helmet+w%2F+MIPS+-+Youth&amp;qid=1695124108&amp;sr=8-9", "https://www.amazon.com/Smith-Optics-Unisex-Sports-Helmet/dp/B00UMBKV8S/ref=sr_1_9?keywords=Smith+Optics+Wilder+Jr.+Helmet+w%2F+MIPS+-+Youth&amp;qid=1695124108&amp;sr=8-9")</f>
        <v>https://www.amazon.com/Smith-Optics-Unisex-Sports-Helmet/dp/B00UMBKV8S/ref=sr_1_9?keywords=Smith+Optics+Wilder+Jr.+Helmet+w%2F+MIPS+-+Youth&amp;qid=1695124108&amp;sr=8-9</v>
      </c>
      <c r="F463" t="s">
        <v>1681</v>
      </c>
      <c r="G463" t="e">
        <f ca="1">IMAGE("https://alssports.vtexassets.com/arquivos/ids/1210653-800-auto?v=638090917714800000&amp;width=800&amp;height=auto&amp;aspect=true")</f>
        <v>#NAME?</v>
      </c>
      <c r="H463" t="e">
        <f ca="1">IMAGE("https://m.media-amazon.com/images/I/61n8nXvlOoL._AC_UL320_.jpg")</f>
        <v>#NAME?</v>
      </c>
      <c r="I463" t="s">
        <v>63</v>
      </c>
      <c r="J463">
        <v>60.34</v>
      </c>
      <c r="K463" s="2" t="s">
        <v>1682</v>
      </c>
      <c r="L463">
        <v>4.7</v>
      </c>
      <c r="M463">
        <v>53</v>
      </c>
      <c r="O463" t="s">
        <v>33</v>
      </c>
      <c r="P463" t="s">
        <v>26</v>
      </c>
      <c r="Q463" t="s">
        <v>868</v>
      </c>
    </row>
    <row r="464" spans="1:17" ht="15.75" x14ac:dyDescent="0.25">
      <c r="A464" s="3" t="str">
        <f>HYPERLINK("https://www.als.com/under-w-hoodie-ua-rival-fleece-hb/p?skuId=818308", "https://www.als.com/under-w-hoodie-ua-rival-fleece-hb/p?skuId=818308")</f>
        <v>https://www.als.com/under-w-hoodie-ua-rival-fleece-hb/p?skuId=818308</v>
      </c>
      <c r="B464" s="3" t="str">
        <f>HYPERLINK("https://www.als.com/under-w-hoodie-ua-rival-fleece-hb/p", "https://www.als.com/under-w-hoodie-ua-rival-fleece-hb/p")</f>
        <v>https://www.als.com/under-w-hoodie-ua-rival-fleece-hb/p</v>
      </c>
      <c r="C464" t="s">
        <v>1683</v>
      </c>
      <c r="D464" t="s">
        <v>1684</v>
      </c>
      <c r="E464" s="3" t="str">
        <f>HYPERLINK("https://www.amazon.com/Under-Armour-Womens-Oatmeal-Heather/dp/B08LN24G94/ref=sr_1_1?keywords=Under+Armour+Rival+Fleece+HB+Hoodie+-+Womens&amp;qid=1695124360&amp;sr=8-1", "https://www.amazon.com/Under-Armour-Womens-Oatmeal-Heather/dp/B08LN24G94/ref=sr_1_1?keywords=Under+Armour+Rival+Fleece+HB+Hoodie+-+Womens&amp;qid=1695124360&amp;sr=8-1")</f>
        <v>https://www.amazon.com/Under-Armour-Womens-Oatmeal-Heather/dp/B08LN24G94/ref=sr_1_1?keywords=Under+Armour+Rival+Fleece+HB+Hoodie+-+Womens&amp;qid=1695124360&amp;sr=8-1</v>
      </c>
      <c r="F464" t="s">
        <v>1685</v>
      </c>
      <c r="G464" t="e">
        <f ca="1">IMAGE("https://alssports.vtexassets.com/arquivos/ids/1229458-800-auto?v=638108711919300000&amp;width=800&amp;height=auto&amp;aspect=true")</f>
        <v>#NAME?</v>
      </c>
      <c r="H464" t="e">
        <f ca="1">IMAGE("https://m.media-amazon.com/images/I/51dOkM5eQrL._AC_UL320_.jpg")</f>
        <v>#NAME?</v>
      </c>
      <c r="I464" t="s">
        <v>93</v>
      </c>
      <c r="J464">
        <v>24.1</v>
      </c>
      <c r="K464" s="2" t="s">
        <v>1686</v>
      </c>
      <c r="L464">
        <v>4.4000000000000004</v>
      </c>
      <c r="M464">
        <v>49</v>
      </c>
      <c r="O464" t="s">
        <v>33</v>
      </c>
      <c r="P464" t="s">
        <v>212</v>
      </c>
      <c r="Q464" t="s">
        <v>1687</v>
      </c>
    </row>
    <row r="465" spans="1:17" ht="15.75" x14ac:dyDescent="0.25">
      <c r="A465" s="3" t="str">
        <f>HYPERLINK("https://www.als.com/asics-ws-shoe-gel-nimbus-24/p?skuId=1037727", "https://www.als.com/asics-ws-shoe-gel-nimbus-24/p?skuId=1037727")</f>
        <v>https://www.als.com/asics-ws-shoe-gel-nimbus-24/p?skuId=1037727</v>
      </c>
      <c r="B465" s="3" t="str">
        <f>HYPERLINK("https://www.als.com/asics-ws-shoe-gel-nimbus-24/p", "https://www.als.com/asics-ws-shoe-gel-nimbus-24/p")</f>
        <v>https://www.als.com/asics-ws-shoe-gel-nimbus-24/p</v>
      </c>
      <c r="C465" t="s">
        <v>1217</v>
      </c>
      <c r="D465" t="s">
        <v>1688</v>
      </c>
      <c r="E465" s="3" t="str">
        <f>HYPERLINK("https://www.amazon.com/ASICS-Womens-Gel-Kayano-Running-Shoes/dp/B0943ZLRGH/ref=sr_1_27?keywords=Asics+GEL-NIMBUS+24+Running+Shoe+-+Womens&amp;qid=1695124093&amp;sr=8-27", "https://www.amazon.com/ASICS-Womens-Gel-Kayano-Running-Shoes/dp/B0943ZLRGH/ref=sr_1_27?keywords=Asics+GEL-NIMBUS+24+Running+Shoe+-+Womens&amp;qid=1695124093&amp;sr=8-27")</f>
        <v>https://www.amazon.com/ASICS-Womens-Gel-Kayano-Running-Shoes/dp/B0943ZLRGH/ref=sr_1_27?keywords=Asics+GEL-NIMBUS+24+Running+Shoe+-+Womens&amp;qid=1695124093&amp;sr=8-27</v>
      </c>
      <c r="F465" t="s">
        <v>1689</v>
      </c>
      <c r="G465" t="e">
        <f ca="1">IMAGE("https://alssports.vtexassets.com/arquivos/ids/1109551-800-auto?v=637950821539330000&amp;width=800&amp;height=auto&amp;aspect=true")</f>
        <v>#NAME?</v>
      </c>
      <c r="H465" t="e">
        <f ca="1">IMAGE("https://m.media-amazon.com/images/I/61ZA59Q2OIL._AC_UL320_.jpg")</f>
        <v>#NAME?</v>
      </c>
      <c r="I465" t="s">
        <v>1220</v>
      </c>
      <c r="J465">
        <v>89.95</v>
      </c>
      <c r="K465" s="2" t="s">
        <v>1690</v>
      </c>
      <c r="L465">
        <v>4.5</v>
      </c>
      <c r="M465">
        <v>4460</v>
      </c>
      <c r="O465" t="s">
        <v>33</v>
      </c>
      <c r="P465" t="s">
        <v>88</v>
      </c>
      <c r="Q465" t="s">
        <v>1222</v>
      </c>
    </row>
    <row r="466" spans="1:17" ht="15.75" x14ac:dyDescent="0.25">
      <c r="A466" s="3" t="str">
        <f>HYPERLINK("https://www.als.com/asics-ws-shoe-gel-nimbus-24/p?skuId=1037727", "https://www.als.com/asics-ws-shoe-gel-nimbus-24/p?skuId=1037727")</f>
        <v>https://www.als.com/asics-ws-shoe-gel-nimbus-24/p?skuId=1037727</v>
      </c>
      <c r="B466" s="3" t="str">
        <f>HYPERLINK("https://www.als.com/asics-ws-shoe-gel-nimbus-24/p", "https://www.als.com/asics-ws-shoe-gel-nimbus-24/p")</f>
        <v>https://www.als.com/asics-ws-shoe-gel-nimbus-24/p</v>
      </c>
      <c r="C466" t="s">
        <v>1217</v>
      </c>
      <c r="D466" t="s">
        <v>1691</v>
      </c>
      <c r="E466" s="3" t="str">
        <f>HYPERLINK("https://www.amazon.com/ASICS-Womens-Gel-Cumulus-Running-Orange/dp/B09CLKXV5K/ref=sr_1_6?keywords=Asics+GEL-NIMBUS+24+Running+Shoe+-+Womens&amp;qid=1695124093&amp;sr=8-6", "https://www.amazon.com/ASICS-Womens-Gel-Cumulus-Running-Orange/dp/B09CLKXV5K/ref=sr_1_6?keywords=Asics+GEL-NIMBUS+24+Running+Shoe+-+Womens&amp;qid=1695124093&amp;sr=8-6")</f>
        <v>https://www.amazon.com/ASICS-Womens-Gel-Cumulus-Running-Orange/dp/B09CLKXV5K/ref=sr_1_6?keywords=Asics+GEL-NIMBUS+24+Running+Shoe+-+Womens&amp;qid=1695124093&amp;sr=8-6</v>
      </c>
      <c r="F466" t="s">
        <v>1692</v>
      </c>
      <c r="G466" t="e">
        <f ca="1">IMAGE("https://alssports.vtexassets.com/arquivos/ids/1109551-800-auto?v=637950821539330000&amp;width=800&amp;height=auto&amp;aspect=true")</f>
        <v>#NAME?</v>
      </c>
      <c r="H466" t="e">
        <f ca="1">IMAGE("https://m.media-amazon.com/images/I/5125do8u9eL._AC_UL320_.jpg")</f>
        <v>#NAME?</v>
      </c>
      <c r="I466" t="s">
        <v>1220</v>
      </c>
      <c r="J466">
        <v>89.95</v>
      </c>
      <c r="K466" s="2" t="s">
        <v>1690</v>
      </c>
      <c r="L466">
        <v>4.5999999999999996</v>
      </c>
      <c r="M466">
        <v>1072</v>
      </c>
      <c r="O466" t="s">
        <v>33</v>
      </c>
      <c r="P466" t="s">
        <v>88</v>
      </c>
      <c r="Q466" t="s">
        <v>1222</v>
      </c>
    </row>
    <row r="467" spans="1:17" ht="15.75" x14ac:dyDescent="0.25">
      <c r="A467" s="3" t="str">
        <f>HYPERLINK("https://www.als.com/asics-ws-shoe-gel-nimbus-24/p?skuId=1037727", "https://www.als.com/asics-ws-shoe-gel-nimbus-24/p?skuId=1037727")</f>
        <v>https://www.als.com/asics-ws-shoe-gel-nimbus-24/p?skuId=1037727</v>
      </c>
      <c r="B467" s="3" t="str">
        <f>HYPERLINK("https://www.als.com/asics-ws-shoe-gel-nimbus-24/p", "https://www.als.com/asics-ws-shoe-gel-nimbus-24/p")</f>
        <v>https://www.als.com/asics-ws-shoe-gel-nimbus-24/p</v>
      </c>
      <c r="C467" t="s">
        <v>1217</v>
      </c>
      <c r="D467" t="s">
        <v>1691</v>
      </c>
      <c r="E467" s="3" t="str">
        <f>HYPERLINK("https://www.amazon.com/ASICS-Womens-Gel-Cumulus-Running-Orange/dp/B09CLPCJYL/ref=sr_1_18?keywords=Asics+GEL-NIMBUS+24+Running+Shoe+-+Womens&amp;qid=1695124093&amp;sr=8-18", "https://www.amazon.com/ASICS-Womens-Gel-Cumulus-Running-Orange/dp/B09CLPCJYL/ref=sr_1_18?keywords=Asics+GEL-NIMBUS+24+Running+Shoe+-+Womens&amp;qid=1695124093&amp;sr=8-18")</f>
        <v>https://www.amazon.com/ASICS-Womens-Gel-Cumulus-Running-Orange/dp/B09CLPCJYL/ref=sr_1_18?keywords=Asics+GEL-NIMBUS+24+Running+Shoe+-+Womens&amp;qid=1695124093&amp;sr=8-18</v>
      </c>
      <c r="F467" t="s">
        <v>1693</v>
      </c>
      <c r="G467" t="e">
        <f ca="1">IMAGE("https://alssports.vtexassets.com/arquivos/ids/1109551-800-auto?v=637950821539330000&amp;width=800&amp;height=auto&amp;aspect=true")</f>
        <v>#NAME?</v>
      </c>
      <c r="H467" t="e">
        <f ca="1">IMAGE("https://m.media-amazon.com/images/I/5125do8u9eL._AC_UL320_.jpg")</f>
        <v>#NAME?</v>
      </c>
      <c r="I467" t="s">
        <v>1220</v>
      </c>
      <c r="J467">
        <v>89.95</v>
      </c>
      <c r="K467" s="2" t="s">
        <v>1690</v>
      </c>
      <c r="L467">
        <v>4.5999999999999996</v>
      </c>
      <c r="M467">
        <v>1072</v>
      </c>
      <c r="O467" t="s">
        <v>33</v>
      </c>
      <c r="P467" t="s">
        <v>88</v>
      </c>
      <c r="Q467" t="s">
        <v>1222</v>
      </c>
    </row>
    <row r="468" spans="1:17" ht="15.75" x14ac:dyDescent="0.25">
      <c r="A468" s="3" t="str">
        <f>HYPERLINK("https://www.als.com/asics-ws-shoe-gel-nimbus-24/p?skuId=1037727", "https://www.als.com/asics-ws-shoe-gel-nimbus-24/p?skuId=1037727")</f>
        <v>https://www.als.com/asics-ws-shoe-gel-nimbus-24/p?skuId=1037727</v>
      </c>
      <c r="B468" s="3" t="str">
        <f>HYPERLINK("https://www.als.com/asics-ws-shoe-gel-nimbus-24/p", "https://www.als.com/asics-ws-shoe-gel-nimbus-24/p")</f>
        <v>https://www.als.com/asics-ws-shoe-gel-nimbus-24/p</v>
      </c>
      <c r="C468" t="s">
        <v>1217</v>
      </c>
      <c r="D468" t="s">
        <v>1694</v>
      </c>
      <c r="E468" s="3" t="str">
        <f>HYPERLINK("https://www.amazon.com/ASICS-Womens-Gel-Nimbus-Running-Lagoon/dp/B09X6LTN2W/ref=sr_1_41?keywords=Asics+GEL-NIMBUS+24+Running+Shoe+-+Womens&amp;qid=1695124093&amp;sr=8-41", "https://www.amazon.com/ASICS-Womens-Gel-Nimbus-Running-Lagoon/dp/B09X6LTN2W/ref=sr_1_41?keywords=Asics+GEL-NIMBUS+24+Running+Shoe+-+Womens&amp;qid=1695124093&amp;sr=8-41")</f>
        <v>https://www.amazon.com/ASICS-Womens-Gel-Nimbus-Running-Lagoon/dp/B09X6LTN2W/ref=sr_1_41?keywords=Asics+GEL-NIMBUS+24+Running+Shoe+-+Womens&amp;qid=1695124093&amp;sr=8-41</v>
      </c>
      <c r="F468" t="s">
        <v>1695</v>
      </c>
      <c r="G468" t="e">
        <f ca="1">IMAGE("https://alssports.vtexassets.com/arquivos/ids/1109551-800-auto?v=637950821539330000&amp;width=800&amp;height=auto&amp;aspect=true")</f>
        <v>#NAME?</v>
      </c>
      <c r="H468" t="e">
        <f ca="1">IMAGE("https://m.media-amazon.com/images/I/612lAOKTVoL._AC_UL320_.jpg")</f>
        <v>#NAME?</v>
      </c>
      <c r="I468" t="s">
        <v>1220</v>
      </c>
      <c r="J468">
        <v>89.95</v>
      </c>
      <c r="K468" s="2" t="s">
        <v>1690</v>
      </c>
      <c r="L468">
        <v>4.7</v>
      </c>
      <c r="M468">
        <v>25</v>
      </c>
      <c r="O468" t="s">
        <v>33</v>
      </c>
      <c r="P468" t="s">
        <v>88</v>
      </c>
      <c r="Q468" t="s">
        <v>1222</v>
      </c>
    </row>
    <row r="469" spans="1:17" ht="15.75" x14ac:dyDescent="0.25">
      <c r="A469" s="3" t="str">
        <f>HYPERLINK("https://www.als.com/adidas-m-shoe-lite-racer-adapt-50/p?skuId=1338101", "https://www.als.com/adidas-m-shoe-lite-racer-adapt-50/p?skuId=1338101")</f>
        <v>https://www.als.com/adidas-m-shoe-lite-racer-adapt-50/p?skuId=1338101</v>
      </c>
      <c r="B469" s="3" t="str">
        <f>HYPERLINK("https://www.als.com/adidas-m-shoe-lite-racer-adapt-50/p", "https://www.als.com/adidas-m-shoe-lite-racer-adapt-50/p")</f>
        <v>https://www.als.com/adidas-m-shoe-lite-racer-adapt-50/p</v>
      </c>
      <c r="C469" t="s">
        <v>1119</v>
      </c>
      <c r="D469" t="s">
        <v>1696</v>
      </c>
      <c r="E469" s="3" t="str">
        <f>HYPERLINK("https://www.amazon.com/adidas-Racer-Adapt-Sneaker-White/dp/B07SDTSNHH/ref=sr_1_7?keywords=adidas+Lite+Racer+Adapt+5.0+Shoe+-+Mens&amp;qid=1695124407&amp;sr=8-7", "https://www.amazon.com/adidas-Racer-Adapt-Sneaker-White/dp/B07SDTSNHH/ref=sr_1_7?keywords=adidas+Lite+Racer+Adapt+5.0+Shoe+-+Mens&amp;qid=1695124407&amp;sr=8-7")</f>
        <v>https://www.amazon.com/adidas-Racer-Adapt-Sneaker-White/dp/B07SDTSNHH/ref=sr_1_7?keywords=adidas+Lite+Racer+Adapt+5.0+Shoe+-+Mens&amp;qid=1695124407&amp;sr=8-7</v>
      </c>
      <c r="F469" t="s">
        <v>1697</v>
      </c>
      <c r="G469" t="e">
        <f ca="1">IMAGE("https://alssports.vtexassets.com/arquivos/ids/1378546-800-auto?v=638248784142700000&amp;width=800&amp;height=auto&amp;aspect=true")</f>
        <v>#NAME?</v>
      </c>
      <c r="H469" t="e">
        <f ca="1">IMAGE("https://m.media-amazon.com/images/I/71IBZhZKnIL._AC_UL320_.jpg")</f>
        <v>#NAME?</v>
      </c>
      <c r="I469" t="s">
        <v>274</v>
      </c>
      <c r="J469">
        <v>56.01</v>
      </c>
      <c r="K469" s="2" t="s">
        <v>1698</v>
      </c>
      <c r="L469">
        <v>4.5999999999999996</v>
      </c>
      <c r="M469">
        <v>3</v>
      </c>
      <c r="O469" t="s">
        <v>33</v>
      </c>
      <c r="P469" t="s">
        <v>26</v>
      </c>
      <c r="Q469" t="s">
        <v>1123</v>
      </c>
    </row>
    <row r="470" spans="1:17" ht="15.75" x14ac:dyDescent="0.25">
      <c r="A470" s="3" t="str">
        <f>HYPERLINK("https://www.als.com/crocs-classic-clog/p?skuId=1196935", "https://www.als.com/crocs-classic-clog/p?skuId=1196935")</f>
        <v>https://www.als.com/crocs-classic-clog/p?skuId=1196935</v>
      </c>
      <c r="B470" s="3" t="str">
        <f>HYPERLINK("https://www.als.com/crocs-classic-clog/p", "https://www.als.com/crocs-classic-clog/p")</f>
        <v>https://www.als.com/crocs-classic-clog/p</v>
      </c>
      <c r="C470" t="s">
        <v>1100</v>
      </c>
      <c r="D470" t="s">
        <v>1699</v>
      </c>
      <c r="E470" s="3" t="str">
        <f>HYPERLINK("https://www.amazon.com/Crocs-Womens-Classic-Platform-Shoes/dp/B088ZXG8CC/ref=sr_1_8?keywords=Crocs+Classic+Clog&amp;qid=1695124151&amp;sr=8-8", "https://www.amazon.com/Crocs-Womens-Classic-Platform-Shoes/dp/B088ZXG8CC/ref=sr_1_8?keywords=Crocs+Classic+Clog&amp;qid=1695124151&amp;sr=8-8")</f>
        <v>https://www.amazon.com/Crocs-Womens-Classic-Platform-Shoes/dp/B088ZXG8CC/ref=sr_1_8?keywords=Crocs+Classic+Clog&amp;qid=1695124151&amp;sr=8-8</v>
      </c>
      <c r="F470" t="s">
        <v>1700</v>
      </c>
      <c r="G470" t="e">
        <f ca="1">IMAGE("https://alssports.vtexassets.com/arquivos/ids/1222253-800-auto?v=638102875835800000&amp;width=800&amp;height=auto&amp;aspect=true")</f>
        <v>#NAME?</v>
      </c>
      <c r="H470" t="e">
        <f ca="1">IMAGE("https://m.media-amazon.com/images/I/812KFeHotyL._AC_UL320_.jpg")</f>
        <v>#NAME?</v>
      </c>
      <c r="I470" t="s">
        <v>157</v>
      </c>
      <c r="J470">
        <v>39.99</v>
      </c>
      <c r="K470" s="2" t="s">
        <v>1701</v>
      </c>
      <c r="L470">
        <v>4.7</v>
      </c>
      <c r="M470">
        <v>11353</v>
      </c>
      <c r="O470" t="s">
        <v>33</v>
      </c>
      <c r="P470" t="s">
        <v>26</v>
      </c>
      <c r="Q470" t="s">
        <v>1103</v>
      </c>
    </row>
    <row r="471" spans="1:17" ht="15.75" x14ac:dyDescent="0.25">
      <c r="A471" s="3" t="str">
        <f>HYPERLINK("https://www.als.com/crocs-classic-clog/p?skuId=1196935", "https://www.als.com/crocs-classic-clog/p?skuId=1196935")</f>
        <v>https://www.als.com/crocs-classic-clog/p?skuId=1196935</v>
      </c>
      <c r="B471" s="3" t="str">
        <f>HYPERLINK("https://www.als.com/crocs-classic-clog/p", "https://www.als.com/crocs-classic-clog/p")</f>
        <v>https://www.als.com/crocs-classic-clog/p</v>
      </c>
      <c r="C471" t="s">
        <v>1100</v>
      </c>
      <c r="D471" t="s">
        <v>1592</v>
      </c>
      <c r="E471" s="3" t="str">
        <f>HYPERLINK("https://www.amazon.com/Crocs-Classic-Sparkly-Metallic-Glitter/dp/B097J21M8C/ref=sr_1_30?keywords=Crocs+Classic+Clog&amp;qid=1695124151&amp;sr=8-30", "https://www.amazon.com/Crocs-Classic-Sparkly-Metallic-Glitter/dp/B097J21M8C/ref=sr_1_30?keywords=Crocs+Classic+Clog&amp;qid=1695124151&amp;sr=8-30")</f>
        <v>https://www.amazon.com/Crocs-Classic-Sparkly-Metallic-Glitter/dp/B097J21M8C/ref=sr_1_30?keywords=Crocs+Classic+Clog&amp;qid=1695124151&amp;sr=8-30</v>
      </c>
      <c r="F471" t="s">
        <v>1702</v>
      </c>
      <c r="G471" t="e">
        <f ca="1">IMAGE("https://alssports.vtexassets.com/arquivos/ids/1222253-800-auto?v=638102875835800000&amp;width=800&amp;height=auto&amp;aspect=true")</f>
        <v>#NAME?</v>
      </c>
      <c r="H471" t="e">
        <f ca="1">IMAGE("https://m.media-amazon.com/images/I/81e9KuztVuL._AC_UL320_.jpg")</f>
        <v>#NAME?</v>
      </c>
      <c r="I471" t="s">
        <v>157</v>
      </c>
      <c r="J471">
        <v>39.99</v>
      </c>
      <c r="K471" s="2" t="s">
        <v>1701</v>
      </c>
      <c r="L471">
        <v>4.5999999999999996</v>
      </c>
      <c r="M471">
        <v>4324</v>
      </c>
      <c r="O471" t="s">
        <v>33</v>
      </c>
      <c r="P471" t="s">
        <v>26</v>
      </c>
      <c r="Q471" t="s">
        <v>1103</v>
      </c>
    </row>
    <row r="472" spans="1:17" ht="15.75" x14ac:dyDescent="0.25">
      <c r="A472" s="3" t="str">
        <f>HYPERLINK("https://www.als.com/heydud-w-shoe-wendy-rise-woven/p?skuId=1317686", "https://www.als.com/heydud-w-shoe-wendy-rise-woven/p?skuId=1317686")</f>
        <v>https://www.als.com/heydud-w-shoe-wendy-rise-woven/p?skuId=1317686</v>
      </c>
      <c r="B472" s="3" t="str">
        <f>HYPERLINK("https://www.als.com/heydud-w-shoe-wendy-rise-woven/p", "https://www.als.com/heydud-w-shoe-wendy-rise-woven/p")</f>
        <v>https://www.als.com/heydud-w-shoe-wendy-rise-woven/p</v>
      </c>
      <c r="C472" t="s">
        <v>425</v>
      </c>
      <c r="D472" t="s">
        <v>1703</v>
      </c>
      <c r="E472" s="3" t="str">
        <f>HYPERLINK("https://www.amazon.com/Hey-Dude-Crochet-Comfortable-Light-Weight/dp/B0B9YVQTY6/ref=sr_1_14?keywords=Hey+Dude+Wendy+Rise+Woven+Shoe+-+Womens&amp;qid=1695124483&amp;sr=8-14", "https://www.amazon.com/Hey-Dude-Crochet-Comfortable-Light-Weight/dp/B0B9YVQTY6/ref=sr_1_14?keywords=Hey+Dude+Wendy+Rise+Woven+Shoe+-+Womens&amp;qid=1695124483&amp;sr=8-14")</f>
        <v>https://www.amazon.com/Hey-Dude-Crochet-Comfortable-Light-Weight/dp/B0B9YVQTY6/ref=sr_1_14?keywords=Hey+Dude+Wendy+Rise+Woven+Shoe+-+Womens&amp;qid=1695124483&amp;sr=8-14</v>
      </c>
      <c r="F472" t="s">
        <v>1704</v>
      </c>
      <c r="G472" t="e">
        <f ca="1">IMAGE("https://alssports.vtexassets.com/arquivos/ids/1387367-800-auto?v=638255482261930000&amp;width=800&amp;height=auto&amp;aspect=true")</f>
        <v>#NAME?</v>
      </c>
      <c r="H472" t="e">
        <f ca="1">IMAGE("https://m.media-amazon.com/images/I/61eo2HIsw5L._AC_UL320_.jpg")</f>
        <v>#NAME?</v>
      </c>
      <c r="I472" t="s">
        <v>58</v>
      </c>
      <c r="J472">
        <v>51.99</v>
      </c>
      <c r="K472" s="2" t="s">
        <v>1705</v>
      </c>
      <c r="L472">
        <v>4.8</v>
      </c>
      <c r="M472">
        <v>9721</v>
      </c>
      <c r="O472" t="s">
        <v>33</v>
      </c>
      <c r="P472" t="s">
        <v>26</v>
      </c>
      <c r="Q472" t="s">
        <v>429</v>
      </c>
    </row>
    <row r="473" spans="1:17" ht="15.75" x14ac:dyDescent="0.25">
      <c r="A473" s="3" t="str">
        <f>HYPERLINK("https://www.als.com/arcteryx-covert-cardigan-womens-114632/p?skuId=1342911", "https://www.als.com/arcteryx-covert-cardigan-womens-114632/p?skuId=1342911")</f>
        <v>https://www.als.com/arcteryx-covert-cardigan-womens-114632/p?skuId=1342911</v>
      </c>
      <c r="B473" s="3" t="str">
        <f>HYPERLINK("https://www.als.com/arcteryx-covert-cardigan-womens-114632/p", "https://www.als.com/arcteryx-covert-cardigan-womens-114632/p")</f>
        <v>https://www.als.com/arcteryx-covert-cardigan-womens-114632/p</v>
      </c>
      <c r="C473" t="s">
        <v>101</v>
      </c>
      <c r="D473" t="s">
        <v>1706</v>
      </c>
      <c r="E473" s="3" t="str">
        <f>HYPERLINK("https://www.amazon.com/Arcteryx-Pullover-Technical-Midweight-Heather/dp/B0B8M98YCX/ref=sr_1_2?keywords=Arc%27teryx+Covert+Cardigan+-+Women%27s&amp;qid=1695124454&amp;sr=8-2", "https://www.amazon.com/Arcteryx-Pullover-Technical-Midweight-Heather/dp/B0B8M98YCX/ref=sr_1_2?keywords=Arc%27teryx+Covert+Cardigan+-+Women%27s&amp;qid=1695124454&amp;sr=8-2")</f>
        <v>https://www.amazon.com/Arcteryx-Pullover-Technical-Midweight-Heather/dp/B0B8M98YCX/ref=sr_1_2?keywords=Arc%27teryx+Covert+Cardigan+-+Women%27s&amp;qid=1695124454&amp;sr=8-2</v>
      </c>
      <c r="F473" t="s">
        <v>1707</v>
      </c>
      <c r="G473" t="e">
        <f ca="1">IMAGE("https://alssports.vtexassets.com/arquivos/ids/1401004-800-auto?v=638264402977300000&amp;width=800&amp;height=auto&amp;aspect=true")</f>
        <v>#NAME?</v>
      </c>
      <c r="H473" t="e">
        <f ca="1">IMAGE("https://m.media-amazon.com/images/I/81DBdUpt9DL._AC_UL320_.jpg")</f>
        <v>#NAME?</v>
      </c>
      <c r="I473" t="s">
        <v>104</v>
      </c>
      <c r="J473">
        <v>144</v>
      </c>
      <c r="K473" s="2" t="s">
        <v>1708</v>
      </c>
      <c r="L473">
        <v>5</v>
      </c>
      <c r="M473">
        <v>1</v>
      </c>
      <c r="O473" t="s">
        <v>33</v>
      </c>
      <c r="P473" t="s">
        <v>26</v>
      </c>
      <c r="Q473" t="s">
        <v>105</v>
      </c>
    </row>
    <row r="474" spans="1:17" ht="15.75" x14ac:dyDescent="0.25">
      <c r="A474" s="3" t="str">
        <f>HYPERLINK("https://www.als.com/arcteryx-atom-hoodie-womens-140743/p?skuId=1342906", "https://www.als.com/arcteryx-atom-hoodie-womens-140743/p?skuId=1342906")</f>
        <v>https://www.als.com/arcteryx-atom-hoodie-womens-140743/p?skuId=1342906</v>
      </c>
      <c r="B474" s="3" t="str">
        <f>HYPERLINK("https://www.als.com/arcteryx-atom-hoodie-womens-140743/p", "https://www.als.com/arcteryx-atom-hoodie-womens-140743/p")</f>
        <v>https://www.als.com/arcteryx-atom-hoodie-womens-140743/p</v>
      </c>
      <c r="C474" t="s">
        <v>75</v>
      </c>
      <c r="D474" t="s">
        <v>1709</v>
      </c>
      <c r="E474" s="3" t="str">
        <f>HYPERLINK("https://www.amazon.com/Arcteryx-Jacket-Womens-Lightweight-Warmth/dp/B0B8M77916/ref=sr_1_7?keywords=Arcteryx+Atom+Hoodie+-+Womens&amp;qid=1695124299&amp;sr=8-7", "https://www.amazon.com/Arcteryx-Jacket-Womens-Lightweight-Warmth/dp/B0B8M77916/ref=sr_1_7?keywords=Arcteryx+Atom+Hoodie+-+Womens&amp;qid=1695124299&amp;sr=8-7")</f>
        <v>https://www.amazon.com/Arcteryx-Jacket-Womens-Lightweight-Warmth/dp/B0B8M77916/ref=sr_1_7?keywords=Arcteryx+Atom+Hoodie+-+Womens&amp;qid=1695124299&amp;sr=8-7</v>
      </c>
      <c r="F474" t="s">
        <v>1710</v>
      </c>
      <c r="G474" t="e">
        <f ca="1">IMAGE("https://alssports.vtexassets.com/arquivos/ids/1400872-800-auto?v=638264371846000000&amp;width=800&amp;height=auto&amp;aspect=true")</f>
        <v>#NAME?</v>
      </c>
      <c r="H474" t="e">
        <f ca="1">IMAGE("https://m.media-amazon.com/images/I/81ldRx2HeqL._AC_UL320_.jpg")</f>
        <v>#NAME?</v>
      </c>
      <c r="I474" t="s">
        <v>78</v>
      </c>
      <c r="J474">
        <v>240</v>
      </c>
      <c r="K474" s="2" t="s">
        <v>1708</v>
      </c>
      <c r="L474">
        <v>4</v>
      </c>
      <c r="M474">
        <v>1</v>
      </c>
      <c r="O474" t="s">
        <v>33</v>
      </c>
      <c r="P474" t="s">
        <v>26</v>
      </c>
      <c r="Q474" t="s">
        <v>79</v>
      </c>
    </row>
    <row r="475" spans="1:17" ht="15.75" x14ac:dyDescent="0.25">
      <c r="A475" s="3" t="str">
        <f>HYPERLINK("https://www.als.com/bigag-rapide-sl-insulated/p?skuId=981028", "https://www.als.com/bigag-rapide-sl-insulated/p?skuId=981028")</f>
        <v>https://www.als.com/bigag-rapide-sl-insulated/p?skuId=981028</v>
      </c>
      <c r="B475" s="3" t="str">
        <f>HYPERLINK("https://www.als.com/bigag-rapide-sl-insulated/p", "https://www.als.com/bigag-rapide-sl-insulated/p")</f>
        <v>https://www.als.com/bigag-rapide-sl-insulated/p</v>
      </c>
      <c r="C475" t="s">
        <v>42</v>
      </c>
      <c r="D475" t="s">
        <v>1711</v>
      </c>
      <c r="E475" s="3" t="str">
        <f>HYPERLINK("https://www.amazon.com/Big-Agnes-Insulated-Lightweight-3-Season/dp/B0BPCTZ24D/ref=sr_1_5?keywords=Big+Agnes+Rapide+SL+Insulated+Sleeping+Pad&amp;qid=1695124305&amp;sr=8-5", "https://www.amazon.com/Big-Agnes-Insulated-Lightweight-3-Season/dp/B0BPCTZ24D/ref=sr_1_5?keywords=Big+Agnes+Rapide+SL+Insulated+Sleeping+Pad&amp;qid=1695124305&amp;sr=8-5")</f>
        <v>https://www.amazon.com/Big-Agnes-Insulated-Lightweight-3-Season/dp/B0BPCTZ24D/ref=sr_1_5?keywords=Big+Agnes+Rapide+SL+Insulated+Sleeping+Pad&amp;qid=1695124305&amp;sr=8-5</v>
      </c>
      <c r="F475" t="s">
        <v>1712</v>
      </c>
      <c r="G475" t="e">
        <f ca="1">IMAGE("https://alssports.vtexassets.com/arquivos/ids/1257749-800-auto?v=638134857129500000&amp;width=800&amp;height=auto&amp;aspect=true")</f>
        <v>#NAME?</v>
      </c>
      <c r="H475" t="e">
        <f ca="1">IMAGE("https://m.media-amazon.com/images/I/61Ntp-Rj3lL._AC_UL320_.jpg")</f>
        <v>#NAME?</v>
      </c>
      <c r="I475" t="s">
        <v>44</v>
      </c>
      <c r="J475">
        <v>119.95</v>
      </c>
      <c r="K475" s="2" t="s">
        <v>1713</v>
      </c>
      <c r="L475">
        <v>4.8</v>
      </c>
      <c r="M475">
        <v>9</v>
      </c>
      <c r="O475" t="s">
        <v>33</v>
      </c>
      <c r="P475" t="s">
        <v>26</v>
      </c>
      <c r="Q475" t="s">
        <v>45</v>
      </c>
    </row>
    <row r="476" spans="1:17" ht="15.75" x14ac:dyDescent="0.25">
      <c r="A476" s="3" t="str">
        <f>HYPERLINK("https://www.als.com/bigag-rapide-sl-insulated/p?skuId=981028", "https://www.als.com/bigag-rapide-sl-insulated/p?skuId=981028")</f>
        <v>https://www.als.com/bigag-rapide-sl-insulated/p?skuId=981028</v>
      </c>
      <c r="B476" s="3" t="str">
        <f>HYPERLINK("https://www.als.com/bigag-rapide-sl-insulated/p", "https://www.als.com/bigag-rapide-sl-insulated/p")</f>
        <v>https://www.als.com/bigag-rapide-sl-insulated/p</v>
      </c>
      <c r="C476" t="s">
        <v>42</v>
      </c>
      <c r="D476" t="s">
        <v>1714</v>
      </c>
      <c r="E476" s="3" t="str">
        <f>HYPERLINK("https://www.amazon.com/Big-Agnes-Track-Sleeping-Wide/dp/B07M9WL2SH/ref=sr_1_14?keywords=Big+Agnes+Rapide+SL+Insulated+Sleeping+Pad&amp;qid=1695124305&amp;sr=8-14", "https://www.amazon.com/Big-Agnes-Track-Sleeping-Wide/dp/B07M9WL2SH/ref=sr_1_14?keywords=Big+Agnes+Rapide+SL+Insulated+Sleeping+Pad&amp;qid=1695124305&amp;sr=8-14")</f>
        <v>https://www.amazon.com/Big-Agnes-Track-Sleeping-Wide/dp/B07M9WL2SH/ref=sr_1_14?keywords=Big+Agnes+Rapide+SL+Insulated+Sleeping+Pad&amp;qid=1695124305&amp;sr=8-14</v>
      </c>
      <c r="F476" t="s">
        <v>1715</v>
      </c>
      <c r="G476" t="e">
        <f ca="1">IMAGE("https://alssports.vtexassets.com/arquivos/ids/1257749-800-auto?v=638134857129500000&amp;width=800&amp;height=auto&amp;aspect=true")</f>
        <v>#NAME?</v>
      </c>
      <c r="H476" t="e">
        <f ca="1">IMAGE("https://m.media-amazon.com/images/I/613YGlECyYL._AC_UL320_.jpg")</f>
        <v>#NAME?</v>
      </c>
      <c r="I476" t="s">
        <v>44</v>
      </c>
      <c r="J476">
        <v>119.95</v>
      </c>
      <c r="K476" s="2" t="s">
        <v>1713</v>
      </c>
      <c r="L476">
        <v>3.6</v>
      </c>
      <c r="M476">
        <v>6</v>
      </c>
      <c r="O476" t="s">
        <v>33</v>
      </c>
      <c r="P476" t="s">
        <v>26</v>
      </c>
      <c r="Q476" t="s">
        <v>45</v>
      </c>
    </row>
    <row r="477" spans="1:17" ht="15.75" x14ac:dyDescent="0.25">
      <c r="A477" s="3" t="str">
        <f>HYPERLINK("https://www.als.com/columbia-anytime-outdoor-13-short-womens-89184/p?skuId=54938", "https://www.als.com/columbia-anytime-outdoor-13-short-womens-89184/p?skuId=54938")</f>
        <v>https://www.als.com/columbia-anytime-outdoor-13-short-womens-89184/p?skuId=54938</v>
      </c>
      <c r="B477" s="3" t="str">
        <f>HYPERLINK("https://www.als.com/columbia-anytime-outdoor-13-short-womens-89184/p", "https://www.als.com/columbia-anytime-outdoor-13-short-womens-89184/p")</f>
        <v>https://www.als.com/columbia-anytime-outdoor-13-short-womens-89184/p</v>
      </c>
      <c r="C477" t="s">
        <v>142</v>
      </c>
      <c r="D477" t="s">
        <v>1716</v>
      </c>
      <c r="E477" s="3" t="str">
        <f>HYPERLINK("https://www.amazon.com/Willit-Womens-Hiking-Lightweight-Outdoor/dp/B09S8RW8J5/ref=sr_1_11?keywords=Columbia+Anytime+Outdoor+13%22+Short+-+Women%27s&amp;qid=1695124095&amp;sr=8-11", "https://www.amazon.com/Willit-Womens-Hiking-Lightweight-Outdoor/dp/B09S8RW8J5/ref=sr_1_11?keywords=Columbia+Anytime+Outdoor+13%22+Short+-+Women%27s&amp;qid=1695124095&amp;sr=8-11")</f>
        <v>https://www.amazon.com/Willit-Womens-Hiking-Lightweight-Outdoor/dp/B09S8RW8J5/ref=sr_1_11?keywords=Columbia+Anytime+Outdoor+13%22+Short+-+Women%27s&amp;qid=1695124095&amp;sr=8-11</v>
      </c>
      <c r="F477" t="s">
        <v>1717</v>
      </c>
      <c r="G477" t="e">
        <f ca="1">IMAGE("https://alssports.vtexassets.com/arquivos/ids/997917-800-auto?v=638227998694600000&amp;width=800&amp;height=auto&amp;aspect=true")</f>
        <v>#NAME?</v>
      </c>
      <c r="H477" t="e">
        <f ca="1">IMAGE("https://m.media-amazon.com/images/I/81SM8m5iEGL._AC_UL320_.jpg")</f>
        <v>#NAME?</v>
      </c>
      <c r="I477" t="s">
        <v>93</v>
      </c>
      <c r="J477">
        <v>23.99</v>
      </c>
      <c r="K477" s="2" t="s">
        <v>1713</v>
      </c>
      <c r="L477">
        <v>4.0999999999999996</v>
      </c>
      <c r="M477">
        <v>240</v>
      </c>
      <c r="O477" t="s">
        <v>33</v>
      </c>
      <c r="P477" t="s">
        <v>145</v>
      </c>
      <c r="Q477" t="s">
        <v>146</v>
      </c>
    </row>
    <row r="478" spans="1:17" ht="15.75" x14ac:dyDescent="0.25">
      <c r="A478" s="3" t="str">
        <f>HYPERLINK("https://www.als.com/shimab-pedal-pd-/p?skuId=594007", "https://www.als.com/shimab-pedal-pd-/p?skuId=594007")</f>
        <v>https://www.als.com/shimab-pedal-pd-/p?skuId=594007</v>
      </c>
      <c r="B478" s="3" t="str">
        <f>HYPERLINK("https://www.als.com/shimab-pedal-pd-/p", "https://www.als.com/shimab-pedal-pd-/p")</f>
        <v>https://www.als.com/shimab-pedal-pd-/p</v>
      </c>
      <c r="C478" t="s">
        <v>964</v>
      </c>
      <c r="D478" t="s">
        <v>1718</v>
      </c>
      <c r="E478" s="3" t="str">
        <f>HYPERLINK("https://www.amazon.com/Shimano-Touring-PD-T8000-Trekking-Clipless/dp/B07R2FMGYR/ref=sr_1_5?keywords=Shimano+Deore+XT+SPD+Pedal&amp;qid=1695124486&amp;sr=8-5", "https://www.amazon.com/Shimano-Touring-PD-T8000-Trekking-Clipless/dp/B07R2FMGYR/ref=sr_1_5?keywords=Shimano+Deore+XT+SPD+Pedal&amp;qid=1695124486&amp;sr=8-5")</f>
        <v>https://www.amazon.com/Shimano-Touring-PD-T8000-Trekking-Clipless/dp/B07R2FMGYR/ref=sr_1_5?keywords=Shimano+Deore+XT+SPD+Pedal&amp;qid=1695124486&amp;sr=8-5</v>
      </c>
      <c r="F478" t="s">
        <v>1719</v>
      </c>
      <c r="G478" t="e">
        <f ca="1">IMAGE("https://alssports.vtexassets.com/arquivos/ids/400958-800-auto?v=637243831912700000&amp;width=800&amp;height=auto&amp;aspect=true")</f>
        <v>#NAME?</v>
      </c>
      <c r="H478" t="e">
        <f ca="1">IMAGE("https://m.media-amazon.com/images/I/51XiUxgE5hL._AC_UL320_.jpg")</f>
        <v>#NAME?</v>
      </c>
      <c r="I478" t="s">
        <v>967</v>
      </c>
      <c r="J478">
        <v>99.99</v>
      </c>
      <c r="K478" s="2" t="s">
        <v>1713</v>
      </c>
      <c r="L478">
        <v>5</v>
      </c>
      <c r="M478">
        <v>5</v>
      </c>
      <c r="O478" t="s">
        <v>33</v>
      </c>
      <c r="P478" t="s">
        <v>26</v>
      </c>
      <c r="Q478" t="s">
        <v>968</v>
      </c>
    </row>
    <row r="479" spans="1:17" ht="15.75" x14ac:dyDescent="0.25">
      <c r="A479" s="3" t="str">
        <f>HYPERLINK("https://www.als.com/black-diamond-spot-400-headlamp-101632/p?skuId=931481", "https://www.als.com/black-diamond-spot-400-headlamp-101632/p?skuId=931481")</f>
        <v>https://www.als.com/black-diamond-spot-400-headlamp-101632/p?skuId=931481</v>
      </c>
      <c r="B479" s="3" t="str">
        <f>HYPERLINK("https://www.als.com/black-diamond-spot-400-headlamp-101632/p", "https://www.als.com/black-diamond-spot-400-headlamp-101632/p")</f>
        <v>https://www.als.com/black-diamond-spot-400-headlamp-101632/p</v>
      </c>
      <c r="C479" t="s">
        <v>154</v>
      </c>
      <c r="D479" t="s">
        <v>1720</v>
      </c>
      <c r="E479" s="3" t="str">
        <f>HYPERLINK("https://www.amazon.com/Black-Diamond-Unisex-Spot-Headlamp/dp/B07KLMKZ4T/ref=sr_1_43?keywords=Black+Diamond+Spot+400+Headlamp&amp;qid=1695124486&amp;sr=8-43", "https://www.amazon.com/Black-Diamond-Unisex-Spot-Headlamp/dp/B07KLMKZ4T/ref=sr_1_43?keywords=Black+Diamond+Spot+400+Headlamp&amp;qid=1695124486&amp;sr=8-43")</f>
        <v>https://www.amazon.com/Black-Diamond-Unisex-Spot-Headlamp/dp/B07KLMKZ4T/ref=sr_1_43?keywords=Black+Diamond+Spot+400+Headlamp&amp;qid=1695124486&amp;sr=8-43</v>
      </c>
      <c r="F479" t="s">
        <v>1721</v>
      </c>
      <c r="G479" t="e">
        <f ca="1">IMAGE("https://alssports.vtexassets.com/arquivos/ids/1053612-800-auto?v=637867784637730000&amp;width=800&amp;height=auto&amp;aspect=true")</f>
        <v>#NAME?</v>
      </c>
      <c r="H479" t="e">
        <f ca="1">IMAGE("https://m.media-amazon.com/images/I/51ztRAhQZRL._AC_UL320_.jpg")</f>
        <v>#NAME?</v>
      </c>
      <c r="I479" t="s">
        <v>157</v>
      </c>
      <c r="J479">
        <v>39.950000000000003</v>
      </c>
      <c r="K479" s="2" t="s">
        <v>1722</v>
      </c>
      <c r="L479">
        <v>4.5999999999999996</v>
      </c>
      <c r="M479">
        <v>505</v>
      </c>
      <c r="O479" t="s">
        <v>33</v>
      </c>
      <c r="P479" t="s">
        <v>26</v>
      </c>
      <c r="Q479" t="s">
        <v>158</v>
      </c>
    </row>
    <row r="480" spans="1:17" ht="15.75" x14ac:dyDescent="0.25">
      <c r="A480" s="3" t="str">
        <f>HYPERLINK("https://www.als.com/seasum-pillow-aeros-premium/p?skuId=550081", "https://www.als.com/seasum-pillow-aeros-premium/p?skuId=550081")</f>
        <v>https://www.als.com/seasum-pillow-aeros-premium/p?skuId=550081</v>
      </c>
      <c r="B480" s="3" t="str">
        <f>HYPERLINK("https://www.als.com/seasum-pillow-aeros-premium/p", "https://www.als.com/seasum-pillow-aeros-premium/p")</f>
        <v>https://www.als.com/seasum-pillow-aeros-premium/p</v>
      </c>
      <c r="C480" t="s">
        <v>1165</v>
      </c>
      <c r="D480" t="s">
        <v>1723</v>
      </c>
      <c r="E480" s="3" t="str">
        <f>HYPERLINK("https://www.amazon.com/Sea-Summit-Traveler-Pillow-Ultralight/dp/B002OYD89A/ref=sr_1_5?keywords=Sea+to+Summit+Aeros+Premium+Pillow&amp;qid=1695124491&amp;sr=8-5", "https://www.amazon.com/Sea-Summit-Traveler-Pillow-Ultralight/dp/B002OYD89A/ref=sr_1_5?keywords=Sea+to+Summit+Aeros+Premium+Pillow&amp;qid=1695124491&amp;sr=8-5")</f>
        <v>https://www.amazon.com/Sea-Summit-Traveler-Pillow-Ultralight/dp/B002OYD89A/ref=sr_1_5?keywords=Sea+to+Summit+Aeros+Premium+Pillow&amp;qid=1695124491&amp;sr=8-5</v>
      </c>
      <c r="F480" t="s">
        <v>1724</v>
      </c>
      <c r="G480" t="e">
        <f ca="1">IMAGE("https://alssports.vtexassets.com/arquivos/ids/609076-800-auto?v=637541323696830000&amp;width=800&amp;height=auto&amp;aspect=true")</f>
        <v>#NAME?</v>
      </c>
      <c r="H480" t="e">
        <f ca="1">IMAGE("https://m.media-amazon.com/images/I/61tTEZv2P7L._AC_UL320_.jpg")</f>
        <v>#NAME?</v>
      </c>
      <c r="I480" t="s">
        <v>157</v>
      </c>
      <c r="J480">
        <v>39.950000000000003</v>
      </c>
      <c r="K480" s="2" t="s">
        <v>1722</v>
      </c>
      <c r="L480">
        <v>4.3</v>
      </c>
      <c r="M480">
        <v>61</v>
      </c>
      <c r="O480" t="s">
        <v>26</v>
      </c>
      <c r="P480" t="s">
        <v>26</v>
      </c>
      <c r="Q480" t="s">
        <v>1168</v>
      </c>
    </row>
    <row r="481" spans="1:17" ht="15.75" x14ac:dyDescent="0.25">
      <c r="A481" s="3" t="str">
        <f>HYPERLINK("https://www.als.com/camel-eddy-20oz/p?skuId=983593", "https://www.als.com/camel-eddy-20oz/p?skuId=983593")</f>
        <v>https://www.als.com/camel-eddy-20oz/p?skuId=983593</v>
      </c>
      <c r="B481" s="3" t="str">
        <f>HYPERLINK("https://www.als.com/camel-eddy-20oz/p", "https://www.als.com/camel-eddy-20oz/p")</f>
        <v>https://www.als.com/camel-eddy-20oz/p</v>
      </c>
      <c r="C481" t="s">
        <v>1623</v>
      </c>
      <c r="D481" t="s">
        <v>1725</v>
      </c>
      <c r="E481" s="3" t="str">
        <f>HYPERLINK("https://www.amazon.com/Replacement-CamelBak-Replacements-Accessories-BPA-FREE/dp/B095XZF9VF/ref=sr_1_21?keywords=CamelBak+Eddy+Bottle+-+20oz&amp;qid=1695124430&amp;sr=8-21", "https://www.amazon.com/Replacement-CamelBak-Replacements-Accessories-BPA-FREE/dp/B095XZF9VF/ref=sr_1_21?keywords=CamelBak+Eddy+Bottle+-+20oz&amp;qid=1695124430&amp;sr=8-21")</f>
        <v>https://www.amazon.com/Replacement-CamelBak-Replacements-Accessories-BPA-FREE/dp/B095XZF9VF/ref=sr_1_21?keywords=CamelBak+Eddy+Bottle+-+20oz&amp;qid=1695124430&amp;sr=8-21</v>
      </c>
      <c r="F481" t="s">
        <v>1726</v>
      </c>
      <c r="G481" t="e">
        <f ca="1">IMAGE("https://alssports.vtexassets.com/arquivos/ids/1353425-800-auto?v=638229001016800000&amp;width=800&amp;height=auto&amp;aspect=true")</f>
        <v>#NAME?</v>
      </c>
      <c r="H481" t="e">
        <f ca="1">IMAGE("https://m.media-amazon.com/images/I/51cFNBg7HgS._AC_UL320_.jpg")</f>
        <v>#NAME?</v>
      </c>
      <c r="I481" t="s">
        <v>130</v>
      </c>
      <c r="J481">
        <v>7.99</v>
      </c>
      <c r="K481" s="2" t="s">
        <v>1722</v>
      </c>
      <c r="L481">
        <v>4.4000000000000004</v>
      </c>
      <c r="M481">
        <v>1951</v>
      </c>
      <c r="O481" t="s">
        <v>26</v>
      </c>
      <c r="P481" t="s">
        <v>256</v>
      </c>
      <c r="Q481" t="s">
        <v>1627</v>
      </c>
    </row>
    <row r="482" spans="1:17" ht="15.75" x14ac:dyDescent="0.25">
      <c r="A482" s="3" t="str">
        <f>HYPERLINK("https://www.als.com/black-diamond-spot-400-headlamp-101632/p?skuId=931481", "https://www.als.com/black-diamond-spot-400-headlamp-101632/p?skuId=931481")</f>
        <v>https://www.als.com/black-diamond-spot-400-headlamp-101632/p?skuId=931481</v>
      </c>
      <c r="B482" s="3" t="str">
        <f>HYPERLINK("https://www.als.com/black-diamond-spot-400-headlamp-101632/p", "https://www.als.com/black-diamond-spot-400-headlamp-101632/p")</f>
        <v>https://www.als.com/black-diamond-spot-400-headlamp-101632/p</v>
      </c>
      <c r="C482" t="s">
        <v>154</v>
      </c>
      <c r="D482" t="s">
        <v>1727</v>
      </c>
      <c r="E482" s="3" t="str">
        <f>HYPERLINK("https://www.amazon.com/Black-Diamond-Spot-350-Headlamp/dp/B08BHZQP59/ref=sr_1_14?keywords=Black+Diamond+Spot+400+Headlamp&amp;qid=1695124486&amp;sr=8-14", "https://www.amazon.com/Black-Diamond-Spot-350-Headlamp/dp/B08BHZQP59/ref=sr_1_14?keywords=Black+Diamond+Spot+400+Headlamp&amp;qid=1695124486&amp;sr=8-14")</f>
        <v>https://www.amazon.com/Black-Diamond-Spot-350-Headlamp/dp/B08BHZQP59/ref=sr_1_14?keywords=Black+Diamond+Spot+400+Headlamp&amp;qid=1695124486&amp;sr=8-14</v>
      </c>
      <c r="F482" t="s">
        <v>1728</v>
      </c>
      <c r="G482" t="e">
        <f ca="1">IMAGE("https://alssports.vtexassets.com/arquivos/ids/1053612-800-auto?v=637867784637730000&amp;width=800&amp;height=auto&amp;aspect=true")</f>
        <v>#NAME?</v>
      </c>
      <c r="H482" t="e">
        <f ca="1">IMAGE("https://m.media-amazon.com/images/I/71MWpjO8ZiL._AC_UL320_.jpg")</f>
        <v>#NAME?</v>
      </c>
      <c r="I482" t="s">
        <v>157</v>
      </c>
      <c r="J482">
        <v>39.950000000000003</v>
      </c>
      <c r="K482" s="2" t="s">
        <v>1722</v>
      </c>
      <c r="L482">
        <v>4.7</v>
      </c>
      <c r="M482">
        <v>911</v>
      </c>
      <c r="O482" t="s">
        <v>33</v>
      </c>
      <c r="P482" t="s">
        <v>26</v>
      </c>
      <c r="Q482" t="s">
        <v>158</v>
      </c>
    </row>
    <row r="483" spans="1:17" ht="15.75" x14ac:dyDescent="0.25">
      <c r="A483" s="3" t="str">
        <f>HYPERLINK("https://www.als.com/black-diamond-spot-400-headlamp-101632/p?skuId=931481", "https://www.als.com/black-diamond-spot-400-headlamp-101632/p?skuId=931481")</f>
        <v>https://www.als.com/black-diamond-spot-400-headlamp-101632/p?skuId=931481</v>
      </c>
      <c r="B483" s="3" t="str">
        <f>HYPERLINK("https://www.als.com/black-diamond-spot-400-headlamp-101632/p", "https://www.als.com/black-diamond-spot-400-headlamp-101632/p")</f>
        <v>https://www.als.com/black-diamond-spot-400-headlamp-101632/p</v>
      </c>
      <c r="C483" t="s">
        <v>154</v>
      </c>
      <c r="D483" t="s">
        <v>1729</v>
      </c>
      <c r="E483" s="3" t="str">
        <f>HYPERLINK("https://www.amazon.com/Black-Diamond-Spot-350-Headlamp/dp/B08BHM89N6/ref=sr_1_18?keywords=Black+Diamond+Spot+400+Headlamp&amp;qid=1695124486&amp;sr=8-18", "https://www.amazon.com/Black-Diamond-Spot-350-Headlamp/dp/B08BHM89N6/ref=sr_1_18?keywords=Black+Diamond+Spot+400+Headlamp&amp;qid=1695124486&amp;sr=8-18")</f>
        <v>https://www.amazon.com/Black-Diamond-Spot-350-Headlamp/dp/B08BHM89N6/ref=sr_1_18?keywords=Black+Diamond+Spot+400+Headlamp&amp;qid=1695124486&amp;sr=8-18</v>
      </c>
      <c r="F483" t="s">
        <v>1730</v>
      </c>
      <c r="G483" t="e">
        <f ca="1">IMAGE("https://alssports.vtexassets.com/arquivos/ids/1053612-800-auto?v=637867784637730000&amp;width=800&amp;height=auto&amp;aspect=true")</f>
        <v>#NAME?</v>
      </c>
      <c r="H483" t="e">
        <f ca="1">IMAGE("https://m.media-amazon.com/images/I/819X95Co7ML._AC_UL320_.jpg")</f>
        <v>#NAME?</v>
      </c>
      <c r="I483" t="s">
        <v>157</v>
      </c>
      <c r="J483">
        <v>39.950000000000003</v>
      </c>
      <c r="K483" s="2" t="s">
        <v>1722</v>
      </c>
      <c r="L483">
        <v>4.7</v>
      </c>
      <c r="M483">
        <v>573</v>
      </c>
      <c r="O483" t="s">
        <v>33</v>
      </c>
      <c r="P483" t="s">
        <v>26</v>
      </c>
      <c r="Q483" t="s">
        <v>158</v>
      </c>
    </row>
    <row r="484" spans="1:17" ht="15.75" x14ac:dyDescent="0.25">
      <c r="A484" s="3" t="str">
        <f>HYPERLINK("https://www.als.com/black-diamond-spot-400-headlamp-101632/p?skuId=931481", "https://www.als.com/black-diamond-spot-400-headlamp-101632/p?skuId=931481")</f>
        <v>https://www.als.com/black-diamond-spot-400-headlamp-101632/p?skuId=931481</v>
      </c>
      <c r="B484" s="3" t="str">
        <f>HYPERLINK("https://www.als.com/black-diamond-spot-400-headlamp-101632/p", "https://www.als.com/black-diamond-spot-400-headlamp-101632/p")</f>
        <v>https://www.als.com/black-diamond-spot-400-headlamp-101632/p</v>
      </c>
      <c r="C484" t="s">
        <v>154</v>
      </c>
      <c r="D484" t="s">
        <v>1731</v>
      </c>
      <c r="E484" s="3" t="str">
        <f>HYPERLINK("https://www.amazon.com/Black-Diamond-Spot-350-Headlamp/dp/B08BHKN56P/ref=sr_1_21?keywords=Black+Diamond+Spot+400+Headlamp&amp;qid=1695124486&amp;sr=8-21", "https://www.amazon.com/Black-Diamond-Spot-350-Headlamp/dp/B08BHKN56P/ref=sr_1_21?keywords=Black+Diamond+Spot+400+Headlamp&amp;qid=1695124486&amp;sr=8-21")</f>
        <v>https://www.amazon.com/Black-Diamond-Spot-350-Headlamp/dp/B08BHKN56P/ref=sr_1_21?keywords=Black+Diamond+Spot+400+Headlamp&amp;qid=1695124486&amp;sr=8-21</v>
      </c>
      <c r="F484" t="s">
        <v>1732</v>
      </c>
      <c r="G484" t="e">
        <f ca="1">IMAGE("https://alssports.vtexassets.com/arquivos/ids/1053612-800-auto?v=637867784637730000&amp;width=800&amp;height=auto&amp;aspect=true")</f>
        <v>#NAME?</v>
      </c>
      <c r="H484" t="e">
        <f ca="1">IMAGE("https://m.media-amazon.com/images/I/71t5TU3iAlL._AC_UL320_.jpg")</f>
        <v>#NAME?</v>
      </c>
      <c r="I484" t="s">
        <v>157</v>
      </c>
      <c r="J484">
        <v>39.950000000000003</v>
      </c>
      <c r="K484" s="2" t="s">
        <v>1722</v>
      </c>
      <c r="L484">
        <v>4.5999999999999996</v>
      </c>
      <c r="M484">
        <v>410</v>
      </c>
      <c r="O484" t="s">
        <v>33</v>
      </c>
      <c r="P484" t="s">
        <v>26</v>
      </c>
      <c r="Q484" t="s">
        <v>158</v>
      </c>
    </row>
    <row r="485" spans="1:17" ht="15.75" x14ac:dyDescent="0.25">
      <c r="A485" s="3" t="str">
        <f>HYPERLINK("https://www.als.com/under-m-short-ua-training-stretch/p?skuId=817748", "https://www.als.com/under-m-short-ua-training-stretch/p?skuId=817748")</f>
        <v>https://www.als.com/under-m-short-ua-training-stretch/p?skuId=817748</v>
      </c>
      <c r="B485" s="3" t="str">
        <f>HYPERLINK("https://www.als.com/under-m-short-ua-training-stretch/p", "https://www.als.com/under-m-short-ua-training-stretch/p")</f>
        <v>https://www.als.com/under-m-short-ua-training-stretch/p</v>
      </c>
      <c r="C485" t="s">
        <v>599</v>
      </c>
      <c r="D485" t="s">
        <v>1733</v>
      </c>
      <c r="E485" s="3" t="str">
        <f>HYPERLINK("https://www.amazon.com/Under-Armour-Vanish-Shorts-Medium/dp/B07CZ8X4FV/ref=sr_1_47?keywords=Under+Armour+Training+Stretch+Short+-+Men%27s&amp;qid=1695124338&amp;sr=8-47", "https://www.amazon.com/Under-Armour-Vanish-Shorts-Medium/dp/B07CZ8X4FV/ref=sr_1_47?keywords=Under+Armour+Training+Stretch+Short+-+Men%27s&amp;qid=1695124338&amp;sr=8-47")</f>
        <v>https://www.amazon.com/Under-Armour-Vanish-Shorts-Medium/dp/B07CZ8X4FV/ref=sr_1_47?keywords=Under+Armour+Training+Stretch+Short+-+Men%27s&amp;qid=1695124338&amp;sr=8-47</v>
      </c>
      <c r="F485" t="s">
        <v>1734</v>
      </c>
      <c r="G485" t="e">
        <f ca="1">IMAGE("https://alssports.vtexassets.com/arquivos/ids/1087251-800-auto?v=638271167205870000&amp;width=800&amp;height=auto&amp;aspect=true")</f>
        <v>#NAME?</v>
      </c>
      <c r="H485" t="e">
        <f ca="1">IMAGE("https://m.media-amazon.com/images/I/71bDgpw-5GL._AC_UL320_.jpg")</f>
        <v>#NAME?</v>
      </c>
      <c r="I485" t="s">
        <v>602</v>
      </c>
      <c r="J485">
        <v>14.38</v>
      </c>
      <c r="K485" s="2" t="s">
        <v>1735</v>
      </c>
      <c r="L485">
        <v>4.5</v>
      </c>
      <c r="M485">
        <v>965</v>
      </c>
      <c r="O485" t="s">
        <v>33</v>
      </c>
      <c r="P485" t="s">
        <v>233</v>
      </c>
      <c r="Q485" t="s">
        <v>604</v>
      </c>
    </row>
    <row r="486" spans="1:17" ht="15.75" x14ac:dyDescent="0.25">
      <c r="A486" s="3" t="str">
        <f>HYPERLINK("https://www.als.com/pflueg-reel-supreme-xt-spinning/p?skuId=943388", "https://www.als.com/pflueg-reel-supreme-xt-spinning/p?skuId=943388")</f>
        <v>https://www.als.com/pflueg-reel-supreme-xt-spinning/p?skuId=943388</v>
      </c>
      <c r="B486" s="3" t="str">
        <f>HYPERLINK("https://www.als.com/pflueg-reel-supreme-xt-spinning/p", "https://www.als.com/pflueg-reel-supreme-xt-spinning/p")</f>
        <v>https://www.als.com/pflueg-reel-supreme-xt-spinning/p</v>
      </c>
      <c r="C486" t="s">
        <v>1408</v>
      </c>
      <c r="D486" t="s">
        <v>1736</v>
      </c>
      <c r="E486" s="3" t="str">
        <f>HYPERLINK("https://www.amazon.com/Pflueger-Supreme-Spinning-Fishing-Reel/dp/B096G8JR6F/ref=sr_1_2?keywords=Pflueger+Supreme+XT+Spinning+Reel&amp;qid=1695124336&amp;sr=8-2", "https://www.amazon.com/Pflueger-Supreme-Spinning-Fishing-Reel/dp/B096G8JR6F/ref=sr_1_2?keywords=Pflueger+Supreme+XT+Spinning+Reel&amp;qid=1695124336&amp;sr=8-2")</f>
        <v>https://www.amazon.com/Pflueger-Supreme-Spinning-Fishing-Reel/dp/B096G8JR6F/ref=sr_1_2?keywords=Pflueger+Supreme+XT+Spinning+Reel&amp;qid=1695124336&amp;sr=8-2</v>
      </c>
      <c r="F486" t="s">
        <v>1737</v>
      </c>
      <c r="G486" t="e">
        <f ca="1">IMAGE("https://alssports.vtexassets.com/arquivos/ids/1053300-800-auto?v=637867095703370000&amp;width=800&amp;height=auto&amp;aspect=true")</f>
        <v>#NAME?</v>
      </c>
      <c r="H486" t="e">
        <f ca="1">IMAGE("https://m.media-amazon.com/images/I/81JLmhBqImL._AC_UY218_.jpg")</f>
        <v>#NAME?</v>
      </c>
      <c r="I486" t="s">
        <v>562</v>
      </c>
      <c r="J486">
        <v>135.80000000000001</v>
      </c>
      <c r="K486" s="2" t="s">
        <v>1738</v>
      </c>
      <c r="L486">
        <v>3.9</v>
      </c>
      <c r="M486">
        <v>10</v>
      </c>
      <c r="O486" t="s">
        <v>33</v>
      </c>
      <c r="P486" t="s">
        <v>26</v>
      </c>
      <c r="Q486" t="s">
        <v>1412</v>
      </c>
    </row>
    <row r="487" spans="1:17" ht="15.75" x14ac:dyDescent="0.25">
      <c r="A487" s="3" t="str">
        <f>HYPERLINK("https://www.als.com/outres-hat-sombriolet-sun-hat/p?skuId=54000", "https://www.als.com/outres-hat-sombriolet-sun-hat/p?skuId=54000")</f>
        <v>https://www.als.com/outres-hat-sombriolet-sun-hat/p?skuId=54000</v>
      </c>
      <c r="B487" s="3" t="str">
        <f>HYPERLINK("https://www.als.com/outres-hat-sombriolet-sun-hat/p", "https://www.als.com/outres-hat-sombriolet-sun-hat/p")</f>
        <v>https://www.als.com/outres-hat-sombriolet-sun-hat/p</v>
      </c>
      <c r="C487" t="s">
        <v>295</v>
      </c>
      <c r="D487" t="s">
        <v>1739</v>
      </c>
      <c r="E487" s="3" t="str">
        <f>HYPERLINK("https://www.amazon.com/Outdoor-Research-Unisex-Bucket-Pewter/dp/B0101QJ2SI/ref=sr_1_5?keywords=Outdoor+Research+Sombriolet+Sun+Hat&amp;qid=1695124354&amp;sr=8-5", "https://www.amazon.com/Outdoor-Research-Unisex-Bucket-Pewter/dp/B0101QJ2SI/ref=sr_1_5?keywords=Outdoor+Research+Sombriolet+Sun+Hat&amp;qid=1695124354&amp;sr=8-5")</f>
        <v>https://www.amazon.com/Outdoor-Research-Unisex-Bucket-Pewter/dp/B0101QJ2SI/ref=sr_1_5?keywords=Outdoor+Research+Sombriolet+Sun+Hat&amp;qid=1695124354&amp;sr=8-5</v>
      </c>
      <c r="F487" t="s">
        <v>1740</v>
      </c>
      <c r="G487" t="e">
        <f ca="1">IMAGE("https://alssports.vtexassets.com/arquivos/ids/1085324-800-auto?v=637917182267970000&amp;width=800&amp;height=auto&amp;aspect=true")</f>
        <v>#NAME?</v>
      </c>
      <c r="H487" t="e">
        <f ca="1">IMAGE("https://m.media-amazon.com/images/I/71kDdXZ03OL._AC_UL320_.jpg")</f>
        <v>#NAME?</v>
      </c>
      <c r="I487" t="s">
        <v>298</v>
      </c>
      <c r="J487">
        <v>21.57</v>
      </c>
      <c r="K487" s="2" t="s">
        <v>1741</v>
      </c>
      <c r="L487">
        <v>4.5999999999999996</v>
      </c>
      <c r="M487">
        <v>438</v>
      </c>
      <c r="O487" t="s">
        <v>26</v>
      </c>
      <c r="P487" t="s">
        <v>300</v>
      </c>
      <c r="Q487" t="s">
        <v>301</v>
      </c>
    </row>
    <row r="488" spans="1:17" ht="15.75" x14ac:dyDescent="0.25">
      <c r="A488" s="3" t="str">
        <f>HYPERLINK("https://www.als.com/mizuno-w-wave-sky-6/p?skuId=1262559", "https://www.als.com/mizuno-w-wave-sky-6/p?skuId=1262559")</f>
        <v>https://www.als.com/mizuno-w-wave-sky-6/p?skuId=1262559</v>
      </c>
      <c r="B488" s="3" t="str">
        <f>HYPERLINK("https://www.als.com/mizuno-w-wave-sky-6/p", "https://www.als.com/mizuno-w-wave-sky-6/p")</f>
        <v>https://www.als.com/mizuno-w-wave-sky-6/p</v>
      </c>
      <c r="C488" t="s">
        <v>200</v>
      </c>
      <c r="D488" t="s">
        <v>1742</v>
      </c>
      <c r="E488" s="3" t="str">
        <f>HYPERLINK("https://www.amazon.com/Mizuno-Womens-Rider-Running-Surf-Snow/dp/B0BLR3QSM9/ref=sr_1_8?keywords=Mizuno+Wave+Sky+6+Running+Shoe+-+Women%27s&amp;qid=1695124449&amp;sr=8-8", "https://www.amazon.com/Mizuno-Womens-Rider-Running-Surf-Snow/dp/B0BLR3QSM9/ref=sr_1_8?keywords=Mizuno+Wave+Sky+6+Running+Shoe+-+Women%27s&amp;qid=1695124449&amp;sr=8-8")</f>
        <v>https://www.amazon.com/Mizuno-Womens-Rider-Running-Surf-Snow/dp/B0BLR3QSM9/ref=sr_1_8?keywords=Mizuno+Wave+Sky+6+Running+Shoe+-+Women%27s&amp;qid=1695124449&amp;sr=8-8</v>
      </c>
      <c r="F488" t="s">
        <v>1743</v>
      </c>
      <c r="G488" t="e">
        <f ca="1">IMAGE("https://alssports.vtexassets.com/arquivos/ids/1277387-800-auto?v=638152938174200000&amp;width=800&amp;height=auto&amp;aspect=true")</f>
        <v>#NAME?</v>
      </c>
      <c r="H488" t="e">
        <f ca="1">IMAGE("https://m.media-amazon.com/images/I/815GVp2MWFL._AC_UL320_.jpg")</f>
        <v>#NAME?</v>
      </c>
      <c r="I488" t="s">
        <v>164</v>
      </c>
      <c r="J488">
        <v>135.75</v>
      </c>
      <c r="K488" s="2" t="s">
        <v>1744</v>
      </c>
      <c r="L488">
        <v>4.3</v>
      </c>
      <c r="M488">
        <v>22</v>
      </c>
      <c r="O488" t="s">
        <v>33</v>
      </c>
      <c r="P488" t="s">
        <v>191</v>
      </c>
      <c r="Q488" t="s">
        <v>203</v>
      </c>
    </row>
    <row r="489" spans="1:17" ht="15.75" x14ac:dyDescent="0.25">
      <c r="A489" s="3" t="str">
        <f>HYPERLINK("https://www.als.com/black-diamond-spot-400-headlamp-101632/p?skuId=931481", "https://www.als.com/black-diamond-spot-400-headlamp-101632/p?skuId=931481")</f>
        <v>https://www.als.com/black-diamond-spot-400-headlamp-101632/p?skuId=931481</v>
      </c>
      <c r="B489" s="3" t="str">
        <f>HYPERLINK("https://www.als.com/black-diamond-spot-400-headlamp-101632/p", "https://www.als.com/black-diamond-spot-400-headlamp-101632/p")</f>
        <v>https://www.als.com/black-diamond-spot-400-headlamp-101632/p</v>
      </c>
      <c r="C489" t="s">
        <v>154</v>
      </c>
      <c r="D489" t="s">
        <v>1745</v>
      </c>
      <c r="E489" s="3" t="str">
        <f>HYPERLINK("https://www.amazon.com/Black-Diamond-Spot-350-Headlamp/dp/B08BHR5448/ref=sr_1_7?keywords=Black+Diamond+Spot+400+Headlamp&amp;qid=1695124486&amp;sr=8-7", "https://www.amazon.com/Black-Diamond-Spot-350-Headlamp/dp/B08BHR5448/ref=sr_1_7?keywords=Black+Diamond+Spot+400+Headlamp&amp;qid=1695124486&amp;sr=8-7")</f>
        <v>https://www.amazon.com/Black-Diamond-Spot-350-Headlamp/dp/B08BHR5448/ref=sr_1_7?keywords=Black+Diamond+Spot+400+Headlamp&amp;qid=1695124486&amp;sr=8-7</v>
      </c>
      <c r="F489" t="s">
        <v>1746</v>
      </c>
      <c r="G489" t="e">
        <f ca="1">IMAGE("https://alssports.vtexassets.com/arquivos/ids/1053612-800-auto?v=637867784637730000&amp;width=800&amp;height=auto&amp;aspect=true")</f>
        <v>#NAME?</v>
      </c>
      <c r="H489" t="e">
        <f ca="1">IMAGE("https://m.media-amazon.com/images/I/8197A7S1+hL._AC_UL320_.jpg")</f>
        <v>#NAME?</v>
      </c>
      <c r="I489" t="s">
        <v>157</v>
      </c>
      <c r="J489">
        <v>39.880000000000003</v>
      </c>
      <c r="K489" s="2" t="s">
        <v>1747</v>
      </c>
      <c r="L489">
        <v>4.7</v>
      </c>
      <c r="M489">
        <v>276</v>
      </c>
      <c r="O489" t="s">
        <v>33</v>
      </c>
      <c r="P489" t="s">
        <v>26</v>
      </c>
      <c r="Q489" t="s">
        <v>158</v>
      </c>
    </row>
    <row r="490" spans="1:17" ht="15.75" x14ac:dyDescent="0.25">
      <c r="A490" s="3" t="str">
        <f>HYPERLINK("https://www.als.com/metoli-super-chalk/p?skuId=780553", "https://www.als.com/metoli-super-chalk/p?skuId=780553")</f>
        <v>https://www.als.com/metoli-super-chalk/p?skuId=780553</v>
      </c>
      <c r="B490" s="3" t="str">
        <f>HYPERLINK("https://www.als.com/metoli-super-chalk/p", "https://www.als.com/metoli-super-chalk/p")</f>
        <v>https://www.als.com/metoli-super-chalk/p</v>
      </c>
      <c r="C490" t="s">
        <v>65</v>
      </c>
      <c r="D490" t="s">
        <v>1748</v>
      </c>
      <c r="E490" s="3" t="str">
        <f>HYPERLINK("https://www.amazon.com/Metolius-Super-Chalk-Sock-Standard/dp/B001DTDZIG/ref=sr_1_6?keywords=Metolius+Super+Chalk&amp;qid=1695124455&amp;sr=8-6", "https://www.amazon.com/Metolius-Super-Chalk-Sock-Standard/dp/B001DTDZIG/ref=sr_1_6?keywords=Metolius+Super+Chalk&amp;qid=1695124455&amp;sr=8-6")</f>
        <v>https://www.amazon.com/Metolius-Super-Chalk-Sock-Standard/dp/B001DTDZIG/ref=sr_1_6?keywords=Metolius+Super+Chalk&amp;qid=1695124455&amp;sr=8-6</v>
      </c>
      <c r="F490" t="s">
        <v>1749</v>
      </c>
      <c r="G490" t="e">
        <f ca="1">IMAGE("https://alssports.vtexassets.com/arquivos/ids/208309-800-auto?v=636957368480930000&amp;width=800&amp;height=auto&amp;aspect=true")</f>
        <v>#NAME?</v>
      </c>
      <c r="H490" t="e">
        <f ca="1">IMAGE("https://m.media-amazon.com/images/I/71bumSU16kL._AC_UL320_.jpg")</f>
        <v>#NAME?</v>
      </c>
      <c r="I490" t="s">
        <v>68</v>
      </c>
      <c r="J490">
        <v>3.95</v>
      </c>
      <c r="K490" s="2" t="s">
        <v>1750</v>
      </c>
      <c r="L490">
        <v>3.3</v>
      </c>
      <c r="M490">
        <v>30</v>
      </c>
      <c r="O490" t="s">
        <v>26</v>
      </c>
      <c r="P490" t="s">
        <v>26</v>
      </c>
      <c r="Q490" t="s">
        <v>69</v>
      </c>
    </row>
    <row r="491" spans="1:17" ht="15.75" x14ac:dyDescent="0.25">
      <c r="A491" s="3" t="str">
        <f>HYPERLINK("https://www.als.com/columbia-sandy-shores-sunguard-suit-toddler-124442/p?skuId=1131618", "https://www.als.com/columbia-sandy-shores-sunguard-suit-toddler-124442/p?skuId=1131618")</f>
        <v>https://www.als.com/columbia-sandy-shores-sunguard-suit-toddler-124442/p?skuId=1131618</v>
      </c>
      <c r="B491" s="3" t="str">
        <f>HYPERLINK("https://www.als.com/columbia-sandy-shores-sunguard-suit-toddler-124442/p", "https://www.als.com/columbia-sandy-shores-sunguard-suit-toddler-124442/p")</f>
        <v>https://www.als.com/columbia-sandy-shores-sunguard-suit-toddler-124442/p</v>
      </c>
      <c r="C491" t="s">
        <v>1751</v>
      </c>
      <c r="D491" t="s">
        <v>1752</v>
      </c>
      <c r="E491" s="3" t="str">
        <f>HYPERLINK("https://www.amazon.com/Columbia-Toddler-Unisex-Sunguard-Niagara/dp/B0B1N7HSTK/ref=sr_1_7?keywords=Columbia+Sandy+Shores+Sunguard+Suit+-+Toddler&amp;qid=1695124381&amp;sr=8-7", "https://www.amazon.com/Columbia-Toddler-Unisex-Sunguard-Niagara/dp/B0B1N7HSTK/ref=sr_1_7?keywords=Columbia+Sandy+Shores+Sunguard+Suit+-+Toddler&amp;qid=1695124381&amp;sr=8-7")</f>
        <v>https://www.amazon.com/Columbia-Toddler-Unisex-Sunguard-Niagara/dp/B0B1N7HSTK/ref=sr_1_7?keywords=Columbia+Sandy+Shores+Sunguard+Suit+-+Toddler&amp;qid=1695124381&amp;sr=8-7</v>
      </c>
      <c r="F491" t="s">
        <v>1753</v>
      </c>
      <c r="G491" t="e">
        <f ca="1">IMAGE("https://alssports.vtexassets.com/arquivos/ids/1144906-800-auto?v=638005067272700000&amp;width=800&amp;height=auto&amp;aspect=true")</f>
        <v>#NAME?</v>
      </c>
      <c r="H491" t="e">
        <f ca="1">IMAGE("https://m.media-amazon.com/images/I/51v-Z-jaPSL._AC_UL320_.jpg")</f>
        <v>#NAME?</v>
      </c>
      <c r="I491" t="s">
        <v>1754</v>
      </c>
      <c r="J491">
        <v>10.76</v>
      </c>
      <c r="K491" s="2" t="s">
        <v>1755</v>
      </c>
      <c r="L491">
        <v>5</v>
      </c>
      <c r="M491">
        <v>7</v>
      </c>
      <c r="O491" t="s">
        <v>33</v>
      </c>
      <c r="P491" t="s">
        <v>51</v>
      </c>
      <c r="Q491" t="s">
        <v>1756</v>
      </c>
    </row>
    <row r="492" spans="1:17" ht="15.75" x14ac:dyDescent="0.25">
      <c r="A492" s="3" t="str">
        <f>HYPERLINK("https://www.als.com/asics-ws-shoe-gel-nimbus-24/p?skuId=1037727", "https://www.als.com/asics-ws-shoe-gel-nimbus-24/p?skuId=1037727")</f>
        <v>https://www.als.com/asics-ws-shoe-gel-nimbus-24/p?skuId=1037727</v>
      </c>
      <c r="B492" s="3" t="str">
        <f>HYPERLINK("https://www.als.com/asics-ws-shoe-gel-nimbus-24/p", "https://www.als.com/asics-ws-shoe-gel-nimbus-24/p")</f>
        <v>https://www.als.com/asics-ws-shoe-gel-nimbus-24/p</v>
      </c>
      <c r="C492" t="s">
        <v>1217</v>
      </c>
      <c r="D492" t="s">
        <v>1691</v>
      </c>
      <c r="E492" s="3" t="str">
        <f>HYPERLINK("https://www.amazon.com/ASICS-Womens-Gel-Cumulus-Running-Orange/dp/B09CLMW3JB/ref=sr_1_9?keywords=Asics+GEL-NIMBUS+24+Running+Shoe+-+Womens&amp;qid=1695124093&amp;sr=8-9", "https://www.amazon.com/ASICS-Womens-Gel-Cumulus-Running-Orange/dp/B09CLMW3JB/ref=sr_1_9?keywords=Asics+GEL-NIMBUS+24+Running+Shoe+-+Womens&amp;qid=1695124093&amp;sr=8-9")</f>
        <v>https://www.amazon.com/ASICS-Womens-Gel-Cumulus-Running-Orange/dp/B09CLMW3JB/ref=sr_1_9?keywords=Asics+GEL-NIMBUS+24+Running+Shoe+-+Womens&amp;qid=1695124093&amp;sr=8-9</v>
      </c>
      <c r="F492" t="s">
        <v>1757</v>
      </c>
      <c r="G492" t="e">
        <f ca="1">IMAGE("https://alssports.vtexassets.com/arquivos/ids/1109551-800-auto?v=637950821539330000&amp;width=800&amp;height=auto&amp;aspect=true")</f>
        <v>#NAME?</v>
      </c>
      <c r="H492" t="e">
        <f ca="1">IMAGE("https://m.media-amazon.com/images/I/5125do8u9eL._AC_UL320_.jpg")</f>
        <v>#NAME?</v>
      </c>
      <c r="I492" t="s">
        <v>1220</v>
      </c>
      <c r="J492">
        <v>88.99</v>
      </c>
      <c r="K492" s="2" t="s">
        <v>1758</v>
      </c>
      <c r="L492">
        <v>4.5999999999999996</v>
      </c>
      <c r="M492">
        <v>1072</v>
      </c>
      <c r="O492" t="s">
        <v>33</v>
      </c>
      <c r="P492" t="s">
        <v>88</v>
      </c>
      <c r="Q492" t="s">
        <v>1222</v>
      </c>
    </row>
    <row r="493" spans="1:17" ht="15.75" x14ac:dyDescent="0.25">
      <c r="A493" s="3" t="str">
        <f>HYPERLINK("https://www.als.com/gord-rally-mitt/p?skuId=1306142", "https://www.als.com/gord-rally-mitt/p?skuId=1306142")</f>
        <v>https://www.als.com/gord-rally-mitt/p?skuId=1306142</v>
      </c>
      <c r="B493" s="3" t="str">
        <f>HYPERLINK("https://www.als.com/gord-rally-mitt/p", "https://www.als.com/gord-rally-mitt/p")</f>
        <v>https://www.als.com/gord-rally-mitt/p</v>
      </c>
      <c r="C493" t="s">
        <v>682</v>
      </c>
      <c r="D493" t="s">
        <v>1759</v>
      </c>
      <c r="E493" s="3" t="str">
        <f>HYPERLINK("https://www.amazon.com/Gordini-Women-Gore-Gauntlet-Black/dp/B00AEVMO4A/ref=sr_1_24?keywords=Gordini+Rally+Mitten+-+Mens&amp;qid=1695124309&amp;sr=8-24", "https://www.amazon.com/Gordini-Women-Gore-Gauntlet-Black/dp/B00AEVMO4A/ref=sr_1_24?keywords=Gordini+Rally+Mitten+-+Mens&amp;qid=1695124309&amp;sr=8-24")</f>
        <v>https://www.amazon.com/Gordini-Women-Gore-Gauntlet-Black/dp/B00AEVMO4A/ref=sr_1_24?keywords=Gordini+Rally+Mitten+-+Mens&amp;qid=1695124309&amp;sr=8-24</v>
      </c>
      <c r="F493" t="s">
        <v>1760</v>
      </c>
      <c r="G493" t="e">
        <f ca="1">IMAGE("https://alssports.vtexassets.com/arquivos/ids/1427992-800-auto?v=638283287978400000&amp;width=800&amp;height=auto&amp;aspect=true")</f>
        <v>#NAME?</v>
      </c>
      <c r="H493" t="e">
        <f ca="1">IMAGE("https://m.media-amazon.com/images/I/917l69D7t6L._AC_UL320_.jpg")</f>
        <v>#NAME?</v>
      </c>
      <c r="I493" t="s">
        <v>225</v>
      </c>
      <c r="J493">
        <v>55.5</v>
      </c>
      <c r="K493" s="2" t="s">
        <v>1761</v>
      </c>
      <c r="L493">
        <v>4.3</v>
      </c>
      <c r="M493">
        <v>92</v>
      </c>
      <c r="O493" t="s">
        <v>33</v>
      </c>
      <c r="P493" t="s">
        <v>26</v>
      </c>
      <c r="Q493" t="s">
        <v>686</v>
      </c>
    </row>
    <row r="494" spans="1:17" ht="15.75" x14ac:dyDescent="0.25">
      <c r="A494" s="3" t="str">
        <f>HYPERLINK("https://www.als.com/camel-womens-mule-12/p?skuId=928900", "https://www.als.com/camel-womens-mule-12/p?skuId=928900")</f>
        <v>https://www.als.com/camel-womens-mule-12/p?skuId=928900</v>
      </c>
      <c r="B494" s="3" t="str">
        <f>HYPERLINK("https://www.als.com/camel-womens-mule-12/p", "https://www.als.com/camel-womens-mule-12/p")</f>
        <v>https://www.als.com/camel-womens-mule-12/p</v>
      </c>
      <c r="C494" t="s">
        <v>398</v>
      </c>
      <c r="D494" t="s">
        <v>1762</v>
      </c>
      <c r="E494" s="3" t="str">
        <f>HYPERLINK("https://www.amazon.com/CamelBak-Womens-Hydration-Castlerock-Seafoam/dp/B08R6QB69H/ref=sr_1_25?keywords=CamelBak+M.U.L.E.+12+Hydration+Pack+-+Womens&amp;qid=1695124412&amp;sr=8-25", "https://www.amazon.com/CamelBak-Womens-Hydration-Castlerock-Seafoam/dp/B08R6QB69H/ref=sr_1_25?keywords=CamelBak+M.U.L.E.+12+Hydration+Pack+-+Womens&amp;qid=1695124412&amp;sr=8-25")</f>
        <v>https://www.amazon.com/CamelBak-Womens-Hydration-Castlerock-Seafoam/dp/B08R6QB69H/ref=sr_1_25?keywords=CamelBak+M.U.L.E.+12+Hydration+Pack+-+Womens&amp;qid=1695124412&amp;sr=8-25</v>
      </c>
      <c r="F494" t="s">
        <v>1763</v>
      </c>
      <c r="G494" t="e">
        <f ca="1">IMAGE("https://alssports.vtexassets.com/arquivos/ids/1344859-800-auto?v=638222065082070000&amp;width=800&amp;height=auto&amp;aspect=true")</f>
        <v>#NAME?</v>
      </c>
      <c r="H494" t="e">
        <f ca="1">IMAGE("https://m.media-amazon.com/images/I/91z5QdeNAxL._AC_UL320_.jpg")</f>
        <v>#NAME?</v>
      </c>
      <c r="I494" t="s">
        <v>401</v>
      </c>
      <c r="J494">
        <v>47.49</v>
      </c>
      <c r="K494" s="2" t="s">
        <v>1764</v>
      </c>
      <c r="L494">
        <v>4.5</v>
      </c>
      <c r="M494">
        <v>157</v>
      </c>
      <c r="O494" t="s">
        <v>33</v>
      </c>
      <c r="P494" t="s">
        <v>403</v>
      </c>
      <c r="Q494" t="s">
        <v>404</v>
      </c>
    </row>
    <row r="495" spans="1:17" ht="15.75" x14ac:dyDescent="0.25">
      <c r="A495" s="3" t="str">
        <f>HYPERLINK("https://www.als.com/keen-w-koven/p?skuId=1240446", "https://www.als.com/keen-w-koven/p?skuId=1240446")</f>
        <v>https://www.als.com/keen-w-koven/p?skuId=1240446</v>
      </c>
      <c r="B495" s="3" t="str">
        <f>HYPERLINK("https://www.als.com/keen-w-koven/p", "https://www.als.com/keen-w-koven/p")</f>
        <v>https://www.als.com/keen-w-koven/p</v>
      </c>
      <c r="C495" t="s">
        <v>737</v>
      </c>
      <c r="D495" t="s">
        <v>1765</v>
      </c>
      <c r="E495" s="3" t="str">
        <f>HYPERLINK("https://www.amazon.com/KEEN-Womens-Terradora-Hiking-Dapple/dp/B077KGCGKX/ref=sr_1_42?keywords=KEEN+Koven+Hiking+Shoe+-+Women%27s&amp;qid=1695124139&amp;sr=8-42", "https://www.amazon.com/KEEN-Womens-Terradora-Hiking-Dapple/dp/B077KGCGKX/ref=sr_1_42?keywords=KEEN+Koven+Hiking+Shoe+-+Women%27s&amp;qid=1695124139&amp;sr=8-42")</f>
        <v>https://www.amazon.com/KEEN-Womens-Terradora-Hiking-Dapple/dp/B077KGCGKX/ref=sr_1_42?keywords=KEEN+Koven+Hiking+Shoe+-+Women%27s&amp;qid=1695124139&amp;sr=8-42</v>
      </c>
      <c r="F495" t="s">
        <v>1766</v>
      </c>
      <c r="G495" t="e">
        <f ca="1">IMAGE("https://alssports.vtexassets.com/arquivos/ids/1211483-800-auto?v=638091747520730000&amp;width=800&amp;height=auto&amp;aspect=true")</f>
        <v>#NAME?</v>
      </c>
      <c r="H495" t="e">
        <f ca="1">IMAGE("https://m.media-amazon.com/images/I/81Gs8x+ZkfL._AC_UL320_.jpg")</f>
        <v>#NAME?</v>
      </c>
      <c r="I495" t="s">
        <v>639</v>
      </c>
      <c r="J495">
        <v>94.9</v>
      </c>
      <c r="K495" s="2" t="s">
        <v>1767</v>
      </c>
      <c r="L495">
        <v>4</v>
      </c>
      <c r="M495">
        <v>98</v>
      </c>
      <c r="O495" t="s">
        <v>33</v>
      </c>
      <c r="P495" t="s">
        <v>26</v>
      </c>
      <c r="Q495" t="s">
        <v>741</v>
      </c>
    </row>
    <row r="496" spans="1:17" ht="15.75" x14ac:dyDescent="0.25">
      <c r="A496" s="3" t="str">
        <f>HYPERLINK("https://www.als.com/brooks-ms-shoe-adrenaline-gts-22/p?skuId=900565", "https://www.als.com/brooks-ms-shoe-adrenaline-gts-22/p?skuId=900565")</f>
        <v>https://www.als.com/brooks-ms-shoe-adrenaline-gts-22/p?skuId=900565</v>
      </c>
      <c r="B496" s="3" t="str">
        <f>HYPERLINK("https://www.als.com/brooks-ms-shoe-adrenaline-gts-22/p", "https://www.als.com/brooks-ms-shoe-adrenaline-gts-22/p")</f>
        <v>https://www.als.com/brooks-ms-shoe-adrenaline-gts-22/p</v>
      </c>
      <c r="C496" t="s">
        <v>147</v>
      </c>
      <c r="D496" t="s">
        <v>572</v>
      </c>
      <c r="E496" s="3" t="str">
        <f>HYPERLINK("https://www.amazon.com/Brooks-Levitate-Mens-Supportive-Running/dp/B08LQV815D/ref=sr_1_11?keywords=Brooks+Adrenaline+GTS+22+Running+Shoe+-+Mens&amp;qid=1695124319&amp;sr=8-11", "https://www.amazon.com/Brooks-Levitate-Mens-Supportive-Running/dp/B08LQV815D/ref=sr_1_11?keywords=Brooks+Adrenaline+GTS+22+Running+Shoe+-+Mens&amp;qid=1695124319&amp;sr=8-11")</f>
        <v>https://www.amazon.com/Brooks-Levitate-Mens-Supportive-Running/dp/B08LQV815D/ref=sr_1_11?keywords=Brooks+Adrenaline+GTS+22+Running+Shoe+-+Mens&amp;qid=1695124319&amp;sr=8-11</v>
      </c>
      <c r="F496" t="s">
        <v>1768</v>
      </c>
      <c r="G496" t="e">
        <f ca="1">IMAGE("https://alssports.vtexassets.com/arquivos/ids/1076112-800-auto?v=637904171081370000&amp;width=800&amp;height=auto&amp;aspect=true")</f>
        <v>#NAME?</v>
      </c>
      <c r="H496" t="e">
        <f ca="1">IMAGE("https://m.media-amazon.com/images/I/91rp-wVxDIL._AC_UL320_.jpg")</f>
        <v>#NAME?</v>
      </c>
      <c r="I496" t="s">
        <v>150</v>
      </c>
      <c r="J496">
        <v>86.95</v>
      </c>
      <c r="K496" s="2" t="s">
        <v>1769</v>
      </c>
      <c r="L496">
        <v>4.5999999999999996</v>
      </c>
      <c r="M496">
        <v>403</v>
      </c>
      <c r="O496" t="s">
        <v>33</v>
      </c>
      <c r="P496" t="s">
        <v>119</v>
      </c>
      <c r="Q496" t="s">
        <v>151</v>
      </c>
    </row>
    <row r="497" spans="1:17" ht="15.75" x14ac:dyDescent="0.25">
      <c r="A497" s="3" t="str">
        <f>HYPERLINK("https://www.als.com/keen-m-koven-mid-wp/p?skuId=1240445", "https://www.als.com/keen-m-koven-mid-wp/p?skuId=1240445")</f>
        <v>https://www.als.com/keen-m-koven-mid-wp/p?skuId=1240445</v>
      </c>
      <c r="B497" s="3" t="str">
        <f>HYPERLINK("https://www.als.com/keen-m-koven-mid-wp/p", "https://www.als.com/keen-m-koven-mid-wp/p")</f>
        <v>https://www.als.com/keen-m-koven-mid-wp/p</v>
      </c>
      <c r="C497" t="s">
        <v>282</v>
      </c>
      <c r="D497" t="s">
        <v>1770</v>
      </c>
      <c r="E497" s="3" t="str">
        <f>HYPERLINK("https://www.amazon.com/KEEN-Targhee-Winter-Hiking-Black/dp/B09S8PYGSR/ref=sr_1_21?keywords=KEEN+Koven+Mid+Waterproof+Hiking+Boot+-+Men%27s&amp;qid=1695124140&amp;sr=8-21", "https://www.amazon.com/KEEN-Targhee-Winter-Hiking-Black/dp/B09S8PYGSR/ref=sr_1_21?keywords=KEEN+Koven+Mid+Waterproof+Hiking+Boot+-+Men%27s&amp;qid=1695124140&amp;sr=8-21")</f>
        <v>https://www.amazon.com/KEEN-Targhee-Winter-Hiking-Black/dp/B09S8PYGSR/ref=sr_1_21?keywords=KEEN+Koven+Mid+Waterproof+Hiking+Boot+-+Men%27s&amp;qid=1695124140&amp;sr=8-21</v>
      </c>
      <c r="F497" t="s">
        <v>1771</v>
      </c>
      <c r="G497" t="e">
        <f ca="1">IMAGE("https://alssports.vtexassets.com/arquivos/ids/1363221-800-auto?v=638236488805200000&amp;width=800&amp;height=auto&amp;aspect=true")</f>
        <v>#NAME?</v>
      </c>
      <c r="H497" t="e">
        <f ca="1">IMAGE("https://m.media-amazon.com/images/I/71i7cS3uTWL._AC_UL320_.jpg")</f>
        <v>#NAME?</v>
      </c>
      <c r="I497" t="s">
        <v>285</v>
      </c>
      <c r="J497">
        <v>110.6</v>
      </c>
      <c r="K497" s="2" t="s">
        <v>1772</v>
      </c>
      <c r="L497">
        <v>4.5</v>
      </c>
      <c r="M497">
        <v>44</v>
      </c>
      <c r="O497" t="s">
        <v>33</v>
      </c>
      <c r="P497" t="s">
        <v>26</v>
      </c>
      <c r="Q497" t="s">
        <v>287</v>
      </c>
    </row>
    <row r="498" spans="1:17" ht="15.75" x14ac:dyDescent="0.25">
      <c r="A498" s="3" t="str">
        <f>HYPERLINK("https://www.als.com/under-m-charged-verssert-run-shoe/p?skuId=1204906", "https://www.als.com/under-m-charged-verssert-run-shoe/p?skuId=1204906")</f>
        <v>https://www.als.com/under-m-charged-verssert-run-shoe/p?skuId=1204906</v>
      </c>
      <c r="B498" s="3" t="str">
        <f>HYPERLINK("https://www.als.com/under-m-charged-verssert-run-shoe/p", "https://www.als.com/under-m-charged-verssert-run-shoe/p")</f>
        <v>https://www.als.com/under-m-charged-verssert-run-shoe/p</v>
      </c>
      <c r="C498" t="s">
        <v>60</v>
      </c>
      <c r="D498" t="s">
        <v>1773</v>
      </c>
      <c r="E498" s="3" t="str">
        <f>HYPERLINK("https://www.amazon.com/Under-Armour-Charged-Pursuit-Running/dp/B096952318/ref=sr_1_7?keywords=Under+Armour+Charged+Verssert+Running+Shoe+-+Mens&amp;qid=1695124491&amp;sr=8-7", "https://www.amazon.com/Under-Armour-Charged-Pursuit-Running/dp/B096952318/ref=sr_1_7?keywords=Under+Armour+Charged+Verssert+Running+Shoe+-+Mens&amp;qid=1695124491&amp;sr=8-7")</f>
        <v>https://www.amazon.com/Under-Armour-Charged-Pursuit-Running/dp/B096952318/ref=sr_1_7?keywords=Under+Armour+Charged+Verssert+Running+Shoe+-+Mens&amp;qid=1695124491&amp;sr=8-7</v>
      </c>
      <c r="F498" t="s">
        <v>1774</v>
      </c>
      <c r="G498" t="e">
        <f ca="1">IMAGE("https://alssports.vtexassets.com/arquivos/ids/1282426-800-auto?v=638158001411130000&amp;width=800&amp;height=auto&amp;aspect=true")</f>
        <v>#NAME?</v>
      </c>
      <c r="H498" t="e">
        <f ca="1">IMAGE("https://m.media-amazon.com/images/I/51NAfSLsnUL._AC_UL320_.jpg")</f>
        <v>#NAME?</v>
      </c>
      <c r="I498" t="s">
        <v>63</v>
      </c>
      <c r="J498">
        <v>59.25</v>
      </c>
      <c r="K498" s="2" t="s">
        <v>1775</v>
      </c>
      <c r="L498">
        <v>4.4000000000000004</v>
      </c>
      <c r="M498">
        <v>4342</v>
      </c>
      <c r="O498" t="s">
        <v>33</v>
      </c>
      <c r="P498" t="s">
        <v>26</v>
      </c>
      <c r="Q498" t="s">
        <v>64</v>
      </c>
    </row>
    <row r="499" spans="1:17" ht="15.75" x14ac:dyDescent="0.25">
      <c r="A499" s="3" t="str">
        <f>HYPERLINK("https://www.als.com/billab-ride-in/p?skuId=1331610", "https://www.als.com/billab-ride-in/p?skuId=1331610")</f>
        <v>https://www.als.com/billab-ride-in/p?skuId=1331610</v>
      </c>
      <c r="B499" s="3" t="str">
        <f>HYPERLINK("https://www.als.com/billab-ride-in/p", "https://www.als.com/billab-ride-in/p")</f>
        <v>https://www.als.com/billab-ride-in/p</v>
      </c>
      <c r="C499" t="s">
        <v>1776</v>
      </c>
      <c r="D499" t="s">
        <v>1777</v>
      </c>
      <c r="E499" s="3" t="str">
        <f>HYPERLINK("https://www.amazon.com/Billabong-RIDE-SC1-XS-6/dp/B0B4YS8SNL/ref=sr_1_1?keywords=Billabong+Ride+In+Oversized+Crewneck+Sweatshirt+-+Womens&amp;qid=1695124426&amp;sr=8-1", "https://www.amazon.com/Billabong-RIDE-SC1-XS-6/dp/B0B4YS8SNL/ref=sr_1_1?keywords=Billabong+Ride+In+Oversized+Crewneck+Sweatshirt+-+Womens&amp;qid=1695124426&amp;sr=8-1")</f>
        <v>https://www.amazon.com/Billabong-RIDE-SC1-XS-6/dp/B0B4YS8SNL/ref=sr_1_1?keywords=Billabong+Ride+In+Oversized+Crewneck+Sweatshirt+-+Womens&amp;qid=1695124426&amp;sr=8-1</v>
      </c>
      <c r="F499" t="s">
        <v>1778</v>
      </c>
      <c r="G499" t="e">
        <f ca="1">IMAGE("https://alssports.vtexassets.com/arquivos/ids/1400612-800-auto?v=638264306168870000&amp;width=800&amp;height=auto&amp;aspect=true")</f>
        <v>#NAME?</v>
      </c>
      <c r="H499" t="e">
        <f ca="1">IMAGE("https://m.media-amazon.com/images/I/8181F9RUyPL._AC_UL320_.jpg")</f>
        <v>#NAME?</v>
      </c>
      <c r="I499" t="s">
        <v>1779</v>
      </c>
      <c r="J499">
        <v>52.06</v>
      </c>
      <c r="K499" s="2" t="s">
        <v>1780</v>
      </c>
      <c r="L499">
        <v>4.7</v>
      </c>
      <c r="M499">
        <v>16</v>
      </c>
      <c r="O499" t="s">
        <v>33</v>
      </c>
      <c r="P499" t="s">
        <v>26</v>
      </c>
      <c r="Q499" t="s">
        <v>1781</v>
      </c>
    </row>
    <row r="500" spans="1:17" ht="15.75" x14ac:dyDescent="0.25">
      <c r="A500" s="3" t="str">
        <f>HYPERLINK("https://www.als.com/feedbk-repair-stand-pro-elite/p?skuId=142342", "https://www.als.com/feedbk-repair-stand-pro-elite/p?skuId=142342")</f>
        <v>https://www.als.com/feedbk-repair-stand-pro-elite/p?skuId=142342</v>
      </c>
      <c r="B500" s="3" t="str">
        <f>HYPERLINK("https://www.als.com/feedbk-repair-stand-pro-elite/p", "https://www.als.com/feedbk-repair-stand-pro-elite/p")</f>
        <v>https://www.als.com/feedbk-repair-stand-pro-elite/p</v>
      </c>
      <c r="C500" t="s">
        <v>1782</v>
      </c>
      <c r="D500" t="s">
        <v>1783</v>
      </c>
      <c r="E500" s="3" t="str">
        <f>HYPERLINK("https://www.amazon.com/Feedback-Sports-Pro-Ultralight-Repair-Stand/dp/B00NARS11A/ref=sr_1_6?keywords=Feedback+Sports+Pro-Elite+Repair+Stand&amp;qid=1695124423&amp;sr=8-6", "https://www.amazon.com/Feedback-Sports-Pro-Ultralight-Repair-Stand/dp/B00NARS11A/ref=sr_1_6?keywords=Feedback+Sports+Pro-Elite+Repair+Stand&amp;qid=1695124423&amp;sr=8-6")</f>
        <v>https://www.amazon.com/Feedback-Sports-Pro-Ultralight-Repair-Stand/dp/B00NARS11A/ref=sr_1_6?keywords=Feedback+Sports+Pro-Elite+Repair+Stand&amp;qid=1695124423&amp;sr=8-6</v>
      </c>
      <c r="F500" t="s">
        <v>1784</v>
      </c>
      <c r="G500" t="e">
        <f ca="1">IMAGE("https://alssports.vtexassets.com/arquivos/ids/1068309-800-auto?v=637892663771430000&amp;width=800&amp;height=auto&amp;aspect=true")</f>
        <v>#NAME?</v>
      </c>
      <c r="H500" t="e">
        <f ca="1">IMAGE("https://m.media-amazon.com/images/I/51lsrV0sz7L._AC_UL320_.jpg")</f>
        <v>#NAME?</v>
      </c>
      <c r="I500" t="s">
        <v>1785</v>
      </c>
      <c r="J500">
        <v>260</v>
      </c>
      <c r="K500" s="2" t="s">
        <v>1786</v>
      </c>
      <c r="L500">
        <v>4.7</v>
      </c>
      <c r="M500">
        <v>7</v>
      </c>
      <c r="O500" t="s">
        <v>33</v>
      </c>
      <c r="P500" t="s">
        <v>26</v>
      </c>
      <c r="Q500" t="s">
        <v>1787</v>
      </c>
    </row>
    <row r="501" spans="1:17" ht="15.75" x14ac:dyDescent="0.25">
      <c r="A501" s="3" t="str">
        <f>HYPERLINK("https://www.als.com/oakley-fl-xm-balsam-grey-camo/p?skuId=1333142", "https://www.als.com/oakley-fl-xm-balsam-grey-camo/p?skuId=1333142")</f>
        <v>https://www.als.com/oakley-fl-xm-balsam-grey-camo/p?skuId=1333142</v>
      </c>
      <c r="B501" s="3" t="str">
        <f>HYPERLINK("https://www.als.com/oakley-fl-xm-balsam-grey-camo/p", "https://www.als.com/oakley-fl-xm-balsam-grey-camo/p")</f>
        <v>https://www.als.com/oakley-fl-xm-balsam-grey-camo/p</v>
      </c>
      <c r="C501" t="s">
        <v>222</v>
      </c>
      <c r="D501" t="s">
        <v>1499</v>
      </c>
      <c r="E501" s="3" t="str">
        <f>HYPERLINK("https://www.amazon.com/Oakley-Replacement-Snowmobile-Goggles-Accessories/dp/B079STGYM3/ref=sr_1_19?keywords=Oakley+Fall+Line+M+Goggle&amp;qid=1695124131&amp;sr=8-19", "https://www.amazon.com/Oakley-Replacement-Snowmobile-Goggles-Accessories/dp/B079STGYM3/ref=sr_1_19?keywords=Oakley+Fall+Line+M+Goggle&amp;qid=1695124131&amp;sr=8-19")</f>
        <v>https://www.amazon.com/Oakley-Replacement-Snowmobile-Goggles-Accessories/dp/B079STGYM3/ref=sr_1_19?keywords=Oakley+Fall+Line+M+Goggle&amp;qid=1695124131&amp;sr=8-19</v>
      </c>
      <c r="F501" t="s">
        <v>1500</v>
      </c>
      <c r="G501" t="e">
        <f ca="1">IMAGE("https://alssports.vtexassets.com/arquivos/ids/1291312-800-auto?v=638167436632970000&amp;width=800&amp;height=auto&amp;aspect=true")</f>
        <v>#NAME?</v>
      </c>
      <c r="H501" t="e">
        <f ca="1">IMAGE("https://m.media-amazon.com/images/I/51ya+tzRtOL._AC_UL320_.jpg")</f>
        <v>#NAME?</v>
      </c>
      <c r="I501" t="s">
        <v>225</v>
      </c>
      <c r="J501">
        <v>55</v>
      </c>
      <c r="K501" s="2" t="s">
        <v>1788</v>
      </c>
      <c r="L501">
        <v>3.5</v>
      </c>
      <c r="M501">
        <v>7</v>
      </c>
      <c r="O501" t="s">
        <v>33</v>
      </c>
      <c r="P501" t="s">
        <v>226</v>
      </c>
      <c r="Q501" t="s">
        <v>227</v>
      </c>
    </row>
    <row r="502" spans="1:17" ht="15.75" x14ac:dyDescent="0.25">
      <c r="A502" s="3" t="str">
        <f>HYPERLINK("https://www.als.com/sorel-m-explorer-sneaker-mid-wp/p?skuId=1262096", "https://www.als.com/sorel-m-explorer-sneaker-mid-wp/p?skuId=1262096")</f>
        <v>https://www.als.com/sorel-m-explorer-sneaker-mid-wp/p?skuId=1262096</v>
      </c>
      <c r="B502" s="3" t="str">
        <f>HYPERLINK("https://www.als.com/sorel-m-explorer-sneaker-mid-wp/p", "https://www.als.com/sorel-m-explorer-sneaker-mid-wp/p")</f>
        <v>https://www.als.com/sorel-m-explorer-sneaker-mid-wp/p</v>
      </c>
      <c r="C502" t="s">
        <v>1789</v>
      </c>
      <c r="D502" t="s">
        <v>1790</v>
      </c>
      <c r="E502" s="3" t="str">
        <f>HYPERLINK("https://www.amazon.com/Sorel-Mens-Explorer-Sneaker-Waterproof/dp/B0B6JRQFT2/ref=sr_1_1?keywords=Sorel+Explorer+Sneaker+Mid+-+Mens&amp;qid=1695124459&amp;sr=8-1", "https://www.amazon.com/Sorel-Mens-Explorer-Sneaker-Waterproof/dp/B0B6JRQFT2/ref=sr_1_1?keywords=Sorel+Explorer+Sneaker+Mid+-+Mens&amp;qid=1695124459&amp;sr=8-1")</f>
        <v>https://www.amazon.com/Sorel-Mens-Explorer-Sneaker-Waterproof/dp/B0B6JRQFT2/ref=sr_1_1?keywords=Sorel+Explorer+Sneaker+Mid+-+Mens&amp;qid=1695124459&amp;sr=8-1</v>
      </c>
      <c r="F502" t="s">
        <v>1791</v>
      </c>
      <c r="G502" t="e">
        <f ca="1">IMAGE("https://alssports.vtexassets.com/arquivos/ids/1316710-800-auto?v=638198522661330000&amp;width=800&amp;height=auto&amp;aspect=true")</f>
        <v>#NAME?</v>
      </c>
      <c r="H502" t="e">
        <f ca="1">IMAGE("https://m.media-amazon.com/images/I/619gYJ-OlHL._AC_UL320_.jpg")</f>
        <v>#NAME?</v>
      </c>
      <c r="I502" t="s">
        <v>119</v>
      </c>
      <c r="J502">
        <v>109.95</v>
      </c>
      <c r="K502" s="2" t="s">
        <v>1792</v>
      </c>
      <c r="L502">
        <v>4.5999999999999996</v>
      </c>
      <c r="M502">
        <v>89</v>
      </c>
      <c r="O502" t="s">
        <v>33</v>
      </c>
      <c r="P502" t="s">
        <v>26</v>
      </c>
      <c r="Q502" t="s">
        <v>1793</v>
      </c>
    </row>
    <row r="503" spans="1:17" ht="15.75" x14ac:dyDescent="0.25">
      <c r="A503" s="3" t="str">
        <f>HYPERLINK("https://www.als.com/heydud-m-shoe-wally-braided/p?skuId=599445", "https://www.als.com/heydud-m-shoe-wally-braided/p?skuId=599445")</f>
        <v>https://www.als.com/heydud-m-shoe-wally-braided/p?skuId=599445</v>
      </c>
      <c r="B503" s="3" t="str">
        <f>HYPERLINK("https://www.als.com/heydud-m-shoe-wally-braided/p", "https://www.als.com/heydud-m-shoe-wally-braided/p")</f>
        <v>https://www.als.com/heydud-m-shoe-wally-braided/p</v>
      </c>
      <c r="C503" t="s">
        <v>506</v>
      </c>
      <c r="D503" t="s">
        <v>1794</v>
      </c>
      <c r="E503" s="3" t="str">
        <f>HYPERLINK("https://www.amazon.com/Hey-Dude-Mens-Wally-Size/dp/B007MMQRVK/ref=sr_1_14?keywords=Hey+Dude+Wally+Braided+Shoe+-+Mens&amp;qid=1695124451&amp;sr=8-14", "https://www.amazon.com/Hey-Dude-Mens-Wally-Size/dp/B007MMQRVK/ref=sr_1_14?keywords=Hey+Dude+Wally+Braided+Shoe+-+Mens&amp;qid=1695124451&amp;sr=8-14")</f>
        <v>https://www.amazon.com/Hey-Dude-Mens-Wally-Size/dp/B007MMQRVK/ref=sr_1_14?keywords=Hey+Dude+Wally+Braided+Shoe+-+Mens&amp;qid=1695124451&amp;sr=8-14</v>
      </c>
      <c r="F503" t="s">
        <v>1795</v>
      </c>
      <c r="G503" t="e">
        <f ca="1">IMAGE("https://alssports.vtexassets.com/arquivos/ids/1386107-800-auto?v=638254870959300000&amp;width=800&amp;height=auto&amp;aspect=true")</f>
        <v>#NAME?</v>
      </c>
      <c r="H503" t="e">
        <f ca="1">IMAGE("https://m.media-amazon.com/images/I/61vlU8yUBrL._AC_UL320_.jpg")</f>
        <v>#NAME?</v>
      </c>
      <c r="I503" t="s">
        <v>58</v>
      </c>
      <c r="J503">
        <v>50.99</v>
      </c>
      <c r="K503" s="2" t="s">
        <v>1796</v>
      </c>
      <c r="L503">
        <v>4.7</v>
      </c>
      <c r="M503">
        <v>26435</v>
      </c>
      <c r="O503" t="s">
        <v>33</v>
      </c>
      <c r="P503" t="s">
        <v>26</v>
      </c>
      <c r="Q503" t="s">
        <v>507</v>
      </c>
    </row>
    <row r="504" spans="1:17" ht="15.75" x14ac:dyDescent="0.25">
      <c r="A504" s="3" t="str">
        <f>HYPERLINK("https://www.als.com/heydud-m-shoe-wally-washed-canvas/p?skuId=1317816", "https://www.als.com/heydud-m-shoe-wally-washed-canvas/p?skuId=1317816")</f>
        <v>https://www.als.com/heydud-m-shoe-wally-washed-canvas/p?skuId=1317816</v>
      </c>
      <c r="B504" s="3" t="str">
        <f>HYPERLINK("https://www.als.com/heydud-m-shoe-wally-washed-canvas/p", "https://www.als.com/heydud-m-shoe-wally-washed-canvas/p")</f>
        <v>https://www.als.com/heydud-m-shoe-wally-washed-canvas/p</v>
      </c>
      <c r="C504" t="s">
        <v>501</v>
      </c>
      <c r="D504" t="s">
        <v>1797</v>
      </c>
      <c r="E504" s="3" t="str">
        <f>HYPERLINK("https://www.amazon.com/Hey-Dude-Ripstop-Comfortable-Light-Weight/dp/B0B9R3SL4H/ref=sr_1_52?keywords=Hey+Dude+Wally+Washed+Canvas+Shoe+-+Mens&amp;qid=1695124460&amp;sr=8-52", "https://www.amazon.com/Hey-Dude-Ripstop-Comfortable-Light-Weight/dp/B0B9R3SL4H/ref=sr_1_52?keywords=Hey+Dude+Wally+Washed+Canvas+Shoe+-+Mens&amp;qid=1695124460&amp;sr=8-52")</f>
        <v>https://www.amazon.com/Hey-Dude-Ripstop-Comfortable-Light-Weight/dp/B0B9R3SL4H/ref=sr_1_52?keywords=Hey+Dude+Wally+Washed+Canvas+Shoe+-+Mens&amp;qid=1695124460&amp;sr=8-52</v>
      </c>
      <c r="F504" t="s">
        <v>1798</v>
      </c>
      <c r="G504" t="e">
        <f ca="1">IMAGE("https://alssports.vtexassets.com/arquivos/ids/1388214-800-auto?v=638255521966130000&amp;width=800&amp;height=auto&amp;aspect=true")</f>
        <v>#NAME?</v>
      </c>
      <c r="H504" t="e">
        <f ca="1">IMAGE("https://m.media-amazon.com/images/I/61wgqkwcvDL._AC_UL320_.jpg")</f>
        <v>#NAME?</v>
      </c>
      <c r="I504" t="s">
        <v>58</v>
      </c>
      <c r="J504">
        <v>50.99</v>
      </c>
      <c r="K504" s="2" t="s">
        <v>1796</v>
      </c>
      <c r="L504">
        <v>4.5999999999999996</v>
      </c>
      <c r="M504">
        <v>102</v>
      </c>
      <c r="O504" t="s">
        <v>33</v>
      </c>
      <c r="P504" t="s">
        <v>26</v>
      </c>
      <c r="Q504" t="s">
        <v>505</v>
      </c>
    </row>
    <row r="505" spans="1:17" ht="15.75" x14ac:dyDescent="0.25">
      <c r="A505" s="3" t="str">
        <f>HYPERLINK("https://www.als.com/sitka-m-pant-mountain-optifade/p?skuId=90738", "https://www.als.com/sitka-m-pant-mountain-optifade/p?skuId=90738")</f>
        <v>https://www.als.com/sitka-m-pant-mountain-optifade/p?skuId=90738</v>
      </c>
      <c r="B505" s="3" t="str">
        <f>HYPERLINK("https://www.als.com/sitka-m-pant-mountain-optifade/p", "https://www.als.com/sitka-m-pant-mountain-optifade/p")</f>
        <v>https://www.als.com/sitka-m-pant-mountain-optifade/p</v>
      </c>
      <c r="C505" t="s">
        <v>260</v>
      </c>
      <c r="D505" t="s">
        <v>1799</v>
      </c>
      <c r="E505" s="3" t="str">
        <f>HYPERLINK("https://www.amazon.com/SITKA-Gear-Apex-Optifade-Subalpine/dp/B07C56Q76W/ref=sr_1_4?keywords=Sitka+Mountain+Pant+-+Mens&amp;qid=1695124392&amp;sr=8-4", "https://www.amazon.com/SITKA-Gear-Apex-Optifade-Subalpine/dp/B07C56Q76W/ref=sr_1_4?keywords=Sitka+Mountain+Pant+-+Mens&amp;qid=1695124392&amp;sr=8-4")</f>
        <v>https://www.amazon.com/SITKA-Gear-Apex-Optifade-Subalpine/dp/B07C56Q76W/ref=sr_1_4?keywords=Sitka+Mountain+Pant+-+Mens&amp;qid=1695124392&amp;sr=8-4</v>
      </c>
      <c r="F505" t="s">
        <v>1800</v>
      </c>
      <c r="G505" t="e">
        <f ca="1">IMAGE("https://alssports.vtexassets.com/arquivos/ids/1369099-800-auto?v=638242004529500000&amp;width=800&amp;height=auto&amp;aspect=true")</f>
        <v>#NAME?</v>
      </c>
      <c r="H505" t="e">
        <f ca="1">IMAGE("https://m.media-amazon.com/images/I/51noBJ1VDqL._AC_UL320_.jpg")</f>
        <v>#NAME?</v>
      </c>
      <c r="I505" t="s">
        <v>263</v>
      </c>
      <c r="J505">
        <v>164</v>
      </c>
      <c r="K505" s="2" t="s">
        <v>1801</v>
      </c>
      <c r="L505">
        <v>4.7</v>
      </c>
      <c r="M505">
        <v>134</v>
      </c>
      <c r="O505" t="s">
        <v>33</v>
      </c>
      <c r="P505" t="s">
        <v>26</v>
      </c>
      <c r="Q505" t="s">
        <v>264</v>
      </c>
    </row>
    <row r="506" spans="1:17" ht="15.75" x14ac:dyDescent="0.25">
      <c r="A506" s="3" t="str">
        <f>HYPERLINK("https://www.als.com/adidas-m-shoe-lite-racer-adapt-50/p?skuId=1338101", "https://www.als.com/adidas-m-shoe-lite-racer-adapt-50/p?skuId=1338101")</f>
        <v>https://www.als.com/adidas-m-shoe-lite-racer-adapt-50/p?skuId=1338101</v>
      </c>
      <c r="B506" s="3" t="str">
        <f>HYPERLINK("https://www.als.com/adidas-m-shoe-lite-racer-adapt-50/p", "https://www.als.com/adidas-m-shoe-lite-racer-adapt-50/p")</f>
        <v>https://www.als.com/adidas-m-shoe-lite-racer-adapt-50/p</v>
      </c>
      <c r="C506" t="s">
        <v>1119</v>
      </c>
      <c r="D506" t="s">
        <v>1802</v>
      </c>
      <c r="E506" s="3" t="str">
        <f>HYPERLINK("https://www.amazon.com/adidas-Mens-Racer-Adapt-Sneaker/dp/B0BHPTVT28/ref=sr_1_13?keywords=adidas+Lite+Racer+Adapt+5.0+Shoe+-+Mens&amp;qid=1695124407&amp;sr=8-13", "https://www.amazon.com/adidas-Mens-Racer-Adapt-Sneaker/dp/B0BHPTVT28/ref=sr_1_13?keywords=adidas+Lite+Racer+Adapt+5.0+Shoe+-+Mens&amp;qid=1695124407&amp;sr=8-13")</f>
        <v>https://www.amazon.com/adidas-Mens-Racer-Adapt-Sneaker/dp/B0BHPTVT28/ref=sr_1_13?keywords=adidas+Lite+Racer+Adapt+5.0+Shoe+-+Mens&amp;qid=1695124407&amp;sr=8-13</v>
      </c>
      <c r="F506" t="s">
        <v>1803</v>
      </c>
      <c r="G506" t="e">
        <f ca="1">IMAGE("https://alssports.vtexassets.com/arquivos/ids/1378546-800-auto?v=638248784142700000&amp;width=800&amp;height=auto&amp;aspect=true")</f>
        <v>#NAME?</v>
      </c>
      <c r="H506" t="e">
        <f ca="1">IMAGE("https://m.media-amazon.com/images/I/81j6Ede9o-L._AC_UL320_.jpg")</f>
        <v>#NAME?</v>
      </c>
      <c r="I506" t="s">
        <v>274</v>
      </c>
      <c r="J506">
        <v>54.88</v>
      </c>
      <c r="K506" s="2" t="s">
        <v>1804</v>
      </c>
      <c r="L506">
        <v>4.7</v>
      </c>
      <c r="M506">
        <v>65</v>
      </c>
      <c r="O506" t="s">
        <v>33</v>
      </c>
      <c r="P506" t="s">
        <v>26</v>
      </c>
      <c r="Q506" t="s">
        <v>1123</v>
      </c>
    </row>
    <row r="507" spans="1:17" ht="15.75" x14ac:dyDescent="0.25">
      <c r="A507" s="3" t="str">
        <f>HYPERLINK("https://www.als.com/gord-rally-mitt/p?skuId=1306142", "https://www.als.com/gord-rally-mitt/p?skuId=1306142")</f>
        <v>https://www.als.com/gord-rally-mitt/p?skuId=1306142</v>
      </c>
      <c r="B507" s="3" t="str">
        <f>HYPERLINK("https://www.als.com/gord-rally-mitt/p", "https://www.als.com/gord-rally-mitt/p")</f>
        <v>https://www.als.com/gord-rally-mitt/p</v>
      </c>
      <c r="C507" t="s">
        <v>682</v>
      </c>
      <c r="D507" t="s">
        <v>1805</v>
      </c>
      <c r="E507" s="3" t="str">
        <f>HYPERLINK("https://www.amazon.com/Gordini-Womens-Waterproof-Insulated-Medium/dp/B07CQC5HN4/ref=sr_1_46?keywords=Gordini+Rally+Mitten+-+Mens&amp;qid=1695124309&amp;sr=8-46", "https://www.amazon.com/Gordini-Womens-Waterproof-Insulated-Medium/dp/B07CQC5HN4/ref=sr_1_46?keywords=Gordini+Rally+Mitten+-+Mens&amp;qid=1695124309&amp;sr=8-46")</f>
        <v>https://www.amazon.com/Gordini-Womens-Waterproof-Insulated-Medium/dp/B07CQC5HN4/ref=sr_1_46?keywords=Gordini+Rally+Mitten+-+Mens&amp;qid=1695124309&amp;sr=8-46</v>
      </c>
      <c r="F507" t="s">
        <v>1806</v>
      </c>
      <c r="G507" t="e">
        <f ca="1">IMAGE("https://alssports.vtexassets.com/arquivos/ids/1427992-800-auto?v=638283287978400000&amp;width=800&amp;height=auto&amp;aspect=true")</f>
        <v>#NAME?</v>
      </c>
      <c r="H507" t="e">
        <f ca="1">IMAGE("https://m.media-amazon.com/images/I/915VI2249JL._AC_UL320_.jpg")</f>
        <v>#NAME?</v>
      </c>
      <c r="I507" t="s">
        <v>225</v>
      </c>
      <c r="J507">
        <v>54.84</v>
      </c>
      <c r="K507" s="2" t="s">
        <v>1807</v>
      </c>
      <c r="L507">
        <v>4.5999999999999996</v>
      </c>
      <c r="M507">
        <v>20</v>
      </c>
      <c r="O507" t="s">
        <v>33</v>
      </c>
      <c r="P507" t="s">
        <v>26</v>
      </c>
      <c r="Q507" t="s">
        <v>686</v>
      </c>
    </row>
    <row r="508" spans="1:17" ht="15.75" x14ac:dyDescent="0.25">
      <c r="A508" s="3" t="str">
        <f>HYPERLINK("https://www.als.com/racefa-pedal-chester-composite/p?skuId=572609", "https://www.als.com/racefa-pedal-chester-composite/p?skuId=572609")</f>
        <v>https://www.als.com/racefa-pedal-chester-composite/p?skuId=572609</v>
      </c>
      <c r="B508" s="3" t="str">
        <f>HYPERLINK("https://www.als.com/racefa-pedal-chester-composite/p", "https://www.als.com/racefa-pedal-chester-composite/p")</f>
        <v>https://www.als.com/racefa-pedal-chester-composite/p</v>
      </c>
      <c r="C508" t="s">
        <v>1808</v>
      </c>
      <c r="D508" t="s">
        <v>1809</v>
      </c>
      <c r="E508" s="3" t="str">
        <f>HYPERLINK("https://www.amazon.com/RaceFace-Chester-Pedal-Black-Size/dp/B018J1J7QE/ref=sr_1_6?keywords=Race+Face+Chester+Composite+Bike+Pedal&amp;qid=1695124438&amp;sr=8-6", "https://www.amazon.com/RaceFace-Chester-Pedal-Black-Size/dp/B018J1J7QE/ref=sr_1_6?keywords=Race+Face+Chester+Composite+Bike+Pedal&amp;qid=1695124438&amp;sr=8-6")</f>
        <v>https://www.amazon.com/RaceFace-Chester-Pedal-Black-Size/dp/B018J1J7QE/ref=sr_1_6?keywords=Race+Face+Chester+Composite+Bike+Pedal&amp;qid=1695124438&amp;sr=8-6</v>
      </c>
      <c r="F508" t="s">
        <v>1810</v>
      </c>
      <c r="G508" t="e">
        <f ca="1">IMAGE("https://alssports.vtexassets.com/arquivos/ids/553606-800-auto?v=637515227766800000&amp;width=800&amp;height=auto&amp;aspect=true")</f>
        <v>#NAME?</v>
      </c>
      <c r="H508" t="e">
        <f ca="1">IMAGE("https://m.media-amazon.com/images/I/61tg7M5G0-L._AC_UL320_.jpg")</f>
        <v>#NAME?</v>
      </c>
      <c r="I508" t="s">
        <v>401</v>
      </c>
      <c r="J508">
        <v>46.97</v>
      </c>
      <c r="K508" s="2" t="s">
        <v>1811</v>
      </c>
      <c r="L508">
        <v>4.8</v>
      </c>
      <c r="M508">
        <v>1078</v>
      </c>
      <c r="O508" t="s">
        <v>33</v>
      </c>
      <c r="P508" t="s">
        <v>26</v>
      </c>
      <c r="Q508" t="s">
        <v>1812</v>
      </c>
    </row>
    <row r="509" spans="1:17" ht="15.75" x14ac:dyDescent="0.25">
      <c r="A509" s="3" t="str">
        <f>HYPERLINK("https://www.als.com/prana-lindores-shirt/p?skuId=986663", "https://www.als.com/prana-lindores-shirt/p?skuId=986663")</f>
        <v>https://www.als.com/prana-lindores-shirt/p?skuId=986663</v>
      </c>
      <c r="B509" s="3" t="str">
        <f>HYPERLINK("https://www.als.com/prana-lindores-shirt/p", "https://www.als.com/prana-lindores-shirt/p")</f>
        <v>https://www.als.com/prana-lindores-shirt/p</v>
      </c>
      <c r="C509" t="s">
        <v>586</v>
      </c>
      <c r="D509" t="s">
        <v>1813</v>
      </c>
      <c r="E509" s="3" t="str">
        <f>HYPERLINK("https://www.amazon.com/prAna-Standard-Joureyman-T-Shirt-Coastal/dp/B096W5PFVM/ref=sr_1_13?keywords=prAna+Lindores+Shirt+-+Men%27s&amp;qid=1695124473&amp;sr=8-13", "https://www.amazon.com/prAna-Standard-Joureyman-T-Shirt-Coastal/dp/B096W5PFVM/ref=sr_1_13?keywords=prAna+Lindores+Shirt+-+Men%27s&amp;qid=1695124473&amp;sr=8-13")</f>
        <v>https://www.amazon.com/prAna-Standard-Joureyman-T-Shirt-Coastal/dp/B096W5PFVM/ref=sr_1_13?keywords=prAna+Lindores+Shirt+-+Men%27s&amp;qid=1695124473&amp;sr=8-13</v>
      </c>
      <c r="F509" t="s">
        <v>1814</v>
      </c>
      <c r="G509" t="e">
        <f ca="1">IMAGE("https://alssports.vtexassets.com/arquivos/ids/1012979-800-auto?v=637817020518400000&amp;width=800&amp;height=auto&amp;aspect=true")</f>
        <v>#NAME?</v>
      </c>
      <c r="H509" t="e">
        <f ca="1">IMAGE("https://m.media-amazon.com/images/I/81AdWFyWoCL._AC_UL320_.jpg")</f>
        <v>#NAME?</v>
      </c>
      <c r="I509" t="s">
        <v>589</v>
      </c>
      <c r="J509">
        <v>21.59</v>
      </c>
      <c r="K509" s="2" t="s">
        <v>1815</v>
      </c>
      <c r="L509">
        <v>4.5</v>
      </c>
      <c r="M509">
        <v>39</v>
      </c>
      <c r="O509" t="s">
        <v>26</v>
      </c>
      <c r="P509" t="s">
        <v>591</v>
      </c>
      <c r="Q509" t="s">
        <v>592</v>
      </c>
    </row>
    <row r="510" spans="1:17" ht="15.75" x14ac:dyDescent="0.25">
      <c r="A510" s="3" t="str">
        <f>HYPERLINK("https://www.als.com/prana-groveland-shirt/p?skuId=1102242", "https://www.als.com/prana-groveland-shirt/p?skuId=1102242")</f>
        <v>https://www.als.com/prana-groveland-shirt/p?skuId=1102242</v>
      </c>
      <c r="B510" s="3" t="str">
        <f>HYPERLINK("https://www.als.com/prana-groveland-shirt/p", "https://www.als.com/prana-groveland-shirt/p")</f>
        <v>https://www.als.com/prana-groveland-shirt/p</v>
      </c>
      <c r="C510" t="s">
        <v>1816</v>
      </c>
      <c r="D510" t="s">
        <v>1813</v>
      </c>
      <c r="E510" s="3" t="str">
        <f>HYPERLINK("https://www.amazon.com/prAna-Standard-Joureyman-T-Shirt-Coastal/dp/B096W5PFVM/ref=sr_1_17?keywords=prAna+Groveland+Shirt+-+Men%27s&amp;qid=1695124402&amp;sr=8-17", "https://www.amazon.com/prAna-Standard-Joureyman-T-Shirt-Coastal/dp/B096W5PFVM/ref=sr_1_17?keywords=prAna+Groveland+Shirt+-+Men%27s&amp;qid=1695124402&amp;sr=8-17")</f>
        <v>https://www.amazon.com/prAna-Standard-Joureyman-T-Shirt-Coastal/dp/B096W5PFVM/ref=sr_1_17?keywords=prAna+Groveland+Shirt+-+Men%27s&amp;qid=1695124402&amp;sr=8-17</v>
      </c>
      <c r="F510" t="s">
        <v>1814</v>
      </c>
      <c r="G510" t="e">
        <f ca="1">IMAGE("https://alssports.vtexassets.com/arquivos/ids/1265503-800-auto?v=638144846989530000&amp;width=800&amp;height=auto&amp;aspect=true")</f>
        <v>#NAME?</v>
      </c>
      <c r="H510" t="e">
        <f ca="1">IMAGE("https://m.media-amazon.com/images/I/81AdWFyWoCL._AC_UL320_.jpg")</f>
        <v>#NAME?</v>
      </c>
      <c r="I510" t="s">
        <v>589</v>
      </c>
      <c r="J510">
        <v>21.59</v>
      </c>
      <c r="K510" s="2" t="s">
        <v>1815</v>
      </c>
      <c r="L510">
        <v>4.5</v>
      </c>
      <c r="M510">
        <v>38</v>
      </c>
      <c r="O510" t="s">
        <v>33</v>
      </c>
      <c r="P510" t="s">
        <v>591</v>
      </c>
      <c r="Q510" t="s">
        <v>1817</v>
      </c>
    </row>
    <row r="511" spans="1:17" ht="15.75" x14ac:dyDescent="0.25">
      <c r="A511" s="3" t="str">
        <f>HYPERLINK("https://www.als.com/sitka-m-pant-mountain-optifade/p?skuId=90738", "https://www.als.com/sitka-m-pant-mountain-optifade/p?skuId=90738")</f>
        <v>https://www.als.com/sitka-m-pant-mountain-optifade/p?skuId=90738</v>
      </c>
      <c r="B511" s="3" t="str">
        <f>HYPERLINK("https://www.als.com/sitka-m-pant-mountain-optifade/p", "https://www.als.com/sitka-m-pant-mountain-optifade/p")</f>
        <v>https://www.als.com/sitka-m-pant-mountain-optifade/p</v>
      </c>
      <c r="C511" t="s">
        <v>260</v>
      </c>
      <c r="D511" t="s">
        <v>1818</v>
      </c>
      <c r="E511" s="3" t="str">
        <f>HYPERLINK("https://www.amazon.com/SITKA-Gear-Mountain-Optifade-Subalpine/dp/B071R8BZ97/ref=sr_1_1?keywords=Sitka+Mountain+Pant+-+Mens&amp;qid=1695124392&amp;sr=8-1", "https://www.amazon.com/SITKA-Gear-Mountain-Optifade-Subalpine/dp/B071R8BZ97/ref=sr_1_1?keywords=Sitka+Mountain+Pant+-+Mens&amp;qid=1695124392&amp;sr=8-1")</f>
        <v>https://www.amazon.com/SITKA-Gear-Mountain-Optifade-Subalpine/dp/B071R8BZ97/ref=sr_1_1?keywords=Sitka+Mountain+Pant+-+Mens&amp;qid=1695124392&amp;sr=8-1</v>
      </c>
      <c r="F511" t="s">
        <v>1819</v>
      </c>
      <c r="G511" t="e">
        <f ca="1">IMAGE("https://alssports.vtexassets.com/arquivos/ids/1369099-800-auto?v=638242004529500000&amp;width=800&amp;height=auto&amp;aspect=true")</f>
        <v>#NAME?</v>
      </c>
      <c r="H511" t="e">
        <f ca="1">IMAGE("https://m.media-amazon.com/images/I/71OKzR+NLwL._AC_UL320_.jpg")</f>
        <v>#NAME?</v>
      </c>
      <c r="I511" t="s">
        <v>263</v>
      </c>
      <c r="J511">
        <v>163.47</v>
      </c>
      <c r="K511" s="2" t="s">
        <v>1815</v>
      </c>
      <c r="L511">
        <v>4.7</v>
      </c>
      <c r="M511">
        <v>430</v>
      </c>
      <c r="O511" t="s">
        <v>33</v>
      </c>
      <c r="P511" t="s">
        <v>26</v>
      </c>
      <c r="Q511" t="s">
        <v>264</v>
      </c>
    </row>
    <row r="512" spans="1:17" ht="15.75" x14ac:dyDescent="0.25">
      <c r="A512" s="3" t="str">
        <f>HYPERLINK("https://www.als.com/sram-chain-pc-x01-eagle/p?skuId=536002", "https://www.als.com/sram-chain-pc-x01-eagle/p?skuId=536002")</f>
        <v>https://www.als.com/sram-chain-pc-x01-eagle/p?skuId=536002</v>
      </c>
      <c r="B512" s="3" t="str">
        <f>HYPERLINK("https://www.als.com/sram-chain-pc-x01-eagle/p", "https://www.als.com/sram-chain-pc-x01-eagle/p")</f>
        <v>https://www.als.com/sram-chain-pc-x01-eagle/p</v>
      </c>
      <c r="C512" t="s">
        <v>1104</v>
      </c>
      <c r="D512" t="s">
        <v>1820</v>
      </c>
      <c r="E512" s="3" t="str">
        <f>HYPERLINK("https://www.amazon.com/SRAM-Eagle-Transmission-12-Speed-Silver/dp/B0CBNNRRLK/ref=sr_1_16?keywords=SRAM+X01+Eagle+12-Speed+Chain&amp;qid=1695124143&amp;sr=8-16", "https://www.amazon.com/SRAM-Eagle-Transmission-12-Speed-Silver/dp/B0CBNNRRLK/ref=sr_1_16?keywords=SRAM+X01+Eagle+12-Speed+Chain&amp;qid=1695124143&amp;sr=8-16")</f>
        <v>https://www.amazon.com/SRAM-Eagle-Transmission-12-Speed-Silver/dp/B0CBNNRRLK/ref=sr_1_16?keywords=SRAM+X01+Eagle+12-Speed+Chain&amp;qid=1695124143&amp;sr=8-16</v>
      </c>
      <c r="F512" t="s">
        <v>1821</v>
      </c>
      <c r="G512" t="e">
        <f ca="1">IMAGE("https://alssports.vtexassets.com/arquivos/ids/1117391-800-auto?v=637964367650530000&amp;width=800&amp;height=auto&amp;aspect=true")</f>
        <v>#NAME?</v>
      </c>
      <c r="H512" t="e">
        <f ca="1">IMAGE("https://m.media-amazon.com/images/I/41lIC-9S5dL._AC_UL320_.jpg")</f>
        <v>#NAME?</v>
      </c>
      <c r="I512" t="s">
        <v>1107</v>
      </c>
      <c r="J512">
        <v>50</v>
      </c>
      <c r="K512" s="2" t="s">
        <v>1822</v>
      </c>
      <c r="L512">
        <v>5</v>
      </c>
      <c r="M512">
        <v>1</v>
      </c>
      <c r="O512" t="s">
        <v>33</v>
      </c>
      <c r="P512" t="s">
        <v>26</v>
      </c>
      <c r="Q512" t="s">
        <v>1109</v>
      </c>
    </row>
    <row r="513" spans="1:17" ht="15.75" x14ac:dyDescent="0.25">
      <c r="A513" s="3" t="str">
        <f>HYPERLINK("https://www.als.com/hydrof-bottle-standard-mouth-21/p?skuId=255000", "https://www.als.com/hydrof-bottle-standard-mouth-21/p?skuId=255000")</f>
        <v>https://www.als.com/hydrof-bottle-standard-mouth-21/p?skuId=255000</v>
      </c>
      <c r="B513" s="3" t="str">
        <f>HYPERLINK("https://www.als.com/hydrof-bottle-standard-mouth-21/p", "https://www.als.com/hydrof-bottle-standard-mouth-21/p")</f>
        <v>https://www.als.com/hydrof-bottle-standard-mouth-21/p</v>
      </c>
      <c r="C513" t="s">
        <v>525</v>
      </c>
      <c r="D513" t="s">
        <v>768</v>
      </c>
      <c r="E513" s="3" t="str">
        <f>HYPERLINK("https://www.amazon.com/Hydro-Flask-Standard-Mouth-Bottle/dp/B09D8T33ZP/ref=sr_1_7?keywords=Hydro+Flask+Standard+Mouth+Insulated+Bottle+-+21oz&amp;qid=1695124388&amp;sr=8-7", "https://www.amazon.com/Hydro-Flask-Standard-Mouth-Bottle/dp/B09D8T33ZP/ref=sr_1_7?keywords=Hydro+Flask+Standard+Mouth+Insulated+Bottle+-+21oz&amp;qid=1695124388&amp;sr=8-7")</f>
        <v>https://www.amazon.com/Hydro-Flask-Standard-Mouth-Bottle/dp/B09D8T33ZP/ref=sr_1_7?keywords=Hydro+Flask+Standard+Mouth+Insulated+Bottle+-+21oz&amp;qid=1695124388&amp;sr=8-7</v>
      </c>
      <c r="F513" t="s">
        <v>1823</v>
      </c>
      <c r="G513" t="e">
        <f ca="1">IMAGE("https://alssports.vtexassets.com/arquivos/ids/1173834-800-auto?v=638042939420000000&amp;width=800&amp;height=auto&amp;aspect=true")</f>
        <v>#NAME?</v>
      </c>
      <c r="H513" t="e">
        <f ca="1">IMAGE("https://m.media-amazon.com/images/I/617E2zsLn1L._AC_UL320_.jpg")</f>
        <v>#NAME?</v>
      </c>
      <c r="I513" t="s">
        <v>528</v>
      </c>
      <c r="J513">
        <v>27.3</v>
      </c>
      <c r="K513" s="2" t="s">
        <v>1824</v>
      </c>
      <c r="L513">
        <v>4.8</v>
      </c>
      <c r="M513">
        <v>127</v>
      </c>
      <c r="O513" t="s">
        <v>33</v>
      </c>
      <c r="P513" t="s">
        <v>26</v>
      </c>
      <c r="Q513" t="s">
        <v>530</v>
      </c>
    </row>
    <row r="514" spans="1:17" ht="15.75" x14ac:dyDescent="0.25">
      <c r="A514" s="3" t="str">
        <f>HYPERLINK("https://www.als.com/crocs-classic-clog/p?skuId=1196935", "https://www.als.com/crocs-classic-clog/p?skuId=1196935")</f>
        <v>https://www.als.com/crocs-classic-clog/p?skuId=1196935</v>
      </c>
      <c r="B514" s="3" t="str">
        <f>HYPERLINK("https://www.als.com/crocs-classic-clog/p", "https://www.als.com/crocs-classic-clog/p")</f>
        <v>https://www.als.com/crocs-classic-clog/p</v>
      </c>
      <c r="C514" t="s">
        <v>1100</v>
      </c>
      <c r="D514" t="s">
        <v>1825</v>
      </c>
      <c r="E514" s="3" t="str">
        <f>HYPERLINK("https://www.amazon.com/Crocs-Womens-Classic-Platform-Guava/dp/B0BTDPN1B9/ref=sr_1_17?keywords=Crocs+Classic+Clog&amp;qid=1695124151&amp;sr=8-17", "https://www.amazon.com/Crocs-Womens-Classic-Platform-Guava/dp/B0BTDPN1B9/ref=sr_1_17?keywords=Crocs+Classic+Clog&amp;qid=1695124151&amp;sr=8-17")</f>
        <v>https://www.amazon.com/Crocs-Womens-Classic-Platform-Guava/dp/B0BTDPN1B9/ref=sr_1_17?keywords=Crocs+Classic+Clog&amp;qid=1695124151&amp;sr=8-17</v>
      </c>
      <c r="F514" t="s">
        <v>1826</v>
      </c>
      <c r="G514" t="e">
        <f ca="1">IMAGE("https://alssports.vtexassets.com/arquivos/ids/1222253-800-auto?v=638102875835800000&amp;width=800&amp;height=auto&amp;aspect=true")</f>
        <v>#NAME?</v>
      </c>
      <c r="H514" t="e">
        <f ca="1">IMAGE("https://m.media-amazon.com/images/I/81W7ITEVHBL._AC_UL320_.jpg")</f>
        <v>#NAME?</v>
      </c>
      <c r="I514" t="s">
        <v>157</v>
      </c>
      <c r="J514">
        <v>38.99</v>
      </c>
      <c r="K514" s="2" t="s">
        <v>1827</v>
      </c>
      <c r="L514">
        <v>4.5999999999999996</v>
      </c>
      <c r="M514">
        <v>1721</v>
      </c>
      <c r="O514" t="s">
        <v>33</v>
      </c>
      <c r="P514" t="s">
        <v>26</v>
      </c>
      <c r="Q514" t="s">
        <v>1103</v>
      </c>
    </row>
    <row r="515" spans="1:17" ht="15.75" x14ac:dyDescent="0.25">
      <c r="A515" s="3" t="str">
        <f>HYPERLINK("https://www.als.com/coleha-m-shoe-grd-sprt-journeysnkr/p?skuId=1167213", "https://www.als.com/coleha-m-shoe-grd-sprt-journeysnkr/p?skuId=1167213")</f>
        <v>https://www.als.com/coleha-m-shoe-grd-sprt-journeysnkr/p?skuId=1167213</v>
      </c>
      <c r="B515" s="3" t="str">
        <f>HYPERLINK("https://www.als.com/coleha-m-shoe-grd-sprt-journeysnkr/p", "https://www.als.com/coleha-m-shoe-grd-sprt-journeysnkr/p")</f>
        <v>https://www.als.com/coleha-m-shoe-grd-sprt-journeysnkr/p</v>
      </c>
      <c r="C515" t="s">
        <v>1828</v>
      </c>
      <c r="D515" t="s">
        <v>1829</v>
      </c>
      <c r="E515" s="3" t="str">
        <f>HYPERLINK("https://www.amazon.com/Cole-Haan-Zerogrand-Journey-Sneaker/dp/B08SQKQ4CD/ref=sr_1_7?keywords=Cole+Haan+Grand+Sports+Journey+Knit+Sneaker+-+Mens&amp;qid=1695124313&amp;sr=8-7", "https://www.amazon.com/Cole-Haan-Zerogrand-Journey-Sneaker/dp/B08SQKQ4CD/ref=sr_1_7?keywords=Cole+Haan+Grand+Sports+Journey+Knit+Sneaker+-+Mens&amp;qid=1695124313&amp;sr=8-7")</f>
        <v>https://www.amazon.com/Cole-Haan-Zerogrand-Journey-Sneaker/dp/B08SQKQ4CD/ref=sr_1_7?keywords=Cole+Haan+Grand+Sports+Journey+Knit+Sneaker+-+Mens&amp;qid=1695124313&amp;sr=8-7</v>
      </c>
      <c r="F515" t="s">
        <v>1830</v>
      </c>
      <c r="G515" t="e">
        <f ca="1">IMAGE("https://alssports.vtexassets.com/arquivos/ids/1214886-800-auto?v=638097528133370000&amp;width=800&amp;height=auto&amp;aspect=true")</f>
        <v>#NAME?</v>
      </c>
      <c r="H515" t="e">
        <f ca="1">IMAGE("https://m.media-amazon.com/images/I/81HOlnt383L._AC_UL320_.jpg")</f>
        <v>#NAME?</v>
      </c>
      <c r="I515" t="s">
        <v>32</v>
      </c>
      <c r="J515">
        <v>78</v>
      </c>
      <c r="K515" s="2" t="s">
        <v>1831</v>
      </c>
      <c r="L515">
        <v>4.5999999999999996</v>
      </c>
      <c r="M515">
        <v>546</v>
      </c>
      <c r="O515" t="s">
        <v>33</v>
      </c>
      <c r="P515" t="s">
        <v>1832</v>
      </c>
      <c r="Q515" t="s">
        <v>1833</v>
      </c>
    </row>
    <row r="516" spans="1:17" ht="15.75" x14ac:dyDescent="0.25">
      <c r="A516" s="3" t="str">
        <f>HYPERLINK("https://www.als.com/smartw-m-sock-evrydy-popcorn-cble-crw/p?skuId=1047473", "https://www.als.com/smartw-m-sock-evrydy-popcorn-cble-crw/p?skuId=1047473")</f>
        <v>https://www.als.com/smartw-m-sock-evrydy-popcorn-cble-crw/p?skuId=1047473</v>
      </c>
      <c r="B516" s="3" t="str">
        <f>HYPERLINK("https://www.als.com/smartw-m-sock-evrydy-popcorn-cble-crw/p", "https://www.als.com/smartw-m-sock-evrydy-popcorn-cble-crw/p")</f>
        <v>https://www.als.com/smartw-m-sock-evrydy-popcorn-cble-crw/p</v>
      </c>
      <c r="C516" t="s">
        <v>805</v>
      </c>
      <c r="D516" t="s">
        <v>1834</v>
      </c>
      <c r="E516" s="3" t="str">
        <f>HYPERLINK("https://www.amazon.com/Smartwool-Womens-Everyday-Cable-Black/dp/B0B2X4P14M/ref=sr_1_16?keywords=Smartwool+Everyday+Popcorn+Cable+Crew+Sock+-+Womens&amp;qid=1695124378&amp;sr=8-16", "https://www.amazon.com/Smartwool-Womens-Everyday-Cable-Black/dp/B0B2X4P14M/ref=sr_1_16?keywords=Smartwool+Everyday+Popcorn+Cable+Crew+Sock+-+Womens&amp;qid=1695124378&amp;sr=8-16")</f>
        <v>https://www.amazon.com/Smartwool-Womens-Everyday-Cable-Black/dp/B0B2X4P14M/ref=sr_1_16?keywords=Smartwool+Everyday+Popcorn+Cable+Crew+Sock+-+Womens&amp;qid=1695124378&amp;sr=8-16</v>
      </c>
      <c r="F516" t="s">
        <v>1835</v>
      </c>
      <c r="G516" t="e">
        <f ca="1">IMAGE("https://alssports.vtexassets.com/arquivos/ids/1264369-800-auto?v=638143189174930000&amp;width=800&amp;height=auto&amp;aspect=true")</f>
        <v>#NAME?</v>
      </c>
      <c r="H516" t="e">
        <f ca="1">IMAGE("https://m.media-amazon.com/images/I/71Lxr9xJmqL._AC_UL320_.jpg")</f>
        <v>#NAME?</v>
      </c>
      <c r="I516" t="s">
        <v>808</v>
      </c>
      <c r="J516">
        <v>21</v>
      </c>
      <c r="K516" s="2" t="s">
        <v>1836</v>
      </c>
      <c r="L516">
        <v>4.5</v>
      </c>
      <c r="M516">
        <v>140</v>
      </c>
      <c r="O516" t="s">
        <v>33</v>
      </c>
      <c r="P516" t="s">
        <v>810</v>
      </c>
      <c r="Q516" t="s">
        <v>811</v>
      </c>
    </row>
    <row r="517" spans="1:17" ht="15.75" x14ac:dyDescent="0.25">
      <c r="A517" s="3" t="str">
        <f>HYPERLINK("https://www.als.com/smartw-m-sock-evrydy-popcorn-cble-crw/p?skuId=1047473", "https://www.als.com/smartw-m-sock-evrydy-popcorn-cble-crw/p?skuId=1047473")</f>
        <v>https://www.als.com/smartw-m-sock-evrydy-popcorn-cble-crw/p?skuId=1047473</v>
      </c>
      <c r="B517" s="3" t="str">
        <f>HYPERLINK("https://www.als.com/smartw-m-sock-evrydy-popcorn-cble-crw/p", "https://www.als.com/smartw-m-sock-evrydy-popcorn-cble-crw/p")</f>
        <v>https://www.als.com/smartw-m-sock-evrydy-popcorn-cble-crw/p</v>
      </c>
      <c r="C517" t="s">
        <v>805</v>
      </c>
      <c r="D517" t="s">
        <v>1837</v>
      </c>
      <c r="E517" s="3" t="str">
        <f>HYPERLINK("https://www.amazon.com/Smartwool-Everyday-Cushion-Merino-Charcoal/dp/B0B2X6D11T/ref=sr_1_17?keywords=Smartwool+Everyday+Popcorn+Cable+Crew+Sock+-+Womens&amp;qid=1695124378&amp;sr=8-17", "https://www.amazon.com/Smartwool-Everyday-Cushion-Merino-Charcoal/dp/B0B2X6D11T/ref=sr_1_17?keywords=Smartwool+Everyday+Popcorn+Cable+Crew+Sock+-+Womens&amp;qid=1695124378&amp;sr=8-17")</f>
        <v>https://www.amazon.com/Smartwool-Everyday-Cushion-Merino-Charcoal/dp/B0B2X6D11T/ref=sr_1_17?keywords=Smartwool+Everyday+Popcorn+Cable+Crew+Sock+-+Womens&amp;qid=1695124378&amp;sr=8-17</v>
      </c>
      <c r="F517" t="s">
        <v>1838</v>
      </c>
      <c r="G517" t="e">
        <f ca="1">IMAGE("https://alssports.vtexassets.com/arquivos/ids/1264369-800-auto?v=638143189174930000&amp;width=800&amp;height=auto&amp;aspect=true")</f>
        <v>#NAME?</v>
      </c>
      <c r="H517" t="e">
        <f ca="1">IMAGE("https://m.media-amazon.com/images/I/91Yc9R8rCuL._AC_UL320_.jpg")</f>
        <v>#NAME?</v>
      </c>
      <c r="I517" t="s">
        <v>808</v>
      </c>
      <c r="J517">
        <v>21</v>
      </c>
      <c r="K517" s="2" t="s">
        <v>1836</v>
      </c>
      <c r="L517">
        <v>4.5</v>
      </c>
      <c r="M517">
        <v>19</v>
      </c>
      <c r="O517" t="s">
        <v>33</v>
      </c>
      <c r="P517" t="s">
        <v>810</v>
      </c>
      <c r="Q517" t="s">
        <v>811</v>
      </c>
    </row>
    <row r="518" spans="1:17" ht="15.75" x14ac:dyDescent="0.25">
      <c r="A518" s="3" t="str">
        <f>HYPERLINK("https://www.als.com/smartw-m-sock-evrydy-popcorn-cble-crw/p?skuId=1047473", "https://www.als.com/smartw-m-sock-evrydy-popcorn-cble-crw/p?skuId=1047473")</f>
        <v>https://www.als.com/smartw-m-sock-evrydy-popcorn-cble-crw/p?skuId=1047473</v>
      </c>
      <c r="B518" s="3" t="str">
        <f>HYPERLINK("https://www.als.com/smartw-m-sock-evrydy-popcorn-cble-crw/p", "https://www.als.com/smartw-m-sock-evrydy-popcorn-cble-crw/p")</f>
        <v>https://www.als.com/smartw-m-sock-evrydy-popcorn-cble-crw/p</v>
      </c>
      <c r="C518" t="s">
        <v>805</v>
      </c>
      <c r="D518" t="s">
        <v>1839</v>
      </c>
      <c r="E518" s="3" t="str">
        <f>HYPERLINK("https://www.amazon.com/Smartwool-Everyday-Striped-Cushion-Merino/dp/B0B2X4P14G/ref=sr_1_18?keywords=Smartwool+Everyday+Popcorn+Cable+Crew+Sock+-+Womens&amp;qid=1695124378&amp;sr=8-18", "https://www.amazon.com/Smartwool-Everyday-Striped-Cushion-Merino/dp/B0B2X4P14G/ref=sr_1_18?keywords=Smartwool+Everyday+Popcorn+Cable+Crew+Sock+-+Womens&amp;qid=1695124378&amp;sr=8-18")</f>
        <v>https://www.amazon.com/Smartwool-Everyday-Striped-Cushion-Merino/dp/B0B2X4P14G/ref=sr_1_18?keywords=Smartwool+Everyday+Popcorn+Cable+Crew+Sock+-+Womens&amp;qid=1695124378&amp;sr=8-18</v>
      </c>
      <c r="F518" t="s">
        <v>1840</v>
      </c>
      <c r="G518" t="e">
        <f ca="1">IMAGE("https://alssports.vtexassets.com/arquivos/ids/1264369-800-auto?v=638143189174930000&amp;width=800&amp;height=auto&amp;aspect=true")</f>
        <v>#NAME?</v>
      </c>
      <c r="H518" t="e">
        <f ca="1">IMAGE("https://m.media-amazon.com/images/I/81ZOuAM2+cL._AC_UL320_.jpg")</f>
        <v>#NAME?</v>
      </c>
      <c r="I518" t="s">
        <v>808</v>
      </c>
      <c r="J518">
        <v>21</v>
      </c>
      <c r="K518" s="2" t="s">
        <v>1836</v>
      </c>
      <c r="L518">
        <v>3.9</v>
      </c>
      <c r="M518">
        <v>3</v>
      </c>
      <c r="O518" t="s">
        <v>33</v>
      </c>
      <c r="P518" t="s">
        <v>810</v>
      </c>
      <c r="Q518" t="s">
        <v>811</v>
      </c>
    </row>
    <row r="519" spans="1:17" ht="15.75" x14ac:dyDescent="0.25">
      <c r="A519" s="3" t="str">
        <f>HYPERLINK("https://www.als.com/aetrex-w-carly/p?skuId=1206589", "https://www.als.com/aetrex-w-carly/p?skuId=1206589")</f>
        <v>https://www.als.com/aetrex-w-carly/p?skuId=1206589</v>
      </c>
      <c r="B519" s="3" t="str">
        <f>HYPERLINK("https://www.als.com/aetrex-w-carly/p", "https://www.als.com/aetrex-w-carly/p")</f>
        <v>https://www.als.com/aetrex-w-carly/p</v>
      </c>
      <c r="C519" t="s">
        <v>1841</v>
      </c>
      <c r="D519" t="s">
        <v>1842</v>
      </c>
      <c r="E519" s="3" t="str">
        <f>HYPERLINK("https://www.amazon.com/Aetrex-Maui-Waterfriendly-Orthotic-Support/dp/B00N8J86J2/ref=sr_1_2?keywords=Aetrex+Carly+Arch+Support+Shoe+-+Women%27s&amp;qid=1695124356&amp;sr=8-2", "https://www.amazon.com/Aetrex-Maui-Waterfriendly-Orthotic-Support/dp/B00N8J86J2/ref=sr_1_2?keywords=Aetrex+Carly+Arch+Support+Shoe+-+Women%27s&amp;qid=1695124356&amp;sr=8-2")</f>
        <v>https://www.amazon.com/Aetrex-Maui-Waterfriendly-Orthotic-Support/dp/B00N8J86J2/ref=sr_1_2?keywords=Aetrex+Carly+Arch+Support+Shoe+-+Women%27s&amp;qid=1695124356&amp;sr=8-2</v>
      </c>
      <c r="F519" t="s">
        <v>1843</v>
      </c>
      <c r="G519" t="e">
        <f ca="1">IMAGE("https://alssports.vtexassets.com/arquivos/ids/1160352-800-auto?v=638023420954470000&amp;width=800&amp;height=auto&amp;aspect=true")</f>
        <v>#NAME?</v>
      </c>
      <c r="H519" t="e">
        <f ca="1">IMAGE("https://m.media-amazon.com/images/I/51tOb-ZTgpL._AC_UL320_.jpg")</f>
        <v>#NAME?</v>
      </c>
      <c r="I519" t="s">
        <v>1062</v>
      </c>
      <c r="J519">
        <v>59.95</v>
      </c>
      <c r="K519" s="2" t="s">
        <v>1844</v>
      </c>
      <c r="L519">
        <v>4.4000000000000004</v>
      </c>
      <c r="M519">
        <v>307</v>
      </c>
      <c r="O519" t="s">
        <v>33</v>
      </c>
      <c r="P519" t="s">
        <v>1064</v>
      </c>
      <c r="Q519" t="s">
        <v>1845</v>
      </c>
    </row>
    <row r="520" spans="1:17" ht="15.75" x14ac:dyDescent="0.25">
      <c r="A520" s="3" t="str">
        <f>HYPERLINK("https://www.als.com/sitka-m-pant-mountain-optifade/p?skuId=90738", "https://www.als.com/sitka-m-pant-mountain-optifade/p?skuId=90738")</f>
        <v>https://www.als.com/sitka-m-pant-mountain-optifade/p?skuId=90738</v>
      </c>
      <c r="B520" s="3" t="str">
        <f>HYPERLINK("https://www.als.com/sitka-m-pant-mountain-optifade/p", "https://www.als.com/sitka-m-pant-mountain-optifade/p")</f>
        <v>https://www.als.com/sitka-m-pant-mountain-optifade/p</v>
      </c>
      <c r="C520" t="s">
        <v>260</v>
      </c>
      <c r="D520" t="s">
        <v>1846</v>
      </c>
      <c r="E520" s="3" t="str">
        <f>HYPERLINK("https://www.amazon.com/SITKA-Gear-Ascent-Optifade-Subalpine/dp/B01M9F1XMZ/ref=sr_1_7?keywords=Sitka+Mountain+Pant+-+Mens&amp;qid=1695124392&amp;sr=8-7", "https://www.amazon.com/SITKA-Gear-Ascent-Optifade-Subalpine/dp/B01M9F1XMZ/ref=sr_1_7?keywords=Sitka+Mountain+Pant+-+Mens&amp;qid=1695124392&amp;sr=8-7")</f>
        <v>https://www.amazon.com/SITKA-Gear-Ascent-Optifade-Subalpine/dp/B01M9F1XMZ/ref=sr_1_7?keywords=Sitka+Mountain+Pant+-+Mens&amp;qid=1695124392&amp;sr=8-7</v>
      </c>
      <c r="F520" t="s">
        <v>1847</v>
      </c>
      <c r="G520" t="e">
        <f ca="1">IMAGE("https://alssports.vtexassets.com/arquivos/ids/1369099-800-auto?v=638242004529500000&amp;width=800&amp;height=auto&amp;aspect=true")</f>
        <v>#NAME?</v>
      </c>
      <c r="H520" t="e">
        <f ca="1">IMAGE("https://m.media-amazon.com/images/I/711yV-m606L._AC_UL320_.jpg")</f>
        <v>#NAME?</v>
      </c>
      <c r="I520" t="s">
        <v>263</v>
      </c>
      <c r="J520">
        <v>162.59</v>
      </c>
      <c r="K520" s="2" t="s">
        <v>1848</v>
      </c>
      <c r="L520">
        <v>4.5</v>
      </c>
      <c r="M520">
        <v>14</v>
      </c>
      <c r="O520" t="s">
        <v>33</v>
      </c>
      <c r="P520" t="s">
        <v>26</v>
      </c>
      <c r="Q520" t="s">
        <v>264</v>
      </c>
    </row>
    <row r="521" spans="1:17" ht="15.75" x14ac:dyDescent="0.25">
      <c r="A521" s="3" t="str">
        <f>HYPERLINK("https://www.als.com/vans-shoe-sk8-hi-mte-2/p?skuId=1116049", "https://www.als.com/vans-shoe-sk8-hi-mte-2/p?skuId=1116049")</f>
        <v>https://www.als.com/vans-shoe-sk8-hi-mte-2/p?skuId=1116049</v>
      </c>
      <c r="B521" s="3" t="str">
        <f>HYPERLINK("https://www.als.com/vans-shoe-sk8-hi-mte-2/p", "https://www.als.com/vans-shoe-sk8-hi-mte-2/p")</f>
        <v>https://www.als.com/vans-shoe-sk8-hi-mte-2/p</v>
      </c>
      <c r="C521" t="s">
        <v>1174</v>
      </c>
      <c r="D521" t="s">
        <v>1849</v>
      </c>
      <c r="E521" s="3" t="str">
        <f>HYPERLINK("https://www.amazon.com/Vans-Sk8-Hi-MTE-1-Unisex-Shoes/dp/B09BQPM55H/ref=sr_1_16?keywords=Vans+Sk8-Hi+MTE-2+Shoe&amp;qid=1695124405&amp;sr=8-16", "https://www.amazon.com/Vans-Sk8-Hi-MTE-1-Unisex-Shoes/dp/B09BQPM55H/ref=sr_1_16?keywords=Vans+Sk8-Hi+MTE-2+Shoe&amp;qid=1695124405&amp;sr=8-16")</f>
        <v>https://www.amazon.com/Vans-Sk8-Hi-MTE-1-Unisex-Shoes/dp/B09BQPM55H/ref=sr_1_16?keywords=Vans+Sk8-Hi+MTE-2+Shoe&amp;qid=1695124405&amp;sr=8-16</v>
      </c>
      <c r="F521" t="s">
        <v>1850</v>
      </c>
      <c r="G521" t="e">
        <f ca="1">IMAGE("https://alssports.vtexassets.com/arquivos/ids/1312527-800-auto?v=638193489147030000&amp;width=800&amp;height=auto&amp;aspect=true")</f>
        <v>#NAME?</v>
      </c>
      <c r="H521" t="e">
        <f ca="1">IMAGE("https://m.media-amazon.com/images/I/71xVzYn5QJL._AC_UL320_.jpg")</f>
        <v>#NAME?</v>
      </c>
      <c r="I521" t="s">
        <v>44</v>
      </c>
      <c r="J521">
        <v>116.63</v>
      </c>
      <c r="K521" s="2" t="s">
        <v>1851</v>
      </c>
      <c r="L521">
        <v>4.3</v>
      </c>
      <c r="M521">
        <v>20</v>
      </c>
      <c r="O521" t="s">
        <v>33</v>
      </c>
      <c r="P521" t="s">
        <v>26</v>
      </c>
      <c r="Q521" t="s">
        <v>1178</v>
      </c>
    </row>
    <row r="522" spans="1:17" ht="15.75" x14ac:dyDescent="0.25">
      <c r="A522" s="3" t="str">
        <f>HYPERLINK("https://www.als.com/bearar-bow-alaskan/p?skuId=969734", "https://www.als.com/bearar-bow-alaskan/p?skuId=969734")</f>
        <v>https://www.als.com/bearar-bow-alaskan/p?skuId=969734</v>
      </c>
      <c r="B522" s="3" t="str">
        <f>HYPERLINK("https://www.als.com/bearar-bow-alaskan/p", "https://www.als.com/bearar-bow-alaskan/p")</f>
        <v>https://www.als.com/bearar-bow-alaskan/p</v>
      </c>
      <c r="C522" t="s">
        <v>657</v>
      </c>
      <c r="D522" t="s">
        <v>1852</v>
      </c>
      <c r="E522" s="3" t="str">
        <f>HYPERLINK("https://www.amazon.com/Bear-Archery-Cruzer-Compound-RealTree/dp/B076X79Z8Y/ref=sr_1_16?keywords=Bear+Archery+Alaskan+Compound+Bow&amp;qid=1695124371&amp;sr=8-16", "https://www.amazon.com/Bear-Archery-Cruzer-Compound-RealTree/dp/B076X79Z8Y/ref=sr_1_16?keywords=Bear+Archery+Alaskan+Compound+Bow&amp;qid=1695124371&amp;sr=8-16")</f>
        <v>https://www.amazon.com/Bear-Archery-Cruzer-Compound-RealTree/dp/B076X79Z8Y/ref=sr_1_16?keywords=Bear+Archery+Alaskan+Compound+Bow&amp;qid=1695124371&amp;sr=8-16</v>
      </c>
      <c r="F522" t="s">
        <v>1853</v>
      </c>
      <c r="G522" t="e">
        <f ca="1">IMAGE("https://alssports.vtexassets.com/arquivos/ids/976192-800-auto?v=637754664177730000&amp;width=800&amp;height=auto&amp;aspect=true")</f>
        <v>#NAME?</v>
      </c>
      <c r="H522" t="e">
        <f ca="1">IMAGE("https://m.media-amazon.com/images/I/71Y+myrIkVL._AC_UL320_.jpg")</f>
        <v>#NAME?</v>
      </c>
      <c r="I522" t="s">
        <v>660</v>
      </c>
      <c r="J522">
        <v>349.99</v>
      </c>
      <c r="K522" s="2" t="s">
        <v>1851</v>
      </c>
      <c r="L522">
        <v>4.5</v>
      </c>
      <c r="M522">
        <v>1396</v>
      </c>
      <c r="O522" t="s">
        <v>33</v>
      </c>
      <c r="P522" t="s">
        <v>661</v>
      </c>
      <c r="Q522" t="s">
        <v>662</v>
      </c>
    </row>
    <row r="523" spans="1:17" ht="15.75" x14ac:dyDescent="0.25">
      <c r="A523" s="3" t="str">
        <f>HYPERLINK("https://www.als.com/petzl-belay-grigri-assisted-braking/p?skuId=572368", "https://www.als.com/petzl-belay-grigri-assisted-braking/p?skuId=572368")</f>
        <v>https://www.als.com/petzl-belay-grigri-assisted-braking/p?skuId=572368</v>
      </c>
      <c r="B523" s="3" t="str">
        <f>HYPERLINK("https://www.als.com/petzl-belay-grigri-assisted-braking/p", "https://www.als.com/petzl-belay-grigri-assisted-braking/p")</f>
        <v>https://www.als.com/petzl-belay-grigri-assisted-braking/p</v>
      </c>
      <c r="C523" t="s">
        <v>631</v>
      </c>
      <c r="D523" t="s">
        <v>1854</v>
      </c>
      <c r="E523" s="3" t="str">
        <f>HYPERLINK("https://www.amazon.com/Petzl-GRIGRI-Belay-Device-Cam-Assisted/dp/B07MLTP3S4/ref=sr_1_1?keywords=Petzl+GriGri+Belay+Device&amp;qid=1695124323&amp;sr=8-1", "https://www.amazon.com/Petzl-GRIGRI-Belay-Device-Cam-Assisted/dp/B07MLTP3S4/ref=sr_1_1?keywords=Petzl+GriGri+Belay+Device&amp;qid=1695124323&amp;sr=8-1")</f>
        <v>https://www.amazon.com/Petzl-GRIGRI-Belay-Device-Cam-Assisted/dp/B07MLTP3S4/ref=sr_1_1?keywords=Petzl+GriGri+Belay+Device&amp;qid=1695124323&amp;sr=8-1</v>
      </c>
      <c r="F523" t="s">
        <v>1855</v>
      </c>
      <c r="G523" t="e">
        <f ca="1">IMAGE("https://alssports.vtexassets.com/arquivos/ids/1023632-800-auto?v=637823067748170000&amp;width=800&amp;height=auto&amp;aspect=true")</f>
        <v>#NAME?</v>
      </c>
      <c r="H523" t="e">
        <f ca="1">IMAGE("https://m.media-amazon.com/images/I/71LJXUhQw-L._AC_UY218_.jpg")</f>
        <v>#NAME?</v>
      </c>
      <c r="I523" t="s">
        <v>150</v>
      </c>
      <c r="J523">
        <v>85.4</v>
      </c>
      <c r="K523" s="2" t="s">
        <v>1856</v>
      </c>
      <c r="L523">
        <v>4.8</v>
      </c>
      <c r="M523">
        <v>2427</v>
      </c>
      <c r="O523" t="s">
        <v>33</v>
      </c>
      <c r="P523" t="s">
        <v>26</v>
      </c>
      <c r="Q523" t="s">
        <v>635</v>
      </c>
    </row>
    <row r="524" spans="1:17" ht="15.75" x14ac:dyDescent="0.25">
      <c r="A524" s="3" t="str">
        <f>HYPERLINK("https://www.als.com/teva-m-sandal-hurricane-xlt2/p?skuId=398840", "https://www.als.com/teva-m-sandal-hurricane-xlt2/p?skuId=398840")</f>
        <v>https://www.als.com/teva-m-sandal-hurricane-xlt2/p?skuId=398840</v>
      </c>
      <c r="B524" s="3" t="str">
        <f>HYPERLINK("https://www.als.com/teva-m-sandal-hurricane-xlt2/p", "https://www.als.com/teva-m-sandal-hurricane-xlt2/p")</f>
        <v>https://www.als.com/teva-m-sandal-hurricane-xlt2/p</v>
      </c>
      <c r="C524" t="s">
        <v>37</v>
      </c>
      <c r="D524" t="s">
        <v>1857</v>
      </c>
      <c r="E524" s="3" t="str">
        <f>HYPERLINK("https://www.amazon.com/Teva-Hurricane-Sandal-Rapids-Insignia/dp/B0721BB2NS/ref=sr_1_4?keywords=Teva+Hurricane+XLT2+Sandal+-+Men%27s&amp;qid=1695124141&amp;sr=8-4", "https://www.amazon.com/Teva-Hurricane-Sandal-Rapids-Insignia/dp/B0721BB2NS/ref=sr_1_4?keywords=Teva+Hurricane+XLT2+Sandal+-+Men%27s&amp;qid=1695124141&amp;sr=8-4")</f>
        <v>https://www.amazon.com/Teva-Hurricane-Sandal-Rapids-Insignia/dp/B0721BB2NS/ref=sr_1_4?keywords=Teva+Hurricane+XLT2+Sandal+-+Men%27s&amp;qid=1695124141&amp;sr=8-4</v>
      </c>
      <c r="F524" t="s">
        <v>1858</v>
      </c>
      <c r="G524" t="e">
        <f ca="1">IMAGE("https://alssports.vtexassets.com/arquivos/ids/1220918-800-auto?v=638102154417000000&amp;width=800&amp;height=auto&amp;aspect=true")</f>
        <v>#NAME?</v>
      </c>
      <c r="H524" t="e">
        <f ca="1">IMAGE("https://m.media-amazon.com/images/I/81sv9AzE6kL._AC_UL320_.jpg")</f>
        <v>#NAME?</v>
      </c>
      <c r="I524" t="s">
        <v>40</v>
      </c>
      <c r="J524">
        <v>58.16</v>
      </c>
      <c r="K524" s="2" t="s">
        <v>1859</v>
      </c>
      <c r="L524">
        <v>4.7</v>
      </c>
      <c r="M524">
        <v>42</v>
      </c>
      <c r="O524" t="s">
        <v>33</v>
      </c>
      <c r="P524" t="s">
        <v>26</v>
      </c>
      <c r="Q524" t="s">
        <v>41</v>
      </c>
    </row>
    <row r="525" spans="1:17" ht="15.75" x14ac:dyDescent="0.25">
      <c r="A525" s="3" t="str">
        <f>HYPERLINK("https://www.als.com/outgea-w-phoenix-jacket/p?skuId=1254419", "https://www.als.com/outgea-w-phoenix-jacket/p?skuId=1254419")</f>
        <v>https://www.als.com/outgea-w-phoenix-jacket/p?skuId=1254419</v>
      </c>
      <c r="B525" s="3" t="str">
        <f>HYPERLINK("https://www.als.com/outgea-w-phoenix-jacket/p", "https://www.als.com/outgea-w-phoenix-jacket/p")</f>
        <v>https://www.als.com/outgea-w-phoenix-jacket/p</v>
      </c>
      <c r="C525" t="s">
        <v>1860</v>
      </c>
      <c r="D525" t="s">
        <v>1861</v>
      </c>
      <c r="E525" s="3" t="str">
        <f>HYPERLINK("https://www.amazon.com/Boulder-Gear-Alicia-Womens-Insulated/dp/B07XVN8W1H/ref=sr_1_3?keywords=Boulder+Gear+Phoenix+Insulated+Jacket+-+Women%27s&amp;qid=1695124450&amp;sr=8-3", "https://www.amazon.com/Boulder-Gear-Alicia-Womens-Insulated/dp/B07XVN8W1H/ref=sr_1_3?keywords=Boulder+Gear+Phoenix+Insulated+Jacket+-+Women%27s&amp;qid=1695124450&amp;sr=8-3")</f>
        <v>https://www.amazon.com/Boulder-Gear-Alicia-Womens-Insulated/dp/B07XVN8W1H/ref=sr_1_3?keywords=Boulder+Gear+Phoenix+Insulated+Jacket+-+Women%27s&amp;qid=1695124450&amp;sr=8-3</v>
      </c>
      <c r="F525" t="s">
        <v>1862</v>
      </c>
      <c r="G525" t="e">
        <f ca="1">IMAGE("https://alssports.vtexassets.com/arquivos/ids/1264457-800-auto?v=638143239366400000&amp;width=800&amp;height=auto&amp;aspect=true")</f>
        <v>#NAME?</v>
      </c>
      <c r="H525" t="e">
        <f ca="1">IMAGE("https://m.media-amazon.com/images/I/51M6cB8MiCL._AC_UL320_.jpg")</f>
        <v>#NAME?</v>
      </c>
      <c r="I525" t="s">
        <v>1863</v>
      </c>
      <c r="J525">
        <v>133</v>
      </c>
      <c r="K525" s="2" t="s">
        <v>1864</v>
      </c>
      <c r="L525">
        <v>5</v>
      </c>
      <c r="M525">
        <v>2</v>
      </c>
      <c r="O525" t="s">
        <v>33</v>
      </c>
      <c r="P525" t="s">
        <v>1865</v>
      </c>
      <c r="Q525" t="s">
        <v>1866</v>
      </c>
    </row>
    <row r="526" spans="1:17" ht="15.75" x14ac:dyDescent="0.25">
      <c r="A526" s="3" t="str">
        <f>HYPERLINK("https://www.als.com/camel-bottle-podium-chill/p?skuId=507099", "https://www.als.com/camel-bottle-podium-chill/p?skuId=507099")</f>
        <v>https://www.als.com/camel-bottle-podium-chill/p?skuId=507099</v>
      </c>
      <c r="B526" s="3" t="str">
        <f>HYPERLINK("https://www.als.com/camel-bottle-podium-chill/p", "https://www.als.com/camel-bottle-podium-chill/p")</f>
        <v>https://www.als.com/camel-bottle-podium-chill/p</v>
      </c>
      <c r="C526" t="s">
        <v>242</v>
      </c>
      <c r="D526" t="s">
        <v>1867</v>
      </c>
      <c r="E526" s="3" t="str">
        <f>HYPERLINK("https://www.amazon.com/CamelBak-Podium-Dirt-Chill-Bottle/dp/B08QV8PD4T/ref=sr_1_7?keywords=CamelBak+Podium+Chill+24oz+Bike+Bottle&amp;qid=1695124311&amp;sr=8-7", "https://www.amazon.com/CamelBak-Podium-Dirt-Chill-Bottle/dp/B08QV8PD4T/ref=sr_1_7?keywords=CamelBak+Podium+Chill+24oz+Bike+Bottle&amp;qid=1695124311&amp;sr=8-7")</f>
        <v>https://www.amazon.com/CamelBak-Podium-Dirt-Chill-Bottle/dp/B08QV8PD4T/ref=sr_1_7?keywords=CamelBak+Podium+Chill+24oz+Bike+Bottle&amp;qid=1695124311&amp;sr=8-7</v>
      </c>
      <c r="F526" t="s">
        <v>1868</v>
      </c>
      <c r="G526" t="e">
        <f ca="1">IMAGE("https://alssports.vtexassets.com/arquivos/ids/234175-800-auto?v=636967507056470000&amp;width=800&amp;height=auto&amp;aspect=true")</f>
        <v>#NAME?</v>
      </c>
      <c r="H526" t="e">
        <f ca="1">IMAGE("https://m.media-amazon.com/images/I/61jUHOVsmlS._AC_UL320_.jpg")</f>
        <v>#NAME?</v>
      </c>
      <c r="I526" t="s">
        <v>245</v>
      </c>
      <c r="J526">
        <v>13.95</v>
      </c>
      <c r="K526" s="2" t="s">
        <v>1869</v>
      </c>
      <c r="L526">
        <v>4.5999999999999996</v>
      </c>
      <c r="M526">
        <v>448</v>
      </c>
      <c r="O526" t="s">
        <v>33</v>
      </c>
      <c r="P526" t="s">
        <v>26</v>
      </c>
      <c r="Q526" t="s">
        <v>247</v>
      </c>
    </row>
    <row r="527" spans="1:17" ht="15.75" x14ac:dyDescent="0.25">
      <c r="A527" s="3" t="str">
        <f>HYPERLINK("https://www.als.com/under-m-charged-verssert-run-shoe/p?skuId=1204906", "https://www.als.com/under-m-charged-verssert-run-shoe/p?skuId=1204906")</f>
        <v>https://www.als.com/under-m-charged-verssert-run-shoe/p?skuId=1204906</v>
      </c>
      <c r="B527" s="3" t="str">
        <f>HYPERLINK("https://www.als.com/under-m-charged-verssert-run-shoe/p", "https://www.als.com/under-m-charged-verssert-run-shoe/p")</f>
        <v>https://www.als.com/under-m-charged-verssert-run-shoe/p</v>
      </c>
      <c r="C527" t="s">
        <v>60</v>
      </c>
      <c r="D527" t="s">
        <v>1870</v>
      </c>
      <c r="E527" s="3" t="str">
        <f>HYPERLINK("https://www.amazon.com/Under-Armour-Charged-Breeze-Running/dp/B09XBTJKVV/ref=sr_1_14?keywords=Under+Armour+Charged+Verssert+Running+Shoe+-+Mens&amp;qid=1695124491&amp;sr=8-14", "https://www.amazon.com/Under-Armour-Charged-Breeze-Running/dp/B09XBTJKVV/ref=sr_1_14?keywords=Under+Armour+Charged+Verssert+Running+Shoe+-+Mens&amp;qid=1695124491&amp;sr=8-14")</f>
        <v>https://www.amazon.com/Under-Armour-Charged-Breeze-Running/dp/B09XBTJKVV/ref=sr_1_14?keywords=Under+Armour+Charged+Verssert+Running+Shoe+-+Mens&amp;qid=1695124491&amp;sr=8-14</v>
      </c>
      <c r="F527" t="s">
        <v>1871</v>
      </c>
      <c r="G527" t="e">
        <f ca="1">IMAGE("https://alssports.vtexassets.com/arquivos/ids/1282426-800-auto?v=638158001411130000&amp;width=800&amp;height=auto&amp;aspect=true")</f>
        <v>#NAME?</v>
      </c>
      <c r="H527" t="e">
        <f ca="1">IMAGE("https://m.media-amazon.com/images/I/71p5gsloN7L._AC_UL320_.jpg")</f>
        <v>#NAME?</v>
      </c>
      <c r="I527" t="s">
        <v>63</v>
      </c>
      <c r="J527">
        <v>58.1</v>
      </c>
      <c r="K527" s="2" t="s">
        <v>1872</v>
      </c>
      <c r="L527">
        <v>4.3</v>
      </c>
      <c r="M527">
        <v>16</v>
      </c>
      <c r="O527" t="s">
        <v>33</v>
      </c>
      <c r="P527" t="s">
        <v>26</v>
      </c>
      <c r="Q527" t="s">
        <v>64</v>
      </c>
    </row>
    <row r="528" spans="1:17" ht="15.75" x14ac:dyDescent="0.25">
      <c r="A528" s="3" t="str">
        <f>HYPERLINK("https://www.als.com/columbia-bugaboo-ii-fleece-interchange-jacket-boys-24033/p?skuId=871369", "https://www.als.com/columbia-bugaboo-ii-fleece-interchange-jacket-boys-24033/p?skuId=871369")</f>
        <v>https://www.als.com/columbia-bugaboo-ii-fleece-interchange-jacket-boys-24033/p?skuId=871369</v>
      </c>
      <c r="B528" s="3" t="str">
        <f>HYPERLINK("https://www.als.com/columbia-bugaboo-ii-fleece-interchange-jacket-boys-24033/p", "https://www.als.com/columbia-bugaboo-ii-fleece-interchange-jacket-boys-24033/p")</f>
        <v>https://www.als.com/columbia-bugaboo-ii-fleece-interchange-jacket-boys-24033/p</v>
      </c>
      <c r="C528" t="s">
        <v>1873</v>
      </c>
      <c r="D528" t="s">
        <v>1874</v>
      </c>
      <c r="E528" s="3" t="str">
        <f>HYPERLINK("https://www.amazon.com/Columbia-Bugaboo-Interchange-Mountain-XX-Small/dp/B08MPXXWWB/ref=sr_1_5?keywords=Columbia+Bugaboo+II+Fleece+Interchange+Jacket+-+Boys&amp;qid=1695124372&amp;sr=8-5", "https://www.amazon.com/Columbia-Bugaboo-Interchange-Mountain-XX-Small/dp/B08MPXXWWB/ref=sr_1_5?keywords=Columbia+Bugaboo+II+Fleece+Interchange+Jacket+-+Boys&amp;qid=1695124372&amp;sr=8-5")</f>
        <v>https://www.amazon.com/Columbia-Bugaboo-Interchange-Mountain-XX-Small/dp/B08MPXXWWB/ref=sr_1_5?keywords=Columbia+Bugaboo+II+Fleece+Interchange+Jacket+-+Boys&amp;qid=1695124372&amp;sr=8-5</v>
      </c>
      <c r="F528" t="s">
        <v>1875</v>
      </c>
      <c r="G528" t="e">
        <f ca="1">IMAGE("https://alssports.vtexassets.com/arquivos/ids/1347634-800-auto?v=638224417875170000&amp;width=800&amp;height=auto&amp;aspect=true")</f>
        <v>#NAME?</v>
      </c>
      <c r="H528" t="e">
        <f ca="1">IMAGE("https://m.media-amazon.com/images/I/81X1kwFIRsL._AC_UL320_.jpg")</f>
        <v>#NAME?</v>
      </c>
      <c r="I528" t="s">
        <v>977</v>
      </c>
      <c r="J528">
        <v>65</v>
      </c>
      <c r="K528" s="2" t="s">
        <v>1876</v>
      </c>
      <c r="L528">
        <v>4.7</v>
      </c>
      <c r="M528">
        <v>221</v>
      </c>
      <c r="O528" t="s">
        <v>33</v>
      </c>
      <c r="P528" t="s">
        <v>978</v>
      </c>
      <c r="Q528" t="s">
        <v>1877</v>
      </c>
    </row>
    <row r="529" spans="1:17" ht="15.75" x14ac:dyDescent="0.25">
      <c r="A529" s="3" t="str">
        <f>HYPERLINK("https://www.als.com/heydud-m-shoe-wally-washed-canvas/p?skuId=1317816", "https://www.als.com/heydud-m-shoe-wally-washed-canvas/p?skuId=1317816")</f>
        <v>https://www.als.com/heydud-m-shoe-wally-washed-canvas/p?skuId=1317816</v>
      </c>
      <c r="B529" s="3" t="str">
        <f>HYPERLINK("https://www.als.com/heydud-m-shoe-wally-washed-canvas/p", "https://www.als.com/heydud-m-shoe-wally-washed-canvas/p")</f>
        <v>https://www.als.com/heydud-m-shoe-wally-washed-canvas/p</v>
      </c>
      <c r="C529" t="s">
        <v>501</v>
      </c>
      <c r="D529" t="s">
        <v>1878</v>
      </c>
      <c r="E529" s="3" t="str">
        <f>HYPERLINK("https://www.amazon.com/Hey-Dude-Wally-Micro-Total/dp/B07H7TK9KT/ref=sr_1_12?keywords=Hey+Dude+Wally+Washed+Canvas+Shoe+-+Mens&amp;qid=1695124460&amp;sr=8-12", "https://www.amazon.com/Hey-Dude-Wally-Micro-Total/dp/B07H7TK9KT/ref=sr_1_12?keywords=Hey+Dude+Wally+Washed+Canvas+Shoe+-+Mens&amp;qid=1695124460&amp;sr=8-12")</f>
        <v>https://www.amazon.com/Hey-Dude-Wally-Micro-Total/dp/B07H7TK9KT/ref=sr_1_12?keywords=Hey+Dude+Wally+Washed+Canvas+Shoe+-+Mens&amp;qid=1695124460&amp;sr=8-12</v>
      </c>
      <c r="F529" t="s">
        <v>1879</v>
      </c>
      <c r="G529" t="e">
        <f ca="1">IMAGE("https://alssports.vtexassets.com/arquivos/ids/1388214-800-auto?v=638255521966130000&amp;width=800&amp;height=auto&amp;aspect=true")</f>
        <v>#NAME?</v>
      </c>
      <c r="H529" t="e">
        <f ca="1">IMAGE("https://m.media-amazon.com/images/I/81r6UvM0bnL._AC_UL320_.jpg")</f>
        <v>#NAME?</v>
      </c>
      <c r="I529" t="s">
        <v>58</v>
      </c>
      <c r="J529">
        <v>50.21</v>
      </c>
      <c r="K529" s="2" t="s">
        <v>1880</v>
      </c>
      <c r="L529">
        <v>4.8</v>
      </c>
      <c r="M529">
        <v>22752</v>
      </c>
      <c r="O529" t="s">
        <v>33</v>
      </c>
      <c r="P529" t="s">
        <v>26</v>
      </c>
      <c r="Q529" t="s">
        <v>505</v>
      </c>
    </row>
    <row r="530" spans="1:17" ht="15.75" x14ac:dyDescent="0.25">
      <c r="A530" s="3" t="str">
        <f>HYPERLINK("https://www.als.com/stanley-the-iceflow-flip-straw-tumbler-30oz-103553/p?skuId=825655", "https://www.als.com/stanley-the-iceflow-flip-straw-tumbler-30oz-103553/p?skuId=825655")</f>
        <v>https://www.als.com/stanley-the-iceflow-flip-straw-tumbler-30oz-103553/p?skuId=825655</v>
      </c>
      <c r="B530" s="3" t="str">
        <f>HYPERLINK("https://www.als.com/stanley-the-iceflow-flip-straw-tumbler-30oz-103553/p", "https://www.als.com/stanley-the-iceflow-flip-straw-tumbler-30oz-103553/p")</f>
        <v>https://www.als.com/stanley-the-iceflow-flip-straw-tumbler-30oz-103553/p</v>
      </c>
      <c r="C530" t="s">
        <v>1371</v>
      </c>
      <c r="D530" t="s">
        <v>1881</v>
      </c>
      <c r="E530" s="3" t="str">
        <f>HYPERLINK("https://www.amazon.com/Stanley-Imagination-IceFlowTM-Straw-Tumbler/dp/B0C7SGQCQD/ref=sr_1_29?keywords=Stanley+The+IceFlow+Flip+Straw+Tumbler+-+30oz&amp;qid=1695124318&amp;sr=8-29", "https://www.amazon.com/Stanley-Imagination-IceFlowTM-Straw-Tumbler/dp/B0C7SGQCQD/ref=sr_1_29?keywords=Stanley+The+IceFlow+Flip+Straw+Tumbler+-+30oz&amp;qid=1695124318&amp;sr=8-29")</f>
        <v>https://www.amazon.com/Stanley-Imagination-IceFlowTM-Straw-Tumbler/dp/B0C7SGQCQD/ref=sr_1_29?keywords=Stanley+The+IceFlow+Flip+Straw+Tumbler+-+30oz&amp;qid=1695124318&amp;sr=8-29</v>
      </c>
      <c r="F530" t="s">
        <v>1882</v>
      </c>
      <c r="G530" t="e">
        <f ca="1">IMAGE("https://alssports.vtexassets.com/arquivos/ids/969718-800-auto?v=637744962130300000&amp;width=800&amp;height=auto&amp;aspect=true")</f>
        <v>#NAME?</v>
      </c>
      <c r="H530" t="e">
        <f ca="1">IMAGE("https://m.media-amazon.com/images/I/51eb3TZi6+L._AC_UL320_.jpg")</f>
        <v>#NAME?</v>
      </c>
      <c r="I530" t="s">
        <v>233</v>
      </c>
      <c r="J530">
        <v>27</v>
      </c>
      <c r="K530" s="2" t="s">
        <v>1883</v>
      </c>
      <c r="L530">
        <v>5</v>
      </c>
      <c r="M530">
        <v>5</v>
      </c>
      <c r="O530" t="s">
        <v>33</v>
      </c>
      <c r="P530" t="s">
        <v>26</v>
      </c>
      <c r="Q530" t="s">
        <v>1375</v>
      </c>
    </row>
    <row r="531" spans="1:17" ht="15.75" x14ac:dyDescent="0.25">
      <c r="A531" s="3" t="str">
        <f>HYPERLINK("https://www.als.com/crocs-classic-clog/p?skuId=1196935", "https://www.als.com/crocs-classic-clog/p?skuId=1196935")</f>
        <v>https://www.als.com/crocs-classic-clog/p?skuId=1196935</v>
      </c>
      <c r="B531" s="3" t="str">
        <f>HYPERLINK("https://www.als.com/crocs-classic-clog/p", "https://www.als.com/crocs-classic-clog/p")</f>
        <v>https://www.als.com/crocs-classic-clog/p</v>
      </c>
      <c r="C531" t="s">
        <v>1100</v>
      </c>
      <c r="D531" t="s">
        <v>1884</v>
      </c>
      <c r="E531" s="3" t="str">
        <f>HYPERLINK("https://www.amazon.com/Crocs-Classic-Printed-Leopard-Women/dp/B07L9C1THL/ref=sr_1_22?keywords=Crocs+Classic+Clog&amp;qid=1695124151&amp;sr=8-22", "https://www.amazon.com/Crocs-Classic-Printed-Leopard-Women/dp/B07L9C1THL/ref=sr_1_22?keywords=Crocs+Classic+Clog&amp;qid=1695124151&amp;sr=8-22")</f>
        <v>https://www.amazon.com/Crocs-Classic-Printed-Leopard-Women/dp/B07L9C1THL/ref=sr_1_22?keywords=Crocs+Classic+Clog&amp;qid=1695124151&amp;sr=8-22</v>
      </c>
      <c r="F531" t="s">
        <v>1885</v>
      </c>
      <c r="G531" t="e">
        <f ca="1">IMAGE("https://alssports.vtexassets.com/arquivos/ids/1222253-800-auto?v=638102875835800000&amp;width=800&amp;height=auto&amp;aspect=true")</f>
        <v>#NAME?</v>
      </c>
      <c r="H531" t="e">
        <f ca="1">IMAGE("https://m.media-amazon.com/images/I/81DHEuw-cJL._AC_UL320_.jpg")</f>
        <v>#NAME?</v>
      </c>
      <c r="I531" t="s">
        <v>157</v>
      </c>
      <c r="J531">
        <v>38.49</v>
      </c>
      <c r="K531" s="2" t="s">
        <v>1886</v>
      </c>
      <c r="L531">
        <v>4.8</v>
      </c>
      <c r="M531">
        <v>13111</v>
      </c>
      <c r="O531" t="s">
        <v>33</v>
      </c>
      <c r="P531" t="s">
        <v>26</v>
      </c>
      <c r="Q531" t="s">
        <v>1103</v>
      </c>
    </row>
    <row r="532" spans="1:17" ht="15.75" x14ac:dyDescent="0.25">
      <c r="A532" s="3" t="str">
        <f>HYPERLINK("https://www.als.com/crocs-classic-clog/p?skuId=1196935", "https://www.als.com/crocs-classic-clog/p?skuId=1196935")</f>
        <v>https://www.als.com/crocs-classic-clog/p?skuId=1196935</v>
      </c>
      <c r="B532" s="3" t="str">
        <f>HYPERLINK("https://www.als.com/crocs-classic-clog/p", "https://www.als.com/crocs-classic-clog/p")</f>
        <v>https://www.als.com/crocs-classic-clog/p</v>
      </c>
      <c r="C532" t="s">
        <v>1100</v>
      </c>
      <c r="D532" t="s">
        <v>1887</v>
      </c>
      <c r="E532" s="3" t="str">
        <f>HYPERLINK("https://www.amazon.com/Crocs-Classic-Graphic-Water-Shoes/dp/B089K4CF9B/ref=sr_1_16?keywords=Crocs+Classic+Clog&amp;qid=1695124151&amp;sr=8-16", "https://www.amazon.com/Crocs-Classic-Graphic-Water-Shoes/dp/B089K4CF9B/ref=sr_1_16?keywords=Crocs+Classic+Clog&amp;qid=1695124151&amp;sr=8-16")</f>
        <v>https://www.amazon.com/Crocs-Classic-Graphic-Water-Shoes/dp/B089K4CF9B/ref=sr_1_16?keywords=Crocs+Classic+Clog&amp;qid=1695124151&amp;sr=8-16</v>
      </c>
      <c r="F532" t="s">
        <v>1888</v>
      </c>
      <c r="G532" t="e">
        <f ca="1">IMAGE("https://alssports.vtexassets.com/arquivos/ids/1222253-800-auto?v=638102875835800000&amp;width=800&amp;height=auto&amp;aspect=true")</f>
        <v>#NAME?</v>
      </c>
      <c r="H532" t="e">
        <f ca="1">IMAGE("https://m.media-amazon.com/images/I/81ZmvtHeclL._AC_UL320_.jpg")</f>
        <v>#NAME?</v>
      </c>
      <c r="I532" t="s">
        <v>157</v>
      </c>
      <c r="J532">
        <v>38.49</v>
      </c>
      <c r="K532" s="2" t="s">
        <v>1886</v>
      </c>
      <c r="L532">
        <v>4.8</v>
      </c>
      <c r="M532">
        <v>9360</v>
      </c>
      <c r="O532" t="s">
        <v>33</v>
      </c>
      <c r="P532" t="s">
        <v>26</v>
      </c>
      <c r="Q532" t="s">
        <v>1103</v>
      </c>
    </row>
    <row r="533" spans="1:17" ht="15.75" x14ac:dyDescent="0.25">
      <c r="A533" s="3" t="str">
        <f>HYPERLINK("https://www.als.com/brooks-w-shoe-ghost-14/p?skuId=858998", "https://www.als.com/brooks-w-shoe-ghost-14/p?skuId=858998")</f>
        <v>https://www.als.com/brooks-w-shoe-ghost-14/p?skuId=858998</v>
      </c>
      <c r="B533" s="3" t="str">
        <f>HYPERLINK("https://www.als.com/brooks-w-shoe-ghost-14/p", "https://www.als.com/brooks-w-shoe-ghost-14/p")</f>
        <v>https://www.als.com/brooks-w-shoe-ghost-14/p</v>
      </c>
      <c r="C533" t="s">
        <v>1889</v>
      </c>
      <c r="D533" t="s">
        <v>1890</v>
      </c>
      <c r="E533" s="3" t="str">
        <f>HYPERLINK("https://www.amazon.com/Saucony-Womens-Cohesion-Running-Medium/dp/B08CGHMY1X/ref=sr_1_26?keywords=Brooks+Ghost+14+Road+Running+Shoe+-+Women%27s&amp;qid=1695124089&amp;sr=8-26", "https://www.amazon.com/Saucony-Womens-Cohesion-Running-Medium/dp/B08CGHMY1X/ref=sr_1_26?keywords=Brooks+Ghost+14+Road+Running+Shoe+-+Women%27s&amp;qid=1695124089&amp;sr=8-26")</f>
        <v>https://www.amazon.com/Saucony-Womens-Cohesion-Running-Medium/dp/B08CGHMY1X/ref=sr_1_26?keywords=Brooks+Ghost+14+Road+Running+Shoe+-+Women%27s&amp;qid=1695124089&amp;sr=8-26</v>
      </c>
      <c r="F533" t="s">
        <v>1891</v>
      </c>
      <c r="G533" t="e">
        <f ca="1">IMAGE("https://alssports.vtexassets.com/arquivos/ids/761946-800-auto?v=637608716112530000&amp;width=800&amp;height=auto&amp;aspect=true")</f>
        <v>#NAME?</v>
      </c>
      <c r="H533" t="e">
        <f ca="1">IMAGE("https://m.media-amazon.com/images/I/71noAovAAnL._AC_UL320_.jpg")</f>
        <v>#NAME?</v>
      </c>
      <c r="I533" t="s">
        <v>274</v>
      </c>
      <c r="J533">
        <v>53.9</v>
      </c>
      <c r="K533" s="2" t="s">
        <v>1886</v>
      </c>
      <c r="L533">
        <v>4.2</v>
      </c>
      <c r="M533">
        <v>3803</v>
      </c>
      <c r="O533" t="s">
        <v>33</v>
      </c>
      <c r="P533" t="s">
        <v>119</v>
      </c>
      <c r="Q533" t="s">
        <v>1892</v>
      </c>
    </row>
    <row r="534" spans="1:17" ht="15.75" x14ac:dyDescent="0.25">
      <c r="A534" s="3" t="str">
        <f>HYPERLINK("https://www.als.com/carve-ws-swim-top-sanitas-reversibl/p?skuId=1322239", "https://www.als.com/carve-ws-swim-top-sanitas-reversibl/p?skuId=1322239")</f>
        <v>https://www.als.com/carve-ws-swim-top-sanitas-reversibl/p?skuId=1322239</v>
      </c>
      <c r="B534" s="3" t="str">
        <f>HYPERLINK("https://www.als.com/carve-ws-swim-top-sanitas-reversibl/p", "https://www.als.com/carve-ws-swim-top-sanitas-reversibl/p")</f>
        <v>https://www.als.com/carve-ws-swim-top-sanitas-reversibl/p</v>
      </c>
      <c r="C534" t="s">
        <v>663</v>
      </c>
      <c r="D534" t="s">
        <v>1893</v>
      </c>
      <c r="E534" s="3" t="str">
        <f>HYPERLINK("https://www.amazon.com/Carve-Designs-Standard-Sanitas-Compression/dp/B0BRKNDVNY/ref=sr_1_4?keywords=Carve+Designs+Sanitas+Reversible+Swim+Top+-+Women%27s&amp;qid=1695124482&amp;sr=8-4", "https://www.amazon.com/Carve-Designs-Standard-Sanitas-Compression/dp/B0BRKNDVNY/ref=sr_1_4?keywords=Carve+Designs+Sanitas+Reversible+Swim+Top+-+Women%27s&amp;qid=1695124482&amp;sr=8-4")</f>
        <v>https://www.amazon.com/Carve-Designs-Standard-Sanitas-Compression/dp/B0BRKNDVNY/ref=sr_1_4?keywords=Carve+Designs+Sanitas+Reversible+Swim+Top+-+Women%27s&amp;qid=1695124482&amp;sr=8-4</v>
      </c>
      <c r="F534" t="s">
        <v>1894</v>
      </c>
      <c r="G534" t="e">
        <f ca="1">IMAGE("https://alssports.vtexassets.com/arquivos/ids/1272388-800-auto?v=638150148052170000&amp;width=800&amp;height=auto&amp;aspect=true")</f>
        <v>#NAME?</v>
      </c>
      <c r="H534" t="e">
        <f ca="1">IMAGE("https://m.media-amazon.com/images/I/71Dlhcvf4tL._MCnd_AC_UL320_.jpg")</f>
        <v>#NAME?</v>
      </c>
      <c r="I534" t="s">
        <v>189</v>
      </c>
      <c r="J534">
        <v>46.19</v>
      </c>
      <c r="K534" s="2" t="s">
        <v>1895</v>
      </c>
      <c r="L534">
        <v>5</v>
      </c>
      <c r="M534">
        <v>1</v>
      </c>
      <c r="O534" t="s">
        <v>33</v>
      </c>
      <c r="P534" t="s">
        <v>26</v>
      </c>
      <c r="Q534" t="s">
        <v>667</v>
      </c>
    </row>
    <row r="535" spans="1:17" ht="15.75" x14ac:dyDescent="0.25">
      <c r="A535" s="3" t="str">
        <f>HYPERLINK("https://www.als.com/heydud-m-shoe-wally-braided/p?skuId=599445", "https://www.als.com/heydud-m-shoe-wally-braided/p?skuId=599445")</f>
        <v>https://www.als.com/heydud-m-shoe-wally-braided/p?skuId=599445</v>
      </c>
      <c r="B535" s="3" t="str">
        <f>HYPERLINK("https://www.als.com/heydud-m-shoe-wally-braided/p", "https://www.als.com/heydud-m-shoe-wally-braided/p")</f>
        <v>https://www.als.com/heydud-m-shoe-wally-braided/p</v>
      </c>
      <c r="C535" t="s">
        <v>506</v>
      </c>
      <c r="D535" t="s">
        <v>1896</v>
      </c>
      <c r="E535" s="3" t="str">
        <f>HYPERLINK("https://www.amazon.com/Hey-Dude-Wally-Linen-Brown/dp/B09HVDY96H/ref=sr_1_30?keywords=Hey+Dude+Wally+Braided+Shoe+-+Mens&amp;qid=1695124451&amp;sr=8-30", "https://www.amazon.com/Hey-Dude-Wally-Linen-Brown/dp/B09HVDY96H/ref=sr_1_30?keywords=Hey+Dude+Wally+Braided+Shoe+-+Mens&amp;qid=1695124451&amp;sr=8-30")</f>
        <v>https://www.amazon.com/Hey-Dude-Wally-Linen-Brown/dp/B09HVDY96H/ref=sr_1_30?keywords=Hey+Dude+Wally+Braided+Shoe+-+Mens&amp;qid=1695124451&amp;sr=8-30</v>
      </c>
      <c r="F535" t="s">
        <v>1897</v>
      </c>
      <c r="G535" t="e">
        <f ca="1">IMAGE("https://alssports.vtexassets.com/arquivos/ids/1386107-800-auto?v=638254870959300000&amp;width=800&amp;height=auto&amp;aspect=true")</f>
        <v>#NAME?</v>
      </c>
      <c r="H535" t="e">
        <f ca="1">IMAGE("https://m.media-amazon.com/images/I/61WHtKvWLGL._AC_UL320_.jpg")</f>
        <v>#NAME?</v>
      </c>
      <c r="I535" t="s">
        <v>58</v>
      </c>
      <c r="J535">
        <v>50</v>
      </c>
      <c r="K535" s="2" t="s">
        <v>1895</v>
      </c>
      <c r="L535">
        <v>4.7</v>
      </c>
      <c r="M535">
        <v>315</v>
      </c>
      <c r="O535" t="s">
        <v>33</v>
      </c>
      <c r="P535" t="s">
        <v>26</v>
      </c>
      <c r="Q535" t="s">
        <v>507</v>
      </c>
    </row>
    <row r="536" spans="1:17" ht="15.75" x14ac:dyDescent="0.25">
      <c r="A536" s="3" t="str">
        <f>HYPERLINK("https://www.als.com/reef-w-sandals-cushion-vista-hi/p?skuId=1280794", "https://www.als.com/reef-w-sandals-cushion-vista-hi/p?skuId=1280794")</f>
        <v>https://www.als.com/reef-w-sandals-cushion-vista-hi/p?skuId=1280794</v>
      </c>
      <c r="B536" s="3" t="str">
        <f>HYPERLINK("https://www.als.com/reef-w-sandals-cushion-vista-hi/p", "https://www.als.com/reef-w-sandals-cushion-vista-hi/p")</f>
        <v>https://www.als.com/reef-w-sandals-cushion-vista-hi/p</v>
      </c>
      <c r="C536" t="s">
        <v>960</v>
      </c>
      <c r="D536" t="s">
        <v>1898</v>
      </c>
      <c r="E536" s="3" t="str">
        <f>HYPERLINK("https://www.amazon.com/Reef-Womens-Sandals-Cushion-Leopard/dp/B08C34KN4R/ref=sr_1_13?keywords=REEF+Cushion+Vista+HI+Slide+-+Women%27s&amp;qid=1695124489&amp;sr=8-13", "https://www.amazon.com/Reef-Womens-Sandals-Cushion-Leopard/dp/B08C34KN4R/ref=sr_1_13?keywords=REEF+Cushion+Vista+HI+Slide+-+Women%27s&amp;qid=1695124489&amp;sr=8-13")</f>
        <v>https://www.amazon.com/Reef-Womens-Sandals-Cushion-Leopard/dp/B08C34KN4R/ref=sr_1_13?keywords=REEF+Cushion+Vista+HI+Slide+-+Women%27s&amp;qid=1695124489&amp;sr=8-13</v>
      </c>
      <c r="F536" t="s">
        <v>1899</v>
      </c>
      <c r="G536" t="e">
        <f ca="1">IMAGE("https://alssports.vtexassets.com/arquivos/ids/1252015-800-auto?v=638131199167330000&amp;width=800&amp;height=auto&amp;aspect=true")</f>
        <v>#NAME?</v>
      </c>
      <c r="H536" t="e">
        <f ca="1">IMAGE("https://m.media-amazon.com/images/I/619D+t-GZoL._AC_UL320_.jpg")</f>
        <v>#NAME?</v>
      </c>
      <c r="I536" t="s">
        <v>58</v>
      </c>
      <c r="J536">
        <v>50</v>
      </c>
      <c r="K536" s="2" t="s">
        <v>1895</v>
      </c>
      <c r="L536">
        <v>4.0999999999999996</v>
      </c>
      <c r="M536">
        <v>14</v>
      </c>
      <c r="O536" t="s">
        <v>33</v>
      </c>
      <c r="P536" t="s">
        <v>26</v>
      </c>
      <c r="Q536" t="s">
        <v>963</v>
      </c>
    </row>
    <row r="537" spans="1:17" ht="15.75" x14ac:dyDescent="0.25">
      <c r="A537" s="3" t="str">
        <f>HYPERLINK("https://www.als.com/oakley-lineminer-xm-goggle/p?skuId=1322891", "https://www.als.com/oakley-lineminer-xm-goggle/p?skuId=1322891")</f>
        <v>https://www.als.com/oakley-lineminer-xm-goggle/p?skuId=1322891</v>
      </c>
      <c r="B537" s="3" t="str">
        <f>HYPERLINK("https://www.als.com/oakley-lineminer-xm-goggle/p", "https://www.als.com/oakley-lineminer-xm-goggle/p")</f>
        <v>https://www.als.com/oakley-lineminer-xm-goggle/p</v>
      </c>
      <c r="C537" t="s">
        <v>1493</v>
      </c>
      <c r="D537" t="s">
        <v>1900</v>
      </c>
      <c r="E537" s="3" t="str">
        <f>HYPERLINK("https://www.amazon.com/Oakley-Miner-Goggle-Replacement-Medium/dp/B079SZN8NT/ref=sr_1_37?keywords=Oakley+Line+Miner+M+Snow+Goggle&amp;qid=1695124326&amp;sr=8-37", "https://www.amazon.com/Oakley-Miner-Goggle-Replacement-Medium/dp/B079SZN8NT/ref=sr_1_37?keywords=Oakley+Line+Miner+M+Snow+Goggle&amp;qid=1695124326&amp;sr=8-37")</f>
        <v>https://www.amazon.com/Oakley-Miner-Goggle-Replacement-Medium/dp/B079SZN8NT/ref=sr_1_37?keywords=Oakley+Line+Miner+M+Snow+Goggle&amp;qid=1695124326&amp;sr=8-37</v>
      </c>
      <c r="F537" t="s">
        <v>1901</v>
      </c>
      <c r="G537" t="e">
        <f ca="1">IMAGE("https://alssports.vtexassets.com/arquivos/ids/1362246-800-auto?v=638235821541230000&amp;width=800&amp;height=auto&amp;aspect=true")</f>
        <v>#NAME?</v>
      </c>
      <c r="H537" t="e">
        <f ca="1">IMAGE("https://m.media-amazon.com/images/I/51AJYzkMkNL._AC_UL320_.jpg")</f>
        <v>#NAME?</v>
      </c>
      <c r="I537" t="s">
        <v>1496</v>
      </c>
      <c r="J537">
        <v>50</v>
      </c>
      <c r="K537" s="2" t="s">
        <v>1902</v>
      </c>
      <c r="L537">
        <v>4.4000000000000004</v>
      </c>
      <c r="M537">
        <v>4</v>
      </c>
      <c r="O537" t="s">
        <v>33</v>
      </c>
      <c r="P537" t="s">
        <v>1497</v>
      </c>
      <c r="Q537" t="s">
        <v>1498</v>
      </c>
    </row>
    <row r="538" spans="1:17" ht="15.75" x14ac:dyDescent="0.25">
      <c r="A538" s="3" t="str">
        <f>HYPERLINK("https://www.als.com/oakley-lineminer-xm-goggle/p?skuId=1322891", "https://www.als.com/oakley-lineminer-xm-goggle/p?skuId=1322891")</f>
        <v>https://www.als.com/oakley-lineminer-xm-goggle/p?skuId=1322891</v>
      </c>
      <c r="B538" s="3" t="str">
        <f>HYPERLINK("https://www.als.com/oakley-lineminer-xm-goggle/p", "https://www.als.com/oakley-lineminer-xm-goggle/p")</f>
        <v>https://www.als.com/oakley-lineminer-xm-goggle/p</v>
      </c>
      <c r="C538" t="s">
        <v>1493</v>
      </c>
      <c r="D538" t="s">
        <v>1903</v>
      </c>
      <c r="E538" s="3" t="str">
        <f>HYPERLINK("https://www.amazon.com/Replacement-Lenses-Oakley-Lineminer-Goggle/dp/B01N4UET03/ref=sr_1_42?keywords=Oakley+Line+Miner+M+Snow+Goggle&amp;qid=1695124326&amp;sr=8-42", "https://www.amazon.com/Replacement-Lenses-Oakley-Lineminer-Goggle/dp/B01N4UET03/ref=sr_1_42?keywords=Oakley+Line+Miner+M+Snow+Goggle&amp;qid=1695124326&amp;sr=8-42")</f>
        <v>https://www.amazon.com/Replacement-Lenses-Oakley-Lineminer-Goggle/dp/B01N4UET03/ref=sr_1_42?keywords=Oakley+Line+Miner+M+Snow+Goggle&amp;qid=1695124326&amp;sr=8-42</v>
      </c>
      <c r="F538" t="s">
        <v>1904</v>
      </c>
      <c r="G538" t="e">
        <f ca="1">IMAGE("https://alssports.vtexassets.com/arquivos/ids/1362246-800-auto?v=638235821541230000&amp;width=800&amp;height=auto&amp;aspect=true")</f>
        <v>#NAME?</v>
      </c>
      <c r="H538" t="e">
        <f ca="1">IMAGE("https://m.media-amazon.com/images/I/51boCfxOjZL._AC_UL320_.jpg")</f>
        <v>#NAME?</v>
      </c>
      <c r="I538" t="s">
        <v>1496</v>
      </c>
      <c r="J538">
        <v>49.99</v>
      </c>
      <c r="K538" s="2" t="s">
        <v>1905</v>
      </c>
      <c r="L538">
        <v>4.8</v>
      </c>
      <c r="M538">
        <v>11</v>
      </c>
      <c r="O538" t="s">
        <v>33</v>
      </c>
      <c r="P538" t="s">
        <v>1497</v>
      </c>
      <c r="Q538" t="s">
        <v>1498</v>
      </c>
    </row>
    <row r="539" spans="1:17" ht="15.75" x14ac:dyDescent="0.25">
      <c r="A539" s="3" t="str">
        <f>HYPERLINK("https://www.als.com/oakley-lineminer-xm-goggle/p?skuId=1322891", "https://www.als.com/oakley-lineminer-xm-goggle/p?skuId=1322891")</f>
        <v>https://www.als.com/oakley-lineminer-xm-goggle/p?skuId=1322891</v>
      </c>
      <c r="B539" s="3" t="str">
        <f>HYPERLINK("https://www.als.com/oakley-lineminer-xm-goggle/p", "https://www.als.com/oakley-lineminer-xm-goggle/p")</f>
        <v>https://www.als.com/oakley-lineminer-xm-goggle/p</v>
      </c>
      <c r="C539" t="s">
        <v>1493</v>
      </c>
      <c r="D539" t="s">
        <v>1903</v>
      </c>
      <c r="E539" s="3" t="str">
        <f>HYPERLINK("https://www.amazon.com/Replacement-Lenses-Oakley-Lineminer-Goggle/dp/B01N4UFKRD/ref=sr_1_43?keywords=Oakley+Line+Miner+M+Snow+Goggle&amp;qid=1695124326&amp;sr=8-43", "https://www.amazon.com/Replacement-Lenses-Oakley-Lineminer-Goggle/dp/B01N4UFKRD/ref=sr_1_43?keywords=Oakley+Line+Miner+M+Snow+Goggle&amp;qid=1695124326&amp;sr=8-43")</f>
        <v>https://www.amazon.com/Replacement-Lenses-Oakley-Lineminer-Goggle/dp/B01N4UFKRD/ref=sr_1_43?keywords=Oakley+Line+Miner+M+Snow+Goggle&amp;qid=1695124326&amp;sr=8-43</v>
      </c>
      <c r="F539" t="s">
        <v>1906</v>
      </c>
      <c r="G539" t="e">
        <f ca="1">IMAGE("https://alssports.vtexassets.com/arquivos/ids/1362246-800-auto?v=638235821541230000&amp;width=800&amp;height=auto&amp;aspect=true")</f>
        <v>#NAME?</v>
      </c>
      <c r="H539" t="e">
        <f ca="1">IMAGE("https://m.media-amazon.com/images/I/51+vytskuSL._AC_UL320_.jpg")</f>
        <v>#NAME?</v>
      </c>
      <c r="I539" t="s">
        <v>1496</v>
      </c>
      <c r="J539">
        <v>49.99</v>
      </c>
      <c r="K539" s="2" t="s">
        <v>1905</v>
      </c>
      <c r="L539">
        <v>4.5999999999999996</v>
      </c>
      <c r="M539">
        <v>4</v>
      </c>
      <c r="O539" t="s">
        <v>33</v>
      </c>
      <c r="P539" t="s">
        <v>1497</v>
      </c>
      <c r="Q539" t="s">
        <v>1498</v>
      </c>
    </row>
    <row r="540" spans="1:17" ht="15.75" x14ac:dyDescent="0.25">
      <c r="A540" s="3" t="str">
        <f>HYPERLINK("https://www.als.com/mountain-hardwear-cloud-bank-gore-tex-insulated-pant-womens-162093/p?skuId=1158104", "https://www.als.com/mountain-hardwear-cloud-bank-gore-tex-insulated-pant-womens-162093/p?skuId=1158104")</f>
        <v>https://www.als.com/mountain-hardwear-cloud-bank-gore-tex-insulated-pant-womens-162093/p?skuId=1158104</v>
      </c>
      <c r="B540" s="3" t="str">
        <f>HYPERLINK("https://www.als.com/mountain-hardwear-cloud-bank-gore-tex-insulated-pant-womens-162093/p", "https://www.als.com/mountain-hardwear-cloud-bank-gore-tex-insulated-pant-womens-162093/p")</f>
        <v>https://www.als.com/mountain-hardwear-cloud-bank-gore-tex-insulated-pant-womens-162093/p</v>
      </c>
      <c r="C540" t="s">
        <v>1907</v>
      </c>
      <c r="D540" t="s">
        <v>1908</v>
      </c>
      <c r="E540" s="3" t="str">
        <f>HYPERLINK("https://www.amazon.com/Mountain-Hardwear-Standard-Exposure-Gore-TEX/dp/B09NYQVL6M/ref=sr_1_4?keywords=Mountain+Hardwear+Cloud+Bank+Gore-Tex+Insulated+Pant+-+Women%27s&amp;qid=1695124402&amp;sr=8-4", "https://www.amazon.com/Mountain-Hardwear-Standard-Exposure-Gore-TEX/dp/B09NYQVL6M/ref=sr_1_4?keywords=Mountain+Hardwear+Cloud+Bank+Gore-Tex+Insulated+Pant+-+Women%27s&amp;qid=1695124402&amp;sr=8-4")</f>
        <v>https://www.amazon.com/Mountain-Hardwear-Standard-Exposure-Gore-TEX/dp/B09NYQVL6M/ref=sr_1_4?keywords=Mountain+Hardwear+Cloud+Bank+Gore-Tex+Insulated+Pant+-+Women%27s&amp;qid=1695124402&amp;sr=8-4</v>
      </c>
      <c r="F540" t="s">
        <v>1909</v>
      </c>
      <c r="G540" t="e">
        <f ca="1">IMAGE("https://alssports.vtexassets.com/arquivos/ids/1206762-800-auto?v=638085555776130000&amp;width=800&amp;height=auto&amp;aspect=true")</f>
        <v>#NAME?</v>
      </c>
      <c r="H540" t="e">
        <f ca="1">IMAGE("https://m.media-amazon.com/images/I/61Zt+vRff2L._AC_UL320_.jpg")</f>
        <v>#NAME?</v>
      </c>
      <c r="I540" t="s">
        <v>1910</v>
      </c>
      <c r="J540">
        <v>174.99</v>
      </c>
      <c r="K540" s="2" t="s">
        <v>1905</v>
      </c>
      <c r="L540">
        <v>4.5</v>
      </c>
      <c r="M540">
        <v>2</v>
      </c>
      <c r="O540" t="s">
        <v>33</v>
      </c>
      <c r="P540" t="s">
        <v>1911</v>
      </c>
      <c r="Q540" t="s">
        <v>1912</v>
      </c>
    </row>
    <row r="541" spans="1:17" ht="15.75" x14ac:dyDescent="0.25">
      <c r="A541" s="3" t="str">
        <f>HYPERLINK("https://www.als.com/black-diamond-momentum-harness-mens-30998/p?skuId=565613", "https://www.als.com/black-diamond-momentum-harness-mens-30998/p?skuId=565613")</f>
        <v>https://www.als.com/black-diamond-momentum-harness-mens-30998/p?skuId=565613</v>
      </c>
      <c r="B541" s="3" t="str">
        <f>HYPERLINK("https://www.als.com/black-diamond-momentum-harness-mens-30998/p", "https://www.als.com/black-diamond-momentum-harness-mens-30998/p")</f>
        <v>https://www.als.com/black-diamond-momentum-harness-mens-30998/p</v>
      </c>
      <c r="C541" t="s">
        <v>55</v>
      </c>
      <c r="D541" t="s">
        <v>1913</v>
      </c>
      <c r="E541" s="3" t="str">
        <f>HYPERLINK("https://www.amazon.com/Black-Diamond-Momentum-Climbing-Harness/dp/B081BB7KBQ/ref=sr_1_16?keywords=Black+Diamond+Momentum+Harness+-+Men%27s&amp;qid=1695124426&amp;sr=8-16", "https://www.amazon.com/Black-Diamond-Momentum-Climbing-Harness/dp/B081BB7KBQ/ref=sr_1_16?keywords=Black+Diamond+Momentum+Harness+-+Men%27s&amp;qid=1695124426&amp;sr=8-16")</f>
        <v>https://www.amazon.com/Black-Diamond-Momentum-Climbing-Harness/dp/B081BB7KBQ/ref=sr_1_16?keywords=Black+Diamond+Momentum+Harness+-+Men%27s&amp;qid=1695124426&amp;sr=8-16</v>
      </c>
      <c r="F541" t="s">
        <v>1914</v>
      </c>
      <c r="G541" t="e">
        <f ca="1">IMAGE("https://alssports.vtexassets.com/arquivos/ids/1308135-800-auto?v=638189190355030000&amp;width=800&amp;height=auto&amp;aspect=true")</f>
        <v>#NAME?</v>
      </c>
      <c r="H541" t="e">
        <f ca="1">IMAGE("https://m.media-amazon.com/images/I/811hyjBbXgL._AC_UL320_.jpg")</f>
        <v>#NAME?</v>
      </c>
      <c r="I541" t="s">
        <v>58</v>
      </c>
      <c r="J541">
        <v>49.95</v>
      </c>
      <c r="K541" s="2" t="s">
        <v>1915</v>
      </c>
      <c r="L541">
        <v>4.8</v>
      </c>
      <c r="M541">
        <v>108</v>
      </c>
      <c r="O541" t="s">
        <v>33</v>
      </c>
      <c r="P541" t="s">
        <v>26</v>
      </c>
      <c r="Q541" t="s">
        <v>59</v>
      </c>
    </row>
    <row r="542" spans="1:17" ht="15.75" x14ac:dyDescent="0.25">
      <c r="A542" s="3" t="str">
        <f>HYPERLINK("https://www.als.com/vans-shoe-sk8-hi-mte-2/p?skuId=1116049", "https://www.als.com/vans-shoe-sk8-hi-mte-2/p?skuId=1116049")</f>
        <v>https://www.als.com/vans-shoe-sk8-hi-mte-2/p?skuId=1116049</v>
      </c>
      <c r="B542" s="3" t="str">
        <f>HYPERLINK("https://www.als.com/vans-shoe-sk8-hi-mte-2/p", "https://www.als.com/vans-shoe-sk8-hi-mte-2/p")</f>
        <v>https://www.als.com/vans-shoe-sk8-hi-mte-2/p</v>
      </c>
      <c r="C542" t="s">
        <v>1174</v>
      </c>
      <c r="D542" t="s">
        <v>1916</v>
      </c>
      <c r="E542" s="3" t="str">
        <f>HYPERLINK("https://www.amazon.com/Vans-Mens-Sk8-Valerian-Vn0A4P3Ituk/dp/B07QFWQT17/ref=sr_1_6?keywords=Vans+Sk8-Hi+MTE-2+Shoe&amp;qid=1695124405&amp;sr=8-6", "https://www.amazon.com/Vans-Mens-Sk8-Valerian-Vn0A4P3Ituk/dp/B07QFWQT17/ref=sr_1_6?keywords=Vans+Sk8-Hi+MTE-2+Shoe&amp;qid=1695124405&amp;sr=8-6")</f>
        <v>https://www.amazon.com/Vans-Mens-Sk8-Valerian-Vn0A4P3Ituk/dp/B07QFWQT17/ref=sr_1_6?keywords=Vans+Sk8-Hi+MTE-2+Shoe&amp;qid=1695124405&amp;sr=8-6</v>
      </c>
      <c r="F542" t="s">
        <v>1917</v>
      </c>
      <c r="G542" t="e">
        <f ca="1">IMAGE("https://alssports.vtexassets.com/arquivos/ids/1312527-800-auto?v=638193489147030000&amp;width=800&amp;height=auto&amp;aspect=true")</f>
        <v>#NAME?</v>
      </c>
      <c r="H542" t="e">
        <f ca="1">IMAGE("https://m.media-amazon.com/images/I/815Yir+YiCL._AC_UL320_.jpg")</f>
        <v>#NAME?</v>
      </c>
      <c r="I542" t="s">
        <v>44</v>
      </c>
      <c r="J542">
        <v>115</v>
      </c>
      <c r="K542" s="2" t="s">
        <v>1918</v>
      </c>
      <c r="L542">
        <v>4.5</v>
      </c>
      <c r="M542">
        <v>11</v>
      </c>
      <c r="O542" t="s">
        <v>33</v>
      </c>
      <c r="P542" t="s">
        <v>26</v>
      </c>
      <c r="Q542" t="s">
        <v>1178</v>
      </c>
    </row>
    <row r="543" spans="1:17" ht="15.75" x14ac:dyDescent="0.25">
      <c r="A543" s="3" t="str">
        <f>HYPERLINK("https://www.als.com/prana-womens-koen-pant/p?skuId=1105657", "https://www.als.com/prana-womens-koen-pant/p?skuId=1105657")</f>
        <v>https://www.als.com/prana-womens-koen-pant/p?skuId=1105657</v>
      </c>
      <c r="B543" s="3" t="str">
        <f>HYPERLINK("https://www.als.com/prana-womens-koen-pant/p", "https://www.als.com/prana-womens-koen-pant/p")</f>
        <v>https://www.als.com/prana-womens-koen-pant/p</v>
      </c>
      <c r="C543" t="s">
        <v>1919</v>
      </c>
      <c r="D543" t="s">
        <v>1920</v>
      </c>
      <c r="E543" s="3" t="str">
        <f>HYPERLINK("https://www.amazon.com/prAna-Inigma-Pants-Solid-Womens/dp/B083Z4GM3H/ref=sr_1_37?keywords=prAna+Koen+Pant+-+Women%27s&amp;qid=1695124354&amp;sr=8-37", "https://www.amazon.com/prAna-Inigma-Pants-Solid-Womens/dp/B083Z4GM3H/ref=sr_1_37?keywords=prAna+Koen+Pant+-+Women%27s&amp;qid=1695124354&amp;sr=8-37")</f>
        <v>https://www.amazon.com/prAna-Inigma-Pants-Solid-Womens/dp/B083Z4GM3H/ref=sr_1_37?keywords=prAna+Koen+Pant+-+Women%27s&amp;qid=1695124354&amp;sr=8-37</v>
      </c>
      <c r="F543" t="s">
        <v>1921</v>
      </c>
      <c r="G543" t="e">
        <f ca="1">IMAGE("https://alssports.vtexassets.com/arquivos/ids/1242085-800-auto?v=638121058707700000&amp;width=800&amp;height=auto&amp;aspect=true")</f>
        <v>#NAME?</v>
      </c>
      <c r="H543" t="e">
        <f ca="1">IMAGE("https://m.media-amazon.com/images/I/71IP-WzjBCL._AC_UL320_.jpg")</f>
        <v>#NAME?</v>
      </c>
      <c r="I543" t="s">
        <v>1922</v>
      </c>
      <c r="J543">
        <v>54.64</v>
      </c>
      <c r="K543" s="2" t="s">
        <v>1918</v>
      </c>
      <c r="L543">
        <v>3.9</v>
      </c>
      <c r="M543">
        <v>4</v>
      </c>
      <c r="O543" t="s">
        <v>33</v>
      </c>
      <c r="P543" t="s">
        <v>1923</v>
      </c>
      <c r="Q543" t="s">
        <v>1924</v>
      </c>
    </row>
    <row r="544" spans="1:17" ht="15.75" x14ac:dyDescent="0.25">
      <c r="A544" s="3" t="str">
        <f>HYPERLINK("https://www.als.com/arcteryx-atom-hoodie-womens-140743/p?skuId=1342906", "https://www.als.com/arcteryx-atom-hoodie-womens-140743/p?skuId=1342906")</f>
        <v>https://www.als.com/arcteryx-atom-hoodie-womens-140743/p?skuId=1342906</v>
      </c>
      <c r="B544" s="3" t="str">
        <f>HYPERLINK("https://www.als.com/arcteryx-atom-hoodie-womens-140743/p", "https://www.als.com/arcteryx-atom-hoodie-womens-140743/p")</f>
        <v>https://www.als.com/arcteryx-atom-hoodie-womens-140743/p</v>
      </c>
      <c r="C544" t="s">
        <v>75</v>
      </c>
      <c r="D544" t="s">
        <v>1925</v>
      </c>
      <c r="E544" s="3" t="str">
        <f>HYPERLINK("https://www.amazon.com/Arcteryx-Lightweight-Superlight-Coreloft-Insulated/dp/B0BTHMD7B1/ref=sr_1_2?keywords=Arcteryx+Atom+Hoodie+-+Womens&amp;qid=1695124299&amp;sr=8-2", "https://www.amazon.com/Arcteryx-Lightweight-Superlight-Coreloft-Insulated/dp/B0BTHMD7B1/ref=sr_1_2?keywords=Arcteryx+Atom+Hoodie+-+Womens&amp;qid=1695124299&amp;sr=8-2")</f>
        <v>https://www.amazon.com/Arcteryx-Lightweight-Superlight-Coreloft-Insulated/dp/B0BTHMD7B1/ref=sr_1_2?keywords=Arcteryx+Atom+Hoodie+-+Womens&amp;qid=1695124299&amp;sr=8-2</v>
      </c>
      <c r="F544" t="s">
        <v>1926</v>
      </c>
      <c r="G544" t="e">
        <f ca="1">IMAGE("https://alssports.vtexassets.com/arquivos/ids/1400872-800-auto?v=638264371846000000&amp;width=800&amp;height=auto&amp;aspect=true")</f>
        <v>#NAME?</v>
      </c>
      <c r="H544" t="e">
        <f ca="1">IMAGE("https://m.media-amazon.com/images/I/612hE9nCLfL._AC_UL320_.jpg")</f>
        <v>#NAME?</v>
      </c>
      <c r="I544" t="s">
        <v>78</v>
      </c>
      <c r="J544">
        <v>230</v>
      </c>
      <c r="K544" s="2" t="s">
        <v>1927</v>
      </c>
      <c r="L544">
        <v>5</v>
      </c>
      <c r="M544">
        <v>1</v>
      </c>
      <c r="O544" t="s">
        <v>33</v>
      </c>
      <c r="P544" t="s">
        <v>26</v>
      </c>
      <c r="Q544" t="s">
        <v>79</v>
      </c>
    </row>
    <row r="545" spans="1:17" ht="15.75" x14ac:dyDescent="0.25">
      <c r="A545" s="3" t="str">
        <f>HYPERLINK("https://www.als.com/carve-ws-swim-top-sanitas-reversibl/p?skuId=1322239", "https://www.als.com/carve-ws-swim-top-sanitas-reversibl/p?skuId=1322239")</f>
        <v>https://www.als.com/carve-ws-swim-top-sanitas-reversibl/p?skuId=1322239</v>
      </c>
      <c r="B545" s="3" t="str">
        <f>HYPERLINK("https://www.als.com/carve-ws-swim-top-sanitas-reversibl/p", "https://www.als.com/carve-ws-swim-top-sanitas-reversibl/p")</f>
        <v>https://www.als.com/carve-ws-swim-top-sanitas-reversibl/p</v>
      </c>
      <c r="C545" t="s">
        <v>663</v>
      </c>
      <c r="D545" t="s">
        <v>1928</v>
      </c>
      <c r="E545" s="3" t="str">
        <f>HYPERLINK("https://www.amazon.com/CARVE-Designs-Womens-Standard-Reversible/dp/B09758KKST/ref=sr_1_7?keywords=Carve+Designs+Sanitas+Reversible+Swim+Top+-+Women%27s&amp;qid=1695124482&amp;sr=8-7", "https://www.amazon.com/CARVE-Designs-Womens-Standard-Reversible/dp/B09758KKST/ref=sr_1_7?keywords=Carve+Designs+Sanitas+Reversible+Swim+Top+-+Women%27s&amp;qid=1695124482&amp;sr=8-7")</f>
        <v>https://www.amazon.com/CARVE-Designs-Womens-Standard-Reversible/dp/B09758KKST/ref=sr_1_7?keywords=Carve+Designs+Sanitas+Reversible+Swim+Top+-+Women%27s&amp;qid=1695124482&amp;sr=8-7</v>
      </c>
      <c r="F545" t="s">
        <v>1929</v>
      </c>
      <c r="G545" t="e">
        <f ca="1">IMAGE("https://alssports.vtexassets.com/arquivos/ids/1272388-800-auto?v=638150148052170000&amp;width=800&amp;height=auto&amp;aspect=true")</f>
        <v>#NAME?</v>
      </c>
      <c r="H545" t="e">
        <f ca="1">IMAGE("https://m.media-amazon.com/images/I/61uB3KWAe-L._AC_UL320_.jpg")</f>
        <v>#NAME?</v>
      </c>
      <c r="I545" t="s">
        <v>189</v>
      </c>
      <c r="J545">
        <v>45.98</v>
      </c>
      <c r="K545" s="2" t="s">
        <v>1930</v>
      </c>
      <c r="L545">
        <v>4</v>
      </c>
      <c r="M545">
        <v>24</v>
      </c>
      <c r="O545" t="s">
        <v>33</v>
      </c>
      <c r="P545" t="s">
        <v>26</v>
      </c>
      <c r="Q545" t="s">
        <v>667</v>
      </c>
    </row>
    <row r="546" spans="1:17" ht="15.75" x14ac:dyDescent="0.25">
      <c r="A546" s="3" t="str">
        <f>HYPERLINK("https://www.als.com/bigag-blanket-fussell-ul-quilt/p?skuId=822740", "https://www.als.com/bigag-blanket-fussell-ul-quilt/p?skuId=822740")</f>
        <v>https://www.als.com/bigag-blanket-fussell-ul-quilt/p?skuId=822740</v>
      </c>
      <c r="B546" s="3" t="str">
        <f>HYPERLINK("https://www.als.com/bigag-blanket-fussell-ul-quilt/p", "https://www.als.com/bigag-blanket-fussell-ul-quilt/p")</f>
        <v>https://www.als.com/bigag-blanket-fussell-ul-quilt/p</v>
      </c>
      <c r="C546" t="s">
        <v>1931</v>
      </c>
      <c r="D546" t="s">
        <v>1932</v>
      </c>
      <c r="E546" s="3" t="str">
        <f>HYPERLINK("https://www.amazon.com/Big-Agnes-Primaloft-Ultralight-Camping/dp/B08175XW82/ref=sr_1_2?keywords=Big+Agnes+Fussell+UL+Quilt&amp;qid=1695124417&amp;sr=8-2", "https://www.amazon.com/Big-Agnes-Primaloft-Ultralight-Camping/dp/B08175XW82/ref=sr_1_2?keywords=Big+Agnes+Fussell+UL+Quilt&amp;qid=1695124417&amp;sr=8-2")</f>
        <v>https://www.amazon.com/Big-Agnes-Primaloft-Ultralight-Camping/dp/B08175XW82/ref=sr_1_2?keywords=Big+Agnes+Fussell+UL+Quilt&amp;qid=1695124417&amp;sr=8-2</v>
      </c>
      <c r="F546" t="s">
        <v>1933</v>
      </c>
      <c r="G546" t="e">
        <f ca="1">IMAGE("https://alssports.vtexassets.com/arquivos/ids/1057563-800-auto?v=637873864907030000&amp;width=800&amp;height=auto&amp;aspect=true")</f>
        <v>#NAME?</v>
      </c>
      <c r="H546" t="e">
        <f ca="1">IMAGE("https://m.media-amazon.com/images/I/61hbBVB7xeL._AC_UY218_.jpg")</f>
        <v>#NAME?</v>
      </c>
      <c r="I546" t="s">
        <v>1934</v>
      </c>
      <c r="J546">
        <v>149.94999999999999</v>
      </c>
      <c r="K546" s="2" t="s">
        <v>1935</v>
      </c>
      <c r="L546">
        <v>4.3</v>
      </c>
      <c r="M546">
        <v>12</v>
      </c>
      <c r="O546" t="s">
        <v>33</v>
      </c>
      <c r="P546" t="s">
        <v>1936</v>
      </c>
      <c r="Q546" t="s">
        <v>1937</v>
      </c>
    </row>
    <row r="547" spans="1:17" ht="15.75" x14ac:dyDescent="0.25">
      <c r="A547" s="3" t="str">
        <f>HYPERLINK("https://www.als.com/stans-stans-tire-sealant/p?skuId=125629", "https://www.als.com/stans-stans-tire-sealant/p?skuId=125629")</f>
        <v>https://www.als.com/stans-stans-tire-sealant/p?skuId=125629</v>
      </c>
      <c r="B547" s="3" t="str">
        <f>HYPERLINK("https://www.als.com/stans-stans-tire-sealant/p", "https://www.als.com/stans-stans-tire-sealant/p")</f>
        <v>https://www.als.com/stans-stans-tire-sealant/p</v>
      </c>
      <c r="C547" t="s">
        <v>1938</v>
      </c>
      <c r="D547" t="s">
        <v>1939</v>
      </c>
      <c r="E547" s="3" t="str">
        <f>HYPERLINK("https://www.amazon.com/YAKAMOZ-Tubeless-Injector-Mountain-Repairing/dp/B09C23WBMN/ref=sr_1_6?keywords=Stans+NoTubes+Tire+Sealant&amp;qid=1695124108&amp;sr=8-6", "https://www.amazon.com/YAKAMOZ-Tubeless-Injector-Mountain-Repairing/dp/B09C23WBMN/ref=sr_1_6?keywords=Stans+NoTubes+Tire+Sealant&amp;qid=1695124108&amp;sr=8-6")</f>
        <v>https://www.amazon.com/YAKAMOZ-Tubeless-Injector-Mountain-Repairing/dp/B09C23WBMN/ref=sr_1_6?keywords=Stans+NoTubes+Tire+Sealant&amp;qid=1695124108&amp;sr=8-6</v>
      </c>
      <c r="F547" t="s">
        <v>1940</v>
      </c>
      <c r="G547" t="e">
        <f ca="1">IMAGE("https://alssports.vtexassets.com/arquivos/ids/464962-800-auto?v=637417442122200000&amp;width=800&amp;height=auto&amp;aspect=true")</f>
        <v>#NAME?</v>
      </c>
      <c r="H547" t="e">
        <f ca="1">IMAGE("https://m.media-amazon.com/images/I/31NI7TvmT0L._AC_UL320_.jpg")</f>
        <v>#NAME?</v>
      </c>
      <c r="I547" t="s">
        <v>280</v>
      </c>
      <c r="J547">
        <v>12.99</v>
      </c>
      <c r="K547" s="2" t="s">
        <v>1941</v>
      </c>
      <c r="L547">
        <v>3.6</v>
      </c>
      <c r="M547">
        <v>5</v>
      </c>
      <c r="O547" t="s">
        <v>33</v>
      </c>
      <c r="P547" t="s">
        <v>26</v>
      </c>
      <c r="Q547" t="s">
        <v>1942</v>
      </c>
    </row>
    <row r="548" spans="1:17" ht="15.75" x14ac:dyDescent="0.25">
      <c r="A548" s="3" t="str">
        <f>HYPERLINK("https://www.als.com/adidas-cleat-predator-accuracy3-fg/p?skuId=1286240", "https://www.als.com/adidas-cleat-predator-accuracy3-fg/p?skuId=1286240")</f>
        <v>https://www.als.com/adidas-cleat-predator-accuracy3-fg/p?skuId=1286240</v>
      </c>
      <c r="B548" s="3" t="str">
        <f>HYPERLINK("https://www.als.com/adidas-cleat-predator-accuracy3-fg/p", "https://www.als.com/adidas-cleat-predator-accuracy3-fg/p")</f>
        <v>https://www.als.com/adidas-cleat-predator-accuracy3-fg/p</v>
      </c>
      <c r="C548" t="s">
        <v>1943</v>
      </c>
      <c r="D548" t="s">
        <v>1039</v>
      </c>
      <c r="E548" s="3" t="str">
        <f>HYPERLINK("https://www.amazon.com/adidas-Goletto-Ground-Soccer-Unisex/dp/B093QPLZTF/ref=sr_1_30?keywords=adidas+Predator+Accuracy.3+Firm+Ground+Soccer+Cleat&amp;qid=1695124164&amp;sr=8-30", "https://www.amazon.com/adidas-Goletto-Ground-Soccer-Unisex/dp/B093QPLZTF/ref=sr_1_30?keywords=adidas+Predator+Accuracy.3+Firm+Ground+Soccer+Cleat&amp;qid=1695124164&amp;sr=8-30")</f>
        <v>https://www.amazon.com/adidas-Goletto-Ground-Soccer-Unisex/dp/B093QPLZTF/ref=sr_1_30?keywords=adidas+Predator+Accuracy.3+Firm+Ground+Soccer+Cleat&amp;qid=1695124164&amp;sr=8-30</v>
      </c>
      <c r="F548" t="s">
        <v>1944</v>
      </c>
      <c r="G548" t="e">
        <f ca="1">IMAGE("https://alssports.vtexassets.com/arquivos/ids/1308755-800-auto?v=638191616443600000&amp;width=800&amp;height=auto&amp;aspect=true")</f>
        <v>#NAME?</v>
      </c>
      <c r="H548" t="e">
        <f ca="1">IMAGE("https://m.media-amazon.com/images/I/61UBfesHGzL._AC_UL320_.jpg")</f>
        <v>#NAME?</v>
      </c>
      <c r="I548" t="s">
        <v>1945</v>
      </c>
      <c r="J548">
        <v>27.48</v>
      </c>
      <c r="K548" s="2" t="s">
        <v>1946</v>
      </c>
      <c r="L548">
        <v>4.7</v>
      </c>
      <c r="M548">
        <v>6522</v>
      </c>
      <c r="O548" t="s">
        <v>33</v>
      </c>
      <c r="P548" t="s">
        <v>928</v>
      </c>
      <c r="Q548" t="s">
        <v>1947</v>
      </c>
    </row>
    <row r="549" spans="1:17" ht="15.75" x14ac:dyDescent="0.25">
      <c r="A549" s="3" t="str">
        <f>HYPERLINK("https://www.als.com/chaco-m-sandal-zcloud/p?skuId=932120", "https://www.als.com/chaco-m-sandal-zcloud/p?skuId=932120")</f>
        <v>https://www.als.com/chaco-m-sandal-zcloud/p?skuId=932120</v>
      </c>
      <c r="B549" s="3" t="str">
        <f>HYPERLINK("https://www.als.com/chaco-m-sandal-zcloud/p", "https://www.als.com/chaco-m-sandal-zcloud/p")</f>
        <v>https://www.als.com/chaco-m-sandal-zcloud/p</v>
      </c>
      <c r="C549" t="s">
        <v>694</v>
      </c>
      <c r="D549" t="s">
        <v>1948</v>
      </c>
      <c r="E549" s="3" t="str">
        <f>HYPERLINK("https://www.amazon.com/Chaco-J106448-Checker-Eclipse-Sandals/dp/B0721LQPS7/ref=sr_1_11?keywords=Chaco+Z%2FCloud+Sandal+-+Mens&amp;qid=1695124430&amp;sr=8-11", "https://www.amazon.com/Chaco-J106448-Checker-Eclipse-Sandals/dp/B0721LQPS7/ref=sr_1_11?keywords=Chaco+Z%2FCloud+Sandal+-+Mens&amp;qid=1695124430&amp;sr=8-11")</f>
        <v>https://www.amazon.com/Chaco-J106448-Checker-Eclipse-Sandals/dp/B0721LQPS7/ref=sr_1_11?keywords=Chaco+Z%2FCloud+Sandal+-+Mens&amp;qid=1695124430&amp;sr=8-11</v>
      </c>
      <c r="F549" t="s">
        <v>1949</v>
      </c>
      <c r="G549" t="e">
        <f ca="1">IMAGE("https://alssports.vtexassets.com/arquivos/ids/1082383-800-auto?v=637913737461500000&amp;width=800&amp;height=auto&amp;aspect=true")</f>
        <v>#NAME?</v>
      </c>
      <c r="H549" t="e">
        <f ca="1">IMAGE("https://m.media-amazon.com/images/I/81ct8xSAicL._AC_UL320_.jpg")</f>
        <v>#NAME?</v>
      </c>
      <c r="I549" t="s">
        <v>269</v>
      </c>
      <c r="J549">
        <v>79.95</v>
      </c>
      <c r="K549" s="2" t="s">
        <v>1950</v>
      </c>
      <c r="L549">
        <v>3.9</v>
      </c>
      <c r="M549">
        <v>19</v>
      </c>
      <c r="O549" t="s">
        <v>33</v>
      </c>
      <c r="P549" t="s">
        <v>26</v>
      </c>
      <c r="Q549" t="s">
        <v>697</v>
      </c>
    </row>
    <row r="550" spans="1:17" ht="15.75" x14ac:dyDescent="0.25">
      <c r="A550" s="3" t="str">
        <f>HYPERLINK("https://www.als.com/chaco-m-sandal-zcloud/p?skuId=932120", "https://www.als.com/chaco-m-sandal-zcloud/p?skuId=932120")</f>
        <v>https://www.als.com/chaco-m-sandal-zcloud/p?skuId=932120</v>
      </c>
      <c r="B550" s="3" t="str">
        <f>HYPERLINK("https://www.als.com/chaco-m-sandal-zcloud/p", "https://www.als.com/chaco-m-sandal-zcloud/p")</f>
        <v>https://www.als.com/chaco-m-sandal-zcloud/p</v>
      </c>
      <c r="C550" t="s">
        <v>694</v>
      </c>
      <c r="D550" t="s">
        <v>698</v>
      </c>
      <c r="E550" s="3" t="str">
        <f>HYPERLINK("https://www.amazon.com/Chaco-ZCLOUD-Sandals-WEAVE-BLACK/dp/B08C2516KL/ref=sr_1_2?keywords=Chaco+Z%2FCloud+Sandal+-+Mens&amp;qid=1695124430&amp;sr=8-2", "https://www.amazon.com/Chaco-ZCLOUD-Sandals-WEAVE-BLACK/dp/B08C2516KL/ref=sr_1_2?keywords=Chaco+Z%2FCloud+Sandal+-+Mens&amp;qid=1695124430&amp;sr=8-2")</f>
        <v>https://www.amazon.com/Chaco-ZCLOUD-Sandals-WEAVE-BLACK/dp/B08C2516KL/ref=sr_1_2?keywords=Chaco+Z%2FCloud+Sandal+-+Mens&amp;qid=1695124430&amp;sr=8-2</v>
      </c>
      <c r="F550" t="s">
        <v>1951</v>
      </c>
      <c r="G550" t="e">
        <f ca="1">IMAGE("https://alssports.vtexassets.com/arquivos/ids/1082383-800-auto?v=637913737461500000&amp;width=800&amp;height=auto&amp;aspect=true")</f>
        <v>#NAME?</v>
      </c>
      <c r="H550" t="e">
        <f ca="1">IMAGE("https://m.media-amazon.com/images/I/71mszX9fAWL._AC_UL320_.jpg")</f>
        <v>#NAME?</v>
      </c>
      <c r="I550" t="s">
        <v>269</v>
      </c>
      <c r="J550">
        <v>79.95</v>
      </c>
      <c r="K550" s="2" t="s">
        <v>1950</v>
      </c>
      <c r="L550">
        <v>4.5</v>
      </c>
      <c r="M550">
        <v>519</v>
      </c>
      <c r="O550" t="s">
        <v>33</v>
      </c>
      <c r="P550" t="s">
        <v>26</v>
      </c>
      <c r="Q550" t="s">
        <v>697</v>
      </c>
    </row>
    <row r="551" spans="1:17" ht="15.75" x14ac:dyDescent="0.25">
      <c r="A551" s="3" t="str">
        <f>HYPERLINK("https://www.als.com/heydud-w-shoe-wendy-rise-woven/p?skuId=1317686", "https://www.als.com/heydud-w-shoe-wendy-rise-woven/p?skuId=1317686")</f>
        <v>https://www.als.com/heydud-w-shoe-wendy-rise-woven/p?skuId=1317686</v>
      </c>
      <c r="B551" s="3" t="str">
        <f>HYPERLINK("https://www.als.com/heydud-w-shoe-wendy-rise-woven/p", "https://www.als.com/heydud-w-shoe-wendy-rise-woven/p")</f>
        <v>https://www.als.com/heydud-w-shoe-wendy-rise-woven/p</v>
      </c>
      <c r="C551" t="s">
        <v>425</v>
      </c>
      <c r="D551" t="s">
        <v>1703</v>
      </c>
      <c r="E551" s="3" t="str">
        <f>HYPERLINK("https://www.amazon.com/Hey-Dude-Womens-Comfortable-Light-Weight/dp/B0B9YTFTHR/ref=sr_1_8?keywords=Hey+Dude+Wendy+Rise+Woven+Shoe+-+Womens&amp;qid=1695124483&amp;sr=8-8", "https://www.amazon.com/Hey-Dude-Womens-Comfortable-Light-Weight/dp/B0B9YTFTHR/ref=sr_1_8?keywords=Hey+Dude+Wendy+Rise+Woven+Shoe+-+Womens&amp;qid=1695124483&amp;sr=8-8")</f>
        <v>https://www.amazon.com/Hey-Dude-Womens-Comfortable-Light-Weight/dp/B0B9YTFTHR/ref=sr_1_8?keywords=Hey+Dude+Wendy+Rise+Woven+Shoe+-+Womens&amp;qid=1695124483&amp;sr=8-8</v>
      </c>
      <c r="F551" t="s">
        <v>1952</v>
      </c>
      <c r="G551" t="e">
        <f ca="1">IMAGE("https://alssports.vtexassets.com/arquivos/ids/1387367-800-auto?v=638255482261930000&amp;width=800&amp;height=auto&amp;aspect=true")</f>
        <v>#NAME?</v>
      </c>
      <c r="H551" t="e">
        <f ca="1">IMAGE("https://m.media-amazon.com/images/I/61ZM2+Gb2EL._AC_UL320_.jpg")</f>
        <v>#NAME?</v>
      </c>
      <c r="I551" t="s">
        <v>58</v>
      </c>
      <c r="J551">
        <v>49.47</v>
      </c>
      <c r="K551" s="2" t="s">
        <v>1953</v>
      </c>
      <c r="L551">
        <v>4.7</v>
      </c>
      <c r="M551">
        <v>3604</v>
      </c>
      <c r="O551" t="s">
        <v>33</v>
      </c>
      <c r="P551" t="s">
        <v>26</v>
      </c>
      <c r="Q551" t="s">
        <v>429</v>
      </c>
    </row>
    <row r="552" spans="1:17" ht="15.75" x14ac:dyDescent="0.25">
      <c r="A552" s="3" t="str">
        <f>HYPERLINK("https://www.als.com/sram-derailleur-gx-eagle-lunar/p?skuId=847487", "https://www.als.com/sram-derailleur-gx-eagle-lunar/p?skuId=847487")</f>
        <v>https://www.als.com/sram-derailleur-gx-eagle-lunar/p?skuId=847487</v>
      </c>
      <c r="B552" s="3" t="str">
        <f>HYPERLINK("https://www.als.com/sram-derailleur-gx-eagle-lunar/p", "https://www.als.com/sram-derailleur-gx-eagle-lunar/p")</f>
        <v>https://www.als.com/sram-derailleur-gx-eagle-lunar/p</v>
      </c>
      <c r="C552" t="s">
        <v>1954</v>
      </c>
      <c r="D552" t="s">
        <v>1955</v>
      </c>
      <c r="E552" s="3" t="str">
        <f>HYPERLINK("https://www.amazon.com/SRAM-Eagle-12-Speed-Derailleur-Black/dp/B07DQM85PM/ref=sr_1_6?keywords=Sram+Gx+Eagle+12+Sp+Rear+Derailleur+-+Max+52t+Lunar+%7C+Rear+Derailleur&amp;qid=1695124343&amp;sr=8-6", "https://www.amazon.com/SRAM-Eagle-12-Speed-Derailleur-Black/dp/B07DQM85PM/ref=sr_1_6?keywords=Sram+Gx+Eagle+12+Sp+Rear+Derailleur+-+Max+52t+Lunar+%7C+Rear+Derailleur&amp;qid=1695124343&amp;sr=8-6")</f>
        <v>https://www.amazon.com/SRAM-Eagle-12-Speed-Derailleur-Black/dp/B07DQM85PM/ref=sr_1_6?keywords=Sram+Gx+Eagle+12+Sp+Rear+Derailleur+-+Max+52t+Lunar+%7C+Rear+Derailleur&amp;qid=1695124343&amp;sr=8-6</v>
      </c>
      <c r="F552" t="s">
        <v>1956</v>
      </c>
      <c r="G552" t="e">
        <f ca="1">IMAGE("https://alssports.vtexassets.com/arquivos/ids/684018-800-auto?v=637569776148200000&amp;width=800&amp;height=auto&amp;aspect=true")</f>
        <v>#NAME?</v>
      </c>
      <c r="H552" t="e">
        <f ca="1">IMAGE("https://m.media-amazon.com/images/I/61oaOYXCGYL._AC_UL320_.jpg")</f>
        <v>#NAME?</v>
      </c>
      <c r="I552" t="s">
        <v>449</v>
      </c>
      <c r="J552">
        <v>102.7</v>
      </c>
      <c r="K552" s="2" t="s">
        <v>1957</v>
      </c>
      <c r="L552">
        <v>4.7</v>
      </c>
      <c r="M552">
        <v>288</v>
      </c>
      <c r="O552" t="s">
        <v>33</v>
      </c>
      <c r="P552" t="s">
        <v>26</v>
      </c>
      <c r="Q552" t="s">
        <v>1958</v>
      </c>
    </row>
    <row r="553" spans="1:17" ht="15.75" x14ac:dyDescent="0.25">
      <c r="A553" s="3" t="str">
        <f>HYPERLINK("https://www.als.com/columbia-anytime-outdoor-13-short-womens-89184/p?skuId=54938", "https://www.als.com/columbia-anytime-outdoor-13-short-womens-89184/p?skuId=54938")</f>
        <v>https://www.als.com/columbia-anytime-outdoor-13-short-womens-89184/p?skuId=54938</v>
      </c>
      <c r="B553" s="3" t="str">
        <f>HYPERLINK("https://www.als.com/columbia-anytime-outdoor-13-short-womens-89184/p", "https://www.als.com/columbia-anytime-outdoor-13-short-womens-89184/p")</f>
        <v>https://www.als.com/columbia-anytime-outdoor-13-short-womens-89184/p</v>
      </c>
      <c r="C553" t="s">
        <v>142</v>
      </c>
      <c r="D553" t="s">
        <v>1959</v>
      </c>
      <c r="E553" s="3" t="str">
        <f>HYPERLINK("https://www.amazon.com/Columbia-Womens-Anytime-Short-Black/dp/B0B1K61NPH/ref=sr_1_6?keywords=Columbia+Anytime+Outdoor+13%22+Short+-+Women%27s&amp;qid=1695124095&amp;sr=8-6", "https://www.amazon.com/Columbia-Womens-Anytime-Short-Black/dp/B0B1K61NPH/ref=sr_1_6?keywords=Columbia+Anytime+Outdoor+13%22+Short+-+Women%27s&amp;qid=1695124095&amp;sr=8-6")</f>
        <v>https://www.amazon.com/Columbia-Womens-Anytime-Short-Black/dp/B0B1K61NPH/ref=sr_1_6?keywords=Columbia+Anytime+Outdoor+13%22+Short+-+Women%27s&amp;qid=1695124095&amp;sr=8-6</v>
      </c>
      <c r="F553" t="s">
        <v>1960</v>
      </c>
      <c r="G553" t="e">
        <f ca="1">IMAGE("https://alssports.vtexassets.com/arquivos/ids/997917-800-auto?v=638227998694600000&amp;width=800&amp;height=auto&amp;aspect=true")</f>
        <v>#NAME?</v>
      </c>
      <c r="H553" t="e">
        <f ca="1">IMAGE("https://m.media-amazon.com/images/I/71KFGAaY3TL._AC_UL320_.jpg")</f>
        <v>#NAME?</v>
      </c>
      <c r="I553" t="s">
        <v>93</v>
      </c>
      <c r="J553">
        <v>22.8</v>
      </c>
      <c r="K553" s="2" t="s">
        <v>1961</v>
      </c>
      <c r="L553">
        <v>3</v>
      </c>
      <c r="M553">
        <v>5</v>
      </c>
      <c r="O553" t="s">
        <v>33</v>
      </c>
      <c r="P553" t="s">
        <v>145</v>
      </c>
      <c r="Q553" t="s">
        <v>146</v>
      </c>
    </row>
    <row r="554" spans="1:17" ht="15.75" x14ac:dyDescent="0.25">
      <c r="A554" s="3" t="str">
        <f>HYPERLINK("https://www.als.com/jetboi-stove-flash/p?skuId=416626", "https://www.als.com/jetboi-stove-flash/p?skuId=416626")</f>
        <v>https://www.als.com/jetboi-stove-flash/p?skuId=416626</v>
      </c>
      <c r="B554" s="3" t="str">
        <f>HYPERLINK("https://www.als.com/jetboi-stove-flash/p", "https://www.als.com/jetboi-stove-flash/p")</f>
        <v>https://www.als.com/jetboi-stove-flash/p</v>
      </c>
      <c r="C554" t="s">
        <v>484</v>
      </c>
      <c r="D554" t="s">
        <v>1962</v>
      </c>
      <c r="E554" s="3" t="str">
        <f>HYPERLINK("https://www.amazon.com/Jetboil-Zip-Cooking-System-Black/dp/B004UVPDUM/ref=sr_1_8?keywords=Jetboil+Flash+Stove+Cooking+System&amp;qid=1695124341&amp;sr=8-8", "https://www.amazon.com/Jetboil-Zip-Cooking-System-Black/dp/B004UVPDUM/ref=sr_1_8?keywords=Jetboil+Flash+Stove+Cooking+System&amp;qid=1695124341&amp;sr=8-8")</f>
        <v>https://www.amazon.com/Jetboil-Zip-Cooking-System-Black/dp/B004UVPDUM/ref=sr_1_8?keywords=Jetboil+Flash+Stove+Cooking+System&amp;qid=1695124341&amp;sr=8-8</v>
      </c>
      <c r="F554" t="s">
        <v>1963</v>
      </c>
      <c r="G554" t="e">
        <f ca="1">IMAGE("https://alssports.vtexassets.com/arquivos/ids/996877-800-auto?v=637790103902500000&amp;width=800&amp;height=auto&amp;aspect=true")</f>
        <v>#NAME?</v>
      </c>
      <c r="H554" t="e">
        <f ca="1">IMAGE("https://m.media-amazon.com/images/I/81l7kFtJ9wL._AC_UY218_.jpg")</f>
        <v>#NAME?</v>
      </c>
      <c r="I554" t="s">
        <v>487</v>
      </c>
      <c r="J554">
        <v>94.95</v>
      </c>
      <c r="K554" s="2" t="s">
        <v>1964</v>
      </c>
      <c r="L554">
        <v>4.8</v>
      </c>
      <c r="M554">
        <v>2966</v>
      </c>
      <c r="O554" t="s">
        <v>33</v>
      </c>
      <c r="P554" t="s">
        <v>26</v>
      </c>
      <c r="Q554" t="s">
        <v>489</v>
      </c>
    </row>
    <row r="555" spans="1:17" ht="15.75" x14ac:dyDescent="0.25">
      <c r="A555" s="3" t="str">
        <f>HYPERLINK("https://www.als.com/black-diamond-spot-400-headlamp-101632/p?skuId=931481", "https://www.als.com/black-diamond-spot-400-headlamp-101632/p?skuId=931481")</f>
        <v>https://www.als.com/black-diamond-spot-400-headlamp-101632/p?skuId=931481</v>
      </c>
      <c r="B555" s="3" t="str">
        <f>HYPERLINK("https://www.als.com/black-diamond-spot-400-headlamp-101632/p", "https://www.als.com/black-diamond-spot-400-headlamp-101632/p")</f>
        <v>https://www.als.com/black-diamond-spot-400-headlamp-101632/p</v>
      </c>
      <c r="C555" t="s">
        <v>154</v>
      </c>
      <c r="D555" t="s">
        <v>1965</v>
      </c>
      <c r="E555" s="3" t="str">
        <f>HYPERLINK("https://www.amazon.com/Black-Diamond-Spot-Headlamp-Olive/dp/B07MDVDHZV/ref=sr_1_46?keywords=Black+Diamond+Spot+400+Headlamp&amp;qid=1695124486&amp;sr=8-46", "https://www.amazon.com/Black-Diamond-Spot-Headlamp-Olive/dp/B07MDVDHZV/ref=sr_1_46?keywords=Black+Diamond+Spot+400+Headlamp&amp;qid=1695124486&amp;sr=8-46")</f>
        <v>https://www.amazon.com/Black-Diamond-Spot-Headlamp-Olive/dp/B07MDVDHZV/ref=sr_1_46?keywords=Black+Diamond+Spot+400+Headlamp&amp;qid=1695124486&amp;sr=8-46</v>
      </c>
      <c r="F555" t="s">
        <v>1966</v>
      </c>
      <c r="G555" t="e">
        <f ca="1">IMAGE("https://alssports.vtexassets.com/arquivos/ids/1053612-800-auto?v=637867784637730000&amp;width=800&amp;height=auto&amp;aspect=true")</f>
        <v>#NAME?</v>
      </c>
      <c r="H555" t="e">
        <f ca="1">IMAGE("https://m.media-amazon.com/images/I/71lJQfPpJwL._AC_UL320_.jpg")</f>
        <v>#NAME?</v>
      </c>
      <c r="I555" t="s">
        <v>157</v>
      </c>
      <c r="J555">
        <v>37.950000000000003</v>
      </c>
      <c r="K555" s="2" t="s">
        <v>1967</v>
      </c>
      <c r="L555">
        <v>4.7</v>
      </c>
      <c r="M555">
        <v>551</v>
      </c>
      <c r="O555" t="s">
        <v>33</v>
      </c>
      <c r="P555" t="s">
        <v>26</v>
      </c>
      <c r="Q555" t="s">
        <v>158</v>
      </c>
    </row>
    <row r="556" spans="1:17" ht="15.75" x14ac:dyDescent="0.25">
      <c r="A556" s="3" t="str">
        <f>HYPERLINK("https://www.als.com/under-w-sports-bra-mid-crossback/p?skuId=818353", "https://www.als.com/under-w-sports-bra-mid-crossback/p?skuId=818353")</f>
        <v>https://www.als.com/under-w-sports-bra-mid-crossback/p?skuId=818353</v>
      </c>
      <c r="B556" s="3" t="str">
        <f>HYPERLINK("https://www.als.com/under-w-sports-bra-mid-crossback/p", "https://www.als.com/under-w-sports-bra-mid-crossback/p")</f>
        <v>https://www.als.com/under-w-sports-bra-mid-crossback/p</v>
      </c>
      <c r="C556" t="s">
        <v>955</v>
      </c>
      <c r="D556" t="s">
        <v>1968</v>
      </c>
      <c r="E556" s="3" t="str">
        <f>HYPERLINK("https://www.amazon.com/Under-Armour-Womens-Crossback-Cloudless/dp/B09NV23D32/ref=sr_1_10?keywords=Under+Armour+Mid+Crossback+Sports+Bra+-+Womens&amp;qid=1695124428&amp;sr=8-10", "https://www.amazon.com/Under-Armour-Womens-Crossback-Cloudless/dp/B09NV23D32/ref=sr_1_10?keywords=Under+Armour+Mid+Crossback+Sports+Bra+-+Womens&amp;qid=1695124428&amp;sr=8-10")</f>
        <v>https://www.amazon.com/Under-Armour-Womens-Crossback-Cloudless/dp/B09NV23D32/ref=sr_1_10?keywords=Under+Armour+Mid+Crossback+Sports+Bra+-+Womens&amp;qid=1695124428&amp;sr=8-10</v>
      </c>
      <c r="F556" t="s">
        <v>1969</v>
      </c>
      <c r="G556" t="e">
        <f ca="1">IMAGE("https://alssports.vtexassets.com/arquivos/ids/1281149-800-auto?v=638157351375100000&amp;width=800&amp;height=auto&amp;aspect=true")</f>
        <v>#NAME?</v>
      </c>
      <c r="H556" t="e">
        <f ca="1">IMAGE("https://m.media-amazon.com/images/I/91It2RHyWiL._AC_UL320_.jpg")</f>
        <v>#NAME?</v>
      </c>
      <c r="I556" t="s">
        <v>231</v>
      </c>
      <c r="J556">
        <v>15.95</v>
      </c>
      <c r="K556" s="2" t="s">
        <v>1970</v>
      </c>
      <c r="L556">
        <v>1</v>
      </c>
      <c r="M556">
        <v>1</v>
      </c>
      <c r="O556" t="s">
        <v>33</v>
      </c>
      <c r="P556" t="s">
        <v>233</v>
      </c>
      <c r="Q556" t="s">
        <v>959</v>
      </c>
    </row>
    <row r="557" spans="1:17" ht="15.75" x14ac:dyDescent="0.25">
      <c r="A557" s="3" t="str">
        <f>HYPERLINK("https://www.als.com/pennf-battle-iii-spinning-reel/p?skuId=801488", "https://www.als.com/pennf-battle-iii-spinning-reel/p?skuId=801488")</f>
        <v>https://www.als.com/pennf-battle-iii-spinning-reel/p?skuId=801488</v>
      </c>
      <c r="B557" s="3" t="str">
        <f>HYPERLINK("https://www.als.com/pennf-battle-iii-spinning-reel/p", "https://www.als.com/pennf-battle-iii-spinning-reel/p")</f>
        <v>https://www.als.com/pennf-battle-iii-spinning-reel/p</v>
      </c>
      <c r="C557" t="s">
        <v>1971</v>
      </c>
      <c r="D557" t="s">
        <v>1972</v>
      </c>
      <c r="E557" s="3" t="str">
        <f>HYPERLINK("https://www.amazon.com/PENN-Pursuit-Spinning-Fishing-Combo/dp/B096L3NS3J/ref=sr_1_14?keywords=Penn+Battle+III+Spinning+Reel&amp;qid=1695124356&amp;sr=8-14", "https://www.amazon.com/PENN-Pursuit-Spinning-Fishing-Combo/dp/B096L3NS3J/ref=sr_1_14?keywords=Penn+Battle+III+Spinning+Reel&amp;qid=1695124356&amp;sr=8-14")</f>
        <v>https://www.amazon.com/PENN-Pursuit-Spinning-Fishing-Combo/dp/B096L3NS3J/ref=sr_1_14?keywords=Penn+Battle+III+Spinning+Reel&amp;qid=1695124356&amp;sr=8-14</v>
      </c>
      <c r="F557" t="s">
        <v>1973</v>
      </c>
      <c r="G557" t="e">
        <f ca="1">IMAGE("https://alssports.vtexassets.com/arquivos/ids/970583-800-auto?v=637798562331900000&amp;width=800&amp;height=auto&amp;aspect=true")</f>
        <v>#NAME?</v>
      </c>
      <c r="H557" t="e">
        <f ca="1">IMAGE("https://m.media-amazon.com/images/I/61l-u4-PY8S._AC_UY218_.jpg")</f>
        <v>#NAME?</v>
      </c>
      <c r="I557" t="s">
        <v>1220</v>
      </c>
      <c r="J557">
        <v>84.99</v>
      </c>
      <c r="K557" s="2" t="s">
        <v>1974</v>
      </c>
      <c r="L557">
        <v>4.3</v>
      </c>
      <c r="M557">
        <v>1635</v>
      </c>
      <c r="O557" t="s">
        <v>33</v>
      </c>
      <c r="P557" t="s">
        <v>832</v>
      </c>
      <c r="Q557" t="s">
        <v>1975</v>
      </c>
    </row>
    <row r="558" spans="1:17" ht="15.75" x14ac:dyDescent="0.25">
      <c r="A558" s="3" t="str">
        <f>HYPERLINK("https://www.als.com/asics-ws-shoe-gel-nimbus-24/p?skuId=1037727", "https://www.als.com/asics-ws-shoe-gel-nimbus-24/p?skuId=1037727")</f>
        <v>https://www.als.com/asics-ws-shoe-gel-nimbus-24/p?skuId=1037727</v>
      </c>
      <c r="B558" s="3" t="str">
        <f>HYPERLINK("https://www.als.com/asics-ws-shoe-gel-nimbus-24/p", "https://www.als.com/asics-ws-shoe-gel-nimbus-24/p")</f>
        <v>https://www.als.com/asics-ws-shoe-gel-nimbus-24/p</v>
      </c>
      <c r="C558" t="s">
        <v>1217</v>
      </c>
      <c r="D558" t="s">
        <v>1976</v>
      </c>
      <c r="E558" s="3" t="str">
        <f>HYPERLINK("https://www.amazon.com/ASICS-Womens-Gel-Kayano-Running-Piedmont/dp/B09WCBHTHC/ref=sr_1_25?keywords=Asics+GEL-NIMBUS+24+Running+Shoe+-+Womens&amp;qid=1695124093&amp;sr=8-25", "https://www.amazon.com/ASICS-Womens-Gel-Kayano-Running-Piedmont/dp/B09WCBHTHC/ref=sr_1_25?keywords=Asics+GEL-NIMBUS+24+Running+Shoe+-+Womens&amp;qid=1695124093&amp;sr=8-25")</f>
        <v>https://www.amazon.com/ASICS-Womens-Gel-Kayano-Running-Piedmont/dp/B09WCBHTHC/ref=sr_1_25?keywords=Asics+GEL-NIMBUS+24+Running+Shoe+-+Womens&amp;qid=1695124093&amp;sr=8-25</v>
      </c>
      <c r="F558" t="s">
        <v>1977</v>
      </c>
      <c r="G558" t="e">
        <f ca="1">IMAGE("https://alssports.vtexassets.com/arquivos/ids/1109551-800-auto?v=637950821539330000&amp;width=800&amp;height=auto&amp;aspect=true")</f>
        <v>#NAME?</v>
      </c>
      <c r="H558" t="e">
        <f ca="1">IMAGE("https://m.media-amazon.com/images/I/61PNX0vCKML._AC_UL320_.jpg")</f>
        <v>#NAME?</v>
      </c>
      <c r="I558" t="s">
        <v>1220</v>
      </c>
      <c r="J558">
        <v>84.95</v>
      </c>
      <c r="K558" s="2" t="s">
        <v>1978</v>
      </c>
      <c r="L558">
        <v>4.3</v>
      </c>
      <c r="M558">
        <v>652</v>
      </c>
      <c r="O558" t="s">
        <v>33</v>
      </c>
      <c r="P558" t="s">
        <v>88</v>
      </c>
      <c r="Q558" t="s">
        <v>1222</v>
      </c>
    </row>
    <row r="559" spans="1:17" ht="15.75" x14ac:dyDescent="0.25">
      <c r="A559" s="3" t="str">
        <f>HYPERLINK("https://www.als.com/asics-ws-shoe-gel-nimbus-24/p?skuId=1037727", "https://www.als.com/asics-ws-shoe-gel-nimbus-24/p?skuId=1037727")</f>
        <v>https://www.als.com/asics-ws-shoe-gel-nimbus-24/p?skuId=1037727</v>
      </c>
      <c r="B559" s="3" t="str">
        <f>HYPERLINK("https://www.als.com/asics-ws-shoe-gel-nimbus-24/p", "https://www.als.com/asics-ws-shoe-gel-nimbus-24/p")</f>
        <v>https://www.als.com/asics-ws-shoe-gel-nimbus-24/p</v>
      </c>
      <c r="C559" t="s">
        <v>1217</v>
      </c>
      <c r="D559" t="s">
        <v>1979</v>
      </c>
      <c r="E559" s="3" t="str">
        <f>HYPERLINK("https://www.amazon.com/ASICS-Womens-Gel-Nimbus-Running-French/dp/B09CLM43K9/ref=sr_1_1?keywords=Asics+GEL-NIMBUS+24+Running+Shoe+-+Womens&amp;qid=1695124093&amp;sr=8-1", "https://www.amazon.com/ASICS-Womens-Gel-Nimbus-Running-French/dp/B09CLM43K9/ref=sr_1_1?keywords=Asics+GEL-NIMBUS+24+Running+Shoe+-+Womens&amp;qid=1695124093&amp;sr=8-1")</f>
        <v>https://www.amazon.com/ASICS-Womens-Gel-Nimbus-Running-French/dp/B09CLM43K9/ref=sr_1_1?keywords=Asics+GEL-NIMBUS+24+Running+Shoe+-+Womens&amp;qid=1695124093&amp;sr=8-1</v>
      </c>
      <c r="F559" t="s">
        <v>1980</v>
      </c>
      <c r="G559" t="e">
        <f ca="1">IMAGE("https://alssports.vtexassets.com/arquivos/ids/1109551-800-auto?v=637950821539330000&amp;width=800&amp;height=auto&amp;aspect=true")</f>
        <v>#NAME?</v>
      </c>
      <c r="H559" t="e">
        <f ca="1">IMAGE("https://m.media-amazon.com/images/I/61-gTnEoC6L._AC_UL320_.jpg")</f>
        <v>#NAME?</v>
      </c>
      <c r="I559" t="s">
        <v>1220</v>
      </c>
      <c r="J559">
        <v>84.95</v>
      </c>
      <c r="K559" s="2" t="s">
        <v>1978</v>
      </c>
      <c r="L559">
        <v>4.5</v>
      </c>
      <c r="M559">
        <v>3169</v>
      </c>
      <c r="O559" t="s">
        <v>33</v>
      </c>
      <c r="P559" t="s">
        <v>88</v>
      </c>
      <c r="Q559" t="s">
        <v>1222</v>
      </c>
    </row>
    <row r="560" spans="1:17" ht="15.75" x14ac:dyDescent="0.25">
      <c r="A560" s="3" t="str">
        <f>HYPERLINK("https://www.als.com/sal-sh-m-shoe-speedcross-6/p?skuId=1067283", "https://www.als.com/sal-sh-m-shoe-speedcross-6/p?skuId=1067283")</f>
        <v>https://www.als.com/sal-sh-m-shoe-speedcross-6/p?skuId=1067283</v>
      </c>
      <c r="B560" s="3" t="str">
        <f>HYPERLINK("https://www.als.com/sal-sh-m-shoe-speedcross-6/p", "https://www.als.com/sal-sh-m-shoe-speedcross-6/p")</f>
        <v>https://www.als.com/sal-sh-m-shoe-speedcross-6/p</v>
      </c>
      <c r="C560" t="s">
        <v>547</v>
      </c>
      <c r="D560" t="s">
        <v>1981</v>
      </c>
      <c r="E560" s="3" t="str">
        <f>HYPERLINK("https://www.amazon.com/Salomon-SPEEDCROSS-Running-Synthetic-Metallic-X/dp/B017SR0ELC/ref=sr_1_6?keywords=Salomon+Speedcross+6+Trail+Running+Shoe+-+Men%27s&amp;qid=1695124304&amp;sr=8-6", "https://www.amazon.com/Salomon-SPEEDCROSS-Running-Synthetic-Metallic-X/dp/B017SR0ELC/ref=sr_1_6?keywords=Salomon+Speedcross+6+Trail+Running+Shoe+-+Men%27s&amp;qid=1695124304&amp;sr=8-6")</f>
        <v>https://www.amazon.com/Salomon-SPEEDCROSS-Running-Synthetic-Metallic-X/dp/B017SR0ELC/ref=sr_1_6?keywords=Salomon+Speedcross+6+Trail+Running+Shoe+-+Men%27s&amp;qid=1695124304&amp;sr=8-6</v>
      </c>
      <c r="F560" t="s">
        <v>1982</v>
      </c>
      <c r="G560" t="e">
        <f ca="1">IMAGE("https://alssports.vtexassets.com/arquivos/ids/1132465-800-auto?v=637986345574970000&amp;width=800&amp;height=auto&amp;aspect=true")</f>
        <v>#NAME?</v>
      </c>
      <c r="H560" t="e">
        <f ca="1">IMAGE("https://m.media-amazon.com/images/I/71pTugv3Z2L._AC_UL320_.jpg")</f>
        <v>#NAME?</v>
      </c>
      <c r="I560" t="s">
        <v>550</v>
      </c>
      <c r="J560">
        <v>109.97</v>
      </c>
      <c r="K560" s="2" t="s">
        <v>1983</v>
      </c>
      <c r="L560">
        <v>4.5</v>
      </c>
      <c r="M560">
        <v>11420</v>
      </c>
      <c r="O560" t="s">
        <v>33</v>
      </c>
      <c r="P560" t="s">
        <v>552</v>
      </c>
      <c r="Q560" t="s">
        <v>553</v>
      </c>
    </row>
    <row r="561" spans="1:17" ht="15.75" x14ac:dyDescent="0.25">
      <c r="A561" s="3" t="str">
        <f>HYPERLINK("https://www.als.com/mizuno-w-wave-sky-6/p?skuId=1262559", "https://www.als.com/mizuno-w-wave-sky-6/p?skuId=1262559")</f>
        <v>https://www.als.com/mizuno-w-wave-sky-6/p?skuId=1262559</v>
      </c>
      <c r="B561" s="3" t="str">
        <f>HYPERLINK("https://www.als.com/mizuno-w-wave-sky-6/p", "https://www.als.com/mizuno-w-wave-sky-6/p")</f>
        <v>https://www.als.com/mizuno-w-wave-sky-6/p</v>
      </c>
      <c r="C561" t="s">
        <v>200</v>
      </c>
      <c r="D561" t="s">
        <v>1984</v>
      </c>
      <c r="E561" s="3" t="str">
        <f>HYPERLINK("https://www.amazon.com/Mizuno-Running-Womens-Wave-Ultimate/dp/B09KP2G96P/ref=sr_1_5?keywords=Mizuno+Wave+Sky+6+Running+Shoe+-+Women%27s&amp;qid=1695124449&amp;sr=8-5", "https://www.amazon.com/Mizuno-Running-Womens-Wave-Ultimate/dp/B09KP2G96P/ref=sr_1_5?keywords=Mizuno+Wave+Sky+6+Running+Shoe+-+Women%27s&amp;qid=1695124449&amp;sr=8-5")</f>
        <v>https://www.amazon.com/Mizuno-Running-Womens-Wave-Ultimate/dp/B09KP2G96P/ref=sr_1_5?keywords=Mizuno+Wave+Sky+6+Running+Shoe+-+Women%27s&amp;qid=1695124449&amp;sr=8-5</v>
      </c>
      <c r="F561" t="s">
        <v>1985</v>
      </c>
      <c r="G561" t="e">
        <f ca="1">IMAGE("https://alssports.vtexassets.com/arquivos/ids/1277387-800-auto?v=638152938174200000&amp;width=800&amp;height=auto&amp;aspect=true")</f>
        <v>#NAME?</v>
      </c>
      <c r="H561" t="e">
        <f ca="1">IMAGE("https://m.media-amazon.com/images/I/811mdHaUrdL._AC_UL320_.jpg")</f>
        <v>#NAME?</v>
      </c>
      <c r="I561" t="s">
        <v>164</v>
      </c>
      <c r="J561">
        <v>128.68</v>
      </c>
      <c r="K561" s="2" t="s">
        <v>1986</v>
      </c>
      <c r="L561">
        <v>1</v>
      </c>
      <c r="M561">
        <v>1</v>
      </c>
      <c r="O561" t="s">
        <v>33</v>
      </c>
      <c r="P561" t="s">
        <v>191</v>
      </c>
      <c r="Q561" t="s">
        <v>203</v>
      </c>
    </row>
    <row r="562" spans="1:17" ht="15.75" x14ac:dyDescent="0.25">
      <c r="A562" s="3" t="str">
        <f>HYPERLINK("https://www.als.com/owala-bottle-free-sip-32-oz/p?skuId=1326138", "https://www.als.com/owala-bottle-free-sip-32-oz/p?skuId=1326138")</f>
        <v>https://www.als.com/owala-bottle-free-sip-32-oz/p?skuId=1326138</v>
      </c>
      <c r="B562" s="3" t="str">
        <f>HYPERLINK("https://www.als.com/owala-bottle-free-sip-32-oz/p", "https://www.als.com/owala-bottle-free-sip-32-oz/p")</f>
        <v>https://www.als.com/owala-bottle-free-sip-32-oz/p</v>
      </c>
      <c r="C562" t="s">
        <v>459</v>
      </c>
      <c r="D562" t="s">
        <v>1987</v>
      </c>
      <c r="E562" s="3" t="str">
        <f>HYPERLINK("https://www.amazon.com/Iron-Flask-Sports-Water-Bottle/dp/B07N1X7JWP/ref=sr_1_45?keywords=Owala+FreeSip+Stainless+Steel+Water+Bottle+-+32oz&amp;qid=1695124104&amp;sr=8-45", "https://www.amazon.com/Iron-Flask-Sports-Water-Bottle/dp/B07N1X7JWP/ref=sr_1_45?keywords=Owala+FreeSip+Stainless+Steel+Water+Bottle+-+32oz&amp;qid=1695124104&amp;sr=8-45")</f>
        <v>https://www.amazon.com/Iron-Flask-Sports-Water-Bottle/dp/B07N1X7JWP/ref=sr_1_45?keywords=Owala+FreeSip+Stainless+Steel+Water+Bottle+-+32oz&amp;qid=1695124104&amp;sr=8-45</v>
      </c>
      <c r="F562" t="s">
        <v>1988</v>
      </c>
      <c r="G562" t="e">
        <f ca="1">IMAGE("https://alssports.vtexassets.com/arquivos/ids/1355955-800-auto?v=638230513195900000&amp;width=800&amp;height=auto&amp;aspect=true")</f>
        <v>#NAME?</v>
      </c>
      <c r="H562" t="e">
        <f ca="1">IMAGE("https://m.media-amazon.com/images/I/71vAvlpk0YL._AC_UL320_.jpg")</f>
        <v>#NAME?</v>
      </c>
      <c r="I562" t="s">
        <v>462</v>
      </c>
      <c r="J562">
        <v>24.95</v>
      </c>
      <c r="K562" s="2" t="s">
        <v>1989</v>
      </c>
      <c r="L562">
        <v>4.8</v>
      </c>
      <c r="M562">
        <v>126675</v>
      </c>
      <c r="O562" t="s">
        <v>33</v>
      </c>
      <c r="P562" t="s">
        <v>26</v>
      </c>
      <c r="Q562" t="s">
        <v>464</v>
      </c>
    </row>
    <row r="563" spans="1:17" ht="15.75" x14ac:dyDescent="0.25">
      <c r="A563" s="3" t="str">
        <f>HYPERLINK("https://www.als.com/keen-w-koven/p?skuId=1240446", "https://www.als.com/keen-w-koven/p?skuId=1240446")</f>
        <v>https://www.als.com/keen-w-koven/p?skuId=1240446</v>
      </c>
      <c r="B563" s="3" t="str">
        <f>HYPERLINK("https://www.als.com/keen-w-koven/p", "https://www.als.com/keen-w-koven/p")</f>
        <v>https://www.als.com/keen-w-koven/p</v>
      </c>
      <c r="C563" t="s">
        <v>737</v>
      </c>
      <c r="D563" t="s">
        <v>1990</v>
      </c>
      <c r="E563" s="3" t="str">
        <f>HYPERLINK("https://www.amazon.com/KEEN-Womens-Wasatch-Crest-Vent-Breathable-Hiking-Sneakers/dp/B097CMR6F8/ref=sr_1_23?keywords=KEEN+Koven+Hiking+Shoe+-+Women%27s&amp;qid=1695124139&amp;sr=8-23", "https://www.amazon.com/KEEN-Womens-Wasatch-Crest-Vent-Breathable-Hiking-Sneakers/dp/B097CMR6F8/ref=sr_1_23?keywords=KEEN+Koven+Hiking+Shoe+-+Women%27s&amp;qid=1695124139&amp;sr=8-23")</f>
        <v>https://www.amazon.com/KEEN-Womens-Wasatch-Crest-Vent-Breathable-Hiking-Sneakers/dp/B097CMR6F8/ref=sr_1_23?keywords=KEEN+Koven+Hiking+Shoe+-+Women%27s&amp;qid=1695124139&amp;sr=8-23</v>
      </c>
      <c r="F563" t="s">
        <v>1991</v>
      </c>
      <c r="G563" t="e">
        <f ca="1">IMAGE("https://alssports.vtexassets.com/arquivos/ids/1211483-800-auto?v=638091747520730000&amp;width=800&amp;height=auto&amp;aspect=true")</f>
        <v>#NAME?</v>
      </c>
      <c r="H563" t="e">
        <f ca="1">IMAGE("https://m.media-amazon.com/images/I/71h8hgRqr0L._AC_UL320_.jpg")</f>
        <v>#NAME?</v>
      </c>
      <c r="I563" t="s">
        <v>639</v>
      </c>
      <c r="J563">
        <v>90.59</v>
      </c>
      <c r="K563" s="2" t="s">
        <v>1992</v>
      </c>
      <c r="L563">
        <v>4.5</v>
      </c>
      <c r="M563">
        <v>158</v>
      </c>
      <c r="O563" t="s">
        <v>33</v>
      </c>
      <c r="P563" t="s">
        <v>26</v>
      </c>
      <c r="Q563" t="s">
        <v>741</v>
      </c>
    </row>
    <row r="564" spans="1:17" ht="15.75" x14ac:dyDescent="0.25">
      <c r="A564" s="3" t="str">
        <f>HYPERLINK("https://www.als.com/seasum-mat-self-inflating-comfort-/p?skuId=550181", "https://www.als.com/seasum-mat-self-inflating-comfort-/p?skuId=550181")</f>
        <v>https://www.als.com/seasum-mat-self-inflating-comfort-/p?skuId=550181</v>
      </c>
      <c r="B564" s="3" t="str">
        <f>HYPERLINK("https://www.als.com/seasum-mat-self-inflating-comfort-/p", "https://www.als.com/seasum-mat-self-inflating-comfort-/p")</f>
        <v>https://www.als.com/seasum-mat-self-inflating-comfort-/p</v>
      </c>
      <c r="C564" t="s">
        <v>1993</v>
      </c>
      <c r="D564" t="s">
        <v>1994</v>
      </c>
      <c r="E564" s="3" t="str">
        <f>HYPERLINK("https://www.amazon.com/Zeepair-Self-Inflating-Sleeping-Pad/dp/B09Y362GTJ/ref=sr_1_21?keywords=Sea+to+Summit+Comfort+Plus+Self+Inflating+Sleeping+Pad&amp;qid=1695124155&amp;sr=8-21", "https://www.amazon.com/Zeepair-Self-Inflating-Sleeping-Pad/dp/B09Y362GTJ/ref=sr_1_21?keywords=Sea+to+Summit+Comfort+Plus+Self+Inflating+Sleeping+Pad&amp;qid=1695124155&amp;sr=8-21")</f>
        <v>https://www.amazon.com/Zeepair-Self-Inflating-Sleeping-Pad/dp/B09Y362GTJ/ref=sr_1_21?keywords=Sea+to+Summit+Comfort+Plus+Self+Inflating+Sleeping+Pad&amp;qid=1695124155&amp;sr=8-21</v>
      </c>
      <c r="F564" t="s">
        <v>1995</v>
      </c>
      <c r="G564" t="e">
        <f ca="1">IMAGE("https://alssports.vtexassets.com/arquivos/ids/1021544-800-auto?v=637819426547900000&amp;width=800&amp;height=auto&amp;aspect=true")</f>
        <v>#NAME?</v>
      </c>
      <c r="H564" t="e">
        <f ca="1">IMAGE("https://m.media-amazon.com/images/I/61iaHh5tEXL._AC_UL320_.jpg")</f>
        <v>#NAME?</v>
      </c>
      <c r="I564" t="s">
        <v>1996</v>
      </c>
      <c r="J564">
        <v>59.99</v>
      </c>
      <c r="K564" s="2" t="s">
        <v>1997</v>
      </c>
      <c r="L564">
        <v>4.4000000000000004</v>
      </c>
      <c r="M564">
        <v>29</v>
      </c>
      <c r="O564" t="s">
        <v>33</v>
      </c>
      <c r="P564" t="s">
        <v>1998</v>
      </c>
      <c r="Q564" t="s">
        <v>1999</v>
      </c>
    </row>
    <row r="565" spans="1:17" ht="15.75" x14ac:dyDescent="0.25">
      <c r="A565" s="3" t="str">
        <f>HYPERLINK("https://www.als.com/crocs-classic-clog/p?skuId=1196935", "https://www.als.com/crocs-classic-clog/p?skuId=1196935")</f>
        <v>https://www.als.com/crocs-classic-clog/p?skuId=1196935</v>
      </c>
      <c r="B565" s="3" t="str">
        <f>HYPERLINK("https://www.als.com/crocs-classic-clog/p", "https://www.als.com/crocs-classic-clog/p")</f>
        <v>https://www.als.com/crocs-classic-clog/p</v>
      </c>
      <c r="C565" t="s">
        <v>1100</v>
      </c>
      <c r="D565" t="s">
        <v>2000</v>
      </c>
      <c r="E565" s="3"/>
      <c r="F565" t="s">
        <v>2001</v>
      </c>
      <c r="G565" t="e">
        <f ca="1">IMAGE("https://alssports.vtexassets.com/arquivos/ids/1222253-800-auto?v=638102875835800000&amp;width=800&amp;height=auto&amp;aspect=true")</f>
        <v>#NAME?</v>
      </c>
      <c r="H565" t="e">
        <f ca="1">IMAGE("https://m.media-amazon.com/images/I/81a44Ppx5XL._AC_UL320_.jpg")</f>
        <v>#NAME?</v>
      </c>
      <c r="I565" t="s">
        <v>157</v>
      </c>
      <c r="J565">
        <v>37.69</v>
      </c>
      <c r="K565" s="2" t="s">
        <v>1997</v>
      </c>
      <c r="L565">
        <v>4.8</v>
      </c>
      <c r="M565">
        <v>57327</v>
      </c>
      <c r="O565" t="s">
        <v>33</v>
      </c>
      <c r="P565" t="s">
        <v>26</v>
      </c>
      <c r="Q565" t="s">
        <v>1103</v>
      </c>
    </row>
    <row r="566" spans="1:17" ht="15.75" x14ac:dyDescent="0.25">
      <c r="A566" s="3" t="str">
        <f>HYPERLINK("https://www.als.com/reef-w-sandals-cushion-vista-hi/p?skuId=1280794", "https://www.als.com/reef-w-sandals-cushion-vista-hi/p?skuId=1280794")</f>
        <v>https://www.als.com/reef-w-sandals-cushion-vista-hi/p?skuId=1280794</v>
      </c>
      <c r="B566" s="3" t="str">
        <f>HYPERLINK("https://www.als.com/reef-w-sandals-cushion-vista-hi/p", "https://www.als.com/reef-w-sandals-cushion-vista-hi/p")</f>
        <v>https://www.als.com/reef-w-sandals-cushion-vista-hi/p</v>
      </c>
      <c r="C566" t="s">
        <v>960</v>
      </c>
      <c r="D566" t="s">
        <v>2002</v>
      </c>
      <c r="E566" s="3" t="str">
        <f>HYPERLINK("https://www.amazon.com/Reef-Womens-Cushion-Bounce-Natural/dp/B07HRVJZQ5/ref=sr_1_4?keywords=REEF+Cushion+Vista+HI+Slide+-+Women%27s&amp;qid=1695124489&amp;sr=8-4", "https://www.amazon.com/Reef-Womens-Cushion-Bounce-Natural/dp/B07HRVJZQ5/ref=sr_1_4?keywords=REEF+Cushion+Vista+HI+Slide+-+Women%27s&amp;qid=1695124489&amp;sr=8-4")</f>
        <v>https://www.amazon.com/Reef-Womens-Cushion-Bounce-Natural/dp/B07HRVJZQ5/ref=sr_1_4?keywords=REEF+Cushion+Vista+HI+Slide+-+Women%27s&amp;qid=1695124489&amp;sr=8-4</v>
      </c>
      <c r="F566" t="s">
        <v>2003</v>
      </c>
      <c r="G566" t="e">
        <f ca="1">IMAGE("https://alssports.vtexassets.com/arquivos/ids/1252015-800-auto?v=638131199167330000&amp;width=800&amp;height=auto&amp;aspect=true")</f>
        <v>#NAME?</v>
      </c>
      <c r="H566" t="e">
        <f ca="1">IMAGE("https://m.media-amazon.com/images/I/81s1hqo+vLL._AC_UL320_.jpg")</f>
        <v>#NAME?</v>
      </c>
      <c r="I566" t="s">
        <v>58</v>
      </c>
      <c r="J566">
        <v>48.92</v>
      </c>
      <c r="K566" s="2" t="s">
        <v>2004</v>
      </c>
      <c r="L566">
        <v>4.5</v>
      </c>
      <c r="M566">
        <v>3097</v>
      </c>
      <c r="O566" t="s">
        <v>33</v>
      </c>
      <c r="P566" t="s">
        <v>26</v>
      </c>
      <c r="Q566" t="s">
        <v>963</v>
      </c>
    </row>
    <row r="567" spans="1:17" ht="15.75" x14ac:dyDescent="0.25">
      <c r="A567" s="3" t="str">
        <f>HYPERLINK("https://www.als.com/crocs-classic-clog/p?skuId=1196935", "https://www.als.com/crocs-classic-clog/p?skuId=1196935")</f>
        <v>https://www.als.com/crocs-classic-clog/p?skuId=1196935</v>
      </c>
      <c r="B567" s="3" t="str">
        <f>HYPERLINK("https://www.als.com/crocs-classic-clog/p", "https://www.als.com/crocs-classic-clog/p")</f>
        <v>https://www.als.com/crocs-classic-clog/p</v>
      </c>
      <c r="C567" t="s">
        <v>1100</v>
      </c>
      <c r="D567" t="s">
        <v>2005</v>
      </c>
      <c r="E567" s="3" t="str">
        <f>HYPERLINK("https://www.amazon.com/Crocs-Unisex-Classic-Slippers-Chocolate/dp/B0788LQY8B/ref=sr_1_14?keywords=Crocs+Classic+Clog&amp;qid=1695124151&amp;sr=8-14", "https://www.amazon.com/Crocs-Unisex-Classic-Slippers-Chocolate/dp/B0788LQY8B/ref=sr_1_14?keywords=Crocs+Classic+Clog&amp;qid=1695124151&amp;sr=8-14")</f>
        <v>https://www.amazon.com/Crocs-Unisex-Classic-Slippers-Chocolate/dp/B0788LQY8B/ref=sr_1_14?keywords=Crocs+Classic+Clog&amp;qid=1695124151&amp;sr=8-14</v>
      </c>
      <c r="F567" t="s">
        <v>2006</v>
      </c>
      <c r="G567" t="e">
        <f ca="1">IMAGE("https://alssports.vtexassets.com/arquivos/ids/1222253-800-auto?v=638102875835800000&amp;width=800&amp;height=auto&amp;aspect=true")</f>
        <v>#NAME?</v>
      </c>
      <c r="H567" t="e">
        <f ca="1">IMAGE("https://m.media-amazon.com/images/I/81ADAmHSgsL._AC_UL320_.jpg")</f>
        <v>#NAME?</v>
      </c>
      <c r="I567" t="s">
        <v>157</v>
      </c>
      <c r="J567">
        <v>37.590000000000003</v>
      </c>
      <c r="K567" s="2" t="s">
        <v>2007</v>
      </c>
      <c r="L567">
        <v>4.8</v>
      </c>
      <c r="M567">
        <v>6849</v>
      </c>
      <c r="O567" t="s">
        <v>33</v>
      </c>
      <c r="P567" t="s">
        <v>26</v>
      </c>
      <c r="Q567" t="s">
        <v>1103</v>
      </c>
    </row>
    <row r="568" spans="1:17" ht="15.75" x14ac:dyDescent="0.25">
      <c r="A568" s="3" t="str">
        <f>HYPERLINK("https://www.als.com/orvis-flyrod-clearwater-outfit/p?skuId=788033", "https://www.als.com/orvis-flyrod-clearwater-outfit/p?skuId=788033")</f>
        <v>https://www.als.com/orvis-flyrod-clearwater-outfit/p?skuId=788033</v>
      </c>
      <c r="B568" s="3" t="str">
        <f>HYPERLINK("https://www.als.com/orvis-flyrod-clearwater-outfit/p", "https://www.als.com/orvis-flyrod-clearwater-outfit/p")</f>
        <v>https://www.als.com/orvis-flyrod-clearwater-outfit/p</v>
      </c>
      <c r="C568" t="s">
        <v>2008</v>
      </c>
      <c r="D568" t="s">
        <v>2008</v>
      </c>
      <c r="E568" s="3" t="str">
        <f>HYPERLINK("https://www.amazon.com/Orvis-Clearwater-Fly-Rod-Outfit/dp/B07SQ48KWS/ref=sr_1_2?keywords=Orvis+Clearwater+Fly+Rod+Outfit&amp;qid=1695124421&amp;sr=8-2", "https://www.amazon.com/Orvis-Clearwater-Fly-Rod-Outfit/dp/B07SQ48KWS/ref=sr_1_2?keywords=Orvis+Clearwater+Fly+Rod+Outfit&amp;qid=1695124421&amp;sr=8-2")</f>
        <v>https://www.amazon.com/Orvis-Clearwater-Fly-Rod-Outfit/dp/B07SQ48KWS/ref=sr_1_2?keywords=Orvis+Clearwater+Fly+Rod+Outfit&amp;qid=1695124421&amp;sr=8-2</v>
      </c>
      <c r="F568" t="s">
        <v>2009</v>
      </c>
      <c r="G568" t="e">
        <f ca="1">IMAGE("https://alssports.vtexassets.com/arquivos/ids/1033871-800-auto?v=637837341403830000&amp;width=800&amp;height=auto&amp;aspect=true")</f>
        <v>#NAME?</v>
      </c>
      <c r="H568" t="e">
        <f ca="1">IMAGE("https://m.media-amazon.com/images/I/5102ag2kHUL._AC_UL320_.jpg")</f>
        <v>#NAME?</v>
      </c>
      <c r="I568" t="s">
        <v>2010</v>
      </c>
      <c r="J568">
        <v>299</v>
      </c>
      <c r="K568" s="2" t="s">
        <v>2011</v>
      </c>
      <c r="L568">
        <v>4.5</v>
      </c>
      <c r="M568">
        <v>51</v>
      </c>
      <c r="O568" t="s">
        <v>33</v>
      </c>
      <c r="P568" t="s">
        <v>26</v>
      </c>
      <c r="Q568" t="s">
        <v>2012</v>
      </c>
    </row>
    <row r="569" spans="1:17" ht="15.75" x14ac:dyDescent="0.25">
      <c r="A569" s="3" t="str">
        <f>HYPERLINK("https://www.als.com/hurley-boardshort-one-and-only-solid/p?skuId=1333862", "https://www.als.com/hurley-boardshort-one-and-only-solid/p?skuId=1333862")</f>
        <v>https://www.als.com/hurley-boardshort-one-and-only-solid/p?skuId=1333862</v>
      </c>
      <c r="B569" s="3" t="str">
        <f>HYPERLINK("https://www.als.com/hurley-boardshort-one-and-only-solid/p", "https://www.als.com/hurley-boardshort-one-and-only-solid/p")</f>
        <v>https://www.als.com/hurley-boardshort-one-and-only-solid/p</v>
      </c>
      <c r="C569" t="s">
        <v>305</v>
      </c>
      <c r="D569" t="s">
        <v>2013</v>
      </c>
      <c r="E569" s="3" t="str">
        <f>HYPERLINK("https://www.amazon.com/Hurley-Mens-Supersuede-Boardshort-White/dp/B07FQLCKYB/ref=sr_1_7?keywords=Hurley+One+And+Only+Solid+Boardshort+-+Men%27s&amp;qid=1695124435&amp;sr=8-7", "https://www.amazon.com/Hurley-Mens-Supersuede-Boardshort-White/dp/B07FQLCKYB/ref=sr_1_7?keywords=Hurley+One+And+Only+Solid+Boardshort+-+Men%27s&amp;qid=1695124435&amp;sr=8-7")</f>
        <v>https://www.amazon.com/Hurley-Mens-Supersuede-Boardshort-White/dp/B07FQLCKYB/ref=sr_1_7?keywords=Hurley+One+And+Only+Solid+Boardshort+-+Men%27s&amp;qid=1695124435&amp;sr=8-7</v>
      </c>
      <c r="F569" t="s">
        <v>2014</v>
      </c>
      <c r="G569" t="e">
        <f ca="1">IMAGE("https://alssports.vtexassets.com/arquivos/ids/1302714-800-auto?v=638180324007330000&amp;width=800&amp;height=auto&amp;aspect=true")</f>
        <v>#NAME?</v>
      </c>
      <c r="H569" t="e">
        <f ca="1">IMAGE("https://m.media-amazon.com/images/I/61k3NlvIyVL._MCnd_AC_UL320_.jpg")</f>
        <v>#NAME?</v>
      </c>
      <c r="I569" t="s">
        <v>211</v>
      </c>
      <c r="J569">
        <v>30.04</v>
      </c>
      <c r="K569" s="2" t="s">
        <v>2015</v>
      </c>
      <c r="L569">
        <v>4.5</v>
      </c>
      <c r="M569">
        <v>4230</v>
      </c>
      <c r="O569" t="s">
        <v>33</v>
      </c>
      <c r="P569" t="s">
        <v>26</v>
      </c>
      <c r="Q569" t="s">
        <v>308</v>
      </c>
    </row>
    <row r="570" spans="1:17" ht="15.75" x14ac:dyDescent="0.25">
      <c r="A570" s="3" t="str">
        <f>HYPERLINK("https://www.als.com/crocs-classic-clog/p?skuId=1196935", "https://www.als.com/crocs-classic-clog/p?skuId=1196935")</f>
        <v>https://www.als.com/crocs-classic-clog/p?skuId=1196935</v>
      </c>
      <c r="B570" s="3" t="str">
        <f>HYPERLINK("https://www.als.com/crocs-classic-clog/p", "https://www.als.com/crocs-classic-clog/p")</f>
        <v>https://www.als.com/crocs-classic-clog/p</v>
      </c>
      <c r="C570" t="s">
        <v>1100</v>
      </c>
      <c r="D570" t="s">
        <v>2016</v>
      </c>
      <c r="E570" s="3" t="str">
        <f>HYPERLINK("https://www.amazon.com/Crocs-Classic-Hiker-Womens-Medium/dp/B09H9F4Q7W/ref=sr_1_27?keywords=Crocs+Classic+Clog&amp;qid=1695124151&amp;sr=8-27", "https://www.amazon.com/Crocs-Classic-Hiker-Womens-Medium/dp/B09H9F4Q7W/ref=sr_1_27?keywords=Crocs+Classic+Clog&amp;qid=1695124151&amp;sr=8-27")</f>
        <v>https://www.amazon.com/Crocs-Classic-Hiker-Womens-Medium/dp/B09H9F4Q7W/ref=sr_1_27?keywords=Crocs+Classic+Clog&amp;qid=1695124151&amp;sr=8-27</v>
      </c>
      <c r="F570" t="s">
        <v>2017</v>
      </c>
      <c r="G570" t="e">
        <f ca="1">IMAGE("https://alssports.vtexassets.com/arquivos/ids/1222253-800-auto?v=638102875835800000&amp;width=800&amp;height=auto&amp;aspect=true")</f>
        <v>#NAME?</v>
      </c>
      <c r="H570" t="e">
        <f ca="1">IMAGE("https://m.media-amazon.com/images/I/711yMLwbd1L._AC_UL320_.jpg")</f>
        <v>#NAME?</v>
      </c>
      <c r="I570" t="s">
        <v>157</v>
      </c>
      <c r="J570">
        <v>37.51</v>
      </c>
      <c r="K570" s="2" t="s">
        <v>2015</v>
      </c>
      <c r="L570">
        <v>4.5999999999999996</v>
      </c>
      <c r="M570">
        <v>2166</v>
      </c>
      <c r="O570" t="s">
        <v>33</v>
      </c>
      <c r="P570" t="s">
        <v>26</v>
      </c>
      <c r="Q570" t="s">
        <v>1103</v>
      </c>
    </row>
    <row r="571" spans="1:17" ht="15.75" x14ac:dyDescent="0.25">
      <c r="A571" s="3" t="str">
        <f>HYPERLINK("https://www.als.com/smartw-m-sock-evrydy-popcorn-cble-crw/p?skuId=1047473", "https://www.als.com/smartw-m-sock-evrydy-popcorn-cble-crw/p?skuId=1047473")</f>
        <v>https://www.als.com/smartw-m-sock-evrydy-popcorn-cble-crw/p?skuId=1047473</v>
      </c>
      <c r="B571" s="3" t="str">
        <f>HYPERLINK("https://www.als.com/smartw-m-sock-evrydy-popcorn-cble-crw/p", "https://www.als.com/smartw-m-sock-evrydy-popcorn-cble-crw/p")</f>
        <v>https://www.als.com/smartw-m-sock-evrydy-popcorn-cble-crw/p</v>
      </c>
      <c r="C571" t="s">
        <v>805</v>
      </c>
      <c r="D571" t="s">
        <v>2018</v>
      </c>
      <c r="E571" s="3" t="str">
        <f>HYPERLINK("https://www.amazon.com/Smartwool-Womens-Everyday-Lodge-Natural/dp/B0B2X66LZF/ref=sr_1_19?keywords=Smartwool+Everyday+Popcorn+Cable+Crew+Sock+-+Womens&amp;qid=1695124378&amp;sr=8-19", "https://www.amazon.com/Smartwool-Womens-Everyday-Lodge-Natural/dp/B0B2X66LZF/ref=sr_1_19?keywords=Smartwool+Everyday+Popcorn+Cable+Crew+Sock+-+Womens&amp;qid=1695124378&amp;sr=8-19")</f>
        <v>https://www.amazon.com/Smartwool-Womens-Everyday-Lodge-Natural/dp/B0B2X66LZF/ref=sr_1_19?keywords=Smartwool+Everyday+Popcorn+Cable+Crew+Sock+-+Womens&amp;qid=1695124378&amp;sr=8-19</v>
      </c>
      <c r="F571" t="s">
        <v>2019</v>
      </c>
      <c r="G571" t="e">
        <f ca="1">IMAGE("https://alssports.vtexassets.com/arquivos/ids/1264369-800-auto?v=638143189174930000&amp;width=800&amp;height=auto&amp;aspect=true")</f>
        <v>#NAME?</v>
      </c>
      <c r="H571" t="e">
        <f ca="1">IMAGE("https://m.media-amazon.com/images/I/61+S16hpkvL._AC_UL320_.jpg")</f>
        <v>#NAME?</v>
      </c>
      <c r="I571" t="s">
        <v>808</v>
      </c>
      <c r="J571">
        <v>20.23</v>
      </c>
      <c r="K571" s="2" t="s">
        <v>2020</v>
      </c>
      <c r="L571">
        <v>5</v>
      </c>
      <c r="M571">
        <v>11</v>
      </c>
      <c r="O571" t="s">
        <v>33</v>
      </c>
      <c r="P571" t="s">
        <v>810</v>
      </c>
      <c r="Q571" t="s">
        <v>811</v>
      </c>
    </row>
    <row r="572" spans="1:17" ht="15.75" x14ac:dyDescent="0.25">
      <c r="A572" s="3" t="str">
        <f>HYPERLINK("https://www.als.com/vans-shoe-classic-slip-on/p?skuId=226085", "https://www.als.com/vans-shoe-classic-slip-on/p?skuId=226085")</f>
        <v>https://www.als.com/vans-shoe-classic-slip-on/p?skuId=226085</v>
      </c>
      <c r="B572" s="3" t="str">
        <f>HYPERLINK("https://www.als.com/vans-shoe-classic-slip-on/p", "https://www.als.com/vans-shoe-classic-slip-on/p")</f>
        <v>https://www.als.com/vans-shoe-classic-slip-on/p</v>
      </c>
      <c r="C572" t="s">
        <v>430</v>
      </c>
      <c r="D572" t="s">
        <v>2021</v>
      </c>
      <c r="E572" s="3" t="str">
        <f>HYPERLINK("https://www.amazon.com/Vans-Classic-Slip-Leopard-Little/dp/B08RXWBXNC/ref=sr_1_38?keywords=Vans+Classic+Slip-On+Shoe&amp;qid=1695124089&amp;sr=8-38", "https://www.amazon.com/Vans-Classic-Slip-Leopard-Little/dp/B08RXWBXNC/ref=sr_1_38?keywords=Vans+Classic+Slip-On+Shoe&amp;qid=1695124089&amp;sr=8-38")</f>
        <v>https://www.amazon.com/Vans-Classic-Slip-Leopard-Little/dp/B08RXWBXNC/ref=sr_1_38?keywords=Vans+Classic+Slip-On+Shoe&amp;qid=1695124089&amp;sr=8-38</v>
      </c>
      <c r="F572" t="s">
        <v>2022</v>
      </c>
      <c r="G572" t="e">
        <f ca="1">IMAGE("https://alssports.vtexassets.com/arquivos/ids/1443076-800-auto?v=638292000890400000&amp;width=800&amp;height=auto&amp;aspect=true")</f>
        <v>#NAME?</v>
      </c>
      <c r="H572" t="e">
        <f ca="1">IMAGE("https://m.media-amazon.com/images/I/61ik9RYoboL._AC_UL320_.jpg")</f>
        <v>#NAME?</v>
      </c>
      <c r="I572" t="s">
        <v>169</v>
      </c>
      <c r="J572">
        <v>45</v>
      </c>
      <c r="K572" s="2" t="s">
        <v>2020</v>
      </c>
      <c r="L572">
        <v>4.5</v>
      </c>
      <c r="M572">
        <v>998</v>
      </c>
      <c r="O572" t="s">
        <v>33</v>
      </c>
      <c r="P572" t="s">
        <v>26</v>
      </c>
      <c r="Q572" t="s">
        <v>434</v>
      </c>
    </row>
    <row r="573" spans="1:17" ht="15.75" x14ac:dyDescent="0.25">
      <c r="A573" s="3" t="str">
        <f>HYPERLINK("https://www.als.com/chaco-m-sandal-zcloud/p?skuId=932120", "https://www.als.com/chaco-m-sandal-zcloud/p?skuId=932120")</f>
        <v>https://www.als.com/chaco-m-sandal-zcloud/p?skuId=932120</v>
      </c>
      <c r="B573" s="3" t="str">
        <f>HYPERLINK("https://www.als.com/chaco-m-sandal-zcloud/p", "https://www.als.com/chaco-m-sandal-zcloud/p")</f>
        <v>https://www.als.com/chaco-m-sandal-zcloud/p</v>
      </c>
      <c r="C573" t="s">
        <v>694</v>
      </c>
      <c r="D573" t="s">
        <v>2023</v>
      </c>
      <c r="E573" s="3" t="str">
        <f>HYPERLINK("https://www.amazon.com/Chaco-Mens-Zvolv-Sandal-Black/dp/B00KXAEIGO/ref=sr_1_17?keywords=Chaco+Z%2FCloud+Sandal+-+Mens&amp;qid=1695124430&amp;sr=8-17", "https://www.amazon.com/Chaco-Mens-Zvolv-Sandal-Black/dp/B00KXAEIGO/ref=sr_1_17?keywords=Chaco+Z%2FCloud+Sandal+-+Mens&amp;qid=1695124430&amp;sr=8-17")</f>
        <v>https://www.amazon.com/Chaco-Mens-Zvolv-Sandal-Black/dp/B00KXAEIGO/ref=sr_1_17?keywords=Chaco+Z%2FCloud+Sandal+-+Mens&amp;qid=1695124430&amp;sr=8-17</v>
      </c>
      <c r="F573" t="s">
        <v>2024</v>
      </c>
      <c r="G573" t="e">
        <f ca="1">IMAGE("https://alssports.vtexassets.com/arquivos/ids/1082383-800-auto?v=637913737461500000&amp;width=800&amp;height=auto&amp;aspect=true")</f>
        <v>#NAME?</v>
      </c>
      <c r="H573" t="e">
        <f ca="1">IMAGE("https://m.media-amazon.com/images/I/71ZkfOt8yxL._AC_UL320_.jpg")</f>
        <v>#NAME?</v>
      </c>
      <c r="I573" t="s">
        <v>269</v>
      </c>
      <c r="J573">
        <v>78.72</v>
      </c>
      <c r="K573" s="2" t="s">
        <v>2025</v>
      </c>
      <c r="L573">
        <v>4.5</v>
      </c>
      <c r="M573">
        <v>696</v>
      </c>
      <c r="O573" t="s">
        <v>33</v>
      </c>
      <c r="P573" t="s">
        <v>26</v>
      </c>
      <c r="Q573" t="s">
        <v>697</v>
      </c>
    </row>
    <row r="574" spans="1:17" ht="15.75" x14ac:dyDescent="0.25">
      <c r="A574" s="3" t="str">
        <f>HYPERLINK("https://www.als.com/fox-helmet-proframe-rs/p?skuId=599903", "https://www.als.com/fox-helmet-proframe-rs/p?skuId=599903")</f>
        <v>https://www.als.com/fox-helmet-proframe-rs/p?skuId=599903</v>
      </c>
      <c r="B574" s="3" t="str">
        <f>HYPERLINK("https://www.als.com/fox-helmet-proframe-rs/p", "https://www.als.com/fox-helmet-proframe-rs/p")</f>
        <v>https://www.als.com/fox-helmet-proframe-rs/p</v>
      </c>
      <c r="C574" t="s">
        <v>2026</v>
      </c>
      <c r="D574" t="s">
        <v>2027</v>
      </c>
      <c r="E574" s="3" t="str">
        <f>HYPERLINK("https://www.amazon.com/Fox-Racing-29596-008-PROFRAME-Mountain/dp/B0988CDTRJ/ref=sr_1_35?keywords=Fox+Racing+Proframe+RS+Helmet&amp;qid=1695124415&amp;sr=8-35", "https://www.amazon.com/Fox-Racing-29596-008-PROFRAME-Mountain/dp/B0988CDTRJ/ref=sr_1_35?keywords=Fox+Racing+Proframe+RS+Helmet&amp;qid=1695124415&amp;sr=8-35")</f>
        <v>https://www.amazon.com/Fox-Racing-29596-008-PROFRAME-Mountain/dp/B0988CDTRJ/ref=sr_1_35?keywords=Fox+Racing+Proframe+RS+Helmet&amp;qid=1695124415&amp;sr=8-35</v>
      </c>
      <c r="F574" t="s">
        <v>2028</v>
      </c>
      <c r="G574" t="e">
        <f ca="1">IMAGE("https://alssports.vtexassets.com/arquivos/ids/1279583-800-auto?v=638156298149200000&amp;width=800&amp;height=auto&amp;aspect=true")</f>
        <v>#NAME?</v>
      </c>
      <c r="H574" t="e">
        <f ca="1">IMAGE("https://m.media-amazon.com/images/I/713uDzKDf9L._AC_UL320_.jpg")</f>
        <v>#NAME?</v>
      </c>
      <c r="I574" t="s">
        <v>2029</v>
      </c>
      <c r="J574">
        <v>269.95</v>
      </c>
      <c r="K574" s="2" t="s">
        <v>2030</v>
      </c>
      <c r="L574">
        <v>5</v>
      </c>
      <c r="M574">
        <v>3</v>
      </c>
      <c r="O574" t="s">
        <v>33</v>
      </c>
      <c r="P574" t="s">
        <v>26</v>
      </c>
      <c r="Q574" t="s">
        <v>2031</v>
      </c>
    </row>
    <row r="575" spans="1:17" ht="15.75" x14ac:dyDescent="0.25">
      <c r="A575" s="3" t="str">
        <f>HYPERLINK("https://www.als.com/seasum-dry-bag-ultra-sil/p?skuId=1284260", "https://www.als.com/seasum-dry-bag-ultra-sil/p?skuId=1284260")</f>
        <v>https://www.als.com/seasum-dry-bag-ultra-sil/p?skuId=1284260</v>
      </c>
      <c r="B575" s="3" t="str">
        <f>HYPERLINK("https://www.als.com/seasum-dry-bag-ultra-sil/p", "https://www.als.com/seasum-dry-bag-ultra-sil/p")</f>
        <v>https://www.als.com/seasum-dry-bag-ultra-sil/p</v>
      </c>
      <c r="C575" t="s">
        <v>1515</v>
      </c>
      <c r="D575" t="s">
        <v>2032</v>
      </c>
      <c r="E575" s="3" t="str">
        <f>HYPERLINK("https://www.amazon.com/Sea-Summit-eVent-Compression-Small/dp/B000NQDH2Y/ref=sr_1_26?keywords=Sea+to+Summit+Ultra-Sil+Dry+Bag&amp;qid=1695124478&amp;sr=8-26", "https://www.amazon.com/Sea-Summit-eVent-Compression-Small/dp/B000NQDH2Y/ref=sr_1_26?keywords=Sea+to+Summit+Ultra-Sil+Dry+Bag&amp;qid=1695124478&amp;sr=8-26")</f>
        <v>https://www.amazon.com/Sea-Summit-eVent-Compression-Small/dp/B000NQDH2Y/ref=sr_1_26?keywords=Sea+to+Summit+Ultra-Sil+Dry+Bag&amp;qid=1695124478&amp;sr=8-26</v>
      </c>
      <c r="F575" t="s">
        <v>2033</v>
      </c>
      <c r="G575" t="e">
        <f ca="1">IMAGE("https://alssports.vtexassets.com/arquivos/ids/1257254-800-auto?v=638134633277170000&amp;width=800&amp;height=auto&amp;aspect=true")</f>
        <v>#NAME?</v>
      </c>
      <c r="H575" t="e">
        <f ca="1">IMAGE("https://m.media-amazon.com/images/I/612ApjuYi6L._AC_UL320_.jpg")</f>
        <v>#NAME?</v>
      </c>
      <c r="I575" t="s">
        <v>140</v>
      </c>
      <c r="J575">
        <v>29.96</v>
      </c>
      <c r="K575" s="2" t="s">
        <v>2034</v>
      </c>
      <c r="L575">
        <v>4.8</v>
      </c>
      <c r="M575">
        <v>1358</v>
      </c>
      <c r="O575" t="s">
        <v>26</v>
      </c>
      <c r="P575" t="s">
        <v>26</v>
      </c>
      <c r="Q575" t="s">
        <v>1519</v>
      </c>
    </row>
    <row r="576" spans="1:17" ht="15.75" x14ac:dyDescent="0.25">
      <c r="A576" s="3" t="str">
        <f>HYPERLINK("https://www.als.com/hurley-boardshort-one-and-only-solid/p?skuId=1333862", "https://www.als.com/hurley-boardshort-one-and-only-solid/p?skuId=1333862")</f>
        <v>https://www.als.com/hurley-boardshort-one-and-only-solid/p?skuId=1333862</v>
      </c>
      <c r="B576" s="3" t="str">
        <f>HYPERLINK("https://www.als.com/hurley-boardshort-one-and-only-solid/p", "https://www.als.com/hurley-boardshort-one-and-only-solid/p")</f>
        <v>https://www.als.com/hurley-boardshort-one-and-only-solid/p</v>
      </c>
      <c r="C576" t="s">
        <v>305</v>
      </c>
      <c r="D576" t="s">
        <v>2035</v>
      </c>
      <c r="E576" s="3" t="str">
        <f>HYPERLINK("https://www.amazon.com/Hurley-Phantom-Solid-Board-Short/dp/B08RHBQ58D/ref=sr_1_2?keywords=Hurley+One+And+Only+Solid+Boardshort+-+Men%27s&amp;qid=1695124435&amp;sr=8-2", "https://www.amazon.com/Hurley-Phantom-Solid-Board-Short/dp/B08RHBQ58D/ref=sr_1_2?keywords=Hurley+One+And+Only+Solid+Boardshort+-+Men%27s&amp;qid=1695124435&amp;sr=8-2")</f>
        <v>https://www.amazon.com/Hurley-Phantom-Solid-Board-Short/dp/B08RHBQ58D/ref=sr_1_2?keywords=Hurley+One+And+Only+Solid+Boardshort+-+Men%27s&amp;qid=1695124435&amp;sr=8-2</v>
      </c>
      <c r="F576" t="s">
        <v>2036</v>
      </c>
      <c r="G576" t="e">
        <f ca="1">IMAGE("https://alssports.vtexassets.com/arquivos/ids/1302714-800-auto?v=638180324007330000&amp;width=800&amp;height=auto&amp;aspect=true")</f>
        <v>#NAME?</v>
      </c>
      <c r="H576" t="e">
        <f ca="1">IMAGE("https://m.media-amazon.com/images/I/81HrBmQ3i2S._MCnd_AC_UL320_.jpg")</f>
        <v>#NAME?</v>
      </c>
      <c r="I576" t="s">
        <v>211</v>
      </c>
      <c r="J576">
        <v>29.99</v>
      </c>
      <c r="K576" s="2" t="s">
        <v>2037</v>
      </c>
      <c r="L576">
        <v>4.5999999999999996</v>
      </c>
      <c r="M576">
        <v>1474</v>
      </c>
      <c r="O576" t="s">
        <v>33</v>
      </c>
      <c r="P576" t="s">
        <v>26</v>
      </c>
      <c r="Q576" t="s">
        <v>308</v>
      </c>
    </row>
    <row r="577" spans="1:17" ht="15.75" x14ac:dyDescent="0.25">
      <c r="A577" s="3" t="str">
        <f>HYPERLINK("https://www.als.com/seasum-dry-bag-ultra-sil/p?skuId=1284260", "https://www.als.com/seasum-dry-bag-ultra-sil/p?skuId=1284260")</f>
        <v>https://www.als.com/seasum-dry-bag-ultra-sil/p?skuId=1284260</v>
      </c>
      <c r="B577" s="3" t="str">
        <f>HYPERLINK("https://www.als.com/seasum-dry-bag-ultra-sil/p", "https://www.als.com/seasum-dry-bag-ultra-sil/p")</f>
        <v>https://www.als.com/seasum-dry-bag-ultra-sil/p</v>
      </c>
      <c r="C577" t="s">
        <v>1515</v>
      </c>
      <c r="D577" t="s">
        <v>2038</v>
      </c>
      <c r="E577" s="3" t="str">
        <f>HYPERLINK("https://www.amazon.com/Sea-Summit-Ultra-Sil-Ultralight-Waterproof/dp/B0BXDTYY24/ref=sr_1_3?keywords=Sea+to+Summit+Ultra-Sil+Dry+Bag&amp;qid=1695124478&amp;sr=8-3", "https://www.amazon.com/Sea-Summit-Ultra-Sil-Ultralight-Waterproof/dp/B0BXDTYY24/ref=sr_1_3?keywords=Sea+to+Summit+Ultra-Sil+Dry+Bag&amp;qid=1695124478&amp;sr=8-3")</f>
        <v>https://www.amazon.com/Sea-Summit-Ultra-Sil-Ultralight-Waterproof/dp/B0BXDTYY24/ref=sr_1_3?keywords=Sea+to+Summit+Ultra-Sil+Dry+Bag&amp;qid=1695124478&amp;sr=8-3</v>
      </c>
      <c r="F577" t="s">
        <v>2039</v>
      </c>
      <c r="G577" t="e">
        <f ca="1">IMAGE("https://alssports.vtexassets.com/arquivos/ids/1257254-800-auto?v=638134633277170000&amp;width=800&amp;height=auto&amp;aspect=true")</f>
        <v>#NAME?</v>
      </c>
      <c r="H577" t="e">
        <f ca="1">IMAGE("https://m.media-amazon.com/images/I/519unR5ShQL._AC_UL320_.jpg")</f>
        <v>#NAME?</v>
      </c>
      <c r="I577" t="s">
        <v>140</v>
      </c>
      <c r="J577">
        <v>29.95</v>
      </c>
      <c r="K577" s="2" t="s">
        <v>2037</v>
      </c>
      <c r="L577">
        <v>4.8</v>
      </c>
      <c r="M577">
        <v>35</v>
      </c>
      <c r="O577" t="s">
        <v>26</v>
      </c>
      <c r="P577" t="s">
        <v>26</v>
      </c>
      <c r="Q577" t="s">
        <v>1519</v>
      </c>
    </row>
    <row r="578" spans="1:17" ht="15.75" x14ac:dyDescent="0.25">
      <c r="A578" s="3" t="str">
        <f>HYPERLINK("https://www.als.com/asics-w-shoe-gel-kayano-29/p?skuId=1037742", "https://www.als.com/asics-w-shoe-gel-kayano-29/p?skuId=1037742")</f>
        <v>https://www.als.com/asics-w-shoe-gel-kayano-29/p?skuId=1037742</v>
      </c>
      <c r="B578" s="3" t="str">
        <f>HYPERLINK("https://www.als.com/asics-w-shoe-gel-kayano-29/p", "https://www.als.com/asics-w-shoe-gel-kayano-29/p")</f>
        <v>https://www.als.com/asics-w-shoe-gel-kayano-29/p</v>
      </c>
      <c r="C578" t="s">
        <v>851</v>
      </c>
      <c r="D578" t="s">
        <v>2040</v>
      </c>
      <c r="E578" s="3" t="str">
        <f>HYPERLINK("https://www.amazon.com/ASICS-Womens-Gel-Venture-Seashell-Running/dp/B071P4NV55/ref=sr_1_33?keywords=Asics+Gel-Kayano+29+Running+Shoe+-+Women%27s&amp;qid=1695124114&amp;sr=8-33", "https://www.amazon.com/ASICS-Womens-Gel-Venture-Seashell-Running/dp/B071P4NV55/ref=sr_1_33?keywords=Asics+Gel-Kayano+29+Running+Shoe+-+Women%27s&amp;qid=1695124114&amp;sr=8-33")</f>
        <v>https://www.amazon.com/ASICS-Womens-Gel-Venture-Seashell-Running/dp/B071P4NV55/ref=sr_1_33?keywords=Asics+Gel-Kayano+29+Running+Shoe+-+Women%27s&amp;qid=1695124114&amp;sr=8-33</v>
      </c>
      <c r="F578" t="s">
        <v>2041</v>
      </c>
      <c r="G578" t="e">
        <f ca="1">IMAGE("https://alssports.vtexassets.com/arquivos/ids/1127320-800-auto?v=637980202666000000&amp;width=800&amp;height=auto&amp;aspect=true")</f>
        <v>#NAME?</v>
      </c>
      <c r="H578" t="e">
        <f ca="1">IMAGE("https://m.media-amazon.com/images/I/81hTPSgMsFL._AC_UL320_.jpg")</f>
        <v>#NAME?</v>
      </c>
      <c r="I578" t="s">
        <v>674</v>
      </c>
      <c r="J578">
        <v>47.95</v>
      </c>
      <c r="K578" s="2" t="s">
        <v>2042</v>
      </c>
      <c r="L578">
        <v>4.5</v>
      </c>
      <c r="M578">
        <v>25083</v>
      </c>
      <c r="O578" t="s">
        <v>33</v>
      </c>
      <c r="P578" t="s">
        <v>88</v>
      </c>
      <c r="Q578" t="s">
        <v>854</v>
      </c>
    </row>
    <row r="579" spans="1:17" ht="15.75" x14ac:dyDescent="0.25">
      <c r="A579" s="3" t="str">
        <f>HYPERLINK("https://www.als.com/reding-boot-benchmark---sticky-rubber/p?skuId=575133", "https://www.als.com/reding-boot-benchmark---sticky-rubber/p?skuId=575133")</f>
        <v>https://www.als.com/reding-boot-benchmark---sticky-rubber/p?skuId=575133</v>
      </c>
      <c r="B579" s="3" t="str">
        <f>HYPERLINK("https://www.als.com/reding-boot-benchmark---sticky-rubber/p", "https://www.als.com/reding-boot-benchmark---sticky-rubber/p")</f>
        <v>https://www.als.com/reding-boot-benchmark---sticky-rubber/p</v>
      </c>
      <c r="C579" t="s">
        <v>745</v>
      </c>
      <c r="D579" t="s">
        <v>2043</v>
      </c>
      <c r="E579" s="3" t="str">
        <f>HYPERLINK("https://www.amazon.com/Redington-Crosswater-Youth-Sticky-Rubber/dp/B014I49TS2/ref=sr_1_17?keywords=Redington+Benchmark+Wading+Boot&amp;qid=1695124429&amp;sr=8-17", "https://www.amazon.com/Redington-Crosswater-Youth-Sticky-Rubber/dp/B014I49TS2/ref=sr_1_17?keywords=Redington+Benchmark+Wading+Boot&amp;qid=1695124429&amp;sr=8-17")</f>
        <v>https://www.amazon.com/Redington-Crosswater-Youth-Sticky-Rubber/dp/B014I49TS2/ref=sr_1_17?keywords=Redington+Benchmark+Wading+Boot&amp;qid=1695124429&amp;sr=8-17</v>
      </c>
      <c r="F579" t="s">
        <v>2044</v>
      </c>
      <c r="G579" t="e">
        <f ca="1">IMAGE("https://alssports.vtexassets.com/arquivos/ids/363994-800-auto?v=637200010729430000&amp;width=800&amp;height=auto&amp;aspect=true")</f>
        <v>#NAME?</v>
      </c>
      <c r="H579" t="e">
        <f ca="1">IMAGE("https://m.media-amazon.com/images/I/61goFwCbJNL._AC_UL320_.jpg")</f>
        <v>#NAME?</v>
      </c>
      <c r="I579" t="s">
        <v>639</v>
      </c>
      <c r="J579">
        <v>89.75</v>
      </c>
      <c r="K579" s="2" t="s">
        <v>2045</v>
      </c>
      <c r="L579">
        <v>4.2</v>
      </c>
      <c r="M579">
        <v>9</v>
      </c>
      <c r="O579" t="s">
        <v>33</v>
      </c>
      <c r="P579" t="s">
        <v>26</v>
      </c>
      <c r="Q579" t="s">
        <v>749</v>
      </c>
    </row>
    <row r="580" spans="1:17" ht="15.75" x14ac:dyDescent="0.25">
      <c r="A580" s="3" t="str">
        <f>HYPERLINK("https://www.als.com/pflueg-reel-supreme-xt-spinning/p?skuId=943388", "https://www.als.com/pflueg-reel-supreme-xt-spinning/p?skuId=943388")</f>
        <v>https://www.als.com/pflueg-reel-supreme-xt-spinning/p?skuId=943388</v>
      </c>
      <c r="B580" s="3" t="str">
        <f>HYPERLINK("https://www.als.com/pflueg-reel-supreme-xt-spinning/p", "https://www.als.com/pflueg-reel-supreme-xt-spinning/p")</f>
        <v>https://www.als.com/pflueg-reel-supreme-xt-spinning/p</v>
      </c>
      <c r="C580" t="s">
        <v>1408</v>
      </c>
      <c r="D580" t="s">
        <v>2046</v>
      </c>
      <c r="E580" s="3" t="str">
        <f>HYPERLINK("https://www.amazon.com/Pflueger-Supreme-Spinning-Fishing-Reel/dp/B096G6FCP5/ref=sr_1_1?keywords=Pflueger+Supreme+XT+Spinning+Reel&amp;qid=1695124336&amp;sr=8-1", "https://www.amazon.com/Pflueger-Supreme-Spinning-Fishing-Reel/dp/B096G6FCP5/ref=sr_1_1?keywords=Pflueger+Supreme+XT+Spinning+Reel&amp;qid=1695124336&amp;sr=8-1")</f>
        <v>https://www.amazon.com/Pflueger-Supreme-Spinning-Fishing-Reel/dp/B096G6FCP5/ref=sr_1_1?keywords=Pflueger+Supreme+XT+Spinning+Reel&amp;qid=1695124336&amp;sr=8-1</v>
      </c>
      <c r="F580" t="s">
        <v>2047</v>
      </c>
      <c r="G580" t="e">
        <f ca="1">IMAGE("https://alssports.vtexassets.com/arquivos/ids/1053300-800-auto?v=637867095703370000&amp;width=800&amp;height=auto&amp;aspect=true")</f>
        <v>#NAME?</v>
      </c>
      <c r="H580" t="e">
        <f ca="1">IMAGE("https://m.media-amazon.com/images/I/81K5nH34mrL._AC_UY218_.jpg")</f>
        <v>#NAME?</v>
      </c>
      <c r="I580" t="s">
        <v>562</v>
      </c>
      <c r="J580">
        <v>126.9</v>
      </c>
      <c r="K580" s="2" t="s">
        <v>2048</v>
      </c>
      <c r="L580">
        <v>4.8</v>
      </c>
      <c r="M580">
        <v>15</v>
      </c>
      <c r="O580" t="s">
        <v>33</v>
      </c>
      <c r="P580" t="s">
        <v>26</v>
      </c>
      <c r="Q580" t="s">
        <v>1412</v>
      </c>
    </row>
    <row r="581" spans="1:17" ht="15.75" x14ac:dyDescent="0.25">
      <c r="A581" s="3" t="str">
        <f>HYPERLINK("https://www.als.com/columbia-double-trouble-reversible-jacket-toddler-124814/p?skuId=1245039", "https://www.als.com/columbia-double-trouble-reversible-jacket-toddler-124814/p?skuId=1245039")</f>
        <v>https://www.als.com/columbia-double-trouble-reversible-jacket-toddler-124814/p?skuId=1245039</v>
      </c>
      <c r="B581" s="3" t="str">
        <f>HYPERLINK("https://www.als.com/columbia-double-trouble-reversible-jacket-toddler-124814/p", "https://www.als.com/columbia-double-trouble-reversible-jacket-toddler-124814/p")</f>
        <v>https://www.als.com/columbia-double-trouble-reversible-jacket-toddler-124814/p</v>
      </c>
      <c r="C581" t="s">
        <v>822</v>
      </c>
      <c r="D581" t="s">
        <v>2049</v>
      </c>
      <c r="E581" s="3" t="str">
        <f>HYPERLINK("https://www.amazon.com/Columbia-Double-Trouble-Jacket-Collegiate/dp/B0814BN15P/ref=sr_1_3?keywords=Columbia+Double+Trouble+Reversible+Jacket+-+Toddler&amp;qid=1695124350&amp;sr=8-3", "https://www.amazon.com/Columbia-Double-Trouble-Jacket-Collegiate/dp/B0814BN15P/ref=sr_1_3?keywords=Columbia+Double+Trouble+Reversible+Jacket+-+Toddler&amp;qid=1695124350&amp;sr=8-3")</f>
        <v>https://www.amazon.com/Columbia-Double-Trouble-Jacket-Collegiate/dp/B0814BN15P/ref=sr_1_3?keywords=Columbia+Double+Trouble+Reversible+Jacket+-+Toddler&amp;qid=1695124350&amp;sr=8-3</v>
      </c>
      <c r="F581" t="s">
        <v>2050</v>
      </c>
      <c r="G581" t="e">
        <f ca="1">IMAGE("https://alssports.vtexassets.com/arquivos/ids/1182239-800-auto?v=638052779051930000&amp;width=800&amp;height=auto&amp;aspect=true")</f>
        <v>#NAME?</v>
      </c>
      <c r="H581" t="e">
        <f ca="1">IMAGE("https://m.media-amazon.com/images/I/61B5Q4SgjJL._AC_UL320_.jpg")</f>
        <v>#NAME?</v>
      </c>
      <c r="I581" t="s">
        <v>825</v>
      </c>
      <c r="J581">
        <v>41.76</v>
      </c>
      <c r="K581" s="2" t="s">
        <v>2051</v>
      </c>
      <c r="L581">
        <v>5</v>
      </c>
      <c r="M581">
        <v>13</v>
      </c>
      <c r="O581" t="s">
        <v>33</v>
      </c>
      <c r="P581" t="s">
        <v>827</v>
      </c>
      <c r="Q581" t="s">
        <v>828</v>
      </c>
    </row>
    <row r="582" spans="1:17" ht="15.75" x14ac:dyDescent="0.25">
      <c r="A582" s="3" t="str">
        <f>HYPERLINK("https://www.als.com/hurley-boardshort-one-and-only-solid/p?skuId=1333862", "https://www.als.com/hurley-boardshort-one-and-only-solid/p?skuId=1333862")</f>
        <v>https://www.als.com/hurley-boardshort-one-and-only-solid/p?skuId=1333862</v>
      </c>
      <c r="B582" s="3" t="str">
        <f>HYPERLINK("https://www.als.com/hurley-boardshort-one-and-only-solid/p", "https://www.als.com/hurley-boardshort-one-and-only-solid/p")</f>
        <v>https://www.als.com/hurley-boardshort-one-and-only-solid/p</v>
      </c>
      <c r="C582" t="s">
        <v>305</v>
      </c>
      <c r="D582" t="s">
        <v>2052</v>
      </c>
      <c r="E582" s="3" t="str">
        <f>HYPERLINK("https://www.amazon.com/Hurley-Mens-Only-Boardshorts-Cool/dp/B074PVQVJW/ref=sr_1_9?keywords=Hurley+One+And+Only+Solid+Boardshort+-+Men%27s&amp;qid=1695124435&amp;sr=8-9", "https://www.amazon.com/Hurley-Mens-Only-Boardshorts-Cool/dp/B074PVQVJW/ref=sr_1_9?keywords=Hurley+One+And+Only+Solid+Boardshort+-+Men%27s&amp;qid=1695124435&amp;sr=8-9")</f>
        <v>https://www.amazon.com/Hurley-Mens-Only-Boardshorts-Cool/dp/B074PVQVJW/ref=sr_1_9?keywords=Hurley+One+And+Only+Solid+Boardshort+-+Men%27s&amp;qid=1695124435&amp;sr=8-9</v>
      </c>
      <c r="F582" t="s">
        <v>2053</v>
      </c>
      <c r="G582" t="e">
        <f ca="1">IMAGE("https://alssports.vtexassets.com/arquivos/ids/1302714-800-auto?v=638180324007330000&amp;width=800&amp;height=auto&amp;aspect=true")</f>
        <v>#NAME?</v>
      </c>
      <c r="H582" t="e">
        <f ca="1">IMAGE("https://m.media-amazon.com/images/I/6135a2a-2tL._MCnd_AC_UL320_.jpg")</f>
        <v>#NAME?</v>
      </c>
      <c r="I582" t="s">
        <v>211</v>
      </c>
      <c r="J582">
        <v>29.82</v>
      </c>
      <c r="K582" s="2" t="s">
        <v>2054</v>
      </c>
      <c r="L582">
        <v>4.5</v>
      </c>
      <c r="M582">
        <v>2641</v>
      </c>
      <c r="O582" t="s">
        <v>33</v>
      </c>
      <c r="P582" t="s">
        <v>26</v>
      </c>
      <c r="Q582" t="s">
        <v>308</v>
      </c>
    </row>
    <row r="583" spans="1:17" ht="15.75" x14ac:dyDescent="0.25">
      <c r="A583" s="3" t="str">
        <f>HYPERLINK("https://www.als.com/keen-m-koven-mid-wp/p?skuId=1240445", "https://www.als.com/keen-m-koven-mid-wp/p?skuId=1240445")</f>
        <v>https://www.als.com/keen-m-koven-mid-wp/p?skuId=1240445</v>
      </c>
      <c r="B583" s="3" t="str">
        <f>HYPERLINK("https://www.als.com/keen-m-koven-mid-wp/p", "https://www.als.com/keen-m-koven-mid-wp/p")</f>
        <v>https://www.als.com/keen-m-koven-mid-wp/p</v>
      </c>
      <c r="C583" t="s">
        <v>282</v>
      </c>
      <c r="D583" t="s">
        <v>2055</v>
      </c>
      <c r="E583" s="3" t="str">
        <f>HYPERLINK("https://www.amazon.com/KEEN-Voyageur-Hiking-Raven-Tawny/dp/B008J5F9H2/ref=sr_1_5?keywords=KEEN+Koven+Mid+Waterproof+Hiking+Boot+-+Men%27s&amp;qid=1695124140&amp;sr=8-5", "https://www.amazon.com/KEEN-Voyageur-Hiking-Raven-Tawny/dp/B008J5F9H2/ref=sr_1_5?keywords=KEEN+Koven+Mid+Waterproof+Hiking+Boot+-+Men%27s&amp;qid=1695124140&amp;sr=8-5")</f>
        <v>https://www.amazon.com/KEEN-Voyageur-Hiking-Raven-Tawny/dp/B008J5F9H2/ref=sr_1_5?keywords=KEEN+Koven+Mid+Waterproof+Hiking+Boot+-+Men%27s&amp;qid=1695124140&amp;sr=8-5</v>
      </c>
      <c r="F583" t="s">
        <v>2056</v>
      </c>
      <c r="G583" t="e">
        <f ca="1">IMAGE("https://alssports.vtexassets.com/arquivos/ids/1363221-800-auto?v=638236488805200000&amp;width=800&amp;height=auto&amp;aspect=true")</f>
        <v>#NAME?</v>
      </c>
      <c r="H583" t="e">
        <f ca="1">IMAGE("https://m.media-amazon.com/images/I/81Tin6mtWVL._AC_UL320_.jpg")</f>
        <v>#NAME?</v>
      </c>
      <c r="I583" t="s">
        <v>285</v>
      </c>
      <c r="J583">
        <v>104.26</v>
      </c>
      <c r="K583" s="2" t="s">
        <v>2057</v>
      </c>
      <c r="L583">
        <v>4.4000000000000004</v>
      </c>
      <c r="M583">
        <v>1534</v>
      </c>
      <c r="O583" t="s">
        <v>33</v>
      </c>
      <c r="P583" t="s">
        <v>26</v>
      </c>
      <c r="Q583" t="s">
        <v>287</v>
      </c>
    </row>
    <row r="584" spans="1:17" ht="15.75" x14ac:dyDescent="0.25">
      <c r="A584" s="3" t="str">
        <f>HYPERLINK("https://www.als.com/under-ua-drive-pant/p?skuId=997492", "https://www.als.com/under-ua-drive-pant/p?skuId=997492")</f>
        <v>https://www.als.com/under-ua-drive-pant/p?skuId=997492</v>
      </c>
      <c r="B584" s="3" t="str">
        <f>HYPERLINK("https://www.als.com/under-ua-drive-pant/p", "https://www.als.com/under-ua-drive-pant/p")</f>
        <v>https://www.als.com/under-ua-drive-pant/p</v>
      </c>
      <c r="C584" t="s">
        <v>452</v>
      </c>
      <c r="D584" t="s">
        <v>2058</v>
      </c>
      <c r="E584" s="3" t="str">
        <f>HYPERLINK("https://www.amazon.com/Under-Armour-Challenger-Training-Midnight/dp/B08LNY82VV/ref=sr_1_15?keywords=Under+Armour+Drive+Pant+-+Men%27s&amp;qid=1695124299&amp;sr=8-15", "https://www.amazon.com/Under-Armour-Challenger-Training-Midnight/dp/B08LNY82VV/ref=sr_1_15?keywords=Under+Armour+Drive+Pant+-+Men%27s&amp;qid=1695124299&amp;sr=8-15")</f>
        <v>https://www.amazon.com/Under-Armour-Challenger-Training-Midnight/dp/B08LNY82VV/ref=sr_1_15?keywords=Under+Armour+Drive+Pant+-+Men%27s&amp;qid=1695124299&amp;sr=8-15</v>
      </c>
      <c r="F584" t="s">
        <v>2059</v>
      </c>
      <c r="G584" t="e">
        <f ca="1">IMAGE("https://alssports.vtexassets.com/arquivos/ids/1442508-800-auto?v=638291812057330000&amp;width=800&amp;height=auto&amp;aspect=true")</f>
        <v>#NAME?</v>
      </c>
      <c r="H584" t="e">
        <f ca="1">IMAGE("https://m.media-amazon.com/images/I/41pO-kG2ECL._AC_UL320_.jpg")</f>
        <v>#NAME?</v>
      </c>
      <c r="I584" t="s">
        <v>455</v>
      </c>
      <c r="J584">
        <v>37.97</v>
      </c>
      <c r="K584" s="2" t="s">
        <v>2060</v>
      </c>
      <c r="L584">
        <v>4.5</v>
      </c>
      <c r="M584">
        <v>1070</v>
      </c>
      <c r="O584" t="s">
        <v>26</v>
      </c>
      <c r="P584" t="s">
        <v>457</v>
      </c>
      <c r="Q584" t="s">
        <v>458</v>
      </c>
    </row>
    <row r="585" spans="1:17" ht="15.75" x14ac:dyDescent="0.25">
      <c r="A585" s="3" t="str">
        <f>HYPERLINK("https://www.als.com/demari-backpack-voodoo-xl/p?skuId=1409819", "https://www.als.com/demari-backpack-voodoo-xl/p?skuId=1409819")</f>
        <v>https://www.als.com/demari-backpack-voodoo-xl/p?skuId=1409819</v>
      </c>
      <c r="B585" s="3" t="str">
        <f>HYPERLINK("https://www.als.com/demari-backpack-voodoo-xl/p", "https://www.als.com/demari-backpack-voodoo-xl/p")</f>
        <v>https://www.als.com/demari-backpack-voodoo-xl/p</v>
      </c>
      <c r="C585" t="s">
        <v>2061</v>
      </c>
      <c r="D585" t="s">
        <v>2062</v>
      </c>
      <c r="E585" s="3" t="str">
        <f>HYPERLINK("https://www.amazon.com/DeMarini-Voodoo-Junior-Backpack-Orange/dp/B07VMV3134/ref=sr_1_5?keywords=DeMarini+Voodoo+XL+Backpack&amp;qid=1695124108&amp;sr=8-5", "https://www.amazon.com/DeMarini-Voodoo-Junior-Backpack-Orange/dp/B07VMV3134/ref=sr_1_5?keywords=DeMarini+Voodoo+XL+Backpack&amp;qid=1695124108&amp;sr=8-5")</f>
        <v>https://www.amazon.com/DeMarini-Voodoo-Junior-Backpack-Orange/dp/B07VMV3134/ref=sr_1_5?keywords=DeMarini+Voodoo+XL+Backpack&amp;qid=1695124108&amp;sr=8-5</v>
      </c>
      <c r="F585" t="s">
        <v>2063</v>
      </c>
      <c r="G585" t="e">
        <f ca="1">IMAGE("https://alssports.vtexassets.com/arquivos/ids/1391526-800-auto?v=638258303715130000&amp;width=800&amp;height=auto&amp;aspect=true")</f>
        <v>#NAME?</v>
      </c>
      <c r="H585" t="e">
        <f ca="1">IMAGE("https://m.media-amazon.com/images/I/81Hm6CIXKsL._AC_UL320_.jpg")</f>
        <v>#NAME?</v>
      </c>
      <c r="I585" t="s">
        <v>94</v>
      </c>
      <c r="J585">
        <v>29.76</v>
      </c>
      <c r="K585" s="2" t="s">
        <v>2064</v>
      </c>
      <c r="L585">
        <v>4.5</v>
      </c>
      <c r="M585">
        <v>493</v>
      </c>
      <c r="O585" t="s">
        <v>33</v>
      </c>
      <c r="P585" t="s">
        <v>928</v>
      </c>
      <c r="Q585" t="s">
        <v>2065</v>
      </c>
    </row>
    <row r="586" spans="1:17" ht="15.75" x14ac:dyDescent="0.25">
      <c r="A586" s="3" t="str">
        <f>HYPERLINK("https://www.als.com/mizuno-w-wave-sky-6/p?skuId=1262559", "https://www.als.com/mizuno-w-wave-sky-6/p?skuId=1262559")</f>
        <v>https://www.als.com/mizuno-w-wave-sky-6/p?skuId=1262559</v>
      </c>
      <c r="B586" s="3" t="str">
        <f>HYPERLINK("https://www.als.com/mizuno-w-wave-sky-6/p", "https://www.als.com/mizuno-w-wave-sky-6/p")</f>
        <v>https://www.als.com/mizuno-w-wave-sky-6/p</v>
      </c>
      <c r="C586" t="s">
        <v>200</v>
      </c>
      <c r="D586" t="s">
        <v>2066</v>
      </c>
      <c r="E586" s="3" t="str">
        <f>HYPERLINK("https://www.amazon.com/Mizuno-Creation-WAVEKNIT-Running-Lapis-Moroccan/dp/B07QTDN779/ref=sr_1_26?keywords=Mizuno+Wave+Sky+6+Running+Shoe+-+Women%27s&amp;qid=1695124449&amp;sr=8-26", "https://www.amazon.com/Mizuno-Creation-WAVEKNIT-Running-Lapis-Moroccan/dp/B07QTDN779/ref=sr_1_26?keywords=Mizuno+Wave+Sky+6+Running+Shoe+-+Women%27s&amp;qid=1695124449&amp;sr=8-26")</f>
        <v>https://www.amazon.com/Mizuno-Creation-WAVEKNIT-Running-Lapis-Moroccan/dp/B07QTDN779/ref=sr_1_26?keywords=Mizuno+Wave+Sky+6+Running+Shoe+-+Women%27s&amp;qid=1695124449&amp;sr=8-26</v>
      </c>
      <c r="F586" t="s">
        <v>2067</v>
      </c>
      <c r="G586" t="e">
        <f ca="1">IMAGE("https://alssports.vtexassets.com/arquivos/ids/1277387-800-auto?v=638152938174200000&amp;width=800&amp;height=auto&amp;aspect=true")</f>
        <v>#NAME?</v>
      </c>
      <c r="H586" t="e">
        <f ca="1">IMAGE("https://m.media-amazon.com/images/I/61IpIRMb-6L._AC_UL320_.jpg")</f>
        <v>#NAME?</v>
      </c>
      <c r="I586" t="s">
        <v>164</v>
      </c>
      <c r="J586">
        <v>126</v>
      </c>
      <c r="K586" s="2" t="s">
        <v>2068</v>
      </c>
      <c r="L586">
        <v>4.2</v>
      </c>
      <c r="M586">
        <v>286</v>
      </c>
      <c r="O586" t="s">
        <v>33</v>
      </c>
      <c r="P586" t="s">
        <v>191</v>
      </c>
      <c r="Q586" t="s">
        <v>203</v>
      </c>
    </row>
    <row r="587" spans="1:17" ht="15.75" x14ac:dyDescent="0.25">
      <c r="A587" s="3" t="str">
        <f>HYPERLINK("https://www.als.com/heydud-m-shoe-wally-braided/p?skuId=599445", "https://www.als.com/heydud-m-shoe-wally-braided/p?skuId=599445")</f>
        <v>https://www.als.com/heydud-m-shoe-wally-braided/p?skuId=599445</v>
      </c>
      <c r="B587" s="3" t="str">
        <f>HYPERLINK("https://www.als.com/heydud-m-shoe-wally-braided/p", "https://www.als.com/heydud-m-shoe-wally-braided/p")</f>
        <v>https://www.als.com/heydud-m-shoe-wally-braided/p</v>
      </c>
      <c r="C587" t="s">
        <v>506</v>
      </c>
      <c r="D587" t="s">
        <v>2069</v>
      </c>
      <c r="E587" s="3" t="str">
        <f>HYPERLINK("https://www.amazon.com/Hey-Dude-Braided-Comfortable-Light-Weight/dp/B0B9RVKLP1/ref=sr_1_2?keywords=Hey+Dude+Wally+Braided+Shoe+-+Mens&amp;qid=1695124451&amp;sr=8-2", "https://www.amazon.com/Hey-Dude-Braided-Comfortable-Light-Weight/dp/B0B9RVKLP1/ref=sr_1_2?keywords=Hey+Dude+Wally+Braided+Shoe+-+Mens&amp;qid=1695124451&amp;sr=8-2")</f>
        <v>https://www.amazon.com/Hey-Dude-Braided-Comfortable-Light-Weight/dp/B0B9RVKLP1/ref=sr_1_2?keywords=Hey+Dude+Wally+Braided+Shoe+-+Mens&amp;qid=1695124451&amp;sr=8-2</v>
      </c>
      <c r="F587" t="s">
        <v>2070</v>
      </c>
      <c r="G587" t="e">
        <f ca="1">IMAGE("https://alssports.vtexassets.com/arquivos/ids/1386107-800-auto?v=638254870959300000&amp;width=800&amp;height=auto&amp;aspect=true")</f>
        <v>#NAME?</v>
      </c>
      <c r="H587" t="e">
        <f ca="1">IMAGE("https://m.media-amazon.com/images/I/61JD0plvneL._AC_UL320_.jpg")</f>
        <v>#NAME?</v>
      </c>
      <c r="I587" t="s">
        <v>58</v>
      </c>
      <c r="J587">
        <v>48.09</v>
      </c>
      <c r="K587" s="2" t="s">
        <v>2071</v>
      </c>
      <c r="L587">
        <v>4.7</v>
      </c>
      <c r="M587">
        <v>90</v>
      </c>
      <c r="O587" t="s">
        <v>33</v>
      </c>
      <c r="P587" t="s">
        <v>26</v>
      </c>
      <c r="Q587" t="s">
        <v>507</v>
      </c>
    </row>
    <row r="588" spans="1:17" ht="15.75" x14ac:dyDescent="0.25">
      <c r="A588" s="3" t="str">
        <f>HYPERLINK("https://www.als.com/mizuno-w-wave-sky-6/p?skuId=1262559", "https://www.als.com/mizuno-w-wave-sky-6/p?skuId=1262559")</f>
        <v>https://www.als.com/mizuno-w-wave-sky-6/p?skuId=1262559</v>
      </c>
      <c r="B588" s="3" t="str">
        <f>HYPERLINK("https://www.als.com/mizuno-w-wave-sky-6/p", "https://www.als.com/mizuno-w-wave-sky-6/p")</f>
        <v>https://www.als.com/mizuno-w-wave-sky-6/p</v>
      </c>
      <c r="C588" t="s">
        <v>200</v>
      </c>
      <c r="D588" t="s">
        <v>2072</v>
      </c>
      <c r="E588" s="3" t="str">
        <f>HYPERLINK("https://www.amazon.com/Mizuno-Running-Womens-Enamel-Blue-White/dp/B09Z7DMXFW/ref=sr_1_1?keywords=Mizuno+Wave+Sky+6+Running+Shoe+-+Women%27s&amp;qid=1695124449&amp;sr=8-1", "https://www.amazon.com/Mizuno-Running-Womens-Enamel-Blue-White/dp/B09Z7DMXFW/ref=sr_1_1?keywords=Mizuno+Wave+Sky+6+Running+Shoe+-+Women%27s&amp;qid=1695124449&amp;sr=8-1")</f>
        <v>https://www.amazon.com/Mizuno-Running-Womens-Enamel-Blue-White/dp/B09Z7DMXFW/ref=sr_1_1?keywords=Mizuno+Wave+Sky+6+Running+Shoe+-+Women%27s&amp;qid=1695124449&amp;sr=8-1</v>
      </c>
      <c r="F588" t="s">
        <v>2073</v>
      </c>
      <c r="G588" t="e">
        <f ca="1">IMAGE("https://alssports.vtexassets.com/arquivos/ids/1277387-800-auto?v=638152938174200000&amp;width=800&amp;height=auto&amp;aspect=true")</f>
        <v>#NAME?</v>
      </c>
      <c r="H588" t="e">
        <f ca="1">IMAGE("https://m.media-amazon.com/images/I/81LY1JbhcYL._AC_UL320_.jpg")</f>
        <v>#NAME?</v>
      </c>
      <c r="I588" t="s">
        <v>164</v>
      </c>
      <c r="J588">
        <v>125.8</v>
      </c>
      <c r="K588" s="2" t="s">
        <v>2074</v>
      </c>
      <c r="L588">
        <v>4.4000000000000004</v>
      </c>
      <c r="M588">
        <v>30</v>
      </c>
      <c r="O588" t="s">
        <v>33</v>
      </c>
      <c r="P588" t="s">
        <v>191</v>
      </c>
      <c r="Q588" t="s">
        <v>203</v>
      </c>
    </row>
    <row r="589" spans="1:17" ht="15.75" x14ac:dyDescent="0.25">
      <c r="A589" s="3" t="str">
        <f>HYPERLINK("https://www.als.com/scient-line-amplitude-smooth-trout/p?skuId=481208", "https://www.als.com/scient-line-amplitude-smooth-trout/p?skuId=481208")</f>
        <v>https://www.als.com/scient-line-amplitude-smooth-trout/p?skuId=481208</v>
      </c>
      <c r="B589" s="3" t="str">
        <f>HYPERLINK("https://www.als.com/scient-line-amplitude-smooth-trout/p", "https://www.als.com/scient-line-amplitude-smooth-trout/p")</f>
        <v>https://www.als.com/scient-line-amplitude-smooth-trout/p</v>
      </c>
      <c r="C589" t="s">
        <v>29</v>
      </c>
      <c r="D589" t="s">
        <v>2075</v>
      </c>
      <c r="E589" s="3" t="str">
        <f>HYPERLINK("https://www.amazon.com/Scientific-Anglers-Trout-Taper-Tech/dp/B015YP5AK0/ref=sr_1_21?keywords=Scientific+Anglers+Amplitude+Smooth+Trout+Fly+Line&amp;qid=1695124414&amp;sr=8-21", "https://www.amazon.com/Scientific-Anglers-Trout-Taper-Tech/dp/B015YP5AK0/ref=sr_1_21?keywords=Scientific+Anglers+Amplitude+Smooth+Trout+Fly+Line&amp;qid=1695124414&amp;sr=8-21")</f>
        <v>https://www.amazon.com/Scientific-Anglers-Trout-Taper-Tech/dp/B015YP5AK0/ref=sr_1_21?keywords=Scientific+Anglers+Amplitude+Smooth+Trout+Fly+Line&amp;qid=1695124414&amp;sr=8-21</v>
      </c>
      <c r="F589" t="s">
        <v>2076</v>
      </c>
      <c r="G589" t="e">
        <f ca="1">IMAGE("https://alssports.vtexassets.com/arquivos/ids/1138376-800-auto?v=637993875297330000&amp;width=800&amp;height=auto&amp;aspect=true")</f>
        <v>#NAME?</v>
      </c>
      <c r="H589" t="e">
        <f ca="1">IMAGE("https://m.media-amazon.com/images/I/713vmcUSDrS._AC_UL320_.jpg")</f>
        <v>#NAME?</v>
      </c>
      <c r="I589" t="s">
        <v>32</v>
      </c>
      <c r="J589">
        <v>73.930000000000007</v>
      </c>
      <c r="K589" s="2" t="s">
        <v>2077</v>
      </c>
      <c r="L589">
        <v>4.2</v>
      </c>
      <c r="M589">
        <v>20</v>
      </c>
      <c r="O589" t="s">
        <v>33</v>
      </c>
      <c r="P589" t="s">
        <v>26</v>
      </c>
      <c r="Q589" t="s">
        <v>34</v>
      </c>
    </row>
    <row r="590" spans="1:17" ht="15.75" x14ac:dyDescent="0.25">
      <c r="A590" s="3" t="str">
        <f>HYPERLINK("https://www.als.com/adidas-cleat-x-speedportal3-ll-fg/p?skuId=1286289", "https://www.als.com/adidas-cleat-x-speedportal3-ll-fg/p?skuId=1286289")</f>
        <v>https://www.als.com/adidas-cleat-x-speedportal3-ll-fg/p?skuId=1286289</v>
      </c>
      <c r="B590" s="3" t="str">
        <f>HYPERLINK("https://www.als.com/adidas-cleat-x-speedportal3-ll-fg/p", "https://www.als.com/adidas-cleat-x-speedportal3-ll-fg/p")</f>
        <v>https://www.als.com/adidas-cleat-x-speedportal3-ll-fg/p</v>
      </c>
      <c r="C590" t="s">
        <v>2078</v>
      </c>
      <c r="D590" t="s">
        <v>1039</v>
      </c>
      <c r="E590" s="3" t="str">
        <f>HYPERLINK("https://www.amazon.com/adidas-Goletto-Ground-Soccer-Unisex/dp/B093RWCRX4/ref=sr_1_24?keywords=adidas+X+Speedportal.3+Laceless+Firm+Ground+Soccer+Cleat&amp;qid=1695124128&amp;sr=8-24", "https://www.amazon.com/adidas-Goletto-Ground-Soccer-Unisex/dp/B093RWCRX4/ref=sr_1_24?keywords=adidas+X+Speedportal.3+Laceless+Firm+Ground+Soccer+Cleat&amp;qid=1695124128&amp;sr=8-24")</f>
        <v>https://www.amazon.com/adidas-Goletto-Ground-Soccer-Unisex/dp/B093RWCRX4/ref=sr_1_24?keywords=adidas+X+Speedportal.3+Laceless+Firm+Ground+Soccer+Cleat&amp;qid=1695124128&amp;sr=8-24</v>
      </c>
      <c r="F590" t="s">
        <v>2079</v>
      </c>
      <c r="G590" t="e">
        <f ca="1">IMAGE("https://alssports.vtexassets.com/arquivos/ids/1308717-800-auto?v=638191604031870000&amp;width=800&amp;height=auto&amp;aspect=true")</f>
        <v>#NAME?</v>
      </c>
      <c r="H590" t="e">
        <f ca="1">IMAGE("https://m.media-amazon.com/images/I/61zH9V4VFDL._AC_UL320_.jpg")</f>
        <v>#NAME?</v>
      </c>
      <c r="I590" t="s">
        <v>370</v>
      </c>
      <c r="J590">
        <v>29.55</v>
      </c>
      <c r="K590" s="2" t="s">
        <v>2080</v>
      </c>
      <c r="L590">
        <v>4.7</v>
      </c>
      <c r="M590">
        <v>6522</v>
      </c>
      <c r="O590" t="s">
        <v>33</v>
      </c>
      <c r="P590" t="s">
        <v>32</v>
      </c>
      <c r="Q590" t="s">
        <v>2081</v>
      </c>
    </row>
    <row r="591" spans="1:17" ht="15.75" x14ac:dyDescent="0.25">
      <c r="A591" s="3" t="str">
        <f>HYPERLINK("https://www.als.com/reef-w-sandals-cushion-vista-hi/p?skuId=1280794", "https://www.als.com/reef-w-sandals-cushion-vista-hi/p?skuId=1280794")</f>
        <v>https://www.als.com/reef-w-sandals-cushion-vista-hi/p?skuId=1280794</v>
      </c>
      <c r="B591" s="3" t="str">
        <f>HYPERLINK("https://www.als.com/reef-w-sandals-cushion-vista-hi/p", "https://www.als.com/reef-w-sandals-cushion-vista-hi/p")</f>
        <v>https://www.als.com/reef-w-sandals-cushion-vista-hi/p</v>
      </c>
      <c r="C591" t="s">
        <v>960</v>
      </c>
      <c r="D591" t="s">
        <v>2082</v>
      </c>
      <c r="E591" s="3" t="str">
        <f>HYPERLINK("https://www.amazon.com/Reef-Womens-Cushion-Court-Flip-Flop/dp/B0B7TR349S/ref=sr_1_46?keywords=REEF+Cushion+Vista+HI+Slide+-+Women%27s&amp;qid=1695124489&amp;sr=8-46", "https://www.amazon.com/Reef-Womens-Cushion-Court-Flip-Flop/dp/B0B7TR349S/ref=sr_1_46?keywords=REEF+Cushion+Vista+HI+Slide+-+Women%27s&amp;qid=1695124489&amp;sr=8-46")</f>
        <v>https://www.amazon.com/Reef-Womens-Cushion-Court-Flip-Flop/dp/B0B7TR349S/ref=sr_1_46?keywords=REEF+Cushion+Vista+HI+Slide+-+Women%27s&amp;qid=1695124489&amp;sr=8-46</v>
      </c>
      <c r="F591" t="s">
        <v>2083</v>
      </c>
      <c r="G591" t="e">
        <f ca="1">IMAGE("https://alssports.vtexassets.com/arquivos/ids/1252015-800-auto?v=638131199167330000&amp;width=800&amp;height=auto&amp;aspect=true")</f>
        <v>#NAME?</v>
      </c>
      <c r="H591" t="e">
        <f ca="1">IMAGE("https://m.media-amazon.com/images/I/51xLFUkKJ1L._AC_UL320_.jpg")</f>
        <v>#NAME?</v>
      </c>
      <c r="I591" t="s">
        <v>58</v>
      </c>
      <c r="J591">
        <v>47.99</v>
      </c>
      <c r="K591" s="2" t="s">
        <v>2084</v>
      </c>
      <c r="L591">
        <v>4.2</v>
      </c>
      <c r="M591">
        <v>22</v>
      </c>
      <c r="O591" t="s">
        <v>33</v>
      </c>
      <c r="P591" t="s">
        <v>26</v>
      </c>
      <c r="Q591" t="s">
        <v>963</v>
      </c>
    </row>
    <row r="592" spans="1:17" ht="15.75" x14ac:dyDescent="0.25">
      <c r="A592" s="3" t="str">
        <f>HYPERLINK("https://www.als.com/heydud-w-shoe-wendy-rise-woven/p?skuId=1317686", "https://www.als.com/heydud-w-shoe-wendy-rise-woven/p?skuId=1317686")</f>
        <v>https://www.als.com/heydud-w-shoe-wendy-rise-woven/p?skuId=1317686</v>
      </c>
      <c r="B592" s="3" t="str">
        <f>HYPERLINK("https://www.als.com/heydud-w-shoe-wendy-rise-woven/p", "https://www.als.com/heydud-w-shoe-wendy-rise-woven/p")</f>
        <v>https://www.als.com/heydud-w-shoe-wendy-rise-woven/p</v>
      </c>
      <c r="C592" t="s">
        <v>425</v>
      </c>
      <c r="D592" t="s">
        <v>2085</v>
      </c>
      <c r="E592" s="3" t="str">
        <f>HYPERLINK("https://www.amazon.com/Hey-Dude-Stretch-Comfortable-Light-Weight/dp/B0C1PK3QWH/ref=sr_1_38?keywords=Hey+Dude+Wendy+Rise+Woven+Shoe+-+Womens&amp;qid=1695124483&amp;sr=8-38", "https://www.amazon.com/Hey-Dude-Stretch-Comfortable-Light-Weight/dp/B0C1PK3QWH/ref=sr_1_38?keywords=Hey+Dude+Wendy+Rise+Woven+Shoe+-+Womens&amp;qid=1695124483&amp;sr=8-38")</f>
        <v>https://www.amazon.com/Hey-Dude-Stretch-Comfortable-Light-Weight/dp/B0C1PK3QWH/ref=sr_1_38?keywords=Hey+Dude+Wendy+Rise+Woven+Shoe+-+Womens&amp;qid=1695124483&amp;sr=8-38</v>
      </c>
      <c r="F592" t="s">
        <v>2086</v>
      </c>
      <c r="G592" t="e">
        <f ca="1">IMAGE("https://alssports.vtexassets.com/arquivos/ids/1387367-800-auto?v=638255482261930000&amp;width=800&amp;height=auto&amp;aspect=true")</f>
        <v>#NAME?</v>
      </c>
      <c r="H592" t="e">
        <f ca="1">IMAGE("https://m.media-amazon.com/images/I/61z+F9hCysL._AC_UL320_.jpg")</f>
        <v>#NAME?</v>
      </c>
      <c r="I592" t="s">
        <v>58</v>
      </c>
      <c r="J592">
        <v>47.96</v>
      </c>
      <c r="K592" s="2" t="s">
        <v>2087</v>
      </c>
      <c r="L592">
        <v>4.7</v>
      </c>
      <c r="M592">
        <v>39184</v>
      </c>
      <c r="O592" t="s">
        <v>33</v>
      </c>
      <c r="P592" t="s">
        <v>26</v>
      </c>
      <c r="Q592" t="s">
        <v>429</v>
      </c>
    </row>
    <row r="593" spans="1:17" ht="15.75" x14ac:dyDescent="0.25">
      <c r="A593" s="3" t="str">
        <f>HYPERLINK("https://www.als.com/heydud-w-shoe-wendy-rise-woven/p?skuId=1317686", "https://www.als.com/heydud-w-shoe-wendy-rise-woven/p?skuId=1317686")</f>
        <v>https://www.als.com/heydud-w-shoe-wendy-rise-woven/p?skuId=1317686</v>
      </c>
      <c r="B593" s="3" t="str">
        <f>HYPERLINK("https://www.als.com/heydud-w-shoe-wendy-rise-woven/p", "https://www.als.com/heydud-w-shoe-wendy-rise-woven/p")</f>
        <v>https://www.als.com/heydud-w-shoe-wendy-rise-woven/p</v>
      </c>
      <c r="C593" t="s">
        <v>425</v>
      </c>
      <c r="D593" t="s">
        <v>2085</v>
      </c>
      <c r="E593" s="3" t="str">
        <f>HYPERLINK("https://www.amazon.com/Hey-Dude-Stretch-Comfortable-Light-Weight/dp/B0C1PSRZM1/ref=sr_1_27?keywords=Hey+Dude+Wendy+Rise+Woven+Shoe+-+Womens&amp;qid=1695124483&amp;sr=8-27", "https://www.amazon.com/Hey-Dude-Stretch-Comfortable-Light-Weight/dp/B0C1PSRZM1/ref=sr_1_27?keywords=Hey+Dude+Wendy+Rise+Woven+Shoe+-+Womens&amp;qid=1695124483&amp;sr=8-27")</f>
        <v>https://www.amazon.com/Hey-Dude-Stretch-Comfortable-Light-Weight/dp/B0C1PSRZM1/ref=sr_1_27?keywords=Hey+Dude+Wendy+Rise+Woven+Shoe+-+Womens&amp;qid=1695124483&amp;sr=8-27</v>
      </c>
      <c r="F593" t="s">
        <v>2088</v>
      </c>
      <c r="G593" t="e">
        <f ca="1">IMAGE("https://alssports.vtexassets.com/arquivos/ids/1387367-800-auto?v=638255482261930000&amp;width=800&amp;height=auto&amp;aspect=true")</f>
        <v>#NAME?</v>
      </c>
      <c r="H593" t="e">
        <f ca="1">IMAGE("https://m.media-amazon.com/images/I/61z+F9hCysL._AC_UL320_.jpg")</f>
        <v>#NAME?</v>
      </c>
      <c r="I593" t="s">
        <v>58</v>
      </c>
      <c r="J593">
        <v>47.96</v>
      </c>
      <c r="K593" s="2" t="s">
        <v>2087</v>
      </c>
      <c r="L593">
        <v>4.7</v>
      </c>
      <c r="M593">
        <v>39175</v>
      </c>
      <c r="O593" t="s">
        <v>33</v>
      </c>
      <c r="P593" t="s">
        <v>26</v>
      </c>
      <c r="Q593" t="s">
        <v>429</v>
      </c>
    </row>
    <row r="594" spans="1:17" ht="15.75" x14ac:dyDescent="0.25">
      <c r="A594" s="3" t="str">
        <f>HYPERLINK("https://www.als.com/keen-w-koven/p?skuId=1240446", "https://www.als.com/keen-w-koven/p?skuId=1240446")</f>
        <v>https://www.als.com/keen-w-koven/p?skuId=1240446</v>
      </c>
      <c r="B594" s="3" t="str">
        <f>HYPERLINK("https://www.als.com/keen-w-koven/p", "https://www.als.com/keen-w-koven/p")</f>
        <v>https://www.als.com/keen-w-koven/p</v>
      </c>
      <c r="C594" t="s">
        <v>737</v>
      </c>
      <c r="D594" t="s">
        <v>2089</v>
      </c>
      <c r="E594" s="3" t="str">
        <f>HYPERLINK("https://www.amazon.com/KEEN-Womens-Steens-Hiking-Black/dp/B07TQL1J78/ref=sr_1_11?keywords=KEEN+Koven+Hiking+Shoe+-+Women%27s&amp;qid=1695124139&amp;sr=8-11", "https://www.amazon.com/KEEN-Womens-Steens-Hiking-Black/dp/B07TQL1J78/ref=sr_1_11?keywords=KEEN+Koven+Hiking+Shoe+-+Women%27s&amp;qid=1695124139&amp;sr=8-11")</f>
        <v>https://www.amazon.com/KEEN-Womens-Steens-Hiking-Black/dp/B07TQL1J78/ref=sr_1_11?keywords=KEEN+Koven+Hiking+Shoe+-+Women%27s&amp;qid=1695124139&amp;sr=8-11</v>
      </c>
      <c r="F594" t="s">
        <v>2090</v>
      </c>
      <c r="G594" t="e">
        <f ca="1">IMAGE("https://alssports.vtexassets.com/arquivos/ids/1211483-800-auto?v=638091747520730000&amp;width=800&amp;height=auto&amp;aspect=true")</f>
        <v>#NAME?</v>
      </c>
      <c r="H594" t="e">
        <f ca="1">IMAGE("https://m.media-amazon.com/images/I/81WpoGEAESL._AC_UL320_.jpg")</f>
        <v>#NAME?</v>
      </c>
      <c r="I594" t="s">
        <v>639</v>
      </c>
      <c r="J594">
        <v>88.52</v>
      </c>
      <c r="K594" s="2" t="s">
        <v>2091</v>
      </c>
      <c r="L594">
        <v>4.4000000000000004</v>
      </c>
      <c r="M594">
        <v>819</v>
      </c>
      <c r="O594" t="s">
        <v>33</v>
      </c>
      <c r="P594" t="s">
        <v>26</v>
      </c>
      <c r="Q594" t="s">
        <v>741</v>
      </c>
    </row>
    <row r="595" spans="1:17" ht="15.75" x14ac:dyDescent="0.25">
      <c r="A595" s="3" t="str">
        <f>HYPERLINK("https://www.als.com/racefa-pedal-chester-composite/p?skuId=572609", "https://www.als.com/racefa-pedal-chester-composite/p?skuId=572609")</f>
        <v>https://www.als.com/racefa-pedal-chester-composite/p?skuId=572609</v>
      </c>
      <c r="B595" s="3" t="str">
        <f>HYPERLINK("https://www.als.com/racefa-pedal-chester-composite/p", "https://www.als.com/racefa-pedal-chester-composite/p")</f>
        <v>https://www.als.com/racefa-pedal-chester-composite/p</v>
      </c>
      <c r="C595" t="s">
        <v>1808</v>
      </c>
      <c r="D595" t="s">
        <v>2092</v>
      </c>
      <c r="E595" s="3" t="str">
        <f>HYPERLINK("https://www.amazon.com/RaceFace-Chester-Composite-Bike-Pedals/dp/B01DFH8VTG/ref=sr_1_1?keywords=Race+Face+Chester+Composite+Bike+Pedal&amp;qid=1695124438&amp;sr=8-1", "https://www.amazon.com/RaceFace-Chester-Composite-Bike-Pedals/dp/B01DFH8VTG/ref=sr_1_1?keywords=Race+Face+Chester+Composite+Bike+Pedal&amp;qid=1695124438&amp;sr=8-1")</f>
        <v>https://www.amazon.com/RaceFace-Chester-Composite-Bike-Pedals/dp/B01DFH8VTG/ref=sr_1_1?keywords=Race+Face+Chester+Composite+Bike+Pedal&amp;qid=1695124438&amp;sr=8-1</v>
      </c>
      <c r="F595" t="s">
        <v>2093</v>
      </c>
      <c r="G595" t="e">
        <f ca="1">IMAGE("https://alssports.vtexassets.com/arquivos/ids/553606-800-auto?v=637515227766800000&amp;width=800&amp;height=auto&amp;aspect=true")</f>
        <v>#NAME?</v>
      </c>
      <c r="H595" t="e">
        <f ca="1">IMAGE("https://m.media-amazon.com/images/I/716tjU1ZQEL._AC_UL320_.jpg")</f>
        <v>#NAME?</v>
      </c>
      <c r="I595" t="s">
        <v>401</v>
      </c>
      <c r="J595">
        <v>44.17</v>
      </c>
      <c r="K595" s="2" t="s">
        <v>2094</v>
      </c>
      <c r="L595">
        <v>4.8</v>
      </c>
      <c r="M595">
        <v>211</v>
      </c>
      <c r="O595" t="s">
        <v>33</v>
      </c>
      <c r="P595" t="s">
        <v>26</v>
      </c>
      <c r="Q595" t="s">
        <v>1812</v>
      </c>
    </row>
    <row r="596" spans="1:17" ht="15.75" x14ac:dyDescent="0.25">
      <c r="A596" s="3" t="str">
        <f>HYPERLINK("https://www.als.com/columbia-double-trouble-reversible-jacket-toddler-124814/p?skuId=1245039", "https://www.als.com/columbia-double-trouble-reversible-jacket-toddler-124814/p?skuId=1245039")</f>
        <v>https://www.als.com/columbia-double-trouble-reversible-jacket-toddler-124814/p?skuId=1245039</v>
      </c>
      <c r="B596" s="3" t="str">
        <f>HYPERLINK("https://www.als.com/columbia-double-trouble-reversible-jacket-toddler-124814/p", "https://www.als.com/columbia-double-trouble-reversible-jacket-toddler-124814/p")</f>
        <v>https://www.als.com/columbia-double-trouble-reversible-jacket-toddler-124814/p</v>
      </c>
      <c r="C596" t="s">
        <v>822</v>
      </c>
      <c r="D596" t="s">
        <v>2095</v>
      </c>
      <c r="E596" s="3" t="str">
        <f>HYPERLINK("https://www.amazon.com/Columbia-Double-Trouble-Jacket-Black/dp/B0814BXXZS/ref=sr_1_6?keywords=Columbia+Double+Trouble+Reversible+Jacket+-+Toddler&amp;qid=1695124350&amp;sr=8-6", "https://www.amazon.com/Columbia-Double-Trouble-Jacket-Black/dp/B0814BXXZS/ref=sr_1_6?keywords=Columbia+Double+Trouble+Reversible+Jacket+-+Toddler&amp;qid=1695124350&amp;sr=8-6")</f>
        <v>https://www.amazon.com/Columbia-Double-Trouble-Jacket-Black/dp/B0814BXXZS/ref=sr_1_6?keywords=Columbia+Double+Trouble+Reversible+Jacket+-+Toddler&amp;qid=1695124350&amp;sr=8-6</v>
      </c>
      <c r="F596" t="s">
        <v>2096</v>
      </c>
      <c r="G596" t="e">
        <f ca="1">IMAGE("https://alssports.vtexassets.com/arquivos/ids/1182239-800-auto?v=638052779051930000&amp;width=800&amp;height=auto&amp;aspect=true")</f>
        <v>#NAME?</v>
      </c>
      <c r="H596" t="e">
        <f ca="1">IMAGE("https://m.media-amazon.com/images/I/61ydYuUP75L._AC_UL320_.jpg")</f>
        <v>#NAME?</v>
      </c>
      <c r="I596" t="s">
        <v>825</v>
      </c>
      <c r="J596">
        <v>41.16</v>
      </c>
      <c r="K596" s="2" t="s">
        <v>2097</v>
      </c>
      <c r="L596">
        <v>4</v>
      </c>
      <c r="M596">
        <v>18</v>
      </c>
      <c r="O596" t="s">
        <v>33</v>
      </c>
      <c r="P596" t="s">
        <v>827</v>
      </c>
      <c r="Q596" t="s">
        <v>828</v>
      </c>
    </row>
    <row r="597" spans="1:17" ht="15.75" x14ac:dyDescent="0.25">
      <c r="A597" s="3" t="str">
        <f>HYPERLINK("https://www.als.com/adid-o-w-boot-free-hiker-2-gtx/p?skuId=1276361", "https://www.als.com/adid-o-w-boot-free-hiker-2-gtx/p?skuId=1276361")</f>
        <v>https://www.als.com/adid-o-w-boot-free-hiker-2-gtx/p?skuId=1276361</v>
      </c>
      <c r="B597" s="3" t="str">
        <f>HYPERLINK("https://www.als.com/adid-o-w-boot-free-hiker-2-gtx/p", "https://www.als.com/adid-o-w-boot-free-hiker-2-gtx/p")</f>
        <v>https://www.als.com/adid-o-w-boot-free-hiker-2-gtx/p</v>
      </c>
      <c r="C597" t="s">
        <v>650</v>
      </c>
      <c r="D597" t="s">
        <v>2098</v>
      </c>
      <c r="E597" s="3" t="str">
        <f>HYPERLINK("https://www.amazon.com/adidas-Womens-Terrex-Gore-TEX-Hiking/dp/B09422TFLK/ref=sr_1_34?keywords=adidas+Terrex+Free+Hiker+Gore-Tex+2.0+Hiking+Shoe+-+Womens&amp;qid=1695124163&amp;sr=8-34", "https://www.amazon.com/adidas-Womens-Terrex-Gore-TEX-Hiking/dp/B09422TFLK/ref=sr_1_34?keywords=adidas+Terrex+Free+Hiker+Gore-Tex+2.0+Hiking+Shoe+-+Womens&amp;qid=1695124163&amp;sr=8-34")</f>
        <v>https://www.amazon.com/adidas-Womens-Terrex-Gore-TEX-Hiking/dp/B09422TFLK/ref=sr_1_34?keywords=adidas+Terrex+Free+Hiker+Gore-Tex+2.0+Hiking+Shoe+-+Womens&amp;qid=1695124163&amp;sr=8-34</v>
      </c>
      <c r="F597" t="s">
        <v>2099</v>
      </c>
      <c r="G597" t="e">
        <f ca="1">IMAGE("https://alssports.vtexassets.com/arquivos/ids/1274057-800-auto?v=638150971944670000&amp;width=800&amp;height=auto&amp;aspect=true")</f>
        <v>#NAME?</v>
      </c>
      <c r="H597" t="e">
        <f ca="1">IMAGE("https://m.media-amazon.com/images/I/710I1-2GrGL._AC_UL320_.jpg")</f>
        <v>#NAME?</v>
      </c>
      <c r="I597" t="s">
        <v>625</v>
      </c>
      <c r="J597">
        <v>84</v>
      </c>
      <c r="K597" s="2" t="s">
        <v>2100</v>
      </c>
      <c r="L597">
        <v>4.4000000000000004</v>
      </c>
      <c r="M597">
        <v>7</v>
      </c>
      <c r="O597" t="s">
        <v>33</v>
      </c>
      <c r="P597" t="s">
        <v>627</v>
      </c>
      <c r="Q597" t="s">
        <v>653</v>
      </c>
    </row>
    <row r="598" spans="1:17" ht="15.75" x14ac:dyDescent="0.25">
      <c r="A598" s="3" t="str">
        <f>HYPERLINK("https://www.als.com/sal-sh-w-shoe-speedcross-6/p?skuId=1067319", "https://www.als.com/sal-sh-w-shoe-speedcross-6/p?skuId=1067319")</f>
        <v>https://www.als.com/sal-sh-w-shoe-speedcross-6/p?skuId=1067319</v>
      </c>
      <c r="B598" s="3" t="str">
        <f>HYPERLINK("https://www.als.com/sal-sh-w-shoe-speedcross-6/p", "https://www.als.com/sal-sh-w-shoe-speedcross-6/p")</f>
        <v>https://www.als.com/sal-sh-w-shoe-speedcross-6/p</v>
      </c>
      <c r="C598" t="s">
        <v>2101</v>
      </c>
      <c r="D598" t="s">
        <v>2102</v>
      </c>
      <c r="E598" s="3" t="str">
        <f>HYPERLINK("https://www.amazon.com/Salomon-L41103800-ALPHACROSS-Blast-Size/dp/B07Z5GZT72/ref=sr_1_21?keywords=Salomon+Speedcross+6+Trail+Running+Shoe+-+Women%27s&amp;qid=1695124385&amp;sr=8-21", "https://www.amazon.com/Salomon-L41103800-ALPHACROSS-Blast-Size/dp/B07Z5GZT72/ref=sr_1_21?keywords=Salomon+Speedcross+6+Trail+Running+Shoe+-+Women%27s&amp;qid=1695124385&amp;sr=8-21")</f>
        <v>https://www.amazon.com/Salomon-L41103800-ALPHACROSS-Blast-Size/dp/B07Z5GZT72/ref=sr_1_21?keywords=Salomon+Speedcross+6+Trail+Running+Shoe+-+Women%27s&amp;qid=1695124385&amp;sr=8-21</v>
      </c>
      <c r="F598" t="s">
        <v>2103</v>
      </c>
      <c r="G598" t="e">
        <f ca="1">IMAGE("https://alssports.vtexassets.com/arquivos/ids/1278340-800-auto?v=638155526560000000&amp;width=800&amp;height=auto&amp;aspect=true")</f>
        <v>#NAME?</v>
      </c>
      <c r="H598" t="e">
        <f ca="1">IMAGE("https://m.media-amazon.com/images/I/71CzVqecUmL._AC_UL320_.jpg")</f>
        <v>#NAME?</v>
      </c>
      <c r="I598" t="s">
        <v>2104</v>
      </c>
      <c r="J598">
        <v>61.19</v>
      </c>
      <c r="K598" s="2" t="s">
        <v>2105</v>
      </c>
      <c r="L598">
        <v>4.5</v>
      </c>
      <c r="M598">
        <v>437</v>
      </c>
      <c r="O598" t="s">
        <v>33</v>
      </c>
      <c r="P598" t="s">
        <v>119</v>
      </c>
      <c r="Q598" t="s">
        <v>2106</v>
      </c>
    </row>
    <row r="599" spans="1:17" ht="15.75" x14ac:dyDescent="0.25">
      <c r="A599" s="3" t="str">
        <f>HYPERLINK("https://www.als.com/owala-bottle-free-sip-32-oz/p?skuId=1326138", "https://www.als.com/owala-bottle-free-sip-32-oz/p?skuId=1326138")</f>
        <v>https://www.als.com/owala-bottle-free-sip-32-oz/p?skuId=1326138</v>
      </c>
      <c r="B599" s="3" t="str">
        <f>HYPERLINK("https://www.als.com/owala-bottle-free-sip-32-oz/p", "https://www.als.com/owala-bottle-free-sip-32-oz/p")</f>
        <v>https://www.als.com/owala-bottle-free-sip-32-oz/p</v>
      </c>
      <c r="C599" t="s">
        <v>459</v>
      </c>
      <c r="D599" t="s">
        <v>2107</v>
      </c>
      <c r="E599" s="3" t="str">
        <f>HYPERLINK("https://www.amazon.com/Ello-Cooper-Insulated-Stainless-Halogen/dp/B09MG8FRMP/ref=sr_1_28?keywords=Owala+FreeSip+Stainless+Steel+Water+Bottle+-+32oz&amp;qid=1695124104&amp;sr=8-28", "https://www.amazon.com/Ello-Cooper-Insulated-Stainless-Halogen/dp/B09MG8FRMP/ref=sr_1_28?keywords=Owala+FreeSip+Stainless+Steel+Water+Bottle+-+32oz&amp;qid=1695124104&amp;sr=8-28")</f>
        <v>https://www.amazon.com/Ello-Cooper-Insulated-Stainless-Halogen/dp/B09MG8FRMP/ref=sr_1_28?keywords=Owala+FreeSip+Stainless+Steel+Water+Bottle+-+32oz&amp;qid=1695124104&amp;sr=8-28</v>
      </c>
      <c r="F599" t="s">
        <v>2108</v>
      </c>
      <c r="G599" t="e">
        <f ca="1">IMAGE("https://alssports.vtexassets.com/arquivos/ids/1355955-800-auto?v=638230513195900000&amp;width=800&amp;height=auto&amp;aspect=true")</f>
        <v>#NAME?</v>
      </c>
      <c r="H599" t="e">
        <f ca="1">IMAGE("https://m.media-amazon.com/images/I/61n-lRvuQdL._AC_UL320_.jpg")</f>
        <v>#NAME?</v>
      </c>
      <c r="I599" t="s">
        <v>462</v>
      </c>
      <c r="J599">
        <v>23.99</v>
      </c>
      <c r="K599" s="2" t="s">
        <v>2109</v>
      </c>
      <c r="L599">
        <v>4.5999999999999996</v>
      </c>
      <c r="M599">
        <v>8193</v>
      </c>
      <c r="O599" t="s">
        <v>33</v>
      </c>
      <c r="P599" t="s">
        <v>26</v>
      </c>
      <c r="Q599" t="s">
        <v>464</v>
      </c>
    </row>
    <row r="600" spans="1:17" ht="15.75" x14ac:dyDescent="0.25">
      <c r="A600" s="3" t="str">
        <f>HYPERLINK("https://www.als.com/bigag-rapide-sl-insulated/p?skuId=981028", "https://www.als.com/bigag-rapide-sl-insulated/p?skuId=981028")</f>
        <v>https://www.als.com/bigag-rapide-sl-insulated/p?skuId=981028</v>
      </c>
      <c r="B600" s="3" t="str">
        <f>HYPERLINK("https://www.als.com/bigag-rapide-sl-insulated/p", "https://www.als.com/bigag-rapide-sl-insulated/p")</f>
        <v>https://www.als.com/bigag-rapide-sl-insulated/p</v>
      </c>
      <c r="C600" t="s">
        <v>42</v>
      </c>
      <c r="D600" t="s">
        <v>2110</v>
      </c>
      <c r="E600" s="3" t="str">
        <f>HYPERLINK("https://www.amazon.com/Big-Agnes-Sleeping-Insulated-Regular/dp/B08174RN6Q/ref=sr_1_2?keywords=Big+Agnes+Rapide+SL+Insulated+Sleeping+Pad&amp;qid=1695124305&amp;sr=8-2", "https://www.amazon.com/Big-Agnes-Sleeping-Insulated-Regular/dp/B08174RN6Q/ref=sr_1_2?keywords=Big+Agnes+Rapide+SL+Insulated+Sleeping+Pad&amp;qid=1695124305&amp;sr=8-2")</f>
        <v>https://www.amazon.com/Big-Agnes-Sleeping-Insulated-Regular/dp/B08174RN6Q/ref=sr_1_2?keywords=Big+Agnes+Rapide+SL+Insulated+Sleeping+Pad&amp;qid=1695124305&amp;sr=8-2</v>
      </c>
      <c r="F600" t="s">
        <v>2111</v>
      </c>
      <c r="G600" t="e">
        <f ca="1">IMAGE("https://alssports.vtexassets.com/arquivos/ids/1257749-800-auto?v=638134857129500000&amp;width=800&amp;height=auto&amp;aspect=true")</f>
        <v>#NAME?</v>
      </c>
      <c r="H600" t="e">
        <f ca="1">IMAGE("https://m.media-amazon.com/images/I/71V94gl0yjL._AC_UL320_.jpg")</f>
        <v>#NAME?</v>
      </c>
      <c r="I600" t="s">
        <v>44</v>
      </c>
      <c r="J600">
        <v>108.84</v>
      </c>
      <c r="K600" s="2" t="s">
        <v>2112</v>
      </c>
      <c r="L600">
        <v>4.7</v>
      </c>
      <c r="M600">
        <v>434</v>
      </c>
      <c r="O600" t="s">
        <v>33</v>
      </c>
      <c r="P600" t="s">
        <v>26</v>
      </c>
      <c r="Q600" t="s">
        <v>45</v>
      </c>
    </row>
    <row r="601" spans="1:17" ht="15.75" x14ac:dyDescent="0.25">
      <c r="A601" s="3" t="str">
        <f>HYPERLINK("https://www.als.com/adid-o-w-boot-free-hiker-2-gtx/p?skuId=1276361", "https://www.als.com/adid-o-w-boot-free-hiker-2-gtx/p?skuId=1276361")</f>
        <v>https://www.als.com/adid-o-w-boot-free-hiker-2-gtx/p?skuId=1276361</v>
      </c>
      <c r="B601" s="3" t="str">
        <f>HYPERLINK("https://www.als.com/adid-o-w-boot-free-hiker-2-gtx/p", "https://www.als.com/adid-o-w-boot-free-hiker-2-gtx/p")</f>
        <v>https://www.als.com/adid-o-w-boot-free-hiker-2-gtx/p</v>
      </c>
      <c r="C601" t="s">
        <v>650</v>
      </c>
      <c r="D601" t="s">
        <v>2113</v>
      </c>
      <c r="E601" s="3" t="str">
        <f>HYPERLINK("https://www.amazon.com/adidas-Terrex-Agravic-Flow-Black/dp/B0B319PNRQ/ref=sr_1_38?keywords=adidas+Terrex+Free+Hiker+Gore-Tex+2.0+Hiking+Shoe+-+Womens&amp;qid=1695124163&amp;sr=8-38", "https://www.amazon.com/adidas-Terrex-Agravic-Flow-Black/dp/B0B319PNRQ/ref=sr_1_38?keywords=adidas+Terrex+Free+Hiker+Gore-Tex+2.0+Hiking+Shoe+-+Womens&amp;qid=1695124163&amp;sr=8-38")</f>
        <v>https://www.amazon.com/adidas-Terrex-Agravic-Flow-Black/dp/B0B319PNRQ/ref=sr_1_38?keywords=adidas+Terrex+Free+Hiker+Gore-Tex+2.0+Hiking+Shoe+-+Womens&amp;qid=1695124163&amp;sr=8-38</v>
      </c>
      <c r="F601" t="s">
        <v>2114</v>
      </c>
      <c r="G601" t="e">
        <f ca="1">IMAGE("https://alssports.vtexassets.com/arquivos/ids/1274057-800-auto?v=638150971944670000&amp;width=800&amp;height=auto&amp;aspect=true")</f>
        <v>#NAME?</v>
      </c>
      <c r="H601" t="e">
        <f ca="1">IMAGE("https://m.media-amazon.com/images/I/71JalBg1mTL._AC_UL320_.jpg")</f>
        <v>#NAME?</v>
      </c>
      <c r="I601" t="s">
        <v>625</v>
      </c>
      <c r="J601">
        <v>83.42</v>
      </c>
      <c r="K601" s="2" t="s">
        <v>2115</v>
      </c>
      <c r="L601">
        <v>3.9</v>
      </c>
      <c r="M601">
        <v>13</v>
      </c>
      <c r="O601" t="s">
        <v>33</v>
      </c>
      <c r="P601" t="s">
        <v>627</v>
      </c>
      <c r="Q601" t="s">
        <v>653</v>
      </c>
    </row>
    <row r="602" spans="1:17" ht="15.75" x14ac:dyDescent="0.25">
      <c r="A602" s="3" t="str">
        <f>HYPERLINK("https://www.als.com/coleha-m-shoe-grd-sprt-journeysnkr/p?skuId=1167213", "https://www.als.com/coleha-m-shoe-grd-sprt-journeysnkr/p?skuId=1167213")</f>
        <v>https://www.als.com/coleha-m-shoe-grd-sprt-journeysnkr/p?skuId=1167213</v>
      </c>
      <c r="B602" s="3" t="str">
        <f>HYPERLINK("https://www.als.com/coleha-m-shoe-grd-sprt-journeysnkr/p", "https://www.als.com/coleha-m-shoe-grd-sprt-journeysnkr/p")</f>
        <v>https://www.als.com/coleha-m-shoe-grd-sprt-journeysnkr/p</v>
      </c>
      <c r="C602" t="s">
        <v>1828</v>
      </c>
      <c r="D602" t="s">
        <v>2116</v>
      </c>
      <c r="E602" s="3" t="str">
        <f>HYPERLINK("https://www.amazon.com/Cole-Haan-Grandsport-Journey-Sneaker/dp/B08KNVQX6L/ref=sr_1_1?keywords=Cole+Haan+Grand+Sports+Journey+Knit+Sneaker+-+Mens&amp;qid=1695124313&amp;sr=8-1", "https://www.amazon.com/Cole-Haan-Grandsport-Journey-Sneaker/dp/B08KNVQX6L/ref=sr_1_1?keywords=Cole+Haan+Grand+Sports+Journey+Knit+Sneaker+-+Mens&amp;qid=1695124313&amp;sr=8-1")</f>
        <v>https://www.amazon.com/Cole-Haan-Grandsport-Journey-Sneaker/dp/B08KNVQX6L/ref=sr_1_1?keywords=Cole+Haan+Grand+Sports+Journey+Knit+Sneaker+-+Mens&amp;qid=1695124313&amp;sr=8-1</v>
      </c>
      <c r="F602" t="s">
        <v>2117</v>
      </c>
      <c r="G602" t="e">
        <f ca="1">IMAGE("https://alssports.vtexassets.com/arquivos/ids/1214886-800-auto?v=638097528133370000&amp;width=800&amp;height=auto&amp;aspect=true")</f>
        <v>#NAME?</v>
      </c>
      <c r="H602" t="e">
        <f ca="1">IMAGE("https://m.media-amazon.com/images/I/81cb01ZUb3L._AC_UL320_.jpg")</f>
        <v>#NAME?</v>
      </c>
      <c r="I602" t="s">
        <v>32</v>
      </c>
      <c r="J602">
        <v>72.510000000000005</v>
      </c>
      <c r="K602" s="2" t="s">
        <v>2115</v>
      </c>
      <c r="L602">
        <v>4.5</v>
      </c>
      <c r="M602">
        <v>757</v>
      </c>
      <c r="O602" t="s">
        <v>33</v>
      </c>
      <c r="P602" t="s">
        <v>1832</v>
      </c>
      <c r="Q602" t="s">
        <v>1833</v>
      </c>
    </row>
    <row r="603" spans="1:17" ht="15.75" x14ac:dyDescent="0.25">
      <c r="A603" s="3" t="str">
        <f>HYPERLINK("https://www.als.com/camel-bottle-podium-chill/p?skuId=507099", "https://www.als.com/camel-bottle-podium-chill/p?skuId=507099")</f>
        <v>https://www.als.com/camel-bottle-podium-chill/p?skuId=507099</v>
      </c>
      <c r="B603" s="3" t="str">
        <f>HYPERLINK("https://www.als.com/camel-bottle-podium-chill/p", "https://www.als.com/camel-bottle-podium-chill/p")</f>
        <v>https://www.als.com/camel-bottle-podium-chill/p</v>
      </c>
      <c r="C603" t="s">
        <v>242</v>
      </c>
      <c r="D603" t="s">
        <v>2118</v>
      </c>
      <c r="E603" s="3" t="str">
        <f>HYPERLINK("https://www.amazon.com/CamelBak-Podium-Insulated-Bottle-Croissant/dp/B0BS3ZMLMG/ref=sr_1_5?keywords=CamelBak+Podium+Chill+24oz+Bike+Bottle&amp;qid=1695124311&amp;sr=8-5", "https://www.amazon.com/CamelBak-Podium-Insulated-Bottle-Croissant/dp/B0BS3ZMLMG/ref=sr_1_5?keywords=CamelBak+Podium+Chill+24oz+Bike+Bottle&amp;qid=1695124311&amp;sr=8-5")</f>
        <v>https://www.amazon.com/CamelBak-Podium-Insulated-Bottle-Croissant/dp/B0BS3ZMLMG/ref=sr_1_5?keywords=CamelBak+Podium+Chill+24oz+Bike+Bottle&amp;qid=1695124311&amp;sr=8-5</v>
      </c>
      <c r="F603" t="s">
        <v>2119</v>
      </c>
      <c r="G603" t="e">
        <f ca="1">IMAGE("https://alssports.vtexassets.com/arquivos/ids/234175-800-auto?v=636967507056470000&amp;width=800&amp;height=auto&amp;aspect=true")</f>
        <v>#NAME?</v>
      </c>
      <c r="H603" t="e">
        <f ca="1">IMAGE("https://m.media-amazon.com/images/I/716Fuf1HhmL._AC_UL320_.jpg")</f>
        <v>#NAME?</v>
      </c>
      <c r="I603" t="s">
        <v>245</v>
      </c>
      <c r="J603">
        <v>13.04</v>
      </c>
      <c r="K603" s="2" t="s">
        <v>2120</v>
      </c>
      <c r="L603">
        <v>5</v>
      </c>
      <c r="M603">
        <v>1</v>
      </c>
      <c r="O603" t="s">
        <v>33</v>
      </c>
      <c r="P603" t="s">
        <v>26</v>
      </c>
      <c r="Q603" t="s">
        <v>247</v>
      </c>
    </row>
    <row r="604" spans="1:17" ht="15.75" x14ac:dyDescent="0.25">
      <c r="A604" s="3" t="str">
        <f>HYPERLINK("https://www.als.com/camel-bottle-podium-chill/p?skuId=507099", "https://www.als.com/camel-bottle-podium-chill/p?skuId=507099")</f>
        <v>https://www.als.com/camel-bottle-podium-chill/p?skuId=507099</v>
      </c>
      <c r="B604" s="3" t="str">
        <f>HYPERLINK("https://www.als.com/camel-bottle-podium-chill/p", "https://www.als.com/camel-bottle-podium-chill/p")</f>
        <v>https://www.als.com/camel-bottle-podium-chill/p</v>
      </c>
      <c r="C604" t="s">
        <v>242</v>
      </c>
      <c r="D604" t="s">
        <v>2121</v>
      </c>
      <c r="E604" s="3" t="str">
        <f>HYPERLINK("https://www.amazon.com/CamelBak-Podium-Water-Bottle-Stone/dp/B09KTP7KF1/ref=sr_1_8?keywords=CamelBak+Podium+Chill+24oz+Bike+Bottle&amp;qid=1695124311&amp;sr=8-8", "https://www.amazon.com/CamelBak-Podium-Water-Bottle-Stone/dp/B09KTP7KF1/ref=sr_1_8?keywords=CamelBak+Podium+Chill+24oz+Bike+Bottle&amp;qid=1695124311&amp;sr=8-8")</f>
        <v>https://www.amazon.com/CamelBak-Podium-Water-Bottle-Stone/dp/B09KTP7KF1/ref=sr_1_8?keywords=CamelBak+Podium+Chill+24oz+Bike+Bottle&amp;qid=1695124311&amp;sr=8-8</v>
      </c>
      <c r="F604" t="s">
        <v>2122</v>
      </c>
      <c r="G604" t="e">
        <f ca="1">IMAGE("https://alssports.vtexassets.com/arquivos/ids/234175-800-auto?v=636967507056470000&amp;width=800&amp;height=auto&amp;aspect=true")</f>
        <v>#NAME?</v>
      </c>
      <c r="H604" t="e">
        <f ca="1">IMAGE("https://m.media-amazon.com/images/I/619pp3P8qvL._AC_UL320_.jpg")</f>
        <v>#NAME?</v>
      </c>
      <c r="I604" t="s">
        <v>245</v>
      </c>
      <c r="J604">
        <v>13</v>
      </c>
      <c r="K604" s="2" t="s">
        <v>2123</v>
      </c>
      <c r="L604">
        <v>4.4000000000000004</v>
      </c>
      <c r="M604">
        <v>253</v>
      </c>
      <c r="O604" t="s">
        <v>33</v>
      </c>
      <c r="P604" t="s">
        <v>26</v>
      </c>
      <c r="Q604" t="s">
        <v>247</v>
      </c>
    </row>
    <row r="605" spans="1:17" ht="15.75" x14ac:dyDescent="0.25">
      <c r="A605" s="3" t="str">
        <f>HYPERLINK("https://www.als.com/altra-w-shoe-timp-4/p?skuId=929220", "https://www.als.com/altra-w-shoe-timp-4/p?skuId=929220")</f>
        <v>https://www.als.com/altra-w-shoe-timp-4/p?skuId=929220</v>
      </c>
      <c r="B605" s="3" t="str">
        <f>HYPERLINK("https://www.als.com/altra-w-shoe-timp-4/p", "https://www.als.com/altra-w-shoe-timp-4/p")</f>
        <v>https://www.als.com/altra-w-shoe-timp-4/p</v>
      </c>
      <c r="C605" t="s">
        <v>829</v>
      </c>
      <c r="D605" t="s">
        <v>2124</v>
      </c>
      <c r="E605" s="3" t="str">
        <f>HYPERLINK("https://www.amazon.com/ALTRA-Womens-AL0A5488-Provision-Running/dp/B09Q7ZCG47/ref=sr_1_12?keywords=Altra+Timp+4+Running+Shoe+-+Womens&amp;qid=1695124369&amp;sr=8-12", "https://www.amazon.com/ALTRA-Womens-AL0A5488-Provision-Running/dp/B09Q7ZCG47/ref=sr_1_12?keywords=Altra+Timp+4+Running+Shoe+-+Womens&amp;qid=1695124369&amp;sr=8-12")</f>
        <v>https://www.amazon.com/ALTRA-Womens-AL0A5488-Provision-Running/dp/B09Q7ZCG47/ref=sr_1_12?keywords=Altra+Timp+4+Running+Shoe+-+Womens&amp;qid=1695124369&amp;sr=8-12</v>
      </c>
      <c r="F605" t="s">
        <v>2125</v>
      </c>
      <c r="G605" t="e">
        <f ca="1">IMAGE("https://alssports.vtexassets.com/arquivos/ids/1112796-800-auto?v=637957454637830000&amp;width=800&amp;height=auto&amp;aspect=true")</f>
        <v>#NAME?</v>
      </c>
      <c r="H605" t="e">
        <f ca="1">IMAGE("https://m.media-amazon.com/images/I/71GRgVLVNxL._AC_UL320_.jpg")</f>
        <v>#NAME?</v>
      </c>
      <c r="I605" t="s">
        <v>88</v>
      </c>
      <c r="J605">
        <v>115.4</v>
      </c>
      <c r="K605" s="2" t="s">
        <v>2126</v>
      </c>
      <c r="L605">
        <v>4.4000000000000004</v>
      </c>
      <c r="M605">
        <v>622</v>
      </c>
      <c r="O605" t="s">
        <v>33</v>
      </c>
      <c r="P605" t="s">
        <v>832</v>
      </c>
      <c r="Q605" t="s">
        <v>833</v>
      </c>
    </row>
    <row r="606" spans="1:17" ht="15.75" x14ac:dyDescent="0.25">
      <c r="A606" s="3" t="str">
        <f>HYPERLINK("https://www.als.com/camel-womens-mule-12/p?skuId=928900", "https://www.als.com/camel-womens-mule-12/p?skuId=928900")</f>
        <v>https://www.als.com/camel-womens-mule-12/p?skuId=928900</v>
      </c>
      <c r="B606" s="3" t="str">
        <f>HYPERLINK("https://www.als.com/camel-womens-mule-12/p", "https://www.als.com/camel-womens-mule-12/p")</f>
        <v>https://www.als.com/camel-womens-mule-12/p</v>
      </c>
      <c r="C606" t="s">
        <v>398</v>
      </c>
      <c r="D606" t="s">
        <v>2127</v>
      </c>
      <c r="E606" s="3" t="str">
        <f>HYPERLINK("https://www.amazon.com/CamelBak-Womens-Hydrobak-Hydration-Drizzle/dp/B08R6QJCL1/ref=sr_1_18?keywords=CamelBak+M.U.L.E.+12+Hydration+Pack+-+Womens&amp;qid=1695124412&amp;sr=8-18", "https://www.amazon.com/CamelBak-Womens-Hydrobak-Hydration-Drizzle/dp/B08R6QJCL1/ref=sr_1_18?keywords=CamelBak+M.U.L.E.+12+Hydration+Pack+-+Womens&amp;qid=1695124412&amp;sr=8-18")</f>
        <v>https://www.amazon.com/CamelBak-Womens-Hydrobak-Hydration-Drizzle/dp/B08R6QJCL1/ref=sr_1_18?keywords=CamelBak+M.U.L.E.+12+Hydration+Pack+-+Womens&amp;qid=1695124412&amp;sr=8-18</v>
      </c>
      <c r="F606" t="s">
        <v>2128</v>
      </c>
      <c r="G606" t="e">
        <f ca="1">IMAGE("https://alssports.vtexassets.com/arquivos/ids/1344859-800-auto?v=638222065082070000&amp;width=800&amp;height=auto&amp;aspect=true")</f>
        <v>#NAME?</v>
      </c>
      <c r="H606" t="e">
        <f ca="1">IMAGE("https://m.media-amazon.com/images/I/91tYJRkk-jL._AC_UL320_.jpg")</f>
        <v>#NAME?</v>
      </c>
      <c r="I606" t="s">
        <v>401</v>
      </c>
      <c r="J606">
        <v>43.28</v>
      </c>
      <c r="K606" s="2" t="s">
        <v>2126</v>
      </c>
      <c r="L606">
        <v>4.5</v>
      </c>
      <c r="M606">
        <v>254</v>
      </c>
      <c r="O606" t="s">
        <v>33</v>
      </c>
      <c r="P606" t="s">
        <v>403</v>
      </c>
      <c r="Q606" t="s">
        <v>404</v>
      </c>
    </row>
    <row r="607" spans="1:17" ht="15.75" x14ac:dyDescent="0.25">
      <c r="A607" s="3" t="str">
        <f>HYPERLINK("https://www.als.com/crocs-classic-clog/p?skuId=1196935", "https://www.als.com/crocs-classic-clog/p?skuId=1196935")</f>
        <v>https://www.als.com/crocs-classic-clog/p?skuId=1196935</v>
      </c>
      <c r="B607" s="3" t="str">
        <f>HYPERLINK("https://www.als.com/crocs-classic-clog/p", "https://www.als.com/crocs-classic-clog/p")</f>
        <v>https://www.als.com/crocs-classic-clog/p</v>
      </c>
      <c r="C607" t="s">
        <v>1100</v>
      </c>
      <c r="D607" t="s">
        <v>2129</v>
      </c>
      <c r="E607" s="3" t="str">
        <f>HYPERLINK("https://www.amazon.com/Crocs-Unisex-Classic-Lined-Black/dp/B01A6LTSA0/ref=sr_1_5?keywords=Crocs+Classic+Clog&amp;qid=1695124151&amp;sr=8-5", "https://www.amazon.com/Crocs-Unisex-Classic-Lined-Black/dp/B01A6LTSA0/ref=sr_1_5?keywords=Crocs+Classic+Clog&amp;qid=1695124151&amp;sr=8-5")</f>
        <v>https://www.amazon.com/Crocs-Unisex-Classic-Lined-Black/dp/B01A6LTSA0/ref=sr_1_5?keywords=Crocs+Classic+Clog&amp;qid=1695124151&amp;sr=8-5</v>
      </c>
      <c r="F607" t="s">
        <v>2130</v>
      </c>
      <c r="G607" t="e">
        <f ca="1">IMAGE("https://alssports.vtexassets.com/arquivos/ids/1222253-800-auto?v=638102875835800000&amp;width=800&amp;height=auto&amp;aspect=true")</f>
        <v>#NAME?</v>
      </c>
      <c r="H607" t="e">
        <f ca="1">IMAGE("https://m.media-amazon.com/images/I/71q4g+p7tDL._AC_UL320_.jpg")</f>
        <v>#NAME?</v>
      </c>
      <c r="I607" t="s">
        <v>157</v>
      </c>
      <c r="J607">
        <v>35.979999999999997</v>
      </c>
      <c r="K607" s="2" t="s">
        <v>2131</v>
      </c>
      <c r="L607">
        <v>4.8</v>
      </c>
      <c r="M607">
        <v>98992</v>
      </c>
      <c r="O607" t="s">
        <v>33</v>
      </c>
      <c r="P607" t="s">
        <v>26</v>
      </c>
      <c r="Q607" t="s">
        <v>1103</v>
      </c>
    </row>
    <row r="608" spans="1:17" ht="15.75" x14ac:dyDescent="0.25">
      <c r="A608" s="3" t="str">
        <f>HYPERLINK("https://www.als.com/keen-w-koven/p?skuId=1240446", "https://www.als.com/keen-w-koven/p?skuId=1240446")</f>
        <v>https://www.als.com/keen-w-koven/p?skuId=1240446</v>
      </c>
      <c r="B608" s="3" t="str">
        <f>HYPERLINK("https://www.als.com/keen-w-koven/p", "https://www.als.com/keen-w-koven/p")</f>
        <v>https://www.als.com/keen-w-koven/p</v>
      </c>
      <c r="C608" t="s">
        <v>737</v>
      </c>
      <c r="D608" t="s">
        <v>2132</v>
      </c>
      <c r="E608" s="3" t="str">
        <f>HYPERLINK("https://www.amazon.com/KEEN-Womens-Height-Vented-Hiking/dp/B0B2PQ4Y93/ref=sr_1_13?keywords=KEEN+Koven+Hiking+Shoe+-+Women%27s&amp;qid=1695124139&amp;sr=8-13", "https://www.amazon.com/KEEN-Womens-Height-Vented-Hiking/dp/B0B2PQ4Y93/ref=sr_1_13?keywords=KEEN+Koven+Hiking+Shoe+-+Women%27s&amp;qid=1695124139&amp;sr=8-13")</f>
        <v>https://www.amazon.com/KEEN-Womens-Height-Vented-Hiking/dp/B0B2PQ4Y93/ref=sr_1_13?keywords=KEEN+Koven+Hiking+Shoe+-+Women%27s&amp;qid=1695124139&amp;sr=8-13</v>
      </c>
      <c r="F608" t="s">
        <v>2133</v>
      </c>
      <c r="G608" t="e">
        <f ca="1">IMAGE("https://alssports.vtexassets.com/arquivos/ids/1211483-800-auto?v=638091747520730000&amp;width=800&amp;height=auto&amp;aspect=true")</f>
        <v>#NAME?</v>
      </c>
      <c r="H608" t="e">
        <f ca="1">IMAGE("https://m.media-amazon.com/images/I/71TfsJUXfXL._AC_UL320_.jpg")</f>
        <v>#NAME?</v>
      </c>
      <c r="I608" t="s">
        <v>639</v>
      </c>
      <c r="J608">
        <v>86.37</v>
      </c>
      <c r="K608" s="2" t="s">
        <v>2134</v>
      </c>
      <c r="L608">
        <v>4.5</v>
      </c>
      <c r="M608">
        <v>225</v>
      </c>
      <c r="O608" t="s">
        <v>33</v>
      </c>
      <c r="P608" t="s">
        <v>26</v>
      </c>
      <c r="Q608" t="s">
        <v>741</v>
      </c>
    </row>
    <row r="609" spans="1:17" ht="15.75" x14ac:dyDescent="0.25">
      <c r="A609" s="3" t="str">
        <f>HYPERLINK("https://www.als.com/ronix-rise-impact-life-vest-womens-110022/p?skuId=977318", "https://www.als.com/ronix-rise-impact-life-vest-womens-110022/p?skuId=977318")</f>
        <v>https://www.als.com/ronix-rise-impact-life-vest-womens-110022/p?skuId=977318</v>
      </c>
      <c r="B609" s="3" t="str">
        <f>HYPERLINK("https://www.als.com/ronix-rise-impact-life-vest-womens-110022/p", "https://www.als.com/ronix-rise-impact-life-vest-womens-110022/p")</f>
        <v>https://www.als.com/ronix-rise-impact-life-vest-womens-110022/p</v>
      </c>
      <c r="C609" t="s">
        <v>161</v>
      </c>
      <c r="D609" t="s">
        <v>2135</v>
      </c>
      <c r="E609" s="3" t="str">
        <f>HYPERLINK("https://www.amazon.com/Ronix-Coral-Womens-Approved-Impact/dp/B09S16JW7P/ref=sr_1_4?keywords=Ronix+Rise+Impact+Life+Vest+-+Women%27s&amp;qid=1695124316&amp;sr=8-4", "https://www.amazon.com/Ronix-Coral-Womens-Approved-Impact/dp/B09S16JW7P/ref=sr_1_4?keywords=Ronix+Rise+Impact+Life+Vest+-+Women%27s&amp;qid=1695124316&amp;sr=8-4")</f>
        <v>https://www.amazon.com/Ronix-Coral-Womens-Approved-Impact/dp/B09S16JW7P/ref=sr_1_4?keywords=Ronix+Rise+Impact+Life+Vest+-+Women%27s&amp;qid=1695124316&amp;sr=8-4</v>
      </c>
      <c r="F609" t="s">
        <v>2136</v>
      </c>
      <c r="G609" t="e">
        <f ca="1">IMAGE("https://alssports.vtexassets.com/arquivos/ids/1011686-800-auto?v=637814277114970000&amp;width=800&amp;height=auto&amp;aspect=true")</f>
        <v>#NAME?</v>
      </c>
      <c r="H609" t="e">
        <f ca="1">IMAGE("https://m.media-amazon.com/images/I/519TwKbHrIL._AC_UL320_.jpg")</f>
        <v>#NAME?</v>
      </c>
      <c r="I609" t="s">
        <v>164</v>
      </c>
      <c r="J609">
        <v>122.16</v>
      </c>
      <c r="K609" s="2" t="s">
        <v>2137</v>
      </c>
      <c r="L609">
        <v>3</v>
      </c>
      <c r="M609">
        <v>4</v>
      </c>
      <c r="O609" t="s">
        <v>33</v>
      </c>
      <c r="P609" t="s">
        <v>26</v>
      </c>
      <c r="Q609" t="s">
        <v>165</v>
      </c>
    </row>
    <row r="610" spans="1:17" ht="15.75" x14ac:dyDescent="0.25">
      <c r="A610" s="3" t="str">
        <f>HYPERLINK("https://www.als.com/adidas-m-shoe-lite-racer-adapt-50/p?skuId=1338101", "https://www.als.com/adidas-m-shoe-lite-racer-adapt-50/p?skuId=1338101")</f>
        <v>https://www.als.com/adidas-m-shoe-lite-racer-adapt-50/p?skuId=1338101</v>
      </c>
      <c r="B610" s="3" t="str">
        <f>HYPERLINK("https://www.als.com/adidas-m-shoe-lite-racer-adapt-50/p", "https://www.als.com/adidas-m-shoe-lite-racer-adapt-50/p")</f>
        <v>https://www.als.com/adidas-m-shoe-lite-racer-adapt-50/p</v>
      </c>
      <c r="C610" t="s">
        <v>1119</v>
      </c>
      <c r="D610" t="s">
        <v>2138</v>
      </c>
      <c r="E610" s="3" t="str">
        <f>HYPERLINK("https://www.amazon.com/adidas-Racer-Adapt-Running-Shoes/dp/B08CZ58S92/ref=sr_1_3?keywords=adidas+Lite+Racer+Adapt+5.0+Shoe+-+Mens&amp;qid=1695124407&amp;sr=8-3", "https://www.amazon.com/adidas-Racer-Adapt-Running-Shoes/dp/B08CZ58S92/ref=sr_1_3?keywords=adidas+Lite+Racer+Adapt+5.0+Shoe+-+Mens&amp;qid=1695124407&amp;sr=8-3")</f>
        <v>https://www.amazon.com/adidas-Racer-Adapt-Running-Shoes/dp/B08CZ58S92/ref=sr_1_3?keywords=adidas+Lite+Racer+Adapt+5.0+Shoe+-+Mens&amp;qid=1695124407&amp;sr=8-3</v>
      </c>
      <c r="F610" t="s">
        <v>2139</v>
      </c>
      <c r="G610" t="e">
        <f ca="1">IMAGE("https://alssports.vtexassets.com/arquivos/ids/1378546-800-auto?v=638248784142700000&amp;width=800&amp;height=auto&amp;aspect=true")</f>
        <v>#NAME?</v>
      </c>
      <c r="H610" t="e">
        <f ca="1">IMAGE("https://m.media-amazon.com/images/I/81cuTtP+n6L._AC_UL320_.jpg")</f>
        <v>#NAME?</v>
      </c>
      <c r="I610" t="s">
        <v>274</v>
      </c>
      <c r="J610">
        <v>50.26</v>
      </c>
      <c r="K610" s="2" t="s">
        <v>2140</v>
      </c>
      <c r="L610">
        <v>4.5</v>
      </c>
      <c r="M610">
        <v>16289</v>
      </c>
      <c r="O610" t="s">
        <v>33</v>
      </c>
      <c r="P610" t="s">
        <v>26</v>
      </c>
      <c r="Q610" t="s">
        <v>1123</v>
      </c>
    </row>
    <row r="611" spans="1:17" ht="15.75" x14ac:dyDescent="0.25">
      <c r="A611" s="3" t="str">
        <f>HYPERLINK("https://www.als.com/crocs-classic-clog/p?skuId=1196935", "https://www.als.com/crocs-classic-clog/p?skuId=1196935")</f>
        <v>https://www.als.com/crocs-classic-clog/p?skuId=1196935</v>
      </c>
      <c r="B611" s="3" t="str">
        <f>HYPERLINK("https://www.als.com/crocs-classic-clog/p", "https://www.als.com/crocs-classic-clog/p")</f>
        <v>https://www.als.com/crocs-classic-clog/p</v>
      </c>
      <c r="C611" t="s">
        <v>1100</v>
      </c>
      <c r="D611" t="s">
        <v>2141</v>
      </c>
      <c r="E611" s="3" t="str">
        <f>HYPERLINK("https://www.amazon.com/Crocs-Unisex-Classic-Adjustable-Resistant/dp/B0B4SFX33Z/ref=sr_1_31?keywords=Crocs+Classic+Clog&amp;qid=1695124151&amp;sr=8-31", "https://www.amazon.com/Crocs-Unisex-Classic-Adjustable-Resistant/dp/B0B4SFX33Z/ref=sr_1_31?keywords=Crocs+Classic+Clog&amp;qid=1695124151&amp;sr=8-31")</f>
        <v>https://www.amazon.com/Crocs-Unisex-Classic-Adjustable-Resistant/dp/B0B4SFX33Z/ref=sr_1_31?keywords=Crocs+Classic+Clog&amp;qid=1695124151&amp;sr=8-31</v>
      </c>
      <c r="F611" t="s">
        <v>2142</v>
      </c>
      <c r="G611" t="e">
        <f ca="1">IMAGE("https://alssports.vtexassets.com/arquivos/ids/1222253-800-auto?v=638102875835800000&amp;width=800&amp;height=auto&amp;aspect=true")</f>
        <v>#NAME?</v>
      </c>
      <c r="H611" t="e">
        <f ca="1">IMAGE("https://m.media-amazon.com/images/I/61pzWwrvpdL._AC_UL320_.jpg")</f>
        <v>#NAME?</v>
      </c>
      <c r="I611" t="s">
        <v>157</v>
      </c>
      <c r="J611">
        <v>35.82</v>
      </c>
      <c r="K611" s="2" t="s">
        <v>2143</v>
      </c>
      <c r="L611">
        <v>4.5</v>
      </c>
      <c r="M611">
        <v>758</v>
      </c>
      <c r="O611" t="s">
        <v>33</v>
      </c>
      <c r="P611" t="s">
        <v>26</v>
      </c>
      <c r="Q611" t="s">
        <v>1103</v>
      </c>
    </row>
    <row r="612" spans="1:17" ht="15.75" x14ac:dyDescent="0.25">
      <c r="A612" s="3" t="str">
        <f>HYPERLINK("https://www.als.com/mizuno-m-wave-sky-6/p?skuId=1249127", "https://www.als.com/mizuno-m-wave-sky-6/p?skuId=1249127")</f>
        <v>https://www.als.com/mizuno-m-wave-sky-6/p?skuId=1249127</v>
      </c>
      <c r="B612" s="3" t="str">
        <f>HYPERLINK("https://www.als.com/mizuno-m-wave-sky-6/p", "https://www.als.com/mizuno-m-wave-sky-6/p")</f>
        <v>https://www.als.com/mizuno-m-wave-sky-6/p</v>
      </c>
      <c r="C612" t="s">
        <v>204</v>
      </c>
      <c r="D612" t="s">
        <v>2144</v>
      </c>
      <c r="E612" s="3" t="str">
        <f>HYPERLINK("https://www.amazon.com/Mizuno-Mens-Running-Black-Medium/dp/B08JZJ2D8F/ref=sr_1_2?keywords=Mizuno+Wave+Sky+6+Wide+Running+Shoe+-+Mens&amp;qid=1695124408&amp;sr=8-2", "https://www.amazon.com/Mizuno-Mens-Running-Black-Medium/dp/B08JZJ2D8F/ref=sr_1_2?keywords=Mizuno+Wave+Sky+6+Wide+Running+Shoe+-+Mens&amp;qid=1695124408&amp;sr=8-2")</f>
        <v>https://www.amazon.com/Mizuno-Mens-Running-Black-Medium/dp/B08JZJ2D8F/ref=sr_1_2?keywords=Mizuno+Wave+Sky+6+Wide+Running+Shoe+-+Mens&amp;qid=1695124408&amp;sr=8-2</v>
      </c>
      <c r="F612" t="s">
        <v>2145</v>
      </c>
      <c r="G612" t="e">
        <f ca="1">IMAGE("https://alssports.vtexassets.com/arquivos/ids/1277484-800-auto?v=638152954723900000&amp;width=800&amp;height=auto&amp;aspect=true")</f>
        <v>#NAME?</v>
      </c>
      <c r="H612" t="e">
        <f ca="1">IMAGE("https://m.media-amazon.com/images/I/81nrAZtwbNL._AC_UL320_.jpg")</f>
        <v>#NAME?</v>
      </c>
      <c r="I612" t="s">
        <v>164</v>
      </c>
      <c r="J612">
        <v>121.69</v>
      </c>
      <c r="K612" s="2" t="s">
        <v>2146</v>
      </c>
      <c r="L612">
        <v>4.4000000000000004</v>
      </c>
      <c r="M612">
        <v>233</v>
      </c>
      <c r="O612" t="s">
        <v>33</v>
      </c>
      <c r="P612" t="s">
        <v>164</v>
      </c>
      <c r="Q612" t="s">
        <v>207</v>
      </c>
    </row>
    <row r="613" spans="1:17" ht="15.75" x14ac:dyDescent="0.25">
      <c r="A613" s="3" t="str">
        <f>HYPERLINK("https://www.als.com/gord-rally-mitt/p?skuId=1306142", "https://www.als.com/gord-rally-mitt/p?skuId=1306142")</f>
        <v>https://www.als.com/gord-rally-mitt/p?skuId=1306142</v>
      </c>
      <c r="B613" s="3" t="str">
        <f>HYPERLINK("https://www.als.com/gord-rally-mitt/p", "https://www.als.com/gord-rally-mitt/p")</f>
        <v>https://www.als.com/gord-rally-mitt/p</v>
      </c>
      <c r="C613" t="s">
        <v>682</v>
      </c>
      <c r="D613" t="s">
        <v>2147</v>
      </c>
      <c r="E613" s="3" t="str">
        <f>HYPERLINK("https://www.amazon.com/Gordini-Stomp-Waterproof-Insulated-Medium/dp/B07CQC49QM/ref=sr_1_20?keywords=Gordini+Rally+Mitten+-+Mens&amp;qid=1695124309&amp;sr=8-20", "https://www.amazon.com/Gordini-Stomp-Waterproof-Insulated-Medium/dp/B07CQC49QM/ref=sr_1_20?keywords=Gordini+Rally+Mitten+-+Mens&amp;qid=1695124309&amp;sr=8-20")</f>
        <v>https://www.amazon.com/Gordini-Stomp-Waterproof-Insulated-Medium/dp/B07CQC49QM/ref=sr_1_20?keywords=Gordini+Rally+Mitten+-+Mens&amp;qid=1695124309&amp;sr=8-20</v>
      </c>
      <c r="F613" t="s">
        <v>2148</v>
      </c>
      <c r="G613" t="e">
        <f ca="1">IMAGE("https://alssports.vtexassets.com/arquivos/ids/1427992-800-auto?v=638283287978400000&amp;width=800&amp;height=auto&amp;aspect=true")</f>
        <v>#NAME?</v>
      </c>
      <c r="H613" t="e">
        <f ca="1">IMAGE("https://m.media-amazon.com/images/I/81YGufTmTTL._AC_UL320_.jpg")</f>
        <v>#NAME?</v>
      </c>
      <c r="I613" t="s">
        <v>225</v>
      </c>
      <c r="J613">
        <v>50.05</v>
      </c>
      <c r="K613" s="2" t="s">
        <v>2149</v>
      </c>
      <c r="L613">
        <v>4</v>
      </c>
      <c r="M613">
        <v>10</v>
      </c>
      <c r="O613" t="s">
        <v>33</v>
      </c>
      <c r="P613" t="s">
        <v>26</v>
      </c>
      <c r="Q613" t="s">
        <v>686</v>
      </c>
    </row>
    <row r="614" spans="1:17" ht="15.75" x14ac:dyDescent="0.25">
      <c r="A614" s="3" t="str">
        <f>HYPERLINK("https://www.als.com/adidas-m-shoe-lite-racer-adapt-50/p?skuId=1338101", "https://www.als.com/adidas-m-shoe-lite-racer-adapt-50/p?skuId=1338101")</f>
        <v>https://www.als.com/adidas-m-shoe-lite-racer-adapt-50/p?skuId=1338101</v>
      </c>
      <c r="B614" s="3" t="str">
        <f>HYPERLINK("https://www.als.com/adidas-m-shoe-lite-racer-adapt-50/p", "https://www.als.com/adidas-m-shoe-lite-racer-adapt-50/p")</f>
        <v>https://www.als.com/adidas-m-shoe-lite-racer-adapt-50/p</v>
      </c>
      <c r="C614" t="s">
        <v>1119</v>
      </c>
      <c r="D614" t="s">
        <v>2150</v>
      </c>
      <c r="E614" s="3" t="str">
        <f>HYPERLINK("https://www.amazon.com/adidas-Womens-Racer-Adapt-Running/dp/B07T82WXVX/ref=sr_1_6?keywords=adidas+Lite+Racer+Adapt+5.0+Shoe+-+Mens&amp;qid=1695124407&amp;sr=8-6", "https://www.amazon.com/adidas-Womens-Racer-Adapt-Running/dp/B07T82WXVX/ref=sr_1_6?keywords=adidas+Lite+Racer+Adapt+5.0+Shoe+-+Mens&amp;qid=1695124407&amp;sr=8-6")</f>
        <v>https://www.amazon.com/adidas-Womens-Racer-Adapt-Running/dp/B07T82WXVX/ref=sr_1_6?keywords=adidas+Lite+Racer+Adapt+5.0+Shoe+-+Mens&amp;qid=1695124407&amp;sr=8-6</v>
      </c>
      <c r="F614" t="s">
        <v>2151</v>
      </c>
      <c r="G614" t="e">
        <f ca="1">IMAGE("https://alssports.vtexassets.com/arquivos/ids/1378546-800-auto?v=638248784142700000&amp;width=800&amp;height=auto&amp;aspect=true")</f>
        <v>#NAME?</v>
      </c>
      <c r="H614" t="e">
        <f ca="1">IMAGE("https://m.media-amazon.com/images/I/81HU9J-Pq7L._AC_UL320_.jpg")</f>
        <v>#NAME?</v>
      </c>
      <c r="I614" t="s">
        <v>274</v>
      </c>
      <c r="J614">
        <v>50</v>
      </c>
      <c r="K614" s="2" t="s">
        <v>2152</v>
      </c>
      <c r="L614">
        <v>4.5</v>
      </c>
      <c r="M614">
        <v>2038</v>
      </c>
      <c r="O614" t="s">
        <v>33</v>
      </c>
      <c r="P614" t="s">
        <v>26</v>
      </c>
      <c r="Q614" t="s">
        <v>1123</v>
      </c>
    </row>
    <row r="615" spans="1:17" ht="15.75" x14ac:dyDescent="0.25">
      <c r="A615" s="3" t="str">
        <f>HYPERLINK("https://www.als.com/pennf-battle-iii-spinning-reel/p?skuId=801488", "https://www.als.com/pennf-battle-iii-spinning-reel/p?skuId=801488")</f>
        <v>https://www.als.com/pennf-battle-iii-spinning-reel/p?skuId=801488</v>
      </c>
      <c r="B615" s="3" t="str">
        <f>HYPERLINK("https://www.als.com/pennf-battle-iii-spinning-reel/p", "https://www.als.com/pennf-battle-iii-spinning-reel/p")</f>
        <v>https://www.als.com/pennf-battle-iii-spinning-reel/p</v>
      </c>
      <c r="C615" t="s">
        <v>1971</v>
      </c>
      <c r="D615" t="s">
        <v>2153</v>
      </c>
      <c r="E615" s="3" t="str">
        <f>HYPERLINK("https://www.amazon.com/Penn-Fierce-III-Reel/dp/B07TWMYDFK/ref=sr_1_8?keywords=Penn+Battle+III+Spinning+Reel&amp;qid=1695124356&amp;sr=8-8", "https://www.amazon.com/Penn-Fierce-III-Reel/dp/B07TWMYDFK/ref=sr_1_8?keywords=Penn+Battle+III+Spinning+Reel&amp;qid=1695124356&amp;sr=8-8")</f>
        <v>https://www.amazon.com/Penn-Fierce-III-Reel/dp/B07TWMYDFK/ref=sr_1_8?keywords=Penn+Battle+III+Spinning+Reel&amp;qid=1695124356&amp;sr=8-8</v>
      </c>
      <c r="F615" t="s">
        <v>2154</v>
      </c>
      <c r="G615" t="e">
        <f ca="1">IMAGE("https://alssports.vtexassets.com/arquivos/ids/970583-800-auto?v=637798562331900000&amp;width=800&amp;height=auto&amp;aspect=true")</f>
        <v>#NAME?</v>
      </c>
      <c r="H615" t="e">
        <f ca="1">IMAGE("https://m.media-amazon.com/images/I/71a+FV1K-IL._AC_UY218_.jpg")</f>
        <v>#NAME?</v>
      </c>
      <c r="I615" t="s">
        <v>1220</v>
      </c>
      <c r="J615">
        <v>79.989999999999995</v>
      </c>
      <c r="K615" s="2" t="s">
        <v>2155</v>
      </c>
      <c r="L615">
        <v>4.7</v>
      </c>
      <c r="M615">
        <v>1321</v>
      </c>
      <c r="O615" t="s">
        <v>33</v>
      </c>
      <c r="P615" t="s">
        <v>832</v>
      </c>
      <c r="Q615" t="s">
        <v>1975</v>
      </c>
    </row>
    <row r="616" spans="1:17" ht="15.75" x14ac:dyDescent="0.25">
      <c r="A616" s="3" t="str">
        <f>HYPERLINK("https://www.als.com/solstc-kayak-flare-2-inflatable/p", "https://www.als.com/solstc-kayak-flare-2-inflatable/p")</f>
        <v>https://www.als.com/solstc-kayak-flare-2-inflatable/p</v>
      </c>
      <c r="B616" s="3" t="str">
        <f>HYPERLINK("https://www.als.com/solstc-kayak-flare-2-inflatable/p", "https://www.als.com/solstc-kayak-flare-2-inflatable/p")</f>
        <v>https://www.als.com/solstc-kayak-flare-2-inflatable/p</v>
      </c>
      <c r="C616" t="s">
        <v>2156</v>
      </c>
      <c r="D616" t="s">
        <v>2157</v>
      </c>
      <c r="E616" s="3" t="str">
        <f>HYPERLINK("https://www.amazon.com/Retrospec-Coaster-Person-Inflatable-Kayak/dp/B09K2L5T1Q/ref=sr_1_8?keywords=Solstice+Flare+1-2+Person+Inflatable+Kayak&amp;qid=1695124327&amp;sr=8-8", "https://www.amazon.com/Retrospec-Coaster-Person-Inflatable-Kayak/dp/B09K2L5T1Q/ref=sr_1_8?keywords=Solstice+Flare+1-2+Person+Inflatable+Kayak&amp;qid=1695124327&amp;sr=8-8")</f>
        <v>https://www.amazon.com/Retrospec-Coaster-Person-Inflatable-Kayak/dp/B09K2L5T1Q/ref=sr_1_8?keywords=Solstice+Flare+1-2+Person+Inflatable+Kayak&amp;qid=1695124327&amp;sr=8-8</v>
      </c>
      <c r="F616" t="s">
        <v>2158</v>
      </c>
      <c r="G616" t="e">
        <f ca="1">IMAGE("https://alssports.vtexassets.com/arquivos/ids/1412193-800-auto?v=638271061065300000&amp;width=800&amp;height=auto&amp;aspect=true")</f>
        <v>#NAME?</v>
      </c>
      <c r="H616" t="e">
        <f ca="1">IMAGE("https://m.media-amazon.com/images/I/81Ul39UE3WL._AC_UY218_.jpg")</f>
        <v>#NAME?</v>
      </c>
      <c r="I616" t="s">
        <v>2159</v>
      </c>
      <c r="J616">
        <v>472.99</v>
      </c>
      <c r="K616" s="2" t="s">
        <v>2160</v>
      </c>
      <c r="L616">
        <v>3.9</v>
      </c>
      <c r="M616">
        <v>40</v>
      </c>
      <c r="O616" t="s">
        <v>33</v>
      </c>
      <c r="P616" t="s">
        <v>26</v>
      </c>
      <c r="Q616" t="s">
        <v>2161</v>
      </c>
    </row>
    <row r="617" spans="1:17" ht="15.75" x14ac:dyDescent="0.25">
      <c r="A617" s="3" t="str">
        <f>HYPERLINK("https://www.als.com/asics-ws-shoe-gel-nimbus-24/p?skuId=1037727", "https://www.als.com/asics-ws-shoe-gel-nimbus-24/p?skuId=1037727")</f>
        <v>https://www.als.com/asics-ws-shoe-gel-nimbus-24/p?skuId=1037727</v>
      </c>
      <c r="B617" s="3" t="str">
        <f>HYPERLINK("https://www.als.com/asics-ws-shoe-gel-nimbus-24/p", "https://www.als.com/asics-ws-shoe-gel-nimbus-24/p")</f>
        <v>https://www.als.com/asics-ws-shoe-gel-nimbus-24/p</v>
      </c>
      <c r="C617" t="s">
        <v>1217</v>
      </c>
      <c r="D617" t="s">
        <v>2162</v>
      </c>
      <c r="E617" s="3" t="str">
        <f>HYPERLINK("https://www.amazon.com/ASICS-Womens-Gel-Cumulus-LITE-Show-Running/dp/B09WCC9ZSY/ref=sr_1_15?keywords=Asics+GEL-NIMBUS+24+Running+Shoe+-+Womens&amp;qid=1695124093&amp;sr=8-15", "https://www.amazon.com/ASICS-Womens-Gel-Cumulus-LITE-Show-Running/dp/B09WCC9ZSY/ref=sr_1_15?keywords=Asics+GEL-NIMBUS+24+Running+Shoe+-+Womens&amp;qid=1695124093&amp;sr=8-15")</f>
        <v>https://www.amazon.com/ASICS-Womens-Gel-Cumulus-LITE-Show-Running/dp/B09WCC9ZSY/ref=sr_1_15?keywords=Asics+GEL-NIMBUS+24+Running+Shoe+-+Womens&amp;qid=1695124093&amp;sr=8-15</v>
      </c>
      <c r="F617" t="s">
        <v>2163</v>
      </c>
      <c r="G617" t="e">
        <f ca="1">IMAGE("https://alssports.vtexassets.com/arquivos/ids/1109551-800-auto?v=637950821539330000&amp;width=800&amp;height=auto&amp;aspect=true")</f>
        <v>#NAME?</v>
      </c>
      <c r="H617" t="e">
        <f ca="1">IMAGE("https://m.media-amazon.com/images/I/61n3fmeLMDL._AC_UL320_.jpg")</f>
        <v>#NAME?</v>
      </c>
      <c r="I617" t="s">
        <v>1220</v>
      </c>
      <c r="J617">
        <v>79.95</v>
      </c>
      <c r="K617" s="2" t="s">
        <v>2164</v>
      </c>
      <c r="L617">
        <v>4.8</v>
      </c>
      <c r="M617">
        <v>15</v>
      </c>
      <c r="O617" t="s">
        <v>33</v>
      </c>
      <c r="P617" t="s">
        <v>88</v>
      </c>
      <c r="Q617" t="s">
        <v>1222</v>
      </c>
    </row>
    <row r="618" spans="1:17" ht="15.75" x14ac:dyDescent="0.25">
      <c r="A618" s="3" t="str">
        <f>HYPERLINK("https://www.als.com/asics-ws-shoe-gel-nimbus-24/p?skuId=1037727", "https://www.als.com/asics-ws-shoe-gel-nimbus-24/p?skuId=1037727")</f>
        <v>https://www.als.com/asics-ws-shoe-gel-nimbus-24/p?skuId=1037727</v>
      </c>
      <c r="B618" s="3" t="str">
        <f>HYPERLINK("https://www.als.com/asics-ws-shoe-gel-nimbus-24/p", "https://www.als.com/asics-ws-shoe-gel-nimbus-24/p")</f>
        <v>https://www.als.com/asics-ws-shoe-gel-nimbus-24/p</v>
      </c>
      <c r="C618" t="s">
        <v>1217</v>
      </c>
      <c r="D618" t="s">
        <v>2165</v>
      </c>
      <c r="E618" s="3" t="str">
        <f>HYPERLINK("https://www.amazon.com/ASICS-Womens-Gel-Nimbus-Running-Digital/dp/B08KHC2VKC/ref=sr_1_29?keywords=Asics+GEL-NIMBUS+24+Running+Shoe+-+Womens&amp;qid=1695124093&amp;sr=8-29", "https://www.amazon.com/ASICS-Womens-Gel-Nimbus-Running-Digital/dp/B08KHC2VKC/ref=sr_1_29?keywords=Asics+GEL-NIMBUS+24+Running+Shoe+-+Womens&amp;qid=1695124093&amp;sr=8-29")</f>
        <v>https://www.amazon.com/ASICS-Womens-Gel-Nimbus-Running-Digital/dp/B08KHC2VKC/ref=sr_1_29?keywords=Asics+GEL-NIMBUS+24+Running+Shoe+-+Womens&amp;qid=1695124093&amp;sr=8-29</v>
      </c>
      <c r="F618" t="s">
        <v>2166</v>
      </c>
      <c r="G618" t="e">
        <f ca="1">IMAGE("https://alssports.vtexassets.com/arquivos/ids/1109551-800-auto?v=637950821539330000&amp;width=800&amp;height=auto&amp;aspect=true")</f>
        <v>#NAME?</v>
      </c>
      <c r="H618" t="e">
        <f ca="1">IMAGE("https://m.media-amazon.com/images/I/71S5-BS7niL._AC_UL320_.jpg")</f>
        <v>#NAME?</v>
      </c>
      <c r="I618" t="s">
        <v>1220</v>
      </c>
      <c r="J618">
        <v>79.95</v>
      </c>
      <c r="K618" s="2" t="s">
        <v>2164</v>
      </c>
      <c r="L618">
        <v>4.2</v>
      </c>
      <c r="M618">
        <v>286</v>
      </c>
      <c r="O618" t="s">
        <v>33</v>
      </c>
      <c r="P618" t="s">
        <v>88</v>
      </c>
      <c r="Q618" t="s">
        <v>1222</v>
      </c>
    </row>
    <row r="619" spans="1:17" ht="15.75" x14ac:dyDescent="0.25">
      <c r="A619" s="3" t="str">
        <f>HYPERLINK("https://www.als.com/bogs-y--g-n-clssc-mshrms-bt/p?skuId=1239352", "https://www.als.com/bogs-y--g-n-clssc-mshrms-bt/p?skuId=1239352")</f>
        <v>https://www.als.com/bogs-y--g-n-clssc-mshrms-bt/p?skuId=1239352</v>
      </c>
      <c r="B619" s="3" t="str">
        <f>HYPERLINK("https://www.als.com/bogs-y--g-n-clssc-mshrms-bt/p", "https://www.als.com/bogs-y--g-n-clssc-mshrms-bt/p")</f>
        <v>https://www.als.com/bogs-y--g-n-clssc-mshrms-bt/p</v>
      </c>
      <c r="C619" t="s">
        <v>924</v>
      </c>
      <c r="D619" t="s">
        <v>2167</v>
      </c>
      <c r="E619" s="3" t="str">
        <f>HYPERLINK("https://www.amazon.com/BOGS-Kids-Neo-Classic-Rain-Dye-Navy/dp/B08911NR38/ref=sr_1_2?keywords=Bogs+Neo+Classic+Mushrooms+Boot+-+Youth&amp;qid=1695124392&amp;sr=8-2", "https://www.amazon.com/BOGS-Kids-Neo-Classic-Rain-Dye-Navy/dp/B08911NR38/ref=sr_1_2?keywords=Bogs+Neo+Classic+Mushrooms+Boot+-+Youth&amp;qid=1695124392&amp;sr=8-2")</f>
        <v>https://www.amazon.com/BOGS-Kids-Neo-Classic-Rain-Dye-Navy/dp/B08911NR38/ref=sr_1_2?keywords=Bogs+Neo+Classic+Mushrooms+Boot+-+Youth&amp;qid=1695124392&amp;sr=8-2</v>
      </c>
      <c r="F619" t="s">
        <v>2168</v>
      </c>
      <c r="G619" t="e">
        <f ca="1">IMAGE("https://alssports.vtexassets.com/arquivos/ids/1202231-800-auto?v=638079510736030000&amp;width=800&amp;height=auto&amp;aspect=true")</f>
        <v>#NAME?</v>
      </c>
      <c r="H619" t="e">
        <f ca="1">IMAGE("https://m.media-amazon.com/images/I/71rrlg95Q6L._AC_UL320_.jpg")</f>
        <v>#NAME?</v>
      </c>
      <c r="I619" t="s">
        <v>927</v>
      </c>
      <c r="J619">
        <v>44.95</v>
      </c>
      <c r="K619" s="2" t="s">
        <v>2169</v>
      </c>
      <c r="L619">
        <v>4.7</v>
      </c>
      <c r="M619">
        <v>91</v>
      </c>
      <c r="O619" t="s">
        <v>33</v>
      </c>
      <c r="P619" t="s">
        <v>928</v>
      </c>
      <c r="Q619" t="s">
        <v>929</v>
      </c>
    </row>
    <row r="620" spans="1:17" ht="15.75" x14ac:dyDescent="0.25">
      <c r="A620" s="3" t="str">
        <f>HYPERLINK("https://www.als.com/chaco-m-sandal-zcloud/p?skuId=932120", "https://www.als.com/chaco-m-sandal-zcloud/p?skuId=932120")</f>
        <v>https://www.als.com/chaco-m-sandal-zcloud/p?skuId=932120</v>
      </c>
      <c r="B620" s="3" t="str">
        <f>HYPERLINK("https://www.als.com/chaco-m-sandal-zcloud/p", "https://www.als.com/chaco-m-sandal-zcloud/p")</f>
        <v>https://www.als.com/chaco-m-sandal-zcloud/p</v>
      </c>
      <c r="C620" t="s">
        <v>694</v>
      </c>
      <c r="D620" t="s">
        <v>2170</v>
      </c>
      <c r="E620" s="3" t="str">
        <f>HYPERLINK("https://www.amazon.com/Chaco-Banded-Zcloud-Sandal-Mallard/dp/B07M6G1NNF/ref=sr_1_9?keywords=Chaco+Z%2FCloud+Sandal+-+Mens&amp;qid=1695124430&amp;sr=8-9", "https://www.amazon.com/Chaco-Banded-Zcloud-Sandal-Mallard/dp/B07M6G1NNF/ref=sr_1_9?keywords=Chaco+Z%2FCloud+Sandal+-+Mens&amp;qid=1695124430&amp;sr=8-9")</f>
        <v>https://www.amazon.com/Chaco-Banded-Zcloud-Sandal-Mallard/dp/B07M6G1NNF/ref=sr_1_9?keywords=Chaco+Z%2FCloud+Sandal+-+Mens&amp;qid=1695124430&amp;sr=8-9</v>
      </c>
      <c r="F620" t="s">
        <v>2171</v>
      </c>
      <c r="G620" t="e">
        <f ca="1">IMAGE("https://alssports.vtexassets.com/arquivos/ids/1082383-800-auto?v=637913737461500000&amp;width=800&amp;height=auto&amp;aspect=true")</f>
        <v>#NAME?</v>
      </c>
      <c r="H620" t="e">
        <f ca="1">IMAGE("https://m.media-amazon.com/images/I/71FBlPZnnlL._AC_UL320_.jpg")</f>
        <v>#NAME?</v>
      </c>
      <c r="I620" t="s">
        <v>269</v>
      </c>
      <c r="J620">
        <v>74.900000000000006</v>
      </c>
      <c r="K620" s="2" t="s">
        <v>2172</v>
      </c>
      <c r="L620">
        <v>4.2</v>
      </c>
      <c r="M620">
        <v>38</v>
      </c>
      <c r="O620" t="s">
        <v>33</v>
      </c>
      <c r="P620" t="s">
        <v>26</v>
      </c>
      <c r="Q620" t="s">
        <v>697</v>
      </c>
    </row>
    <row r="621" spans="1:17" ht="15.75" x14ac:dyDescent="0.25">
      <c r="A621" s="3" t="str">
        <f>HYPERLINK("https://www.als.com/babola-m-shoe-jet-mach-3/p?skuId=599962", "https://www.als.com/babola-m-shoe-jet-mach-3/p?skuId=599962")</f>
        <v>https://www.als.com/babola-m-shoe-jet-mach-3/p?skuId=599962</v>
      </c>
      <c r="B621" s="3" t="str">
        <f>HYPERLINK("https://www.als.com/babola-m-shoe-jet-mach-3/p", "https://www.als.com/babola-m-shoe-jet-mach-3/p")</f>
        <v>https://www.als.com/babola-m-shoe-jet-mach-3/p</v>
      </c>
      <c r="C621" t="s">
        <v>875</v>
      </c>
      <c r="D621" t="s">
        <v>2173</v>
      </c>
      <c r="E621" s="3" t="str">
        <f>HYPERLINK("https://www.amazon.com/Babolat-Tere-Court-Mens-Tennis/dp/B0836YZNK9/ref=sr_1_5?keywords=Babolat+Jet+Mach+3+All+Court+Tennis+Shoe+-+Mens&amp;qid=1695124489&amp;sr=8-5", "https://www.amazon.com/Babolat-Tere-Court-Mens-Tennis/dp/B0836YZNK9/ref=sr_1_5?keywords=Babolat+Jet+Mach+3+All+Court+Tennis+Shoe+-+Mens&amp;qid=1695124489&amp;sr=8-5")</f>
        <v>https://www.amazon.com/Babolat-Tere-Court-Mens-Tennis/dp/B0836YZNK9/ref=sr_1_5?keywords=Babolat+Jet+Mach+3+All+Court+Tennis+Shoe+-+Mens&amp;qid=1695124489&amp;sr=8-5</v>
      </c>
      <c r="F621" t="s">
        <v>2174</v>
      </c>
      <c r="G621" t="e">
        <f ca="1">IMAGE("https://alssports.vtexassets.com/arquivos/ids/1411604-800-auto?v=638270546404000000&amp;width=800&amp;height=auto&amp;aspect=true")</f>
        <v>#NAME?</v>
      </c>
      <c r="H621" t="e">
        <f ca="1">IMAGE("https://m.media-amazon.com/images/I/71rn5zy7eRS._AC_UL320_.jpg")</f>
        <v>#NAME?</v>
      </c>
      <c r="I621" t="s">
        <v>878</v>
      </c>
      <c r="J621">
        <v>106.25</v>
      </c>
      <c r="K621" s="2" t="s">
        <v>2175</v>
      </c>
      <c r="L621">
        <v>4.3</v>
      </c>
      <c r="M621">
        <v>187</v>
      </c>
      <c r="O621" t="s">
        <v>33</v>
      </c>
      <c r="P621" t="s">
        <v>26</v>
      </c>
      <c r="Q621" t="s">
        <v>880</v>
      </c>
    </row>
    <row r="622" spans="1:17" ht="15.75" x14ac:dyDescent="0.25">
      <c r="A622" s="3" t="str">
        <f>HYPERLINK("https://www.als.com/under-m-charged-verssert-run-shoe/p?skuId=1204906", "https://www.als.com/under-m-charged-verssert-run-shoe/p?skuId=1204906")</f>
        <v>https://www.als.com/under-m-charged-verssert-run-shoe/p?skuId=1204906</v>
      </c>
      <c r="B622" s="3" t="str">
        <f>HYPERLINK("https://www.als.com/under-m-charged-verssert-run-shoe/p", "https://www.als.com/under-m-charged-verssert-run-shoe/p")</f>
        <v>https://www.als.com/under-m-charged-verssert-run-shoe/p</v>
      </c>
      <c r="C622" t="s">
        <v>60</v>
      </c>
      <c r="D622" t="s">
        <v>2176</v>
      </c>
      <c r="E622" s="3" t="str">
        <f>HYPERLINK("https://www.amazon.com/Under-Armour-Charged-Impulse-Running/dp/B09LS72MTD/ref=sr_1_17?keywords=Under+Armour+Charged+Verssert+Running+Shoe+-+Mens&amp;qid=1695124491&amp;sr=8-17", "https://www.amazon.com/Under-Armour-Charged-Impulse-Running/dp/B09LS72MTD/ref=sr_1_17?keywords=Under+Armour+Charged+Verssert+Running+Shoe+-+Mens&amp;qid=1695124491&amp;sr=8-17")</f>
        <v>https://www.amazon.com/Under-Armour-Charged-Impulse-Running/dp/B09LS72MTD/ref=sr_1_17?keywords=Under+Armour+Charged+Verssert+Running+Shoe+-+Mens&amp;qid=1695124491&amp;sr=8-17</v>
      </c>
      <c r="F622" t="s">
        <v>2177</v>
      </c>
      <c r="G622" t="e">
        <f ca="1">IMAGE("https://alssports.vtexassets.com/arquivos/ids/1282426-800-auto?v=638158001411130000&amp;width=800&amp;height=auto&amp;aspect=true")</f>
        <v>#NAME?</v>
      </c>
      <c r="H622" t="e">
        <f ca="1">IMAGE("https://m.media-amazon.com/images/I/81Lf4MUycyL._AC_UL320_.jpg")</f>
        <v>#NAME?</v>
      </c>
      <c r="I622" t="s">
        <v>63</v>
      </c>
      <c r="J622">
        <v>53.41</v>
      </c>
      <c r="K622" s="2" t="s">
        <v>2178</v>
      </c>
      <c r="L622">
        <v>4.5</v>
      </c>
      <c r="M622">
        <v>332</v>
      </c>
      <c r="O622" t="s">
        <v>33</v>
      </c>
      <c r="P622" t="s">
        <v>26</v>
      </c>
      <c r="Q622" t="s">
        <v>64</v>
      </c>
    </row>
    <row r="623" spans="1:17" ht="15.75" x14ac:dyDescent="0.25">
      <c r="A623" s="3" t="str">
        <f>HYPERLINK("https://www.als.com/under-m-charged-verssert-run-shoe/p?skuId=1204906", "https://www.als.com/under-m-charged-verssert-run-shoe/p?skuId=1204906")</f>
        <v>https://www.als.com/under-m-charged-verssert-run-shoe/p?skuId=1204906</v>
      </c>
      <c r="B623" s="3" t="str">
        <f>HYPERLINK("https://www.als.com/under-m-charged-verssert-run-shoe/p", "https://www.als.com/under-m-charged-verssert-run-shoe/p")</f>
        <v>https://www.als.com/under-m-charged-verssert-run-shoe/p</v>
      </c>
      <c r="C623" t="s">
        <v>60</v>
      </c>
      <c r="D623" t="s">
        <v>2179</v>
      </c>
      <c r="E623" s="3" t="str">
        <f>HYPERLINK("https://www.amazon.com/Under-Armour-Charged-Pursuit-Running/dp/B09LS9YBZL/ref=sr_1_18?keywords=Under+Armour+Charged+Verssert+Running+Shoe+-+Mens&amp;qid=1695124491&amp;sr=8-18", "https://www.amazon.com/Under-Armour-Charged-Pursuit-Running/dp/B09LS9YBZL/ref=sr_1_18?keywords=Under+Armour+Charged+Verssert+Running+Shoe+-+Mens&amp;qid=1695124491&amp;sr=8-18")</f>
        <v>https://www.amazon.com/Under-Armour-Charged-Pursuit-Running/dp/B09LS9YBZL/ref=sr_1_18?keywords=Under+Armour+Charged+Verssert+Running+Shoe+-+Mens&amp;qid=1695124491&amp;sr=8-18</v>
      </c>
      <c r="F623" t="s">
        <v>2180</v>
      </c>
      <c r="G623" t="e">
        <f ca="1">IMAGE("https://alssports.vtexassets.com/arquivos/ids/1282426-800-auto?v=638158001411130000&amp;width=800&amp;height=auto&amp;aspect=true")</f>
        <v>#NAME?</v>
      </c>
      <c r="H623" t="e">
        <f ca="1">IMAGE("https://m.media-amazon.com/images/I/81brgHxX9fL._AC_UL320_.jpg")</f>
        <v>#NAME?</v>
      </c>
      <c r="I623" t="s">
        <v>63</v>
      </c>
      <c r="J623">
        <v>53.31</v>
      </c>
      <c r="K623" s="2" t="s">
        <v>2181</v>
      </c>
      <c r="L623">
        <v>4.5</v>
      </c>
      <c r="M623">
        <v>413</v>
      </c>
      <c r="O623" t="s">
        <v>33</v>
      </c>
      <c r="P623" t="s">
        <v>26</v>
      </c>
      <c r="Q623" t="s">
        <v>64</v>
      </c>
    </row>
    <row r="624" spans="1:17" ht="15.75" x14ac:dyDescent="0.25">
      <c r="A624" s="3" t="str">
        <f>HYPERLINK("https://www.als.com/gord-rally-mitt/p?skuId=1306142", "https://www.als.com/gord-rally-mitt/p?skuId=1306142")</f>
        <v>https://www.als.com/gord-rally-mitt/p?skuId=1306142</v>
      </c>
      <c r="B624" s="3" t="str">
        <f>HYPERLINK("https://www.als.com/gord-rally-mitt/p", "https://www.als.com/gord-rally-mitt/p")</f>
        <v>https://www.als.com/gord-rally-mitt/p</v>
      </c>
      <c r="C624" t="s">
        <v>682</v>
      </c>
      <c r="D624" t="s">
        <v>2182</v>
      </c>
      <c r="E624" s="3" t="str">
        <f>HYPERLINK("https://www.amazon.com/Gordini-Waterproof-Insulated-Mittens-Black/dp/B071D4FYXB/ref=sr_1_18?keywords=Gordini+Rally+Mitten+-+Mens&amp;qid=1695124309&amp;sr=8-18", "https://www.amazon.com/Gordini-Waterproof-Insulated-Mittens-Black/dp/B071D4FYXB/ref=sr_1_18?keywords=Gordini+Rally+Mitten+-+Mens&amp;qid=1695124309&amp;sr=8-18")</f>
        <v>https://www.amazon.com/Gordini-Waterproof-Insulated-Mittens-Black/dp/B071D4FYXB/ref=sr_1_18?keywords=Gordini+Rally+Mitten+-+Mens&amp;qid=1695124309&amp;sr=8-18</v>
      </c>
      <c r="F624" t="s">
        <v>2183</v>
      </c>
      <c r="G624" t="e">
        <f ca="1">IMAGE("https://alssports.vtexassets.com/arquivos/ids/1427992-800-auto?v=638283287978400000&amp;width=800&amp;height=auto&amp;aspect=true")</f>
        <v>#NAME?</v>
      </c>
      <c r="H624" t="e">
        <f ca="1">IMAGE("https://m.media-amazon.com/images/I/81mmJ8Fj1pL._AC_UL320_.jpg")</f>
        <v>#NAME?</v>
      </c>
      <c r="I624" t="s">
        <v>225</v>
      </c>
      <c r="J624">
        <v>49.74</v>
      </c>
      <c r="K624" s="2" t="s">
        <v>2184</v>
      </c>
      <c r="L624">
        <v>4.5999999999999996</v>
      </c>
      <c r="M624">
        <v>2</v>
      </c>
      <c r="O624" t="s">
        <v>33</v>
      </c>
      <c r="P624" t="s">
        <v>26</v>
      </c>
      <c r="Q624" t="s">
        <v>686</v>
      </c>
    </row>
    <row r="625" spans="1:17" ht="15.75" x14ac:dyDescent="0.25">
      <c r="A625" s="3" t="str">
        <f>HYPERLINK("https://www.als.com/under-m-charged-verssert-run-shoe/p?skuId=1204906", "https://www.als.com/under-m-charged-verssert-run-shoe/p?skuId=1204906")</f>
        <v>https://www.als.com/under-m-charged-verssert-run-shoe/p?skuId=1204906</v>
      </c>
      <c r="B625" s="3" t="str">
        <f>HYPERLINK("https://www.als.com/under-m-charged-verssert-run-shoe/p", "https://www.als.com/under-m-charged-verssert-run-shoe/p")</f>
        <v>https://www.als.com/under-m-charged-verssert-run-shoe/p</v>
      </c>
      <c r="C625" t="s">
        <v>60</v>
      </c>
      <c r="D625" t="s">
        <v>2185</v>
      </c>
      <c r="E625" s="3" t="str">
        <f>HYPERLINK("https://www.amazon.com/Under-Armour-Charged-Escape-Running/dp/B09LS848RQ/ref=sr_1_9?keywords=Under+Armour+Charged+Verssert+Running+Shoe+-+Mens&amp;qid=1695124491&amp;sr=8-9", "https://www.amazon.com/Under-Armour-Charged-Escape-Running/dp/B09LS848RQ/ref=sr_1_9?keywords=Under+Armour+Charged+Verssert+Running+Shoe+-+Mens&amp;qid=1695124491&amp;sr=8-9")</f>
        <v>https://www.amazon.com/Under-Armour-Charged-Escape-Running/dp/B09LS848RQ/ref=sr_1_9?keywords=Under+Armour+Charged+Verssert+Running+Shoe+-+Mens&amp;qid=1695124491&amp;sr=8-9</v>
      </c>
      <c r="F625" t="s">
        <v>2186</v>
      </c>
      <c r="G625" t="e">
        <f ca="1">IMAGE("https://alssports.vtexassets.com/arquivos/ids/1282426-800-auto?v=638158001411130000&amp;width=800&amp;height=auto&amp;aspect=true")</f>
        <v>#NAME?</v>
      </c>
      <c r="H625" t="e">
        <f ca="1">IMAGE("https://m.media-amazon.com/images/I/71SwE8VuwFL._AC_UL320_.jpg")</f>
        <v>#NAME?</v>
      </c>
      <c r="I625" t="s">
        <v>63</v>
      </c>
      <c r="J625">
        <v>53.18</v>
      </c>
      <c r="K625" s="2" t="s">
        <v>2187</v>
      </c>
      <c r="L625">
        <v>4.5</v>
      </c>
      <c r="M625">
        <v>856</v>
      </c>
      <c r="O625" t="s">
        <v>33</v>
      </c>
      <c r="P625" t="s">
        <v>26</v>
      </c>
      <c r="Q625" t="s">
        <v>64</v>
      </c>
    </row>
    <row r="626" spans="1:17" ht="15.75" x14ac:dyDescent="0.25">
      <c r="A626" s="3" t="str">
        <f>HYPERLINK("https://www.als.com/adidaa-shinguard-predator-competition/p?skuId=1284404", "https://www.als.com/adidaa-shinguard-predator-competition/p?skuId=1284404")</f>
        <v>https://www.als.com/adidaa-shinguard-predator-competition/p?skuId=1284404</v>
      </c>
      <c r="B626" s="3" t="str">
        <f>HYPERLINK("https://www.als.com/adidaa-shinguard-predator-competition/p", "https://www.als.com/adidaa-shinguard-predator-competition/p")</f>
        <v>https://www.als.com/adidaa-shinguard-predator-competition/p</v>
      </c>
      <c r="C626" t="s">
        <v>930</v>
      </c>
      <c r="D626" t="s">
        <v>2188</v>
      </c>
      <c r="E626" s="3" t="str">
        <f>HYPERLINK("https://www.amazon.com/Unisex-Adult-League-Predator-Shinguard-Solar/dp/B09JX188T8/ref=sr_1_12?keywords=Adidas+Predator+Competition+Shin+Guard&amp;qid=1695124435&amp;sr=8-12", "https://www.amazon.com/Unisex-Adult-League-Predator-Shinguard-Solar/dp/B09JX188T8/ref=sr_1_12?keywords=Adidas+Predator+Competition+Shin+Guard&amp;qid=1695124435&amp;sr=8-12")</f>
        <v>https://www.amazon.com/Unisex-Adult-League-Predator-Shinguard-Solar/dp/B09JX188T8/ref=sr_1_12?keywords=Adidas+Predator+Competition+Shin+Guard&amp;qid=1695124435&amp;sr=8-12</v>
      </c>
      <c r="F626" t="s">
        <v>2189</v>
      </c>
      <c r="G626" t="e">
        <f ca="1">IMAGE("https://alssports.vtexassets.com/arquivos/ids/1307225-800-auto?v=638188141824000000&amp;width=800&amp;height=auto&amp;aspect=true")</f>
        <v>#NAME?</v>
      </c>
      <c r="H626" t="e">
        <f ca="1">IMAGE("https://m.media-amazon.com/images/I/71J55yqII3L._AC_UL320_.jpg")</f>
        <v>#NAME?</v>
      </c>
      <c r="I626" t="s">
        <v>933</v>
      </c>
      <c r="J626">
        <v>19.84</v>
      </c>
      <c r="K626" s="2" t="s">
        <v>2190</v>
      </c>
      <c r="L626">
        <v>3.5</v>
      </c>
      <c r="M626">
        <v>29</v>
      </c>
      <c r="O626" t="s">
        <v>33</v>
      </c>
      <c r="P626" t="s">
        <v>935</v>
      </c>
      <c r="Q626" t="s">
        <v>936</v>
      </c>
    </row>
    <row r="627" spans="1:17" ht="15.75" x14ac:dyDescent="0.25">
      <c r="A627" s="3" t="str">
        <f>HYPERLINK("https://www.als.com/under-m-charged-verssert-run-shoe/p?skuId=1204906", "https://www.als.com/under-m-charged-verssert-run-shoe/p?skuId=1204906")</f>
        <v>https://www.als.com/under-m-charged-verssert-run-shoe/p?skuId=1204906</v>
      </c>
      <c r="B627" s="3" t="str">
        <f>HYPERLINK("https://www.als.com/under-m-charged-verssert-run-shoe/p", "https://www.als.com/under-m-charged-verssert-run-shoe/p")</f>
        <v>https://www.als.com/under-m-charged-verssert-run-shoe/p</v>
      </c>
      <c r="C627" t="s">
        <v>60</v>
      </c>
      <c r="D627" t="s">
        <v>2191</v>
      </c>
      <c r="E627" s="3" t="str">
        <f>HYPERLINK("https://www.amazon.com/Under-Armour-Charged-Running-Metallic/dp/B0BCWPT2YQ/ref=sr_1_22?keywords=Under+Armour+Charged+Verssert+Running+Shoe+-+Mens&amp;qid=1695124491&amp;sr=8-22", "https://www.amazon.com/Under-Armour-Charged-Running-Metallic/dp/B0BCWPT2YQ/ref=sr_1_22?keywords=Under+Armour+Charged+Verssert+Running+Shoe+-+Mens&amp;qid=1695124491&amp;sr=8-22")</f>
        <v>https://www.amazon.com/Under-Armour-Charged-Running-Metallic/dp/B0BCWPT2YQ/ref=sr_1_22?keywords=Under+Armour+Charged+Verssert+Running+Shoe+-+Mens&amp;qid=1695124491&amp;sr=8-22</v>
      </c>
      <c r="F627" t="s">
        <v>2192</v>
      </c>
      <c r="G627" t="e">
        <f ca="1">IMAGE("https://alssports.vtexassets.com/arquivos/ids/1282426-800-auto?v=638158001411130000&amp;width=800&amp;height=auto&amp;aspect=true")</f>
        <v>#NAME?</v>
      </c>
      <c r="H627" t="e">
        <f ca="1">IMAGE("https://m.media-amazon.com/images/I/61yYZ1n04QL._AC_UL320_.jpg")</f>
        <v>#NAME?</v>
      </c>
      <c r="I627" t="s">
        <v>63</v>
      </c>
      <c r="J627">
        <v>53.11</v>
      </c>
      <c r="K627" s="2" t="s">
        <v>2193</v>
      </c>
      <c r="L627">
        <v>5</v>
      </c>
      <c r="M627">
        <v>2</v>
      </c>
      <c r="O627" t="s">
        <v>33</v>
      </c>
      <c r="P627" t="s">
        <v>26</v>
      </c>
      <c r="Q627" t="s">
        <v>64</v>
      </c>
    </row>
    <row r="628" spans="1:17" ht="15.75" x14ac:dyDescent="0.25">
      <c r="A628" s="3" t="str">
        <f>HYPERLINK("https://www.als.com/under-w-ua-rival-fleece-jogger/p?skuId=674617", "https://www.als.com/under-w-ua-rival-fleece-jogger/p?skuId=674617")</f>
        <v>https://www.als.com/under-w-ua-rival-fleece-jogger/p?skuId=674617</v>
      </c>
      <c r="B628" s="3" t="str">
        <f>HYPERLINK("https://www.als.com/under-w-ua-rival-fleece-jogger/p", "https://www.als.com/under-w-ua-rival-fleece-jogger/p")</f>
        <v>https://www.als.com/under-w-ua-rival-fleece-jogger/p</v>
      </c>
      <c r="C628" t="s">
        <v>2194</v>
      </c>
      <c r="D628" t="s">
        <v>2195</v>
      </c>
      <c r="E628" s="3" t="str">
        <f>HYPERLINK("https://www.amazon.com/Under-Armour-Rival-Jogger-XX-Large/dp/B07SN5CJXX/ref=sr_1_4?keywords=Under+Armour+Rival+Fleece+Jogger+-+Womens&amp;qid=1695124354&amp;sr=8-4", "https://www.amazon.com/Under-Armour-Rival-Jogger-XX-Large/dp/B07SN5CJXX/ref=sr_1_4?keywords=Under+Armour+Rival+Fleece+Jogger+-+Womens&amp;qid=1695124354&amp;sr=8-4")</f>
        <v>https://www.amazon.com/Under-Armour-Rival-Jogger-XX-Large/dp/B07SN5CJXX/ref=sr_1_4?keywords=Under+Armour+Rival+Fleece+Jogger+-+Womens&amp;qid=1695124354&amp;sr=8-4</v>
      </c>
      <c r="F628" t="s">
        <v>2196</v>
      </c>
      <c r="G628" t="e">
        <f ca="1">IMAGE("https://alssports.vtexassets.com/arquivos/ids/1194092-800-auto?v=638066448654230000&amp;width=800&amp;height=auto&amp;aspect=true")</f>
        <v>#NAME?</v>
      </c>
      <c r="H628" t="e">
        <f ca="1">IMAGE("https://m.media-amazon.com/images/I/71qtjjzpfiL._AC_UL320_.jpg")</f>
        <v>#NAME?</v>
      </c>
      <c r="I628" t="s">
        <v>298</v>
      </c>
      <c r="J628">
        <v>19.11</v>
      </c>
      <c r="K628" s="2" t="s">
        <v>2197</v>
      </c>
      <c r="L628">
        <v>4.4000000000000004</v>
      </c>
      <c r="M628">
        <v>484</v>
      </c>
      <c r="O628" t="s">
        <v>33</v>
      </c>
      <c r="P628" t="s">
        <v>51</v>
      </c>
      <c r="Q628" t="s">
        <v>2198</v>
      </c>
    </row>
    <row r="629" spans="1:17" ht="15.75" x14ac:dyDescent="0.25">
      <c r="A629" s="3" t="str">
        <f>HYPERLINK("https://www.als.com/heydud-m-shoe-wally-washed-canvas/p?skuId=1317816", "https://www.als.com/heydud-m-shoe-wally-washed-canvas/p?skuId=1317816")</f>
        <v>https://www.als.com/heydud-m-shoe-wally-washed-canvas/p?skuId=1317816</v>
      </c>
      <c r="B629" s="3" t="str">
        <f>HYPERLINK("https://www.als.com/heydud-m-shoe-wally-washed-canvas/p", "https://www.als.com/heydud-m-shoe-wally-washed-canvas/p")</f>
        <v>https://www.als.com/heydud-m-shoe-wally-washed-canvas/p</v>
      </c>
      <c r="C629" t="s">
        <v>501</v>
      </c>
      <c r="D629" t="s">
        <v>1445</v>
      </c>
      <c r="E629" s="3" t="str">
        <f>HYPERLINK("https://www.amazon.com/Hey-Dude-Mens-Wally-Chambray/dp/B07VMYNWFN/ref=sr_1_31?keywords=Hey+Dude+Wally+Washed+Canvas+Shoe+-+Mens&amp;qid=1695124460&amp;sr=8-31", "https://www.amazon.com/Hey-Dude-Mens-Wally-Chambray/dp/B07VMYNWFN/ref=sr_1_31?keywords=Hey+Dude+Wally+Washed+Canvas+Shoe+-+Mens&amp;qid=1695124460&amp;sr=8-31")</f>
        <v>https://www.amazon.com/Hey-Dude-Mens-Wally-Chambray/dp/B07VMYNWFN/ref=sr_1_31?keywords=Hey+Dude+Wally+Washed+Canvas+Shoe+-+Mens&amp;qid=1695124460&amp;sr=8-31</v>
      </c>
      <c r="F629" t="s">
        <v>2199</v>
      </c>
      <c r="G629" t="e">
        <f ca="1">IMAGE("https://alssports.vtexassets.com/arquivos/ids/1388214-800-auto?v=638255521966130000&amp;width=800&amp;height=auto&amp;aspect=true")</f>
        <v>#NAME?</v>
      </c>
      <c r="H629" t="e">
        <f ca="1">IMAGE("https://m.media-amazon.com/images/I/51w6wZjo6+S._AC_UL320_.jpg")</f>
        <v>#NAME?</v>
      </c>
      <c r="I629" t="s">
        <v>58</v>
      </c>
      <c r="J629">
        <v>45.9</v>
      </c>
      <c r="K629" s="2" t="s">
        <v>2200</v>
      </c>
      <c r="L629">
        <v>4.8</v>
      </c>
      <c r="M629">
        <v>22761</v>
      </c>
      <c r="O629" t="s">
        <v>33</v>
      </c>
      <c r="P629" t="s">
        <v>26</v>
      </c>
      <c r="Q629" t="s">
        <v>505</v>
      </c>
    </row>
    <row r="630" spans="1:17" ht="15.75" x14ac:dyDescent="0.25">
      <c r="A630" s="3" t="str">
        <f>HYPERLINK("https://www.als.com/under-m-charged-verssert-run-shoe/p?skuId=1204906", "https://www.als.com/under-m-charged-verssert-run-shoe/p?skuId=1204906")</f>
        <v>https://www.als.com/under-m-charged-verssert-run-shoe/p?skuId=1204906</v>
      </c>
      <c r="B630" s="3" t="str">
        <f>HYPERLINK("https://www.als.com/under-m-charged-verssert-run-shoe/p", "https://www.als.com/under-m-charged-verssert-run-shoe/p")</f>
        <v>https://www.als.com/under-m-charged-verssert-run-shoe/p</v>
      </c>
      <c r="C630" t="s">
        <v>60</v>
      </c>
      <c r="D630" t="s">
        <v>2201</v>
      </c>
      <c r="E630" s="3" t="str">
        <f>HYPERLINK("https://www.amazon.com/Under-Armour-Charged-Assert-Black/dp/B087TGZQRZ/ref=sr_1_1?keywords=Under+Armour+Charged+Verssert+Running+Shoe+-+Mens&amp;qid=1695124491&amp;sr=8-1", "https://www.amazon.com/Under-Armour-Charged-Assert-Black/dp/B087TGZQRZ/ref=sr_1_1?keywords=Under+Armour+Charged+Verssert+Running+Shoe+-+Mens&amp;qid=1695124491&amp;sr=8-1")</f>
        <v>https://www.amazon.com/Under-Armour-Charged-Assert-Black/dp/B087TGZQRZ/ref=sr_1_1?keywords=Under+Armour+Charged+Verssert+Running+Shoe+-+Mens&amp;qid=1695124491&amp;sr=8-1</v>
      </c>
      <c r="F630" t="s">
        <v>2202</v>
      </c>
      <c r="G630" t="e">
        <f ca="1">IMAGE("https://alssports.vtexassets.com/arquivos/ids/1282426-800-auto?v=638158001411130000&amp;width=800&amp;height=auto&amp;aspect=true")</f>
        <v>#NAME?</v>
      </c>
      <c r="H630" t="e">
        <f ca="1">IMAGE("https://m.media-amazon.com/images/I/41l2imvuWJL._AC_UL320_.jpg")</f>
        <v>#NAME?</v>
      </c>
      <c r="I630" t="s">
        <v>63</v>
      </c>
      <c r="J630">
        <v>52.95</v>
      </c>
      <c r="K630" s="2" t="s">
        <v>2203</v>
      </c>
      <c r="L630">
        <v>4.5999999999999996</v>
      </c>
      <c r="M630">
        <v>50897</v>
      </c>
      <c r="O630" t="s">
        <v>33</v>
      </c>
      <c r="P630" t="s">
        <v>26</v>
      </c>
      <c r="Q630" t="s">
        <v>64</v>
      </c>
    </row>
    <row r="631" spans="1:17" ht="15.75" x14ac:dyDescent="0.25">
      <c r="A631" s="3" t="str">
        <f>HYPERLINK("https://www.als.com/asics-ws-shoe-gel-nimbus-24/p?skuId=1037727", "https://www.als.com/asics-ws-shoe-gel-nimbus-24/p?skuId=1037727")</f>
        <v>https://www.als.com/asics-ws-shoe-gel-nimbus-24/p?skuId=1037727</v>
      </c>
      <c r="B631" s="3" t="str">
        <f>HYPERLINK("https://www.als.com/asics-ws-shoe-gel-nimbus-24/p", "https://www.als.com/asics-ws-shoe-gel-nimbus-24/p")</f>
        <v>https://www.als.com/asics-ws-shoe-gel-nimbus-24/p</v>
      </c>
      <c r="C631" t="s">
        <v>1217</v>
      </c>
      <c r="D631" t="s">
        <v>1691</v>
      </c>
      <c r="E631" s="3" t="str">
        <f>HYPERLINK("https://www.amazon.com/ASICS-Womens-Gel-Cumulus-Running-Safety/dp/B09WBSBTCH/ref=sr_1_17?keywords=Asics+GEL-NIMBUS+24+Running+Shoe+-+Womens&amp;qid=1695124093&amp;sr=8-17", "https://www.amazon.com/ASICS-Womens-Gel-Cumulus-Running-Safety/dp/B09WBSBTCH/ref=sr_1_17?keywords=Asics+GEL-NIMBUS+24+Running+Shoe+-+Womens&amp;qid=1695124093&amp;sr=8-17")</f>
        <v>https://www.amazon.com/ASICS-Womens-Gel-Cumulus-Running-Safety/dp/B09WBSBTCH/ref=sr_1_17?keywords=Asics+GEL-NIMBUS+24+Running+Shoe+-+Womens&amp;qid=1695124093&amp;sr=8-17</v>
      </c>
      <c r="F631" t="s">
        <v>2204</v>
      </c>
      <c r="G631" t="e">
        <f ca="1">IMAGE("https://alssports.vtexassets.com/arquivos/ids/1109551-800-auto?v=637950821539330000&amp;width=800&amp;height=auto&amp;aspect=true")</f>
        <v>#NAME?</v>
      </c>
      <c r="H631" t="e">
        <f ca="1">IMAGE("https://m.media-amazon.com/images/I/61Lx9UXLplL._AC_UL320_.jpg")</f>
        <v>#NAME?</v>
      </c>
      <c r="I631" t="s">
        <v>1220</v>
      </c>
      <c r="J631">
        <v>78.959999999999994</v>
      </c>
      <c r="K631" s="2" t="s">
        <v>2205</v>
      </c>
      <c r="L631">
        <v>4.5999999999999996</v>
      </c>
      <c r="M631">
        <v>1072</v>
      </c>
      <c r="O631" t="s">
        <v>33</v>
      </c>
      <c r="P631" t="s">
        <v>88</v>
      </c>
      <c r="Q631" t="s">
        <v>1222</v>
      </c>
    </row>
    <row r="632" spans="1:17" ht="15.75" x14ac:dyDescent="0.25">
      <c r="A632" s="3" t="str">
        <f>HYPERLINK("https://www.als.com/mizuno-w-wave-sky-6/p?skuId=1262559", "https://www.als.com/mizuno-w-wave-sky-6/p?skuId=1262559")</f>
        <v>https://www.als.com/mizuno-w-wave-sky-6/p?skuId=1262559</v>
      </c>
      <c r="B632" s="3" t="str">
        <f>HYPERLINK("https://www.als.com/mizuno-w-wave-sky-6/p", "https://www.als.com/mizuno-w-wave-sky-6/p")</f>
        <v>https://www.als.com/mizuno-w-wave-sky-6/p</v>
      </c>
      <c r="C632" t="s">
        <v>200</v>
      </c>
      <c r="D632" t="s">
        <v>2206</v>
      </c>
      <c r="E632" s="3" t="str">
        <f>HYPERLINK("https://www.amazon.com/Mizuno-Womens-Wave-Running-Citadel-Vapor/dp/B07HRHMCSW/ref=sr_1_10?keywords=Mizuno+Wave+Sky+6+Running+Shoe+-+Women%27s&amp;qid=1695124449&amp;sr=8-10", "https://www.amazon.com/Mizuno-Womens-Wave-Running-Citadel-Vapor/dp/B07HRHMCSW/ref=sr_1_10?keywords=Mizuno+Wave+Sky+6+Running+Shoe+-+Women%27s&amp;qid=1695124449&amp;sr=8-10")</f>
        <v>https://www.amazon.com/Mizuno-Womens-Wave-Running-Citadel-Vapor/dp/B07HRHMCSW/ref=sr_1_10?keywords=Mizuno+Wave+Sky+6+Running+Shoe+-+Women%27s&amp;qid=1695124449&amp;sr=8-10</v>
      </c>
      <c r="F632" t="s">
        <v>2207</v>
      </c>
      <c r="G632" t="e">
        <f ca="1">IMAGE("https://alssports.vtexassets.com/arquivos/ids/1277387-800-auto?v=638152938174200000&amp;width=800&amp;height=auto&amp;aspect=true")</f>
        <v>#NAME?</v>
      </c>
      <c r="H632" t="e">
        <f ca="1">IMAGE("https://m.media-amazon.com/images/I/81haxABHGBL._AC_UL320_.jpg")</f>
        <v>#NAME?</v>
      </c>
      <c r="I632" t="s">
        <v>164</v>
      </c>
      <c r="J632">
        <v>119.81</v>
      </c>
      <c r="K632" s="2" t="s">
        <v>2208</v>
      </c>
      <c r="L632">
        <v>4.2</v>
      </c>
      <c r="M632">
        <v>82</v>
      </c>
      <c r="O632" t="s">
        <v>33</v>
      </c>
      <c r="P632" t="s">
        <v>191</v>
      </c>
      <c r="Q632" t="s">
        <v>203</v>
      </c>
    </row>
    <row r="633" spans="1:17" ht="15.75" x14ac:dyDescent="0.25">
      <c r="A633" s="3" t="str">
        <f>HYPERLINK("https://www.als.com/hurley-boardshort-one-and-only-solid/p?skuId=1333862", "https://www.als.com/hurley-boardshort-one-and-only-solid/p?skuId=1333862")</f>
        <v>https://www.als.com/hurley-boardshort-one-and-only-solid/p?skuId=1333862</v>
      </c>
      <c r="B633" s="3" t="str">
        <f>HYPERLINK("https://www.als.com/hurley-boardshort-one-and-only-solid/p", "https://www.als.com/hurley-boardshort-one-and-only-solid/p")</f>
        <v>https://www.als.com/hurley-boardshort-one-and-only-solid/p</v>
      </c>
      <c r="C633" t="s">
        <v>305</v>
      </c>
      <c r="D633" t="s">
        <v>2209</v>
      </c>
      <c r="E633" s="3" t="str">
        <f>HYPERLINK("https://www.amazon.com/Hurley-Solid-Volley-Board-Short/dp/B08Q62BLJ7/ref=sr_1_4?keywords=Hurley+One+And+Only+Solid+Boardshort+-+Men%27s&amp;qid=1695124435&amp;sr=8-4", "https://www.amazon.com/Hurley-Solid-Volley-Board-Short/dp/B08Q62BLJ7/ref=sr_1_4?keywords=Hurley+One+And+Only+Solid+Boardshort+-+Men%27s&amp;qid=1695124435&amp;sr=8-4")</f>
        <v>https://www.amazon.com/Hurley-Solid-Volley-Board-Short/dp/B08Q62BLJ7/ref=sr_1_4?keywords=Hurley+One+And+Only+Solid+Boardshort+-+Men%27s&amp;qid=1695124435&amp;sr=8-4</v>
      </c>
      <c r="F633" t="s">
        <v>2210</v>
      </c>
      <c r="G633" t="e">
        <f ca="1">IMAGE("https://alssports.vtexassets.com/arquivos/ids/1302714-800-auto?v=638180324007330000&amp;width=800&amp;height=auto&amp;aspect=true")</f>
        <v>#NAME?</v>
      </c>
      <c r="H633" t="e">
        <f ca="1">IMAGE("https://m.media-amazon.com/images/I/81twh3QY-TL._MCnd_AC_UL320_.jpg")</f>
        <v>#NAME?</v>
      </c>
      <c r="I633" t="s">
        <v>211</v>
      </c>
      <c r="J633">
        <v>28.11</v>
      </c>
      <c r="K633" s="2" t="s">
        <v>2211</v>
      </c>
      <c r="L633">
        <v>4.5999999999999996</v>
      </c>
      <c r="M633">
        <v>617</v>
      </c>
      <c r="O633" t="s">
        <v>33</v>
      </c>
      <c r="P633" t="s">
        <v>26</v>
      </c>
      <c r="Q633" t="s">
        <v>308</v>
      </c>
    </row>
    <row r="634" spans="1:17" ht="15.75" x14ac:dyDescent="0.25">
      <c r="A634" s="3" t="str">
        <f>HYPERLINK("https://www.als.com/asics-w-shoe-gel-kayano-29/p?skuId=1037742", "https://www.als.com/asics-w-shoe-gel-kayano-29/p?skuId=1037742")</f>
        <v>https://www.als.com/asics-w-shoe-gel-kayano-29/p?skuId=1037742</v>
      </c>
      <c r="B634" s="3" t="str">
        <f>HYPERLINK("https://www.als.com/asics-w-shoe-gel-kayano-29/p", "https://www.als.com/asics-w-shoe-gel-kayano-29/p")</f>
        <v>https://www.als.com/asics-w-shoe-gel-kayano-29/p</v>
      </c>
      <c r="C634" t="s">
        <v>851</v>
      </c>
      <c r="D634" t="s">
        <v>2212</v>
      </c>
      <c r="E634" s="3" t="str">
        <f>HYPERLINK("https://www.amazon.com/ASICS-Womens-Gel-Contend-Running-Midnight/dp/B091KDK2RG/ref=sr_1_44?keywords=Asics+Gel-Kayano+29+Running+Shoe+-+Women%27s&amp;qid=1695124114&amp;sr=8-44", "https://www.amazon.com/ASICS-Womens-Gel-Contend-Running-Midnight/dp/B091KDK2RG/ref=sr_1_44?keywords=Asics+Gel-Kayano+29+Running+Shoe+-+Women%27s&amp;qid=1695124114&amp;sr=8-44")</f>
        <v>https://www.amazon.com/ASICS-Womens-Gel-Contend-Running-Midnight/dp/B091KDK2RG/ref=sr_1_44?keywords=Asics+Gel-Kayano+29+Running+Shoe+-+Women%27s&amp;qid=1695124114&amp;sr=8-44</v>
      </c>
      <c r="F634" t="s">
        <v>2213</v>
      </c>
      <c r="G634" t="e">
        <f ca="1">IMAGE("https://alssports.vtexassets.com/arquivos/ids/1127320-800-auto?v=637980202666000000&amp;width=800&amp;height=auto&amp;aspect=true")</f>
        <v>#NAME?</v>
      </c>
      <c r="H634" t="e">
        <f ca="1">IMAGE("https://m.media-amazon.com/images/I/61-oEDNhtnL._AC_UL320_.jpg")</f>
        <v>#NAME?</v>
      </c>
      <c r="I634" t="s">
        <v>674</v>
      </c>
      <c r="J634">
        <v>44.95</v>
      </c>
      <c r="K634" s="2" t="s">
        <v>2214</v>
      </c>
      <c r="L634">
        <v>4.4000000000000004</v>
      </c>
      <c r="M634">
        <v>16653</v>
      </c>
      <c r="O634" t="s">
        <v>33</v>
      </c>
      <c r="P634" t="s">
        <v>88</v>
      </c>
      <c r="Q634" t="s">
        <v>854</v>
      </c>
    </row>
    <row r="635" spans="1:17" ht="15.75" x14ac:dyDescent="0.25">
      <c r="A635" s="3" t="str">
        <f>HYPERLINK("https://www.als.com/babola-m-shoe-jet-mach-3/p?skuId=599962", "https://www.als.com/babola-m-shoe-jet-mach-3/p?skuId=599962")</f>
        <v>https://www.als.com/babola-m-shoe-jet-mach-3/p?skuId=599962</v>
      </c>
      <c r="B635" s="3" t="str">
        <f>HYPERLINK("https://www.als.com/babola-m-shoe-jet-mach-3/p", "https://www.als.com/babola-m-shoe-jet-mach-3/p")</f>
        <v>https://www.als.com/babola-m-shoe-jet-mach-3/p</v>
      </c>
      <c r="C635" t="s">
        <v>875</v>
      </c>
      <c r="D635" t="s">
        <v>2215</v>
      </c>
      <c r="E635" s="3" t="str">
        <f>HYPERLINK("https://www.amazon.com/Babolat-Court-Tennis-Shoes-Angel/dp/B0BQLWWX75/ref=sr_1_3?keywords=Babolat+Jet+Mach+3+All+Court+Tennis+Shoe+-+Mens&amp;qid=1695124489&amp;sr=8-3", "https://www.amazon.com/Babolat-Court-Tennis-Shoes-Angel/dp/B0BQLWWX75/ref=sr_1_3?keywords=Babolat+Jet+Mach+3+All+Court+Tennis+Shoe+-+Mens&amp;qid=1695124489&amp;sr=8-3")</f>
        <v>https://www.amazon.com/Babolat-Court-Tennis-Shoes-Angel/dp/B0BQLWWX75/ref=sr_1_3?keywords=Babolat+Jet+Mach+3+All+Court+Tennis+Shoe+-+Mens&amp;qid=1695124489&amp;sr=8-3</v>
      </c>
      <c r="F635" t="s">
        <v>2216</v>
      </c>
      <c r="G635" t="e">
        <f ca="1">IMAGE("https://alssports.vtexassets.com/arquivos/ids/1411604-800-auto?v=638270546404000000&amp;width=800&amp;height=auto&amp;aspect=true")</f>
        <v>#NAME?</v>
      </c>
      <c r="H635" t="e">
        <f ca="1">IMAGE("https://m.media-amazon.com/images/I/81KjPEa6CWL._AC_UL320_.jpg")</f>
        <v>#NAME?</v>
      </c>
      <c r="I635" t="s">
        <v>878</v>
      </c>
      <c r="J635">
        <v>104.6</v>
      </c>
      <c r="K635" s="2" t="s">
        <v>2217</v>
      </c>
      <c r="L635">
        <v>4.5</v>
      </c>
      <c r="M635">
        <v>21</v>
      </c>
      <c r="O635" t="s">
        <v>33</v>
      </c>
      <c r="P635" t="s">
        <v>26</v>
      </c>
      <c r="Q635" t="s">
        <v>880</v>
      </c>
    </row>
    <row r="636" spans="1:17" ht="15.75" x14ac:dyDescent="0.25">
      <c r="A636" s="3" t="str">
        <f>HYPERLINK("https://www.als.com/under-ua-hustle-50-backpack/p?skuId=595885", "https://www.als.com/under-ua-hustle-50-backpack/p?skuId=595885")</f>
        <v>https://www.als.com/under-ua-hustle-50-backpack/p?skuId=595885</v>
      </c>
      <c r="B636" s="3" t="str">
        <f>HYPERLINK("https://www.als.com/under-ua-hustle-50-backpack/p", "https://www.als.com/under-ua-hustle-50-backpack/p")</f>
        <v>https://www.als.com/under-ua-hustle-50-backpack/p</v>
      </c>
      <c r="C636" t="s">
        <v>1075</v>
      </c>
      <c r="D636" t="s">
        <v>2218</v>
      </c>
      <c r="E636" s="3" t="str">
        <f>HYPERLINK("https://www.amazon.com/Under-Armour-Hustle-Sport-Backpack/dp/B0BJ47Z2RF/ref=sr_1_3?keywords=Under+Armour+Hustle+5.0+Backpack+-+29L&amp;qid=1695124439&amp;sr=8-3", "https://www.amazon.com/Under-Armour-Hustle-Sport-Backpack/dp/B0BJ47Z2RF/ref=sr_1_3?keywords=Under+Armour+Hustle+5.0+Backpack+-+29L&amp;qid=1695124439&amp;sr=8-3")</f>
        <v>https://www.amazon.com/Under-Armour-Hustle-Sport-Backpack/dp/B0BJ47Z2RF/ref=sr_1_3?keywords=Under+Armour+Hustle+5.0+Backpack+-+29L&amp;qid=1695124439&amp;sr=8-3</v>
      </c>
      <c r="F636" t="s">
        <v>2219</v>
      </c>
      <c r="G636" t="e">
        <f ca="1">IMAGE("https://alssports.vtexassets.com/arquivos/ids/1094418-800-auto?v=637933427771630000&amp;width=800&amp;height=auto&amp;aspect=true")</f>
        <v>#NAME?</v>
      </c>
      <c r="H636" t="e">
        <f ca="1">IMAGE("https://m.media-amazon.com/images/I/51ahtsjursL._AC_UL320_.jpg")</f>
        <v>#NAME?</v>
      </c>
      <c r="I636" t="s">
        <v>1078</v>
      </c>
      <c r="J636">
        <v>26.99</v>
      </c>
      <c r="K636" s="2" t="s">
        <v>2220</v>
      </c>
      <c r="L636">
        <v>4.7</v>
      </c>
      <c r="M636">
        <v>5313</v>
      </c>
      <c r="O636" t="s">
        <v>33</v>
      </c>
      <c r="P636" t="s">
        <v>1080</v>
      </c>
      <c r="Q636" t="s">
        <v>1081</v>
      </c>
    </row>
    <row r="637" spans="1:17" ht="15.75" x14ac:dyDescent="0.25">
      <c r="A637" s="3" t="str">
        <f>HYPERLINK("https://www.als.com/under-ua-drive-pant/p?skuId=997492", "https://www.als.com/under-ua-drive-pant/p?skuId=997492")</f>
        <v>https://www.als.com/under-ua-drive-pant/p?skuId=997492</v>
      </c>
      <c r="B637" s="3" t="str">
        <f>HYPERLINK("https://www.als.com/under-ua-drive-pant/p", "https://www.als.com/under-ua-drive-pant/p")</f>
        <v>https://www.als.com/under-ua-drive-pant/p</v>
      </c>
      <c r="C637" t="s">
        <v>452</v>
      </c>
      <c r="D637" t="s">
        <v>2221</v>
      </c>
      <c r="E637" s="3" t="str">
        <f>HYPERLINK("https://www.amazon.com/Under-Armour-Showdown-Tapered-Flannel/dp/B08LNYC9JY/ref=sr_1_44?keywords=Under+Armour+Drive+Pant+-+Men%27s&amp;qid=1695124299&amp;sr=8-44", "https://www.amazon.com/Under-Armour-Showdown-Tapered-Flannel/dp/B08LNYC9JY/ref=sr_1_44?keywords=Under+Armour+Drive+Pant+-+Men%27s&amp;qid=1695124299&amp;sr=8-44")</f>
        <v>https://www.amazon.com/Under-Armour-Showdown-Tapered-Flannel/dp/B08LNYC9JY/ref=sr_1_44?keywords=Under+Armour+Drive+Pant+-+Men%27s&amp;qid=1695124299&amp;sr=8-44</v>
      </c>
      <c r="F637" t="s">
        <v>2222</v>
      </c>
      <c r="G637" t="e">
        <f ca="1">IMAGE("https://alssports.vtexassets.com/arquivos/ids/1442508-800-auto?v=638291812057330000&amp;width=800&amp;height=auto&amp;aspect=true")</f>
        <v>#NAME?</v>
      </c>
      <c r="H637" t="e">
        <f ca="1">IMAGE("https://m.media-amazon.com/images/I/51N6ZBnV+OL._AC_UL320_.jpg")</f>
        <v>#NAME?</v>
      </c>
      <c r="I637" t="s">
        <v>455</v>
      </c>
      <c r="J637">
        <v>35.74</v>
      </c>
      <c r="K637" s="2" t="s">
        <v>2223</v>
      </c>
      <c r="L637">
        <v>5</v>
      </c>
      <c r="M637">
        <v>1</v>
      </c>
      <c r="O637" t="s">
        <v>26</v>
      </c>
      <c r="P637" t="s">
        <v>457</v>
      </c>
      <c r="Q637" t="s">
        <v>458</v>
      </c>
    </row>
    <row r="638" spans="1:17" ht="15.75" x14ac:dyDescent="0.25">
      <c r="A638" s="3" t="str">
        <f>HYPERLINK("https://www.als.com/crocs-classic-clog/p?skuId=1196935", "https://www.als.com/crocs-classic-clog/p?skuId=1196935")</f>
        <v>https://www.als.com/crocs-classic-clog/p?skuId=1196935</v>
      </c>
      <c r="B638" s="3" t="str">
        <f>HYPERLINK("https://www.als.com/crocs-classic-clog/p", "https://www.als.com/crocs-classic-clog/p")</f>
        <v>https://www.als.com/crocs-classic-clog/p</v>
      </c>
      <c r="C638" t="s">
        <v>1100</v>
      </c>
      <c r="D638" t="s">
        <v>2224</v>
      </c>
      <c r="E638" s="3" t="str">
        <f>HYPERLINK("https://www.amazon.com/Crocs-Classic-Graphic-Platform-Vanilla/dp/B0BPWY6BGX/ref=sr_1_24?keywords=Crocs+Classic+Clog&amp;qid=1695124151&amp;sr=8-24", "https://www.amazon.com/Crocs-Classic-Graphic-Platform-Vanilla/dp/B0BPWY6BGX/ref=sr_1_24?keywords=Crocs+Classic+Clog&amp;qid=1695124151&amp;sr=8-24")</f>
        <v>https://www.amazon.com/Crocs-Classic-Graphic-Platform-Vanilla/dp/B0BPWY6BGX/ref=sr_1_24?keywords=Crocs+Classic+Clog&amp;qid=1695124151&amp;sr=8-24</v>
      </c>
      <c r="F638" t="s">
        <v>2225</v>
      </c>
      <c r="G638" t="e">
        <f ca="1">IMAGE("https://alssports.vtexassets.com/arquivos/ids/1222253-800-auto?v=638102875835800000&amp;width=800&amp;height=auto&amp;aspect=true")</f>
        <v>#NAME?</v>
      </c>
      <c r="H638" t="e">
        <f ca="1">IMAGE("https://m.media-amazon.com/images/I/71raKuW+QtL._AC_UL320_.jpg")</f>
        <v>#NAME?</v>
      </c>
      <c r="I638" t="s">
        <v>157</v>
      </c>
      <c r="J638">
        <v>34.99</v>
      </c>
      <c r="K638" s="2" t="s">
        <v>2226</v>
      </c>
      <c r="L638">
        <v>4.5999999999999996</v>
      </c>
      <c r="M638">
        <v>1819</v>
      </c>
      <c r="O638" t="s">
        <v>33</v>
      </c>
      <c r="P638" t="s">
        <v>26</v>
      </c>
      <c r="Q638" t="s">
        <v>1103</v>
      </c>
    </row>
    <row r="639" spans="1:17" ht="15.75" x14ac:dyDescent="0.25">
      <c r="A639" s="3" t="str">
        <f>HYPERLINK("https://www.als.com/crocs-classic-clog/p?skuId=1196935", "https://www.als.com/crocs-classic-clog/p?skuId=1196935")</f>
        <v>https://www.als.com/crocs-classic-clog/p?skuId=1196935</v>
      </c>
      <c r="B639" s="3" t="str">
        <f>HYPERLINK("https://www.als.com/crocs-classic-clog/p", "https://www.als.com/crocs-classic-clog/p")</f>
        <v>https://www.als.com/crocs-classic-clog/p</v>
      </c>
      <c r="C639" t="s">
        <v>1100</v>
      </c>
      <c r="D639" t="s">
        <v>2227</v>
      </c>
      <c r="E639" s="3" t="str">
        <f>HYPERLINK("https://www.amazon.com/Crocs-unisex-Classic-Graphic-Leaves/dp/B08GL3MCRC/ref=sr_1_23?keywords=Crocs+Classic+Clog&amp;qid=1695124151&amp;sr=8-23", "https://www.amazon.com/Crocs-unisex-Classic-Graphic-Leaves/dp/B08GL3MCRC/ref=sr_1_23?keywords=Crocs+Classic+Clog&amp;qid=1695124151&amp;sr=8-23")</f>
        <v>https://www.amazon.com/Crocs-unisex-Classic-Graphic-Leaves/dp/B08GL3MCRC/ref=sr_1_23?keywords=Crocs+Classic+Clog&amp;qid=1695124151&amp;sr=8-23</v>
      </c>
      <c r="F639" t="s">
        <v>2228</v>
      </c>
      <c r="G639" t="e">
        <f ca="1">IMAGE("https://alssports.vtexassets.com/arquivos/ids/1222253-800-auto?v=638102875835800000&amp;width=800&amp;height=auto&amp;aspect=true")</f>
        <v>#NAME?</v>
      </c>
      <c r="H639" t="e">
        <f ca="1">IMAGE("https://m.media-amazon.com/images/I/81TsNowpRHL._AC_UL320_.jpg")</f>
        <v>#NAME?</v>
      </c>
      <c r="I639" t="s">
        <v>157</v>
      </c>
      <c r="J639">
        <v>34.99</v>
      </c>
      <c r="K639" s="2" t="s">
        <v>2226</v>
      </c>
      <c r="L639">
        <v>4.8</v>
      </c>
      <c r="M639">
        <v>2307</v>
      </c>
      <c r="O639" t="s">
        <v>33</v>
      </c>
      <c r="P639" t="s">
        <v>26</v>
      </c>
      <c r="Q639" t="s">
        <v>1103</v>
      </c>
    </row>
    <row r="640" spans="1:17" ht="15.75" x14ac:dyDescent="0.25">
      <c r="A640" s="3" t="str">
        <f>HYPERLINK("https://www.als.com/crocs-classic-clog/p?skuId=1196935", "https://www.als.com/crocs-classic-clog/p?skuId=1196935")</f>
        <v>https://www.als.com/crocs-classic-clog/p?skuId=1196935</v>
      </c>
      <c r="B640" s="3" t="str">
        <f>HYPERLINK("https://www.als.com/crocs-classic-clog/p", "https://www.als.com/crocs-classic-clog/p")</f>
        <v>https://www.als.com/crocs-classic-clog/p</v>
      </c>
      <c r="C640" t="s">
        <v>1100</v>
      </c>
      <c r="D640" t="s">
        <v>2229</v>
      </c>
      <c r="E640" s="3" t="str">
        <f>HYPERLINK("https://www.amazon.com/Crocs-Kids-Classic-Clog-Black/dp/B09643QGPD/ref=sr_1_3?keywords=Crocs+Classic+Clog&amp;qid=1695124151&amp;sr=8-3", "https://www.amazon.com/Crocs-Kids-Classic-Clog-Black/dp/B09643QGPD/ref=sr_1_3?keywords=Crocs+Classic+Clog&amp;qid=1695124151&amp;sr=8-3")</f>
        <v>https://www.amazon.com/Crocs-Kids-Classic-Clog-Black/dp/B09643QGPD/ref=sr_1_3?keywords=Crocs+Classic+Clog&amp;qid=1695124151&amp;sr=8-3</v>
      </c>
      <c r="F640" t="s">
        <v>2230</v>
      </c>
      <c r="G640" t="e">
        <f ca="1">IMAGE("https://alssports.vtexassets.com/arquivos/ids/1222253-800-auto?v=638102875835800000&amp;width=800&amp;height=auto&amp;aspect=true")</f>
        <v>#NAME?</v>
      </c>
      <c r="H640" t="e">
        <f ca="1">IMAGE("https://m.media-amazon.com/images/I/71ej9uEjJGL._AC_UL320_.jpg")</f>
        <v>#NAME?</v>
      </c>
      <c r="I640" t="s">
        <v>157</v>
      </c>
      <c r="J640">
        <v>34.99</v>
      </c>
      <c r="K640" s="2" t="s">
        <v>2226</v>
      </c>
      <c r="L640">
        <v>4.8</v>
      </c>
      <c r="M640">
        <v>159868</v>
      </c>
      <c r="O640" t="s">
        <v>33</v>
      </c>
      <c r="P640" t="s">
        <v>26</v>
      </c>
      <c r="Q640" t="s">
        <v>1103</v>
      </c>
    </row>
    <row r="641" spans="1:17" ht="15.75" x14ac:dyDescent="0.25">
      <c r="A641" s="3" t="str">
        <f>HYPERLINK("https://www.als.com/crocs-classic-clog/p?skuId=1196935", "https://www.als.com/crocs-classic-clog/p?skuId=1196935")</f>
        <v>https://www.als.com/crocs-classic-clog/p?skuId=1196935</v>
      </c>
      <c r="B641" s="3" t="str">
        <f>HYPERLINK("https://www.als.com/crocs-classic-clog/p", "https://www.als.com/crocs-classic-clog/p")</f>
        <v>https://www.als.com/crocs-classic-clog/p</v>
      </c>
      <c r="C641" t="s">
        <v>1100</v>
      </c>
      <c r="D641" t="s">
        <v>1101</v>
      </c>
      <c r="E641" s="3" t="str">
        <f>HYPERLINK("https://www.amazon.com/Classic-Platform-Clogs-Shoes-Graphic/dp/B0BFNM3VMK/ref=sr_1_15?keywords=Crocs+Classic+Clog&amp;qid=1695124151&amp;sr=8-15", "https://www.amazon.com/Classic-Platform-Clogs-Shoes-Graphic/dp/B0BFNM3VMK/ref=sr_1_15?keywords=Crocs+Classic+Clog&amp;qid=1695124151&amp;sr=8-15")</f>
        <v>https://www.amazon.com/Classic-Platform-Clogs-Shoes-Graphic/dp/B0BFNM3VMK/ref=sr_1_15?keywords=Crocs+Classic+Clog&amp;qid=1695124151&amp;sr=8-15</v>
      </c>
      <c r="F641" t="s">
        <v>2231</v>
      </c>
      <c r="G641" t="e">
        <f ca="1">IMAGE("https://alssports.vtexassets.com/arquivos/ids/1222253-800-auto?v=638102875835800000&amp;width=800&amp;height=auto&amp;aspect=true")</f>
        <v>#NAME?</v>
      </c>
      <c r="H641" t="e">
        <f ca="1">IMAGE("https://m.media-amazon.com/images/I/81crSLSKOwL._AC_UL320_.jpg")</f>
        <v>#NAME?</v>
      </c>
      <c r="I641" t="s">
        <v>157</v>
      </c>
      <c r="J641">
        <v>34.99</v>
      </c>
      <c r="K641" s="2" t="s">
        <v>2226</v>
      </c>
      <c r="L641">
        <v>4.5999999999999996</v>
      </c>
      <c r="M641">
        <v>1617</v>
      </c>
      <c r="O641" t="s">
        <v>33</v>
      </c>
      <c r="P641" t="s">
        <v>26</v>
      </c>
      <c r="Q641" t="s">
        <v>1103</v>
      </c>
    </row>
    <row r="642" spans="1:17" ht="15.75" x14ac:dyDescent="0.25">
      <c r="A642" s="3" t="str">
        <f>HYPERLINK("https://www.als.com/teva-yth-sandal-original-univeral/p?skuId=715080", "https://www.als.com/teva-yth-sandal-original-univeral/p?skuId=715080")</f>
        <v>https://www.als.com/teva-yth-sandal-original-univeral/p?skuId=715080</v>
      </c>
      <c r="B642" s="3" t="str">
        <f>HYPERLINK("https://www.als.com/teva-yth-sandal-original-univeral/p", "https://www.als.com/teva-yth-sandal-original-univeral/p")</f>
        <v>https://www.als.com/teva-yth-sandal-original-univeral/p</v>
      </c>
      <c r="C642" t="s">
        <v>137</v>
      </c>
      <c r="D642" t="s">
        <v>2232</v>
      </c>
      <c r="E642" s="3" t="str">
        <f>HYPERLINK("https://www.amazon.com/Teva-Original-Universal-Toddler-Little/dp/B08VHBHRKL/ref=sr_1_1?keywords=Teva+Original+Universal+Sandal+-+Kids%27&amp;qid=1695124396&amp;sr=8-1", "https://www.amazon.com/Teva-Original-Universal-Toddler-Little/dp/B08VHBHRKL/ref=sr_1_1?keywords=Teva+Original+Universal+Sandal+-+Kids%27&amp;qid=1695124396&amp;sr=8-1")</f>
        <v>https://www.amazon.com/Teva-Original-Universal-Toddler-Little/dp/B08VHBHRKL/ref=sr_1_1?keywords=Teva+Original+Universal+Sandal+-+Kids%27&amp;qid=1695124396&amp;sr=8-1</v>
      </c>
      <c r="F642" t="s">
        <v>2233</v>
      </c>
      <c r="G642" t="e">
        <f ca="1">IMAGE("https://alssports.vtexassets.com/arquivos/ids/1020862-800-auto?v=637818688399000000&amp;width=800&amp;height=auto&amp;aspect=true")</f>
        <v>#NAME?</v>
      </c>
      <c r="H642" t="e">
        <f ca="1">IMAGE("https://m.media-amazon.com/images/I/61jO+BhwnKL._AC_UL320_.jpg")</f>
        <v>#NAME?</v>
      </c>
      <c r="I642" t="s">
        <v>140</v>
      </c>
      <c r="J642">
        <v>27.98</v>
      </c>
      <c r="K642" s="2" t="s">
        <v>2234</v>
      </c>
      <c r="L642">
        <v>4.7</v>
      </c>
      <c r="M642">
        <v>344</v>
      </c>
      <c r="O642" t="s">
        <v>33</v>
      </c>
      <c r="P642" t="s">
        <v>26</v>
      </c>
      <c r="Q642" t="s">
        <v>141</v>
      </c>
    </row>
    <row r="643" spans="1:17" ht="15.75" x14ac:dyDescent="0.25">
      <c r="A643" s="3" t="str">
        <f>HYPERLINK("https://www.als.com/conti-tire-grand-prix-5000-s-tr/p?skuId=971397", "https://www.als.com/conti-tire-grand-prix-5000-s-tr/p?skuId=971397")</f>
        <v>https://www.als.com/conti-tire-grand-prix-5000-s-tr/p?skuId=971397</v>
      </c>
      <c r="B643" s="3" t="str">
        <f>HYPERLINK("https://www.als.com/conti-tire-grand-prix-5000-s-tr/p", "https://www.als.com/conti-tire-grand-prix-5000-s-tr/p")</f>
        <v>https://www.als.com/conti-tire-grand-prix-5000-s-tr/p</v>
      </c>
      <c r="C643" t="s">
        <v>718</v>
      </c>
      <c r="D643" t="s">
        <v>2235</v>
      </c>
      <c r="E643" s="3" t="str">
        <f>HYPERLINK("https://www.amazon.com/Tires-Continental-Tubeless-Grand-Prix/dp/B09MD6SDCC/ref=sr_1_14?keywords=Continental+Tires+Continental+Grand+Prix+5000+S+TR+Tire&amp;qid=1695124461&amp;sr=8-14", "https://www.amazon.com/Tires-Continental-Tubeless-Grand-Prix/dp/B09MD6SDCC/ref=sr_1_14?keywords=Continental+Tires+Continental+Grand+Prix+5000+S+TR+Tire&amp;qid=1695124461&amp;sr=8-14")</f>
        <v>https://www.amazon.com/Tires-Continental-Tubeless-Grand-Prix/dp/B09MD6SDCC/ref=sr_1_14?keywords=Continental+Tires+Continental+Grand+Prix+5000+S+TR+Tire&amp;qid=1695124461&amp;sr=8-14</v>
      </c>
      <c r="F643" t="s">
        <v>2236</v>
      </c>
      <c r="G643" t="e">
        <f ca="1">IMAGE("https://alssports.vtexassets.com/arquivos/ids/1235281-800-auto?v=638114086611970000&amp;width=800&amp;height=auto&amp;aspect=true")</f>
        <v>#NAME?</v>
      </c>
      <c r="H643" t="e">
        <f ca="1">IMAGE("https://m.media-amazon.com/images/I/61S0H7h-ObL._AC_UL320_.jpg")</f>
        <v>#NAME?</v>
      </c>
      <c r="I643" t="s">
        <v>32</v>
      </c>
      <c r="J643">
        <v>70</v>
      </c>
      <c r="K643" s="2" t="s">
        <v>2234</v>
      </c>
      <c r="L643">
        <v>4.5999999999999996</v>
      </c>
      <c r="M643">
        <v>3</v>
      </c>
      <c r="O643" t="s">
        <v>33</v>
      </c>
      <c r="P643" t="s">
        <v>26</v>
      </c>
      <c r="Q643" t="s">
        <v>722</v>
      </c>
    </row>
    <row r="644" spans="1:17" ht="15.75" x14ac:dyDescent="0.25">
      <c r="A644" s="3" t="str">
        <f>HYPERLINK("https://www.als.com/conti-tire-grand-prix-5000-s-tr/p?skuId=971397", "https://www.als.com/conti-tire-grand-prix-5000-s-tr/p?skuId=971397")</f>
        <v>https://www.als.com/conti-tire-grand-prix-5000-s-tr/p?skuId=971397</v>
      </c>
      <c r="B644" s="3" t="str">
        <f>HYPERLINK("https://www.als.com/conti-tire-grand-prix-5000-s-tr/p", "https://www.als.com/conti-tire-grand-prix-5000-s-tr/p")</f>
        <v>https://www.als.com/conti-tire-grand-prix-5000-s-tr/p</v>
      </c>
      <c r="C644" t="s">
        <v>718</v>
      </c>
      <c r="D644" t="s">
        <v>2237</v>
      </c>
      <c r="E644" s="3" t="str">
        <f>HYPERLINK("https://www.amazon.com/Tires-Continental-Tubeless-Grand-TR/dp/B09NBXB5LK/ref=sr_1_16?keywords=Continental+Tires+Continental+Grand+Prix+5000+S+TR+Tire&amp;qid=1695124461&amp;sr=8-16", "https://www.amazon.com/Tires-Continental-Tubeless-Grand-TR/dp/B09NBXB5LK/ref=sr_1_16?keywords=Continental+Tires+Continental+Grand+Prix+5000+S+TR+Tire&amp;qid=1695124461&amp;sr=8-16")</f>
        <v>https://www.amazon.com/Tires-Continental-Tubeless-Grand-TR/dp/B09NBXB5LK/ref=sr_1_16?keywords=Continental+Tires+Continental+Grand+Prix+5000+S+TR+Tire&amp;qid=1695124461&amp;sr=8-16</v>
      </c>
      <c r="F644" t="s">
        <v>2238</v>
      </c>
      <c r="G644" t="e">
        <f ca="1">IMAGE("https://alssports.vtexassets.com/arquivos/ids/1235281-800-auto?v=638114086611970000&amp;width=800&amp;height=auto&amp;aspect=true")</f>
        <v>#NAME?</v>
      </c>
      <c r="H644" t="e">
        <f ca="1">IMAGE("https://m.media-amazon.com/images/I/41TGH54FAZL._AC_UL320_.jpg")</f>
        <v>#NAME?</v>
      </c>
      <c r="I644" t="s">
        <v>32</v>
      </c>
      <c r="J644">
        <v>70</v>
      </c>
      <c r="K644" s="2" t="s">
        <v>2234</v>
      </c>
      <c r="L644">
        <v>4</v>
      </c>
      <c r="M644">
        <v>5</v>
      </c>
      <c r="O644" t="s">
        <v>33</v>
      </c>
      <c r="P644" t="s">
        <v>26</v>
      </c>
      <c r="Q644" t="s">
        <v>722</v>
      </c>
    </row>
    <row r="645" spans="1:17" ht="15.75" x14ac:dyDescent="0.25">
      <c r="A645" s="3" t="str">
        <f>HYPERLINK("https://www.als.com/keen-m-koven-mid-wp/p?skuId=1240445", "https://www.als.com/keen-m-koven-mid-wp/p?skuId=1240445")</f>
        <v>https://www.als.com/keen-m-koven-mid-wp/p?skuId=1240445</v>
      </c>
      <c r="B645" s="3" t="str">
        <f>HYPERLINK("https://www.als.com/keen-m-koven-mid-wp/p", "https://www.als.com/keen-m-koven-mid-wp/p")</f>
        <v>https://www.als.com/keen-m-koven-mid-wp/p</v>
      </c>
      <c r="C645" t="s">
        <v>282</v>
      </c>
      <c r="D645" t="s">
        <v>576</v>
      </c>
      <c r="E645" s="3" t="str">
        <f>HYPERLINK("https://www.amazon.com/KEEN-Circadia-Comfortable-Waterproof-Potters/dp/B09NP8D33D/ref=sr_1_19?keywords=KEEN+Koven+Mid+Waterproof+Hiking+Boot+-+Men%27s&amp;qid=1695124140&amp;sr=8-19", "https://www.amazon.com/KEEN-Circadia-Comfortable-Waterproof-Potters/dp/B09NP8D33D/ref=sr_1_19?keywords=KEEN+Koven+Mid+Waterproof+Hiking+Boot+-+Men%27s&amp;qid=1695124140&amp;sr=8-19")</f>
        <v>https://www.amazon.com/KEEN-Circadia-Comfortable-Waterproof-Potters/dp/B09NP8D33D/ref=sr_1_19?keywords=KEEN+Koven+Mid+Waterproof+Hiking+Boot+-+Men%27s&amp;qid=1695124140&amp;sr=8-19</v>
      </c>
      <c r="F645" t="s">
        <v>2239</v>
      </c>
      <c r="G645" t="e">
        <f ca="1">IMAGE("https://alssports.vtexassets.com/arquivos/ids/1363221-800-auto?v=638236488805200000&amp;width=800&amp;height=auto&amp;aspect=true")</f>
        <v>#NAME?</v>
      </c>
      <c r="H645" t="e">
        <f ca="1">IMAGE("https://m.media-amazon.com/images/I/81recZ2hUJL._AC_UL320_.jpg")</f>
        <v>#NAME?</v>
      </c>
      <c r="I645" t="s">
        <v>285</v>
      </c>
      <c r="J645">
        <v>98.02</v>
      </c>
      <c r="K645" s="2" t="s">
        <v>2240</v>
      </c>
      <c r="L645">
        <v>4.5</v>
      </c>
      <c r="M645">
        <v>46</v>
      </c>
      <c r="O645" t="s">
        <v>33</v>
      </c>
      <c r="P645" t="s">
        <v>26</v>
      </c>
      <c r="Q645" t="s">
        <v>287</v>
      </c>
    </row>
    <row r="646" spans="1:17" ht="15.75" x14ac:dyDescent="0.25">
      <c r="A646" s="3" t="str">
        <f>HYPERLINK("https://www.als.com/adidas-w-shoe-4dfwd-2/p?skuId=1285989", "https://www.als.com/adidas-w-shoe-4dfwd-2/p?skuId=1285989")</f>
        <v>https://www.als.com/adidas-w-shoe-4dfwd-2/p?skuId=1285989</v>
      </c>
      <c r="B646" s="3" t="str">
        <f>HYPERLINK("https://www.als.com/adidas-w-shoe-4dfwd-2/p", "https://www.als.com/adidas-w-shoe-4dfwd-2/p")</f>
        <v>https://www.als.com/adidas-w-shoe-4dfwd-2/p</v>
      </c>
      <c r="C646" t="s">
        <v>392</v>
      </c>
      <c r="D646" t="s">
        <v>2241</v>
      </c>
      <c r="E646" s="3" t="str">
        <f>HYPERLINK("https://www.amazon.com/adidas-Womens-Running-Vapour-Ambient/dp/B08JMGDBBD/ref=sr_1_21?keywords=adidas+4DFWD+2+Shoe+-+Women%27s&amp;qid=1695124326&amp;sr=8-21", "https://www.amazon.com/adidas-Womens-Running-Vapour-Ambient/dp/B08JMGDBBD/ref=sr_1_21?keywords=adidas+4DFWD+2+Shoe+-+Women%27s&amp;qid=1695124326&amp;sr=8-21")</f>
        <v>https://www.amazon.com/adidas-Womens-Running-Vapour-Ambient/dp/B08JMGDBBD/ref=sr_1_21?keywords=adidas+4DFWD+2+Shoe+-+Women%27s&amp;qid=1695124326&amp;sr=8-21</v>
      </c>
      <c r="F646" t="s">
        <v>2242</v>
      </c>
      <c r="G646" t="e">
        <f ca="1">IMAGE("https://alssports.vtexassets.com/arquivos/ids/1396854-800-auto?v=638260048905170000&amp;width=800&amp;height=auto&amp;aspect=true")</f>
        <v>#NAME?</v>
      </c>
      <c r="H646" t="e">
        <f ca="1">IMAGE("https://m.media-amazon.com/images/I/81UlbujxYGS._AC_UL320_.jpg")</f>
        <v>#NAME?</v>
      </c>
      <c r="I646" t="s">
        <v>395</v>
      </c>
      <c r="J646">
        <v>56</v>
      </c>
      <c r="K646" s="2" t="s">
        <v>2240</v>
      </c>
      <c r="L646">
        <v>4.5</v>
      </c>
      <c r="M646">
        <v>2589</v>
      </c>
      <c r="O646" t="s">
        <v>33</v>
      </c>
      <c r="P646" t="s">
        <v>73</v>
      </c>
      <c r="Q646" t="s">
        <v>397</v>
      </c>
    </row>
    <row r="647" spans="1:17" ht="15.75" x14ac:dyDescent="0.25">
      <c r="A647" s="3" t="str">
        <f>HYPERLINK("https://www.als.com/altra-w-shoe-timp-4/p?skuId=929220", "https://www.als.com/altra-w-shoe-timp-4/p?skuId=929220")</f>
        <v>https://www.als.com/altra-w-shoe-timp-4/p?skuId=929220</v>
      </c>
      <c r="B647" s="3" t="str">
        <f>HYPERLINK("https://www.als.com/altra-w-shoe-timp-4/p", "https://www.als.com/altra-w-shoe-timp-4/p")</f>
        <v>https://www.als.com/altra-w-shoe-timp-4/p</v>
      </c>
      <c r="C647" t="s">
        <v>829</v>
      </c>
      <c r="D647" t="s">
        <v>2243</v>
      </c>
      <c r="E647" s="3" t="str">
        <f>HYPERLINK("https://www.amazon.com/ALTRA-Womens-AL0A548C-Trail-Running/dp/B09PWC9Y87/ref=sr_1_1?keywords=Altra+Timp+4+Running+Shoe+-+Womens&amp;qid=1695124369&amp;sr=8-1", "https://www.amazon.com/ALTRA-Womens-AL0A548C-Trail-Running/dp/B09PWC9Y87/ref=sr_1_1?keywords=Altra+Timp+4+Running+Shoe+-+Womens&amp;qid=1695124369&amp;sr=8-1")</f>
        <v>https://www.amazon.com/ALTRA-Womens-AL0A548C-Trail-Running/dp/B09PWC9Y87/ref=sr_1_1?keywords=Altra+Timp+4+Running+Shoe+-+Womens&amp;qid=1695124369&amp;sr=8-1</v>
      </c>
      <c r="F647" t="s">
        <v>2244</v>
      </c>
      <c r="G647" t="e">
        <f ca="1">IMAGE("https://alssports.vtexassets.com/arquivos/ids/1112796-800-auto?v=637957454637830000&amp;width=800&amp;height=auto&amp;aspect=true")</f>
        <v>#NAME?</v>
      </c>
      <c r="H647" t="e">
        <f ca="1">IMAGE("https://m.media-amazon.com/images/I/71fouJWDbpL._AC_UL320_.jpg")</f>
        <v>#NAME?</v>
      </c>
      <c r="I647" t="s">
        <v>88</v>
      </c>
      <c r="J647">
        <v>111.99</v>
      </c>
      <c r="K647" s="2" t="s">
        <v>2240</v>
      </c>
      <c r="L647">
        <v>4.2</v>
      </c>
      <c r="M647">
        <v>153</v>
      </c>
      <c r="O647" t="s">
        <v>33</v>
      </c>
      <c r="P647" t="s">
        <v>832</v>
      </c>
      <c r="Q647" t="s">
        <v>833</v>
      </c>
    </row>
    <row r="648" spans="1:17" ht="15.75" x14ac:dyDescent="0.25">
      <c r="A648" s="3" t="str">
        <f>HYPERLINK("https://www.als.com/mizuno-m-wave-sky-6/p?skuId=1249127", "https://www.als.com/mizuno-m-wave-sky-6/p?skuId=1249127")</f>
        <v>https://www.als.com/mizuno-m-wave-sky-6/p?skuId=1249127</v>
      </c>
      <c r="B648" s="3" t="str">
        <f>HYPERLINK("https://www.als.com/mizuno-m-wave-sky-6/p", "https://www.als.com/mizuno-m-wave-sky-6/p")</f>
        <v>https://www.als.com/mizuno-m-wave-sky-6/p</v>
      </c>
      <c r="C648" t="s">
        <v>204</v>
      </c>
      <c r="D648" t="s">
        <v>2245</v>
      </c>
      <c r="E648" s="3" t="str">
        <f>HYPERLINK("https://www.amazon.com/Mizuno-Running-Water-Enamel-Blue-White/dp/B09Z7FV8HC/ref=sr_1_1?keywords=Mizuno+Wave+Sky+6+Wide+Running+Shoe+-+Mens&amp;qid=1695124408&amp;sr=8-1", "https://www.amazon.com/Mizuno-Running-Water-Enamel-Blue-White/dp/B09Z7FV8HC/ref=sr_1_1?keywords=Mizuno+Wave+Sky+6+Wide+Running+Shoe+-+Mens&amp;qid=1695124408&amp;sr=8-1")</f>
        <v>https://www.amazon.com/Mizuno-Running-Water-Enamel-Blue-White/dp/B09Z7FV8HC/ref=sr_1_1?keywords=Mizuno+Wave+Sky+6+Wide+Running+Shoe+-+Mens&amp;qid=1695124408&amp;sr=8-1</v>
      </c>
      <c r="F648" t="s">
        <v>2246</v>
      </c>
      <c r="G648" t="e">
        <f ca="1">IMAGE("https://alssports.vtexassets.com/arquivos/ids/1277484-800-auto?v=638152954723900000&amp;width=800&amp;height=auto&amp;aspect=true")</f>
        <v>#NAME?</v>
      </c>
      <c r="H648" t="e">
        <f ca="1">IMAGE("https://m.media-amazon.com/images/I/81nt3bvGpZL._AC_UL320_.jpg")</f>
        <v>#NAME?</v>
      </c>
      <c r="I648" t="s">
        <v>164</v>
      </c>
      <c r="J648">
        <v>119</v>
      </c>
      <c r="K648" s="2" t="s">
        <v>2247</v>
      </c>
      <c r="L648">
        <v>4.8</v>
      </c>
      <c r="M648">
        <v>43</v>
      </c>
      <c r="O648" t="s">
        <v>33</v>
      </c>
      <c r="P648" t="s">
        <v>164</v>
      </c>
      <c r="Q648" t="s">
        <v>207</v>
      </c>
    </row>
    <row r="649" spans="1:17" ht="15.75" x14ac:dyDescent="0.25">
      <c r="A649" s="3" t="str">
        <f>HYPERLINK("https://www.als.com/coleha-m-shoe-grd-sprt-journeysnkr/p?skuId=1167213", "https://www.als.com/coleha-m-shoe-grd-sprt-journeysnkr/p?skuId=1167213")</f>
        <v>https://www.als.com/coleha-m-shoe-grd-sprt-journeysnkr/p?skuId=1167213</v>
      </c>
      <c r="B649" s="3" t="str">
        <f>HYPERLINK("https://www.als.com/coleha-m-shoe-grd-sprt-journeysnkr/p", "https://www.als.com/coleha-m-shoe-grd-sprt-journeysnkr/p")</f>
        <v>https://www.als.com/coleha-m-shoe-grd-sprt-journeysnkr/p</v>
      </c>
      <c r="C649" t="s">
        <v>1828</v>
      </c>
      <c r="D649" t="s">
        <v>2248</v>
      </c>
      <c r="E649" s="3" t="str">
        <f>HYPERLINK("https://www.amazon.com/Cole-Haan-Original-Grand-Sneaker/dp/B07989JYTN/ref=sr_1_5?keywords=Cole+Haan+Grand+Sports+Journey+Knit+Sneaker+-+Mens&amp;qid=1695124313&amp;sr=8-5", "https://www.amazon.com/Cole-Haan-Original-Grand-Sneaker/dp/B07989JYTN/ref=sr_1_5?keywords=Cole+Haan+Grand+Sports+Journey+Knit+Sneaker+-+Mens&amp;qid=1695124313&amp;sr=8-5")</f>
        <v>https://www.amazon.com/Cole-Haan-Original-Grand-Sneaker/dp/B07989JYTN/ref=sr_1_5?keywords=Cole+Haan+Grand+Sports+Journey+Knit+Sneaker+-+Mens&amp;qid=1695124313&amp;sr=8-5</v>
      </c>
      <c r="F649" t="s">
        <v>2249</v>
      </c>
      <c r="G649" t="e">
        <f ca="1">IMAGE("https://alssports.vtexassets.com/arquivos/ids/1214886-800-auto?v=638097528133370000&amp;width=800&amp;height=auto&amp;aspect=true")</f>
        <v>#NAME?</v>
      </c>
      <c r="H649" t="e">
        <f ca="1">IMAGE("https://m.media-amazon.com/images/I/71GLAnzS9+L._AC_UL320_.jpg")</f>
        <v>#NAME?</v>
      </c>
      <c r="I649" t="s">
        <v>32</v>
      </c>
      <c r="J649">
        <v>69.95</v>
      </c>
      <c r="K649" s="2" t="s">
        <v>2250</v>
      </c>
      <c r="L649">
        <v>4.7</v>
      </c>
      <c r="M649">
        <v>3439</v>
      </c>
      <c r="O649" t="s">
        <v>33</v>
      </c>
      <c r="P649" t="s">
        <v>1832</v>
      </c>
      <c r="Q649" t="s">
        <v>1833</v>
      </c>
    </row>
    <row r="650" spans="1:17" ht="15.75" x14ac:dyDescent="0.25">
      <c r="A650" s="3" t="str">
        <f>HYPERLINK("https://www.als.com/crocs-classic-clog/p?skuId=1196935", "https://www.als.com/crocs-classic-clog/p?skuId=1196935")</f>
        <v>https://www.als.com/crocs-classic-clog/p?skuId=1196935</v>
      </c>
      <c r="B650" s="3" t="str">
        <f>HYPERLINK("https://www.als.com/crocs-classic-clog/p", "https://www.als.com/crocs-classic-clog/p")</f>
        <v>https://www.als.com/crocs-classic-clog/p</v>
      </c>
      <c r="C650" t="s">
        <v>1100</v>
      </c>
      <c r="D650" t="s">
        <v>2251</v>
      </c>
      <c r="E650" s="3" t="str">
        <f>HYPERLINK("https://www.amazon.com/Crocs-Womens-Classic-Platform-Shoes/dp/B09NMCK649/ref=sr_1_48?keywords=Crocs+Classic+Clog&amp;qid=1695124151&amp;sr=8-48", "https://www.amazon.com/Crocs-Womens-Classic-Platform-Shoes/dp/B09NMCK649/ref=sr_1_48?keywords=Crocs+Classic+Clog&amp;qid=1695124151&amp;sr=8-48")</f>
        <v>https://www.amazon.com/Crocs-Womens-Classic-Platform-Shoes/dp/B09NMCK649/ref=sr_1_48?keywords=Crocs+Classic+Clog&amp;qid=1695124151&amp;sr=8-48</v>
      </c>
      <c r="F650" t="s">
        <v>2252</v>
      </c>
      <c r="G650" t="e">
        <f ca="1">IMAGE("https://alssports.vtexassets.com/arquivos/ids/1222253-800-auto?v=638102875835800000&amp;width=800&amp;height=auto&amp;aspect=true")</f>
        <v>#NAME?</v>
      </c>
      <c r="H650" t="e">
        <f ca="1">IMAGE("https://m.media-amazon.com/images/I/713L2sNOMgL._AC_UL320_.jpg")</f>
        <v>#NAME?</v>
      </c>
      <c r="I650" t="s">
        <v>157</v>
      </c>
      <c r="J650">
        <v>34.950000000000003</v>
      </c>
      <c r="K650" s="2" t="s">
        <v>2253</v>
      </c>
      <c r="L650">
        <v>4.5999999999999996</v>
      </c>
      <c r="M650">
        <v>1262</v>
      </c>
      <c r="O650" t="s">
        <v>33</v>
      </c>
      <c r="P650" t="s">
        <v>26</v>
      </c>
      <c r="Q650" t="s">
        <v>1103</v>
      </c>
    </row>
    <row r="651" spans="1:17" ht="15.75" x14ac:dyDescent="0.25">
      <c r="A651" s="3" t="str">
        <f>HYPERLINK("https://www.als.com/hydrof-press-in-straw-lid/p?skuId=573668", "https://www.als.com/hydrof-press-in-straw-lid/p?skuId=573668")</f>
        <v>https://www.als.com/hydrof-press-in-straw-lid/p?skuId=573668</v>
      </c>
      <c r="B651" s="3" t="str">
        <f>HYPERLINK("https://www.als.com/hydrof-press-in-straw-lid/p", "https://www.als.com/hydrof-press-in-straw-lid/p")</f>
        <v>https://www.als.com/hydrof-press-in-straw-lid/p</v>
      </c>
      <c r="C651" t="s">
        <v>2254</v>
      </c>
      <c r="D651" t="s">
        <v>2255</v>
      </c>
      <c r="E651" s="3" t="str">
        <f>HYPERLINK("https://www.amazon.com/IRON-%C2%B0FLASK-Carabiner-Insulated-Bottles/dp/B08C68S5Q9/ref=sr_1_39?keywords=Hydro+Flask+Press-in+Straw+Lid&amp;qid=1695124484&amp;sr=8-39", "https://www.amazon.com/IRON-%C2%B0FLASK-Carabiner-Insulated-Bottles/dp/B08C68S5Q9/ref=sr_1_39?keywords=Hydro+Flask+Press-in+Straw+Lid&amp;qid=1695124484&amp;sr=8-39")</f>
        <v>https://www.amazon.com/IRON-%C2%B0FLASK-Carabiner-Insulated-Bottles/dp/B08C68S5Q9/ref=sr_1_39?keywords=Hydro+Flask+Press-in+Straw+Lid&amp;qid=1695124484&amp;sr=8-39</v>
      </c>
      <c r="F651" t="s">
        <v>2256</v>
      </c>
      <c r="G651" t="e">
        <f ca="1">IMAGE("https://alssports.vtexassets.com/arquivos/ids/1008627-800-auto?v=637810977568700000&amp;width=800&amp;height=auto&amp;aspect=true")</f>
        <v>#NAME?</v>
      </c>
      <c r="H651" t="e">
        <f ca="1">IMAGE("https://m.media-amazon.com/images/I/614HQGShcKL._AC_UL320_.jpg")</f>
        <v>#NAME?</v>
      </c>
      <c r="I651" t="s">
        <v>1528</v>
      </c>
      <c r="J651">
        <v>6.95</v>
      </c>
      <c r="K651" s="2" t="s">
        <v>2257</v>
      </c>
      <c r="L651">
        <v>4.7</v>
      </c>
      <c r="M651">
        <v>261</v>
      </c>
      <c r="O651" t="s">
        <v>33</v>
      </c>
      <c r="P651" t="s">
        <v>26</v>
      </c>
      <c r="Q651" t="s">
        <v>2258</v>
      </c>
    </row>
    <row r="652" spans="1:17" ht="15.75" x14ac:dyDescent="0.25">
      <c r="A652" s="3" t="str">
        <f>HYPERLINK("https://www.als.com/black-diamond-spot-400-headlamp-101632/p?skuId=931481", "https://www.als.com/black-diamond-spot-400-headlamp-101632/p?skuId=931481")</f>
        <v>https://www.als.com/black-diamond-spot-400-headlamp-101632/p?skuId=931481</v>
      </c>
      <c r="B652" s="3" t="str">
        <f>HYPERLINK("https://www.als.com/black-diamond-spot-400-headlamp-101632/p", "https://www.als.com/black-diamond-spot-400-headlamp-101632/p")</f>
        <v>https://www.als.com/black-diamond-spot-400-headlamp-101632/p</v>
      </c>
      <c r="C652" t="s">
        <v>154</v>
      </c>
      <c r="D652" t="s">
        <v>1731</v>
      </c>
      <c r="E652" s="3" t="str">
        <f>HYPERLINK("https://www.amazon.com/Black-Diamond-Spot-350-Headlamp/dp/B08BHYNX8Q/ref=sr_1_29?keywords=Black+Diamond+Spot+400+Headlamp&amp;qid=1695124486&amp;sr=8-29", "https://www.amazon.com/Black-Diamond-Spot-350-Headlamp/dp/B08BHYNX8Q/ref=sr_1_29?keywords=Black+Diamond+Spot+400+Headlamp&amp;qid=1695124486&amp;sr=8-29")</f>
        <v>https://www.amazon.com/Black-Diamond-Spot-350-Headlamp/dp/B08BHYNX8Q/ref=sr_1_29?keywords=Black+Diamond+Spot+400+Headlamp&amp;qid=1695124486&amp;sr=8-29</v>
      </c>
      <c r="F652" t="s">
        <v>2259</v>
      </c>
      <c r="G652" t="e">
        <f ca="1">IMAGE("https://alssports.vtexassets.com/arquivos/ids/1053612-800-auto?v=637867784637730000&amp;width=800&amp;height=auto&amp;aspect=true")</f>
        <v>#NAME?</v>
      </c>
      <c r="H652" t="e">
        <f ca="1">IMAGE("https://m.media-amazon.com/images/I/81DtfAnXXNL._AC_UL320_.jpg")</f>
        <v>#NAME?</v>
      </c>
      <c r="I652" t="s">
        <v>157</v>
      </c>
      <c r="J652">
        <v>34.880000000000003</v>
      </c>
      <c r="K652" s="2" t="s">
        <v>2260</v>
      </c>
      <c r="L652">
        <v>4.7</v>
      </c>
      <c r="M652">
        <v>212</v>
      </c>
      <c r="O652" t="s">
        <v>33</v>
      </c>
      <c r="P652" t="s">
        <v>26</v>
      </c>
      <c r="Q652" t="s">
        <v>158</v>
      </c>
    </row>
    <row r="653" spans="1:17" ht="15.75" x14ac:dyDescent="0.25">
      <c r="A653" s="3" t="str">
        <f>HYPERLINK("https://www.als.com/heydud-m-shoe-wally-washed-canvas/p?skuId=1317816", "https://www.als.com/heydud-m-shoe-wally-washed-canvas/p?skuId=1317816")</f>
        <v>https://www.als.com/heydud-m-shoe-wally-washed-canvas/p?skuId=1317816</v>
      </c>
      <c r="B653" s="3" t="str">
        <f>HYPERLINK("https://www.als.com/heydud-m-shoe-wally-washed-canvas/p", "https://www.als.com/heydud-m-shoe-wally-washed-canvas/p")</f>
        <v>https://www.als.com/heydud-m-shoe-wally-washed-canvas/p</v>
      </c>
      <c r="C653" t="s">
        <v>501</v>
      </c>
      <c r="D653" t="s">
        <v>2261</v>
      </c>
      <c r="E653" s="3" t="str">
        <f>HYPERLINK("https://www.amazon.com/Hey-Dude-Mens-Wally-Camo/dp/B07YQRJX6F/ref=sr_1_38?keywords=Hey+Dude+Wally+Washed+Canvas+Shoe+-+Mens&amp;qid=1695124460&amp;sr=8-38", "https://www.amazon.com/Hey-Dude-Mens-Wally-Camo/dp/B07YQRJX6F/ref=sr_1_38?keywords=Hey+Dude+Wally+Washed+Canvas+Shoe+-+Mens&amp;qid=1695124460&amp;sr=8-38")</f>
        <v>https://www.amazon.com/Hey-Dude-Mens-Wally-Camo/dp/B07YQRJX6F/ref=sr_1_38?keywords=Hey+Dude+Wally+Washed+Canvas+Shoe+-+Mens&amp;qid=1695124460&amp;sr=8-38</v>
      </c>
      <c r="F653" t="s">
        <v>2262</v>
      </c>
      <c r="G653" t="e">
        <f ca="1">IMAGE("https://alssports.vtexassets.com/arquivos/ids/1388214-800-auto?v=638255521966130000&amp;width=800&amp;height=auto&amp;aspect=true")</f>
        <v>#NAME?</v>
      </c>
      <c r="H653" t="e">
        <f ca="1">IMAGE("https://m.media-amazon.com/images/I/619avZIZHsL._AC_UL320_.jpg")</f>
        <v>#NAME?</v>
      </c>
      <c r="I653" t="s">
        <v>58</v>
      </c>
      <c r="J653">
        <v>45.3</v>
      </c>
      <c r="K653" s="2" t="s">
        <v>2263</v>
      </c>
      <c r="L653">
        <v>4.7</v>
      </c>
      <c r="M653">
        <v>858</v>
      </c>
      <c r="O653" t="s">
        <v>33</v>
      </c>
      <c r="P653" t="s">
        <v>26</v>
      </c>
      <c r="Q653" t="s">
        <v>505</v>
      </c>
    </row>
    <row r="654" spans="1:17" ht="15.75" x14ac:dyDescent="0.25">
      <c r="A654" s="3" t="str">
        <f>HYPERLINK("https://www.als.com/keen-m-koven-mid-wp/p?skuId=1240445", "https://www.als.com/keen-m-koven-mid-wp/p?skuId=1240445")</f>
        <v>https://www.als.com/keen-m-koven-mid-wp/p?skuId=1240445</v>
      </c>
      <c r="B654" s="3" t="str">
        <f>HYPERLINK("https://www.als.com/keen-m-koven-mid-wp/p", "https://www.als.com/keen-m-koven-mid-wp/p")</f>
        <v>https://www.als.com/keen-m-koven-mid-wp/p</v>
      </c>
      <c r="C654" t="s">
        <v>282</v>
      </c>
      <c r="D654" t="s">
        <v>2264</v>
      </c>
      <c r="E654" s="3" t="str">
        <f>HYPERLINK("https://www.amazon.com/KEEN-Targhee-Leather-Hiking-Golden/dp/B01N6S1BWY/ref=sr_1_1?keywords=KEEN+Koven+Mid+Waterproof+Hiking+Boot+-+Men%27s&amp;qid=1695124140&amp;sr=8-1", "https://www.amazon.com/KEEN-Targhee-Leather-Hiking-Golden/dp/B01N6S1BWY/ref=sr_1_1?keywords=KEEN+Koven+Mid+Waterproof+Hiking+Boot+-+Men%27s&amp;qid=1695124140&amp;sr=8-1")</f>
        <v>https://www.amazon.com/KEEN-Targhee-Leather-Hiking-Golden/dp/B01N6S1BWY/ref=sr_1_1?keywords=KEEN+Koven+Mid+Waterproof+Hiking+Boot+-+Men%27s&amp;qid=1695124140&amp;sr=8-1</v>
      </c>
      <c r="F654" t="s">
        <v>2265</v>
      </c>
      <c r="G654" t="e">
        <f ca="1">IMAGE("https://alssports.vtexassets.com/arquivos/ids/1363221-800-auto?v=638236488805200000&amp;width=800&amp;height=auto&amp;aspect=true")</f>
        <v>#NAME?</v>
      </c>
      <c r="H654" t="e">
        <f ca="1">IMAGE("https://m.media-amazon.com/images/I/71rxefNgMEL._AC_UL320_.jpg")</f>
        <v>#NAME?</v>
      </c>
      <c r="I654" t="s">
        <v>285</v>
      </c>
      <c r="J654">
        <v>97.59</v>
      </c>
      <c r="K654" s="2" t="s">
        <v>2266</v>
      </c>
      <c r="L654">
        <v>4.3</v>
      </c>
      <c r="M654">
        <v>5615</v>
      </c>
      <c r="O654" t="s">
        <v>33</v>
      </c>
      <c r="P654" t="s">
        <v>26</v>
      </c>
      <c r="Q654" t="s">
        <v>287</v>
      </c>
    </row>
    <row r="655" spans="1:17" ht="15.75" x14ac:dyDescent="0.25">
      <c r="A655" s="3" t="str">
        <f>HYPERLINK("https://www.als.com/owala-bottle-free-sip-32-oz/p?skuId=1326138", "https://www.als.com/owala-bottle-free-sip-32-oz/p?skuId=1326138")</f>
        <v>https://www.als.com/owala-bottle-free-sip-32-oz/p?skuId=1326138</v>
      </c>
      <c r="B655" s="3" t="str">
        <f>HYPERLINK("https://www.als.com/owala-bottle-free-sip-32-oz/p", "https://www.als.com/owala-bottle-free-sip-32-oz/p")</f>
        <v>https://www.als.com/owala-bottle-free-sip-32-oz/p</v>
      </c>
      <c r="C655" t="s">
        <v>459</v>
      </c>
      <c r="D655" t="s">
        <v>2267</v>
      </c>
      <c r="E655" s="3" t="str">
        <f>HYPERLINK("https://www.amazon.com/VACADAHH-Insulated-Stainless-Lightweight-Friendly/dp/B08FHX7ZL7/ref=sr_1_23?keywords=Owala+FreeSip+Stainless+Steel+Water+Bottle+-+32oz&amp;qid=1695124104&amp;sr=8-23", "https://www.amazon.com/VACADAHH-Insulated-Stainless-Lightweight-Friendly/dp/B08FHX7ZL7/ref=sr_1_23?keywords=Owala+FreeSip+Stainless+Steel+Water+Bottle+-+32oz&amp;qid=1695124104&amp;sr=8-23")</f>
        <v>https://www.amazon.com/VACADAHH-Insulated-Stainless-Lightweight-Friendly/dp/B08FHX7ZL7/ref=sr_1_23?keywords=Owala+FreeSip+Stainless+Steel+Water+Bottle+-+32oz&amp;qid=1695124104&amp;sr=8-23</v>
      </c>
      <c r="F655" t="s">
        <v>2268</v>
      </c>
      <c r="G655" t="e">
        <f ca="1">IMAGE("https://alssports.vtexassets.com/arquivos/ids/1355955-800-auto?v=638230513195900000&amp;width=800&amp;height=auto&amp;aspect=true")</f>
        <v>#NAME?</v>
      </c>
      <c r="H655" t="e">
        <f ca="1">IMAGE("https://m.media-amazon.com/images/I/61YSxabFOiL._AC_UL320_.jpg")</f>
        <v>#NAME?</v>
      </c>
      <c r="I655" t="s">
        <v>462</v>
      </c>
      <c r="J655">
        <v>22.99</v>
      </c>
      <c r="K655" s="2" t="s">
        <v>2269</v>
      </c>
      <c r="L655">
        <v>4.5</v>
      </c>
      <c r="M655">
        <v>5376</v>
      </c>
      <c r="O655" t="s">
        <v>33</v>
      </c>
      <c r="P655" t="s">
        <v>26</v>
      </c>
      <c r="Q655" t="s">
        <v>464</v>
      </c>
    </row>
    <row r="656" spans="1:17" ht="15.75" x14ac:dyDescent="0.25">
      <c r="A656" s="3" t="str">
        <f>HYPERLINK("https://www.als.com/carhar-m-workwear-pocket-ss-tee/p?skuId=1200098", "https://www.als.com/carhar-m-workwear-pocket-ss-tee/p?skuId=1200098")</f>
        <v>https://www.als.com/carhar-m-workwear-pocket-ss-tee/p?skuId=1200098</v>
      </c>
      <c r="B656" s="3" t="str">
        <f>HYPERLINK("https://www.als.com/carhar-m-workwear-pocket-ss-tee/p", "https://www.als.com/carhar-m-workwear-pocket-ss-tee/p")</f>
        <v>https://www.als.com/carhar-m-workwear-pocket-ss-tee/p</v>
      </c>
      <c r="C656" t="s">
        <v>237</v>
      </c>
      <c r="D656" t="s">
        <v>2270</v>
      </c>
      <c r="E656" s="3" t="str">
        <f>HYPERLINK("https://www.amazon.com/Amazon-Essentials-Regular-Fit-Charcoal-XX-Large/dp/B07F1D55SS/ref=sr_1_34?keywords=Carhartt+Workwear+Loose+Fit+Pocket+Short-Sleeve+T-Shirt+-+Men%27s&amp;qid=1695124338&amp;sr=8-34", "https://www.amazon.com/Amazon-Essentials-Regular-Fit-Charcoal-XX-Large/dp/B07F1D55SS/ref=sr_1_34?keywords=Carhartt+Workwear+Loose+Fit+Pocket+Short-Sleeve+T-Shirt+-+Men%27s&amp;qid=1695124338&amp;sr=8-34")</f>
        <v>https://www.amazon.com/Amazon-Essentials-Regular-Fit-Charcoal-XX-Large/dp/B07F1D55SS/ref=sr_1_34?keywords=Carhartt+Workwear+Loose+Fit+Pocket+Short-Sleeve+T-Shirt+-+Men%27s&amp;qid=1695124338&amp;sr=8-34</v>
      </c>
      <c r="F656" t="s">
        <v>2271</v>
      </c>
      <c r="G656" t="e">
        <f ca="1">IMAGE("https://alssports.vtexassets.com/arquivos/ids/1430829-800-auto?v=638285166341500000&amp;width=800&amp;height=auto&amp;aspect=true")</f>
        <v>#NAME?</v>
      </c>
      <c r="H656" t="e">
        <f ca="1">IMAGE("https://m.media-amazon.com/images/I/81XzOP8DxfL._AC_UL320_.jpg")</f>
        <v>#NAME?</v>
      </c>
      <c r="I656" t="s">
        <v>240</v>
      </c>
      <c r="J656">
        <v>13.93</v>
      </c>
      <c r="K656" s="2" t="s">
        <v>2272</v>
      </c>
      <c r="L656">
        <v>4.2</v>
      </c>
      <c r="M656">
        <v>13562</v>
      </c>
      <c r="O656" t="s">
        <v>33</v>
      </c>
      <c r="P656" t="s">
        <v>26</v>
      </c>
      <c r="Q656" t="s">
        <v>241</v>
      </c>
    </row>
    <row r="657" spans="1:17" ht="15.75" x14ac:dyDescent="0.25">
      <c r="A657" s="3" t="str">
        <f>HYPERLINK("https://www.als.com/columbia-double-trouble-reversible-jacket-toddler-124814/p?skuId=1245039", "https://www.als.com/columbia-double-trouble-reversible-jacket-toddler-124814/p?skuId=1245039")</f>
        <v>https://www.als.com/columbia-double-trouble-reversible-jacket-toddler-124814/p?skuId=1245039</v>
      </c>
      <c r="B657" s="3" t="str">
        <f>HYPERLINK("https://www.als.com/columbia-double-trouble-reversible-jacket-toddler-124814/p", "https://www.als.com/columbia-double-trouble-reversible-jacket-toddler-124814/p")</f>
        <v>https://www.als.com/columbia-double-trouble-reversible-jacket-toddler-124814/p</v>
      </c>
      <c r="C657" t="s">
        <v>822</v>
      </c>
      <c r="D657" t="s">
        <v>2273</v>
      </c>
      <c r="E657" s="3" t="str">
        <f>HYPERLINK("https://www.amazon.com/Columbia-Baby-Double-Trouble-Jacket/dp/B0814BN163/ref=sr_1_7?keywords=Columbia+Double+Trouble+Reversible+Jacket+-+Toddler&amp;qid=1695124350&amp;sr=8-7", "https://www.amazon.com/Columbia-Baby-Double-Trouble-Jacket/dp/B0814BN163/ref=sr_1_7?keywords=Columbia+Double+Trouble+Reversible+Jacket+-+Toddler&amp;qid=1695124350&amp;sr=8-7")</f>
        <v>https://www.amazon.com/Columbia-Baby-Double-Trouble-Jacket/dp/B0814BN163/ref=sr_1_7?keywords=Columbia+Double+Trouble+Reversible+Jacket+-+Toddler&amp;qid=1695124350&amp;sr=8-7</v>
      </c>
      <c r="F657" t="s">
        <v>2274</v>
      </c>
      <c r="G657" t="e">
        <f ca="1">IMAGE("https://alssports.vtexassets.com/arquivos/ids/1182239-800-auto?v=638052779051930000&amp;width=800&amp;height=auto&amp;aspect=true")</f>
        <v>#NAME?</v>
      </c>
      <c r="H657" t="e">
        <f ca="1">IMAGE("https://m.media-amazon.com/images/I/61RZuv9EQWL._AC_UL320_.jpg")</f>
        <v>#NAME?</v>
      </c>
      <c r="I657" t="s">
        <v>825</v>
      </c>
      <c r="J657">
        <v>38.979999999999997</v>
      </c>
      <c r="K657" s="2" t="s">
        <v>2275</v>
      </c>
      <c r="L657">
        <v>5</v>
      </c>
      <c r="M657">
        <v>6</v>
      </c>
      <c r="O657" t="s">
        <v>33</v>
      </c>
      <c r="P657" t="s">
        <v>827</v>
      </c>
      <c r="Q657" t="s">
        <v>828</v>
      </c>
    </row>
    <row r="658" spans="1:17" ht="15.75" x14ac:dyDescent="0.25">
      <c r="A658" s="3" t="str">
        <f>HYPERLINK("https://www.als.com/owala-bottle-free-sip-32-oz/p?skuId=1326138", "https://www.als.com/owala-bottle-free-sip-32-oz/p?skuId=1326138")</f>
        <v>https://www.als.com/owala-bottle-free-sip-32-oz/p?skuId=1326138</v>
      </c>
      <c r="B658" s="3" t="str">
        <f>HYPERLINK("https://www.als.com/owala-bottle-free-sip-32-oz/p", "https://www.als.com/owala-bottle-free-sip-32-oz/p")</f>
        <v>https://www.als.com/owala-bottle-free-sip-32-oz/p</v>
      </c>
      <c r="C658" t="s">
        <v>459</v>
      </c>
      <c r="D658" t="s">
        <v>2276</v>
      </c>
      <c r="E658" s="3" t="str">
        <f>HYPERLINK("https://www.amazon.com/Trebo-Insulated-Stainless-Tumbler-Paracord/dp/B0BLCD3KWY/ref=sr_1_24?keywords=Owala+FreeSip+Stainless+Steel+Water+Bottle+-+32oz&amp;qid=1695124104&amp;sr=8-24", "https://www.amazon.com/Trebo-Insulated-Stainless-Tumbler-Paracord/dp/B0BLCD3KWY/ref=sr_1_24?keywords=Owala+FreeSip+Stainless+Steel+Water+Bottle+-+32oz&amp;qid=1695124104&amp;sr=8-24")</f>
        <v>https://www.amazon.com/Trebo-Insulated-Stainless-Tumbler-Paracord/dp/B0BLCD3KWY/ref=sr_1_24?keywords=Owala+FreeSip+Stainless+Steel+Water+Bottle+-+32oz&amp;qid=1695124104&amp;sr=8-24</v>
      </c>
      <c r="F658" t="s">
        <v>2277</v>
      </c>
      <c r="G658" t="e">
        <f ca="1">IMAGE("https://alssports.vtexassets.com/arquivos/ids/1355955-800-auto?v=638230513195900000&amp;width=800&amp;height=auto&amp;aspect=true")</f>
        <v>#NAME?</v>
      </c>
      <c r="H658" t="e">
        <f ca="1">IMAGE("https://m.media-amazon.com/images/I/61B1OBJE3VL._AC_UL320_.jpg")</f>
        <v>#NAME?</v>
      </c>
      <c r="I658" t="s">
        <v>462</v>
      </c>
      <c r="J658">
        <v>22.94</v>
      </c>
      <c r="K658" s="2" t="s">
        <v>2278</v>
      </c>
      <c r="L658">
        <v>4.5</v>
      </c>
      <c r="M658">
        <v>546</v>
      </c>
      <c r="O658" t="s">
        <v>33</v>
      </c>
      <c r="P658" t="s">
        <v>26</v>
      </c>
      <c r="Q658" t="s">
        <v>464</v>
      </c>
    </row>
    <row r="659" spans="1:17" ht="15.75" x14ac:dyDescent="0.25">
      <c r="A659" s="3" t="str">
        <f>HYPERLINK("https://www.als.com/reef-w-sandals-cushion-vista-hi/p?skuId=1280794", "https://www.als.com/reef-w-sandals-cushion-vista-hi/p?skuId=1280794")</f>
        <v>https://www.als.com/reef-w-sandals-cushion-vista-hi/p?skuId=1280794</v>
      </c>
      <c r="B659" s="3" t="str">
        <f>HYPERLINK("https://www.als.com/reef-w-sandals-cushion-vista-hi/p", "https://www.als.com/reef-w-sandals-cushion-vista-hi/p")</f>
        <v>https://www.als.com/reef-w-sandals-cushion-vista-hi/p</v>
      </c>
      <c r="C659" t="s">
        <v>960</v>
      </c>
      <c r="D659" t="s">
        <v>2279</v>
      </c>
      <c r="E659" s="3" t="str">
        <f>HYPERLINK("https://www.amazon.com/Reef-Womens-Cushion-Coast-Sneaker/dp/B09GMTWHHS/ref=sr_1_43?keywords=REEF+Cushion+Vista+HI+Slide+-+Women%27s&amp;qid=1695124489&amp;sr=8-43", "https://www.amazon.com/Reef-Womens-Cushion-Coast-Sneaker/dp/B09GMTWHHS/ref=sr_1_43?keywords=REEF+Cushion+Vista+HI+Slide+-+Women%27s&amp;qid=1695124489&amp;sr=8-43")</f>
        <v>https://www.amazon.com/Reef-Womens-Cushion-Coast-Sneaker/dp/B09GMTWHHS/ref=sr_1_43?keywords=REEF+Cushion+Vista+HI+Slide+-+Women%27s&amp;qid=1695124489&amp;sr=8-43</v>
      </c>
      <c r="F659" t="s">
        <v>2280</v>
      </c>
      <c r="G659" t="e">
        <f ca="1">IMAGE("https://alssports.vtexassets.com/arquivos/ids/1252015-800-auto?v=638131199167330000&amp;width=800&amp;height=auto&amp;aspect=true")</f>
        <v>#NAME?</v>
      </c>
      <c r="H659" t="e">
        <f ca="1">IMAGE("https://m.media-amazon.com/images/I/71mBLWnNRXL._AC_UL320_.jpg")</f>
        <v>#NAME?</v>
      </c>
      <c r="I659" t="s">
        <v>58</v>
      </c>
      <c r="J659">
        <v>45.05</v>
      </c>
      <c r="K659" s="2" t="s">
        <v>2281</v>
      </c>
      <c r="L659">
        <v>4.5</v>
      </c>
      <c r="M659">
        <v>421</v>
      </c>
      <c r="O659" t="s">
        <v>33</v>
      </c>
      <c r="P659" t="s">
        <v>26</v>
      </c>
      <c r="Q659" t="s">
        <v>963</v>
      </c>
    </row>
    <row r="660" spans="1:17" ht="15.75" x14ac:dyDescent="0.25">
      <c r="A660" s="3" t="str">
        <f>HYPERLINK("https://www.als.com/reef-w-sandals-cushion-vista-hi/p?skuId=1280794", "https://www.als.com/reef-w-sandals-cushion-vista-hi/p?skuId=1280794")</f>
        <v>https://www.als.com/reef-w-sandals-cushion-vista-hi/p?skuId=1280794</v>
      </c>
      <c r="B660" s="3" t="str">
        <f>HYPERLINK("https://www.als.com/reef-w-sandals-cushion-vista-hi/p", "https://www.als.com/reef-w-sandals-cushion-vista-hi/p")</f>
        <v>https://www.als.com/reef-w-sandals-cushion-vista-hi/p</v>
      </c>
      <c r="C660" t="s">
        <v>960</v>
      </c>
      <c r="D660" t="s">
        <v>2282</v>
      </c>
      <c r="E660" s="3" t="str">
        <f>HYPERLINK("https://www.amazon.com/Reef-Womens-Sandals-Cushion-Vintage/dp/B08BG27QVS/ref=sr_1_26?keywords=REEF+Cushion+Vista+HI+Slide+-+Women%27s&amp;qid=1695124489&amp;sr=8-26", "https://www.amazon.com/Reef-Womens-Sandals-Cushion-Vintage/dp/B08BG27QVS/ref=sr_1_26?keywords=REEF+Cushion+Vista+HI+Slide+-+Women%27s&amp;qid=1695124489&amp;sr=8-26")</f>
        <v>https://www.amazon.com/Reef-Womens-Sandals-Cushion-Vintage/dp/B08BG27QVS/ref=sr_1_26?keywords=REEF+Cushion+Vista+HI+Slide+-+Women%27s&amp;qid=1695124489&amp;sr=8-26</v>
      </c>
      <c r="F660" t="s">
        <v>2283</v>
      </c>
      <c r="G660" t="e">
        <f ca="1">IMAGE("https://alssports.vtexassets.com/arquivos/ids/1252015-800-auto?v=638131199167330000&amp;width=800&amp;height=auto&amp;aspect=true")</f>
        <v>#NAME?</v>
      </c>
      <c r="H660" t="e">
        <f ca="1">IMAGE("https://m.media-amazon.com/images/I/61-JQa-1+6L._AC_UL320_.jpg")</f>
        <v>#NAME?</v>
      </c>
      <c r="I660" t="s">
        <v>58</v>
      </c>
      <c r="J660">
        <v>45</v>
      </c>
      <c r="K660" s="2" t="s">
        <v>2284</v>
      </c>
      <c r="L660">
        <v>4</v>
      </c>
      <c r="M660">
        <v>31</v>
      </c>
      <c r="O660" t="s">
        <v>33</v>
      </c>
      <c r="P660" t="s">
        <v>26</v>
      </c>
      <c r="Q660" t="s">
        <v>963</v>
      </c>
    </row>
    <row r="661" spans="1:17" ht="15.75" x14ac:dyDescent="0.25">
      <c r="A661" s="3" t="str">
        <f>HYPERLINK("https://www.als.com/heydud-m-shoe-wally-washed-canvas/p?skuId=1317816", "https://www.als.com/heydud-m-shoe-wally-washed-canvas/p?skuId=1317816")</f>
        <v>https://www.als.com/heydud-m-shoe-wally-washed-canvas/p?skuId=1317816</v>
      </c>
      <c r="B661" s="3" t="str">
        <f>HYPERLINK("https://www.als.com/heydud-m-shoe-wally-washed-canvas/p", "https://www.als.com/heydud-m-shoe-wally-washed-canvas/p")</f>
        <v>https://www.als.com/heydud-m-shoe-wally-washed-canvas/p</v>
      </c>
      <c r="C661" t="s">
        <v>501</v>
      </c>
      <c r="D661" t="s">
        <v>1438</v>
      </c>
      <c r="E661" s="3" t="str">
        <f>HYPERLINK("https://www.amazon.com/Hey-Dude-Loafers-Comfortable-Light-Weight/dp/B09HW128XM/ref=sr_1_25?keywords=Hey+Dude+Wally+Washed+Canvas+Shoe+-+Mens&amp;qid=1695124460&amp;sr=8-25", "https://www.amazon.com/Hey-Dude-Loafers-Comfortable-Light-Weight/dp/B09HW128XM/ref=sr_1_25?keywords=Hey+Dude+Wally+Washed+Canvas+Shoe+-+Mens&amp;qid=1695124460&amp;sr=8-25")</f>
        <v>https://www.amazon.com/Hey-Dude-Loafers-Comfortable-Light-Weight/dp/B09HW128XM/ref=sr_1_25?keywords=Hey+Dude+Wally+Washed+Canvas+Shoe+-+Mens&amp;qid=1695124460&amp;sr=8-25</v>
      </c>
      <c r="F661" t="s">
        <v>2285</v>
      </c>
      <c r="G661" t="e">
        <f ca="1">IMAGE("https://alssports.vtexassets.com/arquivos/ids/1388214-800-auto?v=638255521966130000&amp;width=800&amp;height=auto&amp;aspect=true")</f>
        <v>#NAME?</v>
      </c>
      <c r="H661" t="e">
        <f ca="1">IMAGE("https://m.media-amazon.com/images/I/51HfkXIvULL._AC_UL320_.jpg")</f>
        <v>#NAME?</v>
      </c>
      <c r="I661" t="s">
        <v>58</v>
      </c>
      <c r="J661">
        <v>44.99</v>
      </c>
      <c r="K661" s="2" t="s">
        <v>2286</v>
      </c>
      <c r="L661">
        <v>4.8</v>
      </c>
      <c r="M661">
        <v>984</v>
      </c>
      <c r="O661" t="s">
        <v>33</v>
      </c>
      <c r="P661" t="s">
        <v>26</v>
      </c>
      <c r="Q661" t="s">
        <v>505</v>
      </c>
    </row>
    <row r="662" spans="1:17" ht="15.75" x14ac:dyDescent="0.25">
      <c r="A662" s="3" t="str">
        <f>HYPERLINK("https://www.als.com/newbal-m-shoe-574v3/p?skuId=1094176", "https://www.als.com/newbal-m-shoe-574v3/p?skuId=1094176")</f>
        <v>https://www.als.com/newbal-m-shoe-574v3/p?skuId=1094176</v>
      </c>
      <c r="B662" s="3" t="str">
        <f>HYPERLINK("https://www.als.com/newbal-m-shoe-574v3/p", "https://www.als.com/newbal-m-shoe-574v3/p")</f>
        <v>https://www.als.com/newbal-m-shoe-574v3/p</v>
      </c>
      <c r="C662" t="s">
        <v>1179</v>
      </c>
      <c r="D662" t="s">
        <v>2287</v>
      </c>
      <c r="E662" s="3" t="str">
        <f>HYPERLINK("https://www.amazon.com/New-Balance-Sneaker-Incense-Mahogany/dp/B0817C32V8/ref=sr_1_7?keywords=New+Balance+574+Core+Shoe+-+Men%27s&amp;qid=1695124351&amp;sr=8-7", "https://www.amazon.com/New-Balance-Sneaker-Incense-Mahogany/dp/B0817C32V8/ref=sr_1_7?keywords=New+Balance+574+Core+Shoe+-+Men%27s&amp;qid=1695124351&amp;sr=8-7")</f>
        <v>https://www.amazon.com/New-Balance-Sneaker-Incense-Mahogany/dp/B0817C32V8/ref=sr_1_7?keywords=New+Balance+574+Core+Shoe+-+Men%27s&amp;qid=1695124351&amp;sr=8-7</v>
      </c>
      <c r="F662" t="s">
        <v>2288</v>
      </c>
      <c r="G662" t="e">
        <f ca="1">IMAGE("https://alssports.vtexassets.com/arquivos/ids/1118685-800-auto?v=637967832331470000&amp;width=800&amp;height=auto&amp;aspect=true")</f>
        <v>#NAME?</v>
      </c>
      <c r="H662" t="e">
        <f ca="1">IMAGE("https://m.media-amazon.com/images/I/71B41KFOO2L._AC_UL320_.jpg")</f>
        <v>#NAME?</v>
      </c>
      <c r="I662" t="s">
        <v>1182</v>
      </c>
      <c r="J662">
        <v>41.18</v>
      </c>
      <c r="K662" s="2" t="s">
        <v>2289</v>
      </c>
      <c r="L662">
        <v>4.5999999999999996</v>
      </c>
      <c r="M662">
        <v>2912</v>
      </c>
      <c r="O662" t="s">
        <v>33</v>
      </c>
      <c r="P662" t="s">
        <v>1184</v>
      </c>
      <c r="Q662" t="s">
        <v>1185</v>
      </c>
    </row>
    <row r="663" spans="1:17" ht="15.75" x14ac:dyDescent="0.25">
      <c r="A663" s="3" t="str">
        <f>HYPERLINK("https://www.als.com/chaco-m-sandal-zcloud/p?skuId=932120", "https://www.als.com/chaco-m-sandal-zcloud/p?skuId=932120")</f>
        <v>https://www.als.com/chaco-m-sandal-zcloud/p?skuId=932120</v>
      </c>
      <c r="B663" s="3" t="str">
        <f>HYPERLINK("https://www.als.com/chaco-m-sandal-zcloud/p", "https://www.als.com/chaco-m-sandal-zcloud/p")</f>
        <v>https://www.als.com/chaco-m-sandal-zcloud/p</v>
      </c>
      <c r="C663" t="s">
        <v>694</v>
      </c>
      <c r="D663" t="s">
        <v>2290</v>
      </c>
      <c r="E663" s="3" t="str">
        <f>HYPERLINK("https://www.amazon.com/Chaco-Cloud-Men-Solid-Black/dp/B07RRZD9B6/ref=sr_1_3?keywords=Chaco+Z%2FCloud+Sandal+-+Mens&amp;qid=1695124430&amp;sr=8-3", "https://www.amazon.com/Chaco-Cloud-Men-Solid-Black/dp/B07RRZD9B6/ref=sr_1_3?keywords=Chaco+Z%2FCloud+Sandal+-+Mens&amp;qid=1695124430&amp;sr=8-3")</f>
        <v>https://www.amazon.com/Chaco-Cloud-Men-Solid-Black/dp/B07RRZD9B6/ref=sr_1_3?keywords=Chaco+Z%2FCloud+Sandal+-+Mens&amp;qid=1695124430&amp;sr=8-3</v>
      </c>
      <c r="F663" t="s">
        <v>2291</v>
      </c>
      <c r="G663" t="e">
        <f ca="1">IMAGE("https://alssports.vtexassets.com/arquivos/ids/1082383-800-auto?v=637913737461500000&amp;width=800&amp;height=auto&amp;aspect=true")</f>
        <v>#NAME?</v>
      </c>
      <c r="H663" t="e">
        <f ca="1">IMAGE("https://m.media-amazon.com/images/I/71Gvns887ML._AC_UL320_.jpg")</f>
        <v>#NAME?</v>
      </c>
      <c r="I663" t="s">
        <v>269</v>
      </c>
      <c r="J663">
        <v>72.290000000000006</v>
      </c>
      <c r="K663" s="2" t="s">
        <v>2292</v>
      </c>
      <c r="L663">
        <v>4.5</v>
      </c>
      <c r="M663">
        <v>1299</v>
      </c>
      <c r="O663" t="s">
        <v>33</v>
      </c>
      <c r="P663" t="s">
        <v>26</v>
      </c>
      <c r="Q663" t="s">
        <v>697</v>
      </c>
    </row>
    <row r="664" spans="1:17" ht="15.75" x14ac:dyDescent="0.25">
      <c r="A664" s="3" t="str">
        <f>HYPERLINK("https://www.als.com/under-m-charged-verssert-run-shoe/p?skuId=1204906", "https://www.als.com/under-m-charged-verssert-run-shoe/p?skuId=1204906")</f>
        <v>https://www.als.com/under-m-charged-verssert-run-shoe/p?skuId=1204906</v>
      </c>
      <c r="B664" s="3" t="str">
        <f>HYPERLINK("https://www.als.com/under-m-charged-verssert-run-shoe/p", "https://www.als.com/under-m-charged-verssert-run-shoe/p")</f>
        <v>https://www.als.com/under-m-charged-verssert-run-shoe/p</v>
      </c>
      <c r="C664" t="s">
        <v>60</v>
      </c>
      <c r="D664" t="s">
        <v>2293</v>
      </c>
      <c r="E664" s="3" t="str">
        <f>HYPERLINK("https://www.amazon.com/Under-Armour-Charged-Rogue-Running/dp/B07Z79P6XX/ref=sr_1_27?keywords=Under+Armour+Charged+Verssert+Running+Shoe+-+Mens&amp;qid=1695124491&amp;sr=8-27", "https://www.amazon.com/Under-Armour-Charged-Rogue-Running/dp/B07Z79P6XX/ref=sr_1_27?keywords=Under+Armour+Charged+Verssert+Running+Shoe+-+Mens&amp;qid=1695124491&amp;sr=8-27")</f>
        <v>https://www.amazon.com/Under-Armour-Charged-Rogue-Running/dp/B07Z79P6XX/ref=sr_1_27?keywords=Under+Armour+Charged+Verssert+Running+Shoe+-+Mens&amp;qid=1695124491&amp;sr=8-27</v>
      </c>
      <c r="F664" t="s">
        <v>2294</v>
      </c>
      <c r="G664" t="e">
        <f ca="1">IMAGE("https://alssports.vtexassets.com/arquivos/ids/1282426-800-auto?v=638158001411130000&amp;width=800&amp;height=auto&amp;aspect=true")</f>
        <v>#NAME?</v>
      </c>
      <c r="H664" t="e">
        <f ca="1">IMAGE("https://m.media-amazon.com/images/I/61K3+xSyKQL._AC_UL320_.jpg")</f>
        <v>#NAME?</v>
      </c>
      <c r="I664" t="s">
        <v>63</v>
      </c>
      <c r="J664">
        <v>51.58</v>
      </c>
      <c r="K664" s="2" t="s">
        <v>2295</v>
      </c>
      <c r="L664">
        <v>4.5999999999999996</v>
      </c>
      <c r="M664">
        <v>662</v>
      </c>
      <c r="O664" t="s">
        <v>33</v>
      </c>
      <c r="P664" t="s">
        <v>26</v>
      </c>
      <c r="Q664" t="s">
        <v>64</v>
      </c>
    </row>
    <row r="665" spans="1:17" ht="15.75" x14ac:dyDescent="0.25">
      <c r="A665" s="3" t="str">
        <f>HYPERLINK("https://www.als.com/vans-shoe-sk8-hi-mte-2/p?skuId=1116049", "https://www.als.com/vans-shoe-sk8-hi-mte-2/p?skuId=1116049")</f>
        <v>https://www.als.com/vans-shoe-sk8-hi-mte-2/p?skuId=1116049</v>
      </c>
      <c r="B665" s="3" t="str">
        <f>HYPERLINK("https://www.als.com/vans-shoe-sk8-hi-mte-2/p", "https://www.als.com/vans-shoe-sk8-hi-mte-2/p")</f>
        <v>https://www.als.com/vans-shoe-sk8-hi-mte-2/p</v>
      </c>
      <c r="C665" t="s">
        <v>1174</v>
      </c>
      <c r="D665" t="s">
        <v>2296</v>
      </c>
      <c r="E665" s="3" t="str">
        <f>HYPERLINK("https://www.amazon.com/Vans-Sk8-Hi-Skate-Classic-black/dp/B01LZVNLWU/ref=sr_1_36?keywords=Vans+Sk8-Hi+MTE-2+Shoe&amp;qid=1695124405&amp;sr=8-36", "https://www.amazon.com/Vans-Sk8-Hi-Skate-Classic-black/dp/B01LZVNLWU/ref=sr_1_36?keywords=Vans+Sk8-Hi+MTE-2+Shoe&amp;qid=1695124405&amp;sr=8-36")</f>
        <v>https://www.amazon.com/Vans-Sk8-Hi-Skate-Classic-black/dp/B01LZVNLWU/ref=sr_1_36?keywords=Vans+Sk8-Hi+MTE-2+Shoe&amp;qid=1695124405&amp;sr=8-36</v>
      </c>
      <c r="F665" t="s">
        <v>2297</v>
      </c>
      <c r="G665" t="e">
        <f ca="1">IMAGE("https://alssports.vtexassets.com/arquivos/ids/1312527-800-auto?v=638193489147030000&amp;width=800&amp;height=auto&amp;aspect=true")</f>
        <v>#NAME?</v>
      </c>
      <c r="H665" t="e">
        <f ca="1">IMAGE("https://m.media-amazon.com/images/I/81Ys1LKxTTL._AC_UL320_.jpg")</f>
        <v>#NAME?</v>
      </c>
      <c r="I665" t="s">
        <v>44</v>
      </c>
      <c r="J665">
        <v>103.11</v>
      </c>
      <c r="K665" s="2" t="s">
        <v>2298</v>
      </c>
      <c r="L665">
        <v>5</v>
      </c>
      <c r="M665">
        <v>2</v>
      </c>
      <c r="O665" t="s">
        <v>33</v>
      </c>
      <c r="P665" t="s">
        <v>26</v>
      </c>
      <c r="Q665" t="s">
        <v>1178</v>
      </c>
    </row>
    <row r="666" spans="1:17" ht="15.75" x14ac:dyDescent="0.25">
      <c r="A666" s="3" t="str">
        <f>HYPERLINK("https://www.als.com/altra-w-shoe-timp-4/p?skuId=929220", "https://www.als.com/altra-w-shoe-timp-4/p?skuId=929220")</f>
        <v>https://www.als.com/altra-w-shoe-timp-4/p?skuId=929220</v>
      </c>
      <c r="B666" s="3" t="str">
        <f>HYPERLINK("https://www.als.com/altra-w-shoe-timp-4/p", "https://www.als.com/altra-w-shoe-timp-4/p")</f>
        <v>https://www.als.com/altra-w-shoe-timp-4/p</v>
      </c>
      <c r="C666" t="s">
        <v>829</v>
      </c>
      <c r="D666" t="s">
        <v>2299</v>
      </c>
      <c r="E666" s="3" t="str">
        <f>HYPERLINK("https://www.amazon.com/ALTRA-Womens-AL0A4VR4-Superior-Running/dp/B082Q14L4H/ref=sr_1_30?keywords=Altra+Timp+4+Running+Shoe+-+Womens&amp;qid=1695124369&amp;sr=8-30", "https://www.amazon.com/ALTRA-Womens-AL0A4VR4-Superior-Running/dp/B082Q14L4H/ref=sr_1_30?keywords=Altra+Timp+4+Running+Shoe+-+Womens&amp;qid=1695124369&amp;sr=8-30")</f>
        <v>https://www.amazon.com/ALTRA-Womens-AL0A4VR4-Superior-Running/dp/B082Q14L4H/ref=sr_1_30?keywords=Altra+Timp+4+Running+Shoe+-+Womens&amp;qid=1695124369&amp;sr=8-30</v>
      </c>
      <c r="F666" t="s">
        <v>2300</v>
      </c>
      <c r="G666" t="e">
        <f ca="1">IMAGE("https://alssports.vtexassets.com/arquivos/ids/1112796-800-auto?v=637957454637830000&amp;width=800&amp;height=auto&amp;aspect=true")</f>
        <v>#NAME?</v>
      </c>
      <c r="H666" t="e">
        <f ca="1">IMAGE("https://m.media-amazon.com/images/I/71eJCFnw6AL._AC_UL320_.jpg")</f>
        <v>#NAME?</v>
      </c>
      <c r="I666" t="s">
        <v>88</v>
      </c>
      <c r="J666">
        <v>109.95</v>
      </c>
      <c r="K666" s="2" t="s">
        <v>2301</v>
      </c>
      <c r="L666">
        <v>4.5</v>
      </c>
      <c r="M666">
        <v>716</v>
      </c>
      <c r="O666" t="s">
        <v>33</v>
      </c>
      <c r="P666" t="s">
        <v>832</v>
      </c>
      <c r="Q666" t="s">
        <v>833</v>
      </c>
    </row>
    <row r="667" spans="1:17" ht="15.75" x14ac:dyDescent="0.25">
      <c r="A667" s="3" t="str">
        <f>HYPERLINK("https://www.als.com/chaco-m-sandal-zcloud/p?skuId=932120", "https://www.als.com/chaco-m-sandal-zcloud/p?skuId=932120")</f>
        <v>https://www.als.com/chaco-m-sandal-zcloud/p?skuId=932120</v>
      </c>
      <c r="B667" s="3" t="str">
        <f>HYPERLINK("https://www.als.com/chaco-m-sandal-zcloud/p", "https://www.als.com/chaco-m-sandal-zcloud/p")</f>
        <v>https://www.als.com/chaco-m-sandal-zcloud/p</v>
      </c>
      <c r="C667" t="s">
        <v>694</v>
      </c>
      <c r="D667" t="s">
        <v>2302</v>
      </c>
      <c r="E667" s="3" t="str">
        <f>HYPERLINK("https://www.amazon.com/Chaco-Zcloud-Athletic-Sandal-Acero/dp/B01H5RBS0G/ref=sr_1_29?keywords=Chaco+Z%2FCloud+Sandal+-+Mens&amp;qid=1695124430&amp;sr=8-29", "https://www.amazon.com/Chaco-Zcloud-Athletic-Sandal-Acero/dp/B01H5RBS0G/ref=sr_1_29?keywords=Chaco+Z%2FCloud+Sandal+-+Mens&amp;qid=1695124430&amp;sr=8-29")</f>
        <v>https://www.amazon.com/Chaco-Zcloud-Athletic-Sandal-Acero/dp/B01H5RBS0G/ref=sr_1_29?keywords=Chaco+Z%2FCloud+Sandal+-+Mens&amp;qid=1695124430&amp;sr=8-29</v>
      </c>
      <c r="F667" t="s">
        <v>2303</v>
      </c>
      <c r="G667" t="e">
        <f ca="1">IMAGE("https://alssports.vtexassets.com/arquivos/ids/1082383-800-auto?v=637913737461500000&amp;width=800&amp;height=auto&amp;aspect=true")</f>
        <v>#NAME?</v>
      </c>
      <c r="H667" t="e">
        <f ca="1">IMAGE("https://m.media-amazon.com/images/I/71a7NY+MjtL._AC_UL320_.jpg")</f>
        <v>#NAME?</v>
      </c>
      <c r="I667" t="s">
        <v>269</v>
      </c>
      <c r="J667">
        <v>71.569999999999993</v>
      </c>
      <c r="K667" s="2" t="s">
        <v>2304</v>
      </c>
      <c r="L667">
        <v>4.7</v>
      </c>
      <c r="M667">
        <v>18</v>
      </c>
      <c r="O667" t="s">
        <v>33</v>
      </c>
      <c r="P667" t="s">
        <v>26</v>
      </c>
      <c r="Q667" t="s">
        <v>697</v>
      </c>
    </row>
    <row r="668" spans="1:17" ht="15.75" x14ac:dyDescent="0.25">
      <c r="A668" s="3" t="str">
        <f>HYPERLINK("https://www.als.com/arcteryx-atom-lt-hoodie-mens-182542/p?skuId=1342921", "https://www.als.com/arcteryx-atom-lt-hoodie-mens-182542/p?skuId=1342921")</f>
        <v>https://www.als.com/arcteryx-atom-lt-hoodie-mens-182542/p?skuId=1342921</v>
      </c>
      <c r="B668" s="3" t="str">
        <f>HYPERLINK("https://www.als.com/arcteryx-atom-lt-hoodie-mens-182542/p", "https://www.als.com/arcteryx-atom-lt-hoodie-mens-182542/p")</f>
        <v>https://www.als.com/arcteryx-atom-lt-hoodie-mens-182542/p</v>
      </c>
      <c r="C668" t="s">
        <v>1326</v>
      </c>
      <c r="D668" t="s">
        <v>2305</v>
      </c>
      <c r="E668" s="3" t="str">
        <f>HYPERLINK("https://www.amazon.com/Arcteryx-Atom-Jacket-Mens-Kingfisher/dp/B08BJFN683/ref=sr_1_1?keywords=Arc%27teryx+Atom+LT+Hoodie+-+Men%27s&amp;qid=1695124123&amp;sr=8-1", "https://www.amazon.com/Arcteryx-Atom-Jacket-Mens-Kingfisher/dp/B08BJFN683/ref=sr_1_1?keywords=Arc%27teryx+Atom+LT+Hoodie+-+Men%27s&amp;qid=1695124123&amp;sr=8-1")</f>
        <v>https://www.amazon.com/Arcteryx-Atom-Jacket-Mens-Kingfisher/dp/B08BJFN683/ref=sr_1_1?keywords=Arc%27teryx+Atom+LT+Hoodie+-+Men%27s&amp;qid=1695124123&amp;sr=8-1</v>
      </c>
      <c r="F668" t="s">
        <v>2306</v>
      </c>
      <c r="G668" t="e">
        <f ca="1">IMAGE("https://alssports.vtexassets.com/arquivos/ids/1366905-800-auto?v=638240757627370000&amp;width=800&amp;height=auto&amp;aspect=true")</f>
        <v>#NAME?</v>
      </c>
      <c r="H668" t="e">
        <f ca="1">IMAGE("https://m.media-amazon.com/images/I/71PIUqbIxgL._AC_UL320_.jpg")</f>
        <v>#NAME?</v>
      </c>
      <c r="I668" t="s">
        <v>78</v>
      </c>
      <c r="J668">
        <v>204</v>
      </c>
      <c r="K668" s="2" t="s">
        <v>2307</v>
      </c>
      <c r="L668">
        <v>5</v>
      </c>
      <c r="M668">
        <v>1</v>
      </c>
      <c r="O668" t="s">
        <v>33</v>
      </c>
      <c r="P668" t="s">
        <v>26</v>
      </c>
      <c r="Q668" t="s">
        <v>1329</v>
      </c>
    </row>
    <row r="669" spans="1:17" ht="15.75" x14ac:dyDescent="0.25">
      <c r="A669" s="3" t="str">
        <f>HYPERLINK("https://www.als.com/teva-m-sandal-hurricane-xlt2/p?skuId=398840", "https://www.als.com/teva-m-sandal-hurricane-xlt2/p?skuId=398840")</f>
        <v>https://www.als.com/teva-m-sandal-hurricane-xlt2/p?skuId=398840</v>
      </c>
      <c r="B669" s="3" t="str">
        <f>HYPERLINK("https://www.als.com/teva-m-sandal-hurricane-xlt2/p", "https://www.als.com/teva-m-sandal-hurricane-xlt2/p")</f>
        <v>https://www.als.com/teva-m-sandal-hurricane-xlt2/p</v>
      </c>
      <c r="C669" t="s">
        <v>37</v>
      </c>
      <c r="D669" t="s">
        <v>2308</v>
      </c>
      <c r="E669" s="3" t="str">
        <f>HYPERLINK("https://www.amazon.com/Teva-Hurricane-Drift-Sandal-Medium/dp/B07DR8VMPF/ref=sr_1_19?keywords=Teva+Hurricane+XLT2+Sandal+-+Men%27s&amp;qid=1695124141&amp;sr=8-19", "https://www.amazon.com/Teva-Hurricane-Drift-Sandal-Medium/dp/B07DR8VMPF/ref=sr_1_19?keywords=Teva+Hurricane+XLT2+Sandal+-+Men%27s&amp;qid=1695124141&amp;sr=8-19")</f>
        <v>https://www.amazon.com/Teva-Hurricane-Drift-Sandal-Medium/dp/B07DR8VMPF/ref=sr_1_19?keywords=Teva+Hurricane+XLT2+Sandal+-+Men%27s&amp;qid=1695124141&amp;sr=8-19</v>
      </c>
      <c r="F669" t="s">
        <v>2309</v>
      </c>
      <c r="G669" t="e">
        <f ca="1">IMAGE("https://alssports.vtexassets.com/arquivos/ids/1220918-800-auto?v=638102154417000000&amp;width=800&amp;height=auto&amp;aspect=true")</f>
        <v>#NAME?</v>
      </c>
      <c r="H669" t="e">
        <f ca="1">IMAGE("https://m.media-amazon.com/images/I/71He8e6rn6L._AC_UL320_.jpg")</f>
        <v>#NAME?</v>
      </c>
      <c r="I669" t="s">
        <v>40</v>
      </c>
      <c r="J669">
        <v>50.89</v>
      </c>
      <c r="K669" s="2" t="s">
        <v>2310</v>
      </c>
      <c r="L669">
        <v>4.3</v>
      </c>
      <c r="M669">
        <v>1092</v>
      </c>
      <c r="O669" t="s">
        <v>33</v>
      </c>
      <c r="P669" t="s">
        <v>26</v>
      </c>
      <c r="Q669" t="s">
        <v>41</v>
      </c>
    </row>
    <row r="670" spans="1:17" ht="15.75" x14ac:dyDescent="0.25">
      <c r="A670" s="3" t="str">
        <f>HYPERLINK("https://www.als.com/camel-pack-sequoia/p?skuId=594174", "https://www.als.com/camel-pack-sequoia/p?skuId=594174")</f>
        <v>https://www.als.com/camel-pack-sequoia/p?skuId=594174</v>
      </c>
      <c r="B670" s="3" t="str">
        <f>HYPERLINK("https://www.als.com/camel-pack-sequoia/p", "https://www.als.com/camel-pack-sequoia/p")</f>
        <v>https://www.als.com/camel-pack-sequoia/p</v>
      </c>
      <c r="C670" t="s">
        <v>2311</v>
      </c>
      <c r="D670" t="s">
        <v>1762</v>
      </c>
      <c r="E670" s="3" t="str">
        <f>HYPERLINK("https://www.amazon.com/CamelBak-Womens-Hydration-Castlerock-Seafoam/dp/B08R6QB69H/ref=sr_1_9?keywords=CamelBak+Sequoia+24L+Hydration+Pack+-+Women%27s&amp;qid=1695124157&amp;sr=8-9", "https://www.amazon.com/CamelBak-Womens-Hydration-Castlerock-Seafoam/dp/B08R6QB69H/ref=sr_1_9?keywords=CamelBak+Sequoia+24L+Hydration+Pack+-+Women%27s&amp;qid=1695124157&amp;sr=8-9")</f>
        <v>https://www.amazon.com/CamelBak-Womens-Hydration-Castlerock-Seafoam/dp/B08R6QB69H/ref=sr_1_9?keywords=CamelBak+Sequoia+24L+Hydration+Pack+-+Women%27s&amp;qid=1695124157&amp;sr=8-9</v>
      </c>
      <c r="F670" t="s">
        <v>1763</v>
      </c>
      <c r="G670" t="e">
        <f ca="1">IMAGE("https://alssports.vtexassets.com/arquivos/ids/351956-800-auto?v=637163786175770000&amp;width=800&amp;height=auto&amp;aspect=true")</f>
        <v>#NAME?</v>
      </c>
      <c r="H670" t="e">
        <f ca="1">IMAGE("https://m.media-amazon.com/images/I/91z5QdeNAxL._AC_UL320_.jpg")</f>
        <v>#NAME?</v>
      </c>
      <c r="I670" t="s">
        <v>225</v>
      </c>
      <c r="J670">
        <v>47.49</v>
      </c>
      <c r="K670" s="2" t="s">
        <v>2312</v>
      </c>
      <c r="L670">
        <v>4.5</v>
      </c>
      <c r="M670">
        <v>157</v>
      </c>
      <c r="O670" t="s">
        <v>33</v>
      </c>
      <c r="P670" t="s">
        <v>2313</v>
      </c>
      <c r="Q670" t="s">
        <v>2314</v>
      </c>
    </row>
    <row r="671" spans="1:17" ht="15.75" x14ac:dyDescent="0.25">
      <c r="A671" s="3" t="str">
        <f>HYPERLINK("https://www.als.com/keen-w-koven/p?skuId=1240446", "https://www.als.com/keen-w-koven/p?skuId=1240446")</f>
        <v>https://www.als.com/keen-w-koven/p?skuId=1240446</v>
      </c>
      <c r="B671" s="3" t="str">
        <f>HYPERLINK("https://www.als.com/keen-w-koven/p", "https://www.als.com/keen-w-koven/p")</f>
        <v>https://www.als.com/keen-w-koven/p</v>
      </c>
      <c r="C671" t="s">
        <v>737</v>
      </c>
      <c r="D671" t="s">
        <v>2315</v>
      </c>
      <c r="E671" s="3" t="str">
        <f>HYPERLINK("https://www.amazon.com/KEEN-Womens-Lightweight-Waterproof-Drizzle/dp/B08J6TYKMZ/ref=sr_1_6?keywords=KEEN+Koven+Hiking+Shoe+-+Women%27s&amp;qid=1695124139&amp;sr=8-6", "https://www.amazon.com/KEEN-Womens-Lightweight-Waterproof-Drizzle/dp/B08J6TYKMZ/ref=sr_1_6?keywords=KEEN+Koven+Hiking+Shoe+-+Women%27s&amp;qid=1695124139&amp;sr=8-6")</f>
        <v>https://www.amazon.com/KEEN-Womens-Lightweight-Waterproof-Drizzle/dp/B08J6TYKMZ/ref=sr_1_6?keywords=KEEN+Koven+Hiking+Shoe+-+Women%27s&amp;qid=1695124139&amp;sr=8-6</v>
      </c>
      <c r="F671" t="s">
        <v>2316</v>
      </c>
      <c r="G671" t="e">
        <f ca="1">IMAGE("https://alssports.vtexassets.com/arquivos/ids/1211483-800-auto?v=638091747520730000&amp;width=800&amp;height=auto&amp;aspect=true")</f>
        <v>#NAME?</v>
      </c>
      <c r="H671" t="e">
        <f ca="1">IMAGE("https://m.media-amazon.com/images/I/81iJPW8ZF7L._AC_UL320_.jpg")</f>
        <v>#NAME?</v>
      </c>
      <c r="I671" t="s">
        <v>639</v>
      </c>
      <c r="J671">
        <v>81.27</v>
      </c>
      <c r="K671" s="2" t="s">
        <v>2317</v>
      </c>
      <c r="L671">
        <v>3.9</v>
      </c>
      <c r="M671">
        <v>276</v>
      </c>
      <c r="O671" t="s">
        <v>33</v>
      </c>
      <c r="P671" t="s">
        <v>26</v>
      </c>
      <c r="Q671" t="s">
        <v>741</v>
      </c>
    </row>
    <row r="672" spans="1:17" ht="15.75" x14ac:dyDescent="0.25">
      <c r="A672" s="3" t="str">
        <f>HYPERLINK("https://www.als.com/camel-pack-hydrobak-light/p?skuId=801389", "https://www.als.com/camel-pack-hydrobak-light/p?skuId=801389")</f>
        <v>https://www.als.com/camel-pack-hydrobak-light/p?skuId=801389</v>
      </c>
      <c r="B672" s="3" t="str">
        <f>HYPERLINK("https://www.als.com/camel-pack-hydrobak-light/p", "https://www.als.com/camel-pack-hydrobak-light/p")</f>
        <v>https://www.als.com/camel-pack-hydrobak-light/p</v>
      </c>
      <c r="C672" t="s">
        <v>1341</v>
      </c>
      <c r="D672" t="s">
        <v>2127</v>
      </c>
      <c r="E672" s="3" t="str">
        <f>HYPERLINK("https://www.amazon.com/CamelBak-Womens-Hydrobak-Hydration-Drizzle/dp/B08R6QJCL1/ref=sr_1_2?keywords=CamelBak+Hydrobak+50oz+Light+Hydration+Pack&amp;qid=1695124403&amp;sr=8-2", "https://www.amazon.com/CamelBak-Womens-Hydrobak-Hydration-Drizzle/dp/B08R6QJCL1/ref=sr_1_2?keywords=CamelBak+Hydrobak+50oz+Light+Hydration+Pack&amp;qid=1695124403&amp;sr=8-2")</f>
        <v>https://www.amazon.com/CamelBak-Womens-Hydrobak-Hydration-Drizzle/dp/B08R6QJCL1/ref=sr_1_2?keywords=CamelBak+Hydrobak+50oz+Light+Hydration+Pack&amp;qid=1695124403&amp;sr=8-2</v>
      </c>
      <c r="F672" t="s">
        <v>2128</v>
      </c>
      <c r="G672" t="e">
        <f ca="1">IMAGE("https://alssports.vtexassets.com/arquivos/ids/1023239-800-auto?v=637822756929300000&amp;width=800&amp;height=auto&amp;aspect=true")</f>
        <v>#NAME?</v>
      </c>
      <c r="H672" t="e">
        <f ca="1">IMAGE("https://m.media-amazon.com/images/I/91tYJRkk-jL._AC_UL320_.jpg")</f>
        <v>#NAME?</v>
      </c>
      <c r="I672" t="s">
        <v>1344</v>
      </c>
      <c r="J672">
        <v>43.28</v>
      </c>
      <c r="K672" s="2" t="s">
        <v>2318</v>
      </c>
      <c r="L672">
        <v>4.5</v>
      </c>
      <c r="M672">
        <v>254</v>
      </c>
      <c r="O672" t="s">
        <v>33</v>
      </c>
      <c r="P672" t="s">
        <v>1346</v>
      </c>
      <c r="Q672" t="s">
        <v>1347</v>
      </c>
    </row>
    <row r="673" spans="1:17" ht="15.75" x14ac:dyDescent="0.25">
      <c r="A673" s="3" t="str">
        <f>HYPERLINK("https://www.als.com/pflueg-reel-supreme-xt-spinning/p?skuId=943388", "https://www.als.com/pflueg-reel-supreme-xt-spinning/p?skuId=943388")</f>
        <v>https://www.als.com/pflueg-reel-supreme-xt-spinning/p?skuId=943388</v>
      </c>
      <c r="B673" s="3" t="str">
        <f>HYPERLINK("https://www.als.com/pflueg-reel-supreme-xt-spinning/p", "https://www.als.com/pflueg-reel-supreme-xt-spinning/p")</f>
        <v>https://www.als.com/pflueg-reel-supreme-xt-spinning/p</v>
      </c>
      <c r="C673" t="s">
        <v>1408</v>
      </c>
      <c r="D673" t="s">
        <v>2319</v>
      </c>
      <c r="E673" s="3" t="str">
        <f>HYPERLINK("https://www.amazon.com/Pflueger-Supreme-Spinning-Fishing-Reel/dp/B096GB968T/ref=sr_1_6?keywords=Pflueger+Supreme+XT+Spinning+Reel&amp;qid=1695124336&amp;sr=8-6", "https://www.amazon.com/Pflueger-Supreme-Spinning-Fishing-Reel/dp/B096GB968T/ref=sr_1_6?keywords=Pflueger+Supreme+XT+Spinning+Reel&amp;qid=1695124336&amp;sr=8-6")</f>
        <v>https://www.amazon.com/Pflueger-Supreme-Spinning-Fishing-Reel/dp/B096GB968T/ref=sr_1_6?keywords=Pflueger+Supreme+XT+Spinning+Reel&amp;qid=1695124336&amp;sr=8-6</v>
      </c>
      <c r="F673" t="s">
        <v>2320</v>
      </c>
      <c r="G673" t="e">
        <f ca="1">IMAGE("https://alssports.vtexassets.com/arquivos/ids/1053300-800-auto?v=637867095703370000&amp;width=800&amp;height=auto&amp;aspect=true")</f>
        <v>#NAME?</v>
      </c>
      <c r="H673" t="e">
        <f ca="1">IMAGE("https://m.media-amazon.com/images/I/81ARLyEdS8L._AC_UY218_.jpg")</f>
        <v>#NAME?</v>
      </c>
      <c r="I673" t="s">
        <v>562</v>
      </c>
      <c r="J673">
        <v>114.7</v>
      </c>
      <c r="K673" s="2" t="s">
        <v>2321</v>
      </c>
      <c r="L673">
        <v>4.7</v>
      </c>
      <c r="M673">
        <v>380</v>
      </c>
      <c r="O673" t="s">
        <v>33</v>
      </c>
      <c r="P673" t="s">
        <v>26</v>
      </c>
      <c r="Q673" t="s">
        <v>1412</v>
      </c>
    </row>
    <row r="674" spans="1:17" ht="15.75" x14ac:dyDescent="0.25">
      <c r="A674" s="3" t="str">
        <f>HYPERLINK("https://www.als.com/billab-ride-in/p?skuId=1331610", "https://www.als.com/billab-ride-in/p?skuId=1331610")</f>
        <v>https://www.als.com/billab-ride-in/p?skuId=1331610</v>
      </c>
      <c r="B674" s="3" t="str">
        <f>HYPERLINK("https://www.als.com/billab-ride-in/p", "https://www.als.com/billab-ride-in/p")</f>
        <v>https://www.als.com/billab-ride-in/p</v>
      </c>
      <c r="C674" t="s">
        <v>1776</v>
      </c>
      <c r="D674" t="s">
        <v>2322</v>
      </c>
      <c r="E674" s="3" t="str">
        <f>HYPERLINK("https://www.amazon.com/Billabong-Womens-Sweatshirt-Sunset-Medium/dp/B09888X1M8/ref=sr_1_4?keywords=Billabong+Ride+In+Oversized+Crewneck+Sweatshirt+-+Womens&amp;qid=1695124426&amp;sr=8-4", "https://www.amazon.com/Billabong-Womens-Sweatshirt-Sunset-Medium/dp/B09888X1M8/ref=sr_1_4?keywords=Billabong+Ride+In+Oversized+Crewneck+Sweatshirt+-+Womens&amp;qid=1695124426&amp;sr=8-4")</f>
        <v>https://www.amazon.com/Billabong-Womens-Sweatshirt-Sunset-Medium/dp/B09888X1M8/ref=sr_1_4?keywords=Billabong+Ride+In+Oversized+Crewneck+Sweatshirt+-+Womens&amp;qid=1695124426&amp;sr=8-4</v>
      </c>
      <c r="F674" t="s">
        <v>2323</v>
      </c>
      <c r="G674" t="e">
        <f ca="1">IMAGE("https://alssports.vtexassets.com/arquivos/ids/1400612-800-auto?v=638264306168870000&amp;width=800&amp;height=auto&amp;aspect=true")</f>
        <v>#NAME?</v>
      </c>
      <c r="H674" t="e">
        <f ca="1">IMAGE("https://m.media-amazon.com/images/I/81cu-q+wO3L._AC_UL320_.jpg")</f>
        <v>#NAME?</v>
      </c>
      <c r="I674" t="s">
        <v>1779</v>
      </c>
      <c r="J674">
        <v>44.42</v>
      </c>
      <c r="K674" s="2" t="s">
        <v>2324</v>
      </c>
      <c r="L674">
        <v>4</v>
      </c>
      <c r="M674">
        <v>8</v>
      </c>
      <c r="O674" t="s">
        <v>33</v>
      </c>
      <c r="P674" t="s">
        <v>26</v>
      </c>
      <c r="Q674" t="s">
        <v>1781</v>
      </c>
    </row>
    <row r="675" spans="1:17" ht="15.75" x14ac:dyDescent="0.25">
      <c r="A675" s="3" t="str">
        <f>HYPERLINK("https://www.als.com/hosk-wmns-pursuit-vest/p?skuId=1077667", "https://www.als.com/hosk-wmns-pursuit-vest/p?skuId=1077667")</f>
        <v>https://www.als.com/hosk-wmns-pursuit-vest/p?skuId=1077667</v>
      </c>
      <c r="B675" s="3" t="str">
        <f>HYPERLINK("https://www.als.com/hosk-wmns-pursuit-vest/p", "https://www.als.com/hosk-wmns-pursuit-vest/p")</f>
        <v>https://www.als.com/hosk-wmns-pursuit-vest/p</v>
      </c>
      <c r="C675" t="s">
        <v>2325</v>
      </c>
      <c r="D675" t="s">
        <v>2326</v>
      </c>
      <c r="E675" s="3" t="str">
        <f>HYPERLINK("https://www.amazon.com/HO-Child-Wake-Vest-30-50/dp/B08LMJZV5Y/ref=sr_1_12?keywords=HO+Sports+Pursuit+Life+Vest+-+Womens&amp;qid=1695124378&amp;sr=8-12", "https://www.amazon.com/HO-Child-Wake-Vest-30-50/dp/B08LMJZV5Y/ref=sr_1_12?keywords=HO+Sports+Pursuit+Life+Vest+-+Womens&amp;qid=1695124378&amp;sr=8-12")</f>
        <v>https://www.amazon.com/HO-Child-Wake-Vest-30-50/dp/B08LMJZV5Y/ref=sr_1_12?keywords=HO+Sports+Pursuit+Life+Vest+-+Womens&amp;qid=1695124378&amp;sr=8-12</v>
      </c>
      <c r="F675" t="s">
        <v>2327</v>
      </c>
      <c r="G675" t="e">
        <f ca="1">IMAGE("https://alssports.vtexassets.com/arquivos/ids/1058372-800-auto?v=637874578129970000&amp;width=800&amp;height=auto&amp;aspect=true")</f>
        <v>#NAME?</v>
      </c>
      <c r="H675" t="e">
        <f ca="1">IMAGE("https://m.media-amazon.com/images/I/71R7+gFnQPS._AC_UL320_.jpg")</f>
        <v>#NAME?</v>
      </c>
      <c r="I675" t="s">
        <v>1189</v>
      </c>
      <c r="J675">
        <v>33</v>
      </c>
      <c r="K675" s="2" t="s">
        <v>2324</v>
      </c>
      <c r="L675">
        <v>5</v>
      </c>
      <c r="M675">
        <v>1</v>
      </c>
      <c r="O675" t="s">
        <v>33</v>
      </c>
      <c r="P675" t="s">
        <v>145</v>
      </c>
      <c r="Q675" t="s">
        <v>2328</v>
      </c>
    </row>
    <row r="676" spans="1:17" ht="15.75" x14ac:dyDescent="0.25">
      <c r="A676" s="3" t="str">
        <f>HYPERLINK("https://www.als.com/camel-pack-hydrobak-light/p?skuId=801389", "https://www.als.com/camel-pack-hydrobak-light/p?skuId=801389")</f>
        <v>https://www.als.com/camel-pack-hydrobak-light/p?skuId=801389</v>
      </c>
      <c r="B676" s="3" t="str">
        <f>HYPERLINK("https://www.als.com/camel-pack-hydrobak-light/p", "https://www.als.com/camel-pack-hydrobak-light/p")</f>
        <v>https://www.als.com/camel-pack-hydrobak-light/p</v>
      </c>
      <c r="C676" t="s">
        <v>1341</v>
      </c>
      <c r="D676" t="s">
        <v>2329</v>
      </c>
      <c r="E676" s="3" t="str">
        <f>HYPERLINK("https://www.amazon.com/CamelBak-HydroBak-Reservoir-Hydration-Graphite/dp/B01L8JENFO/ref=sr_1_5?keywords=CamelBak+Hydrobak+50oz+Light+Hydration+Pack&amp;qid=1695124403&amp;sr=8-5", "https://www.amazon.com/CamelBak-HydroBak-Reservoir-Hydration-Graphite/dp/B01L8JENFO/ref=sr_1_5?keywords=CamelBak+Hydrobak+50oz+Light+Hydration+Pack&amp;qid=1695124403&amp;sr=8-5")</f>
        <v>https://www.amazon.com/CamelBak-HydroBak-Reservoir-Hydration-Graphite/dp/B01L8JENFO/ref=sr_1_5?keywords=CamelBak+Hydrobak+50oz+Light+Hydration+Pack&amp;qid=1695124403&amp;sr=8-5</v>
      </c>
      <c r="F676" t="s">
        <v>2330</v>
      </c>
      <c r="G676" t="e">
        <f ca="1">IMAGE("https://alssports.vtexassets.com/arquivos/ids/1023239-800-auto?v=637822756929300000&amp;width=800&amp;height=auto&amp;aspect=true")</f>
        <v>#NAME?</v>
      </c>
      <c r="H676" t="e">
        <f ca="1">IMAGE("https://m.media-amazon.com/images/I/81Lq0bWKIWL._AC_UL320_.jpg")</f>
        <v>#NAME?</v>
      </c>
      <c r="I676" t="s">
        <v>1344</v>
      </c>
      <c r="J676">
        <v>43.05</v>
      </c>
      <c r="K676" s="2" t="s">
        <v>2331</v>
      </c>
      <c r="L676">
        <v>4.5</v>
      </c>
      <c r="M676">
        <v>5415</v>
      </c>
      <c r="O676" t="s">
        <v>33</v>
      </c>
      <c r="P676" t="s">
        <v>1346</v>
      </c>
      <c r="Q676" t="s">
        <v>1347</v>
      </c>
    </row>
    <row r="677" spans="1:17" ht="15.75" x14ac:dyDescent="0.25">
      <c r="A677" s="3" t="str">
        <f>HYPERLINK("https://www.als.com/asics-ws-shoe-gt-2000-10/p?skuId=901740", "https://www.als.com/asics-ws-shoe-gt-2000-10/p?skuId=901740")</f>
        <v>https://www.als.com/asics-ws-shoe-gt-2000-10/p?skuId=901740</v>
      </c>
      <c r="B677" s="3" t="str">
        <f>HYPERLINK("https://www.als.com/asics-ws-shoe-gt-2000-10/p", "https://www.als.com/asics-ws-shoe-gt-2000-10/p")</f>
        <v>https://www.als.com/asics-ws-shoe-gt-2000-10/p</v>
      </c>
      <c r="C677" t="s">
        <v>2332</v>
      </c>
      <c r="D677" t="s">
        <v>2333</v>
      </c>
      <c r="E677" s="3" t="str">
        <f>HYPERLINK("https://www.amazon.com/ASICS-Womens-GT-1000-Flash-Coral/dp/B07FKP1S43/ref=sr_1_43?keywords=Asics+GT-2000+10+Running+Shoe+-+Women%27s&amp;qid=1695124090&amp;sr=8-43", "https://www.amazon.com/ASICS-Womens-GT-1000-Flash-Coral/dp/B07FKP1S43/ref=sr_1_43?keywords=Asics+GT-2000+10+Running+Shoe+-+Women%27s&amp;qid=1695124090&amp;sr=8-43")</f>
        <v>https://www.amazon.com/ASICS-Womens-GT-1000-Flash-Coral/dp/B07FKP1S43/ref=sr_1_43?keywords=Asics+GT-2000+10+Running+Shoe+-+Women%27s&amp;qid=1695124090&amp;sr=8-43</v>
      </c>
      <c r="F677" t="s">
        <v>2334</v>
      </c>
      <c r="G677" t="e">
        <f ca="1">IMAGE("https://alssports.vtexassets.com/arquivos/ids/982230-800-auto?v=637768648067170000&amp;width=800&amp;height=auto&amp;aspect=true")</f>
        <v>#NAME?</v>
      </c>
      <c r="H677" t="e">
        <f ca="1">IMAGE("https://m.media-amazon.com/images/I/61qOa2WlR2L._AC_UL320_.jpg")</f>
        <v>#NAME?</v>
      </c>
      <c r="I677" t="s">
        <v>2335</v>
      </c>
      <c r="J677">
        <v>34.950000000000003</v>
      </c>
      <c r="K677" s="2" t="s">
        <v>2336</v>
      </c>
      <c r="L677">
        <v>4.5</v>
      </c>
      <c r="M677">
        <v>3263</v>
      </c>
      <c r="O677" t="s">
        <v>33</v>
      </c>
      <c r="P677" t="s">
        <v>832</v>
      </c>
      <c r="Q677" t="s">
        <v>2337</v>
      </c>
    </row>
    <row r="678" spans="1:17" ht="15.75" x14ac:dyDescent="0.25">
      <c r="A678" s="3" t="str">
        <f>HYPERLINK("https://www.als.com/columbia-lodge-quilted-crew-sweatshirt-womens-115095/p?skuId=1035487", "https://www.als.com/columbia-lodge-quilted-crew-sweatshirt-womens-115095/p?skuId=1035487")</f>
        <v>https://www.als.com/columbia-lodge-quilted-crew-sweatshirt-womens-115095/p?skuId=1035487</v>
      </c>
      <c r="B678" s="3" t="str">
        <f>HYPERLINK("https://www.als.com/columbia-lodge-quilted-crew-sweatshirt-womens-115095/p", "https://www.als.com/columbia-lodge-quilted-crew-sweatshirt-womens-115095/p")</f>
        <v>https://www.als.com/columbia-lodge-quilted-crew-sweatshirt-womens-115095/p</v>
      </c>
      <c r="C678" t="s">
        <v>1531</v>
      </c>
      <c r="D678" t="s">
        <v>2338</v>
      </c>
      <c r="E678" s="3" t="str">
        <f>HYPERLINK("https://www.amazon.com/Columbia-Lodge-Black-Olive-Green/dp/B07TM3NVGV/ref=sr_1_4?keywords=Columbia+Lodge+Quilted+Crew+Sweatshirt+-+Women%27s&amp;qid=1695124486&amp;sr=8-4", "https://www.amazon.com/Columbia-Lodge-Black-Olive-Green/dp/B07TM3NVGV/ref=sr_1_4?keywords=Columbia+Lodge+Quilted+Crew+Sweatshirt+-+Women%27s&amp;qid=1695124486&amp;sr=8-4")</f>
        <v>https://www.amazon.com/Columbia-Lodge-Black-Olive-Green/dp/B07TM3NVGV/ref=sr_1_4?keywords=Columbia+Lodge+Quilted+Crew+Sweatshirt+-+Women%27s&amp;qid=1695124486&amp;sr=8-4</v>
      </c>
      <c r="F678" t="s">
        <v>2339</v>
      </c>
      <c r="G678" t="e">
        <f ca="1">IMAGE("https://alssports.vtexassets.com/arquivos/ids/1118817-800-auto?v=638276324471200000&amp;width=800&amp;height=auto&amp;aspect=true")</f>
        <v>#NAME?</v>
      </c>
      <c r="H678" t="e">
        <f ca="1">IMAGE("https://m.media-amazon.com/images/I/51bS3bq5X8L._AC_UL320_.jpg")</f>
        <v>#NAME?</v>
      </c>
      <c r="I678" t="s">
        <v>1534</v>
      </c>
      <c r="J678">
        <v>43.67</v>
      </c>
      <c r="K678" s="2" t="s">
        <v>2340</v>
      </c>
      <c r="L678">
        <v>4.7</v>
      </c>
      <c r="M678">
        <v>4</v>
      </c>
      <c r="O678" t="s">
        <v>33</v>
      </c>
      <c r="P678" t="s">
        <v>26</v>
      </c>
      <c r="Q678" t="s">
        <v>1536</v>
      </c>
    </row>
    <row r="679" spans="1:17" ht="15.75" x14ac:dyDescent="0.25">
      <c r="A679" s="3" t="str">
        <f>HYPERLINK("https://www.als.com/chaco-m-sandal-zcloud/p?skuId=932120", "https://www.als.com/chaco-m-sandal-zcloud/p?skuId=932120")</f>
        <v>https://www.als.com/chaco-m-sandal-zcloud/p?skuId=932120</v>
      </c>
      <c r="B679" s="3" t="str">
        <f>HYPERLINK("https://www.als.com/chaco-m-sandal-zcloud/p", "https://www.als.com/chaco-m-sandal-zcloud/p")</f>
        <v>https://www.als.com/chaco-m-sandal-zcloud/p</v>
      </c>
      <c r="C679" t="s">
        <v>694</v>
      </c>
      <c r="D679" t="s">
        <v>565</v>
      </c>
      <c r="E679" s="3" t="str">
        <f>HYPERLINK("https://www.amazon.com/Chaco-Mens-Zcloud-Sandal-Scoop-Dusk/dp/B09YMNJ3FB/ref=sr_1_19?keywords=Chaco+Z%2FCloud+Sandal+-+Mens&amp;qid=1695124430&amp;sr=8-19", "https://www.amazon.com/Chaco-Mens-Zcloud-Sandal-Scoop-Dusk/dp/B09YMNJ3FB/ref=sr_1_19?keywords=Chaco+Z%2FCloud+Sandal+-+Mens&amp;qid=1695124430&amp;sr=8-19")</f>
        <v>https://www.amazon.com/Chaco-Mens-Zcloud-Sandal-Scoop-Dusk/dp/B09YMNJ3FB/ref=sr_1_19?keywords=Chaco+Z%2FCloud+Sandal+-+Mens&amp;qid=1695124430&amp;sr=8-19</v>
      </c>
      <c r="F679" t="s">
        <v>2341</v>
      </c>
      <c r="G679" t="e">
        <f ca="1">IMAGE("https://alssports.vtexassets.com/arquivos/ids/1082383-800-auto?v=637913737461500000&amp;width=800&amp;height=auto&amp;aspect=true")</f>
        <v>#NAME?</v>
      </c>
      <c r="H679" t="e">
        <f ca="1">IMAGE("https://m.media-amazon.com/images/I/71hrc6scUTL._AC_UL320_.jpg")</f>
        <v>#NAME?</v>
      </c>
      <c r="I679" t="s">
        <v>269</v>
      </c>
      <c r="J679">
        <v>70.44</v>
      </c>
      <c r="K679" s="2" t="s">
        <v>2342</v>
      </c>
      <c r="L679">
        <v>4.4000000000000004</v>
      </c>
      <c r="M679">
        <v>162</v>
      </c>
      <c r="O679" t="s">
        <v>33</v>
      </c>
      <c r="P679" t="s">
        <v>26</v>
      </c>
      <c r="Q679" t="s">
        <v>697</v>
      </c>
    </row>
    <row r="680" spans="1:17" ht="15.75" x14ac:dyDescent="0.25">
      <c r="A680" s="3" t="str">
        <f>HYPERLINK("https://www.als.com/keen-w-koven/p?skuId=1240446", "https://www.als.com/keen-w-koven/p?skuId=1240446")</f>
        <v>https://www.als.com/keen-w-koven/p?skuId=1240446</v>
      </c>
      <c r="B680" s="3" t="str">
        <f>HYPERLINK("https://www.als.com/keen-w-koven/p", "https://www.als.com/keen-w-koven/p")</f>
        <v>https://www.als.com/keen-w-koven/p</v>
      </c>
      <c r="C680" t="s">
        <v>737</v>
      </c>
      <c r="D680" t="s">
        <v>2343</v>
      </c>
      <c r="E680" s="3" t="str">
        <f>HYPERLINK("https://www.amazon.com/KEEN-Womens-Circadia-Height-Breathable/dp/B09T782NT3/ref=sr_1_28?keywords=KEEN+Koven+Hiking+Shoe+-+Women%27s&amp;qid=1695124139&amp;sr=8-28", "https://www.amazon.com/KEEN-Womens-Circadia-Height-Breathable/dp/B09T782NT3/ref=sr_1_28?keywords=KEEN+Koven+Hiking+Shoe+-+Women%27s&amp;qid=1695124139&amp;sr=8-28")</f>
        <v>https://www.amazon.com/KEEN-Womens-Circadia-Height-Breathable/dp/B09T782NT3/ref=sr_1_28?keywords=KEEN+Koven+Hiking+Shoe+-+Women%27s&amp;qid=1695124139&amp;sr=8-28</v>
      </c>
      <c r="F680" t="s">
        <v>2344</v>
      </c>
      <c r="G680" t="e">
        <f ca="1">IMAGE("https://alssports.vtexassets.com/arquivos/ids/1211483-800-auto?v=638091747520730000&amp;width=800&amp;height=auto&amp;aspect=true")</f>
        <v>#NAME?</v>
      </c>
      <c r="H680" t="e">
        <f ca="1">IMAGE("https://m.media-amazon.com/images/I/71yw6CsXY4L._AC_UL320_.jpg")</f>
        <v>#NAME?</v>
      </c>
      <c r="I680" t="s">
        <v>639</v>
      </c>
      <c r="J680">
        <v>80.510000000000005</v>
      </c>
      <c r="K680" s="2" t="s">
        <v>2345</v>
      </c>
      <c r="L680">
        <v>4.5</v>
      </c>
      <c r="M680">
        <v>137</v>
      </c>
      <c r="O680" t="s">
        <v>33</v>
      </c>
      <c r="P680" t="s">
        <v>26</v>
      </c>
      <c r="Q680" t="s">
        <v>741</v>
      </c>
    </row>
    <row r="681" spans="1:17" ht="15.75" x14ac:dyDescent="0.25">
      <c r="A681" s="3" t="str">
        <f>HYPERLINK("https://www.als.com/mizuno-w-wave-sky-6/p?skuId=1262559", "https://www.als.com/mizuno-w-wave-sky-6/p?skuId=1262559")</f>
        <v>https://www.als.com/mizuno-w-wave-sky-6/p?skuId=1262559</v>
      </c>
      <c r="B681" s="3" t="str">
        <f>HYPERLINK("https://www.als.com/mizuno-w-wave-sky-6/p", "https://www.als.com/mizuno-w-wave-sky-6/p")</f>
        <v>https://www.als.com/mizuno-w-wave-sky-6/p</v>
      </c>
      <c r="C681" t="s">
        <v>200</v>
      </c>
      <c r="D681" t="s">
        <v>2346</v>
      </c>
      <c r="E681" s="3" t="str">
        <f>HYPERLINK("https://www.amazon.com/Mizuno-411305-7BBB-09-0800-Wave-Horizon-5/dp/B086FKJ3T6/ref=sr_1_16?keywords=Mizuno+Wave+Sky+6+Running+Shoe+-+Women%27s&amp;qid=1695124449&amp;sr=8-16", "https://www.amazon.com/Mizuno-411305-7BBB-09-0800-Wave-Horizon-5/dp/B086FKJ3T6/ref=sr_1_16?keywords=Mizuno+Wave+Sky+6+Running+Shoe+-+Women%27s&amp;qid=1695124449&amp;sr=8-16")</f>
        <v>https://www.amazon.com/Mizuno-411305-7BBB-09-0800-Wave-Horizon-5/dp/B086FKJ3T6/ref=sr_1_16?keywords=Mizuno+Wave+Sky+6+Running+Shoe+-+Women%27s&amp;qid=1695124449&amp;sr=8-16</v>
      </c>
      <c r="F681" t="s">
        <v>2347</v>
      </c>
      <c r="G681" t="e">
        <f ca="1">IMAGE("https://alssports.vtexassets.com/arquivos/ids/1277387-800-auto?v=638152938174200000&amp;width=800&amp;height=auto&amp;aspect=true")</f>
        <v>#NAME?</v>
      </c>
      <c r="H681" t="e">
        <f ca="1">IMAGE("https://m.media-amazon.com/images/I/81SoZy0-atL._AC_UL320_.jpg")</f>
        <v>#NAME?</v>
      </c>
      <c r="I681" t="s">
        <v>164</v>
      </c>
      <c r="J681">
        <v>113.97</v>
      </c>
      <c r="K681" s="2" t="s">
        <v>2348</v>
      </c>
      <c r="L681">
        <v>4.5999999999999996</v>
      </c>
      <c r="M681">
        <v>136</v>
      </c>
      <c r="O681" t="s">
        <v>33</v>
      </c>
      <c r="P681" t="s">
        <v>191</v>
      </c>
      <c r="Q681" t="s">
        <v>203</v>
      </c>
    </row>
    <row r="682" spans="1:17" ht="15.75" x14ac:dyDescent="0.25">
      <c r="A682" s="3" t="str">
        <f>HYPERLINK("https://www.als.com/heydud-m-shoe-wally-washed-canvas/p?skuId=1317816", "https://www.als.com/heydud-m-shoe-wally-washed-canvas/p?skuId=1317816")</f>
        <v>https://www.als.com/heydud-m-shoe-wally-washed-canvas/p?skuId=1317816</v>
      </c>
      <c r="B682" s="3" t="str">
        <f>HYPERLINK("https://www.als.com/heydud-m-shoe-wally-washed-canvas/p", "https://www.als.com/heydud-m-shoe-wally-washed-canvas/p")</f>
        <v>https://www.als.com/heydud-m-shoe-wally-washed-canvas/p</v>
      </c>
      <c r="C682" t="s">
        <v>501</v>
      </c>
      <c r="D682" t="s">
        <v>1440</v>
      </c>
      <c r="E682" s="3" t="str">
        <f>HYPERLINK("https://www.amazon.com/Hey-Dude-Loafers-Comfortable-Light-Weight/dp/B0B9WNX4XP/ref=sr_1_23?keywords=Hey+Dude+Wally+Washed+Canvas+Shoe+-+Mens&amp;qid=1695124460&amp;sr=8-23", "https://www.amazon.com/Hey-Dude-Loafers-Comfortable-Light-Weight/dp/B0B9WNX4XP/ref=sr_1_23?keywords=Hey+Dude+Wally+Washed+Canvas+Shoe+-+Mens&amp;qid=1695124460&amp;sr=8-23")</f>
        <v>https://www.amazon.com/Hey-Dude-Loafers-Comfortable-Light-Weight/dp/B0B9WNX4XP/ref=sr_1_23?keywords=Hey+Dude+Wally+Washed+Canvas+Shoe+-+Mens&amp;qid=1695124460&amp;sr=8-23</v>
      </c>
      <c r="F682" t="s">
        <v>2349</v>
      </c>
      <c r="G682" t="e">
        <f ca="1">IMAGE("https://alssports.vtexassets.com/arquivos/ids/1388214-800-auto?v=638255521966130000&amp;width=800&amp;height=auto&amp;aspect=true")</f>
        <v>#NAME?</v>
      </c>
      <c r="H682" t="e">
        <f ca="1">IMAGE("https://m.media-amazon.com/images/I/61h7jdSG4uL._AC_UL320_.jpg")</f>
        <v>#NAME?</v>
      </c>
      <c r="I682" t="s">
        <v>58</v>
      </c>
      <c r="J682">
        <v>43.42</v>
      </c>
      <c r="K682" s="2" t="s">
        <v>2350</v>
      </c>
      <c r="L682">
        <v>4.7</v>
      </c>
      <c r="M682">
        <v>239</v>
      </c>
      <c r="O682" t="s">
        <v>33</v>
      </c>
      <c r="P682" t="s">
        <v>26</v>
      </c>
      <c r="Q682" t="s">
        <v>505</v>
      </c>
    </row>
    <row r="683" spans="1:17" ht="15.75" x14ac:dyDescent="0.25">
      <c r="A683" s="3" t="str">
        <f>HYPERLINK("https://www.als.com/columbia-sandy-shores-sunguard-suit-toddler-124442/p?skuId=1131618", "https://www.als.com/columbia-sandy-shores-sunguard-suit-toddler-124442/p?skuId=1131618")</f>
        <v>https://www.als.com/columbia-sandy-shores-sunguard-suit-toddler-124442/p?skuId=1131618</v>
      </c>
      <c r="B683" s="3" t="str">
        <f>HYPERLINK("https://www.als.com/columbia-sandy-shores-sunguard-suit-toddler-124442/p", "https://www.als.com/columbia-sandy-shores-sunguard-suit-toddler-124442/p")</f>
        <v>https://www.als.com/columbia-sandy-shores-sunguard-suit-toddler-124442/p</v>
      </c>
      <c r="C683" t="s">
        <v>1751</v>
      </c>
      <c r="D683" t="s">
        <v>2351</v>
      </c>
      <c r="E683" s="3" t="str">
        <f>HYPERLINK("https://www.amazon.com/Columbia-Sandy-Shores-Sunguard-Orchid/dp/B07R7F2MKJ/ref=sr_1_3?keywords=Columbia+Sandy+Shores+Sunguard+Suit+-+Toddler&amp;qid=1695124381&amp;sr=8-3", "https://www.amazon.com/Columbia-Sandy-Shores-Sunguard-Orchid/dp/B07R7F2MKJ/ref=sr_1_3?keywords=Columbia+Sandy+Shores+Sunguard+Suit+-+Toddler&amp;qid=1695124381&amp;sr=8-3")</f>
        <v>https://www.amazon.com/Columbia-Sandy-Shores-Sunguard-Orchid/dp/B07R7F2MKJ/ref=sr_1_3?keywords=Columbia+Sandy+Shores+Sunguard+Suit+-+Toddler&amp;qid=1695124381&amp;sr=8-3</v>
      </c>
      <c r="F683" t="s">
        <v>2352</v>
      </c>
      <c r="G683" t="e">
        <f ca="1">IMAGE("https://alssports.vtexassets.com/arquivos/ids/1144906-800-auto?v=638005067272700000&amp;width=800&amp;height=auto&amp;aspect=true")</f>
        <v>#NAME?</v>
      </c>
      <c r="H683" t="e">
        <f ca="1">IMAGE("https://m.media-amazon.com/images/I/61txrgJU3xL._AC_UL320_.jpg")</f>
        <v>#NAME?</v>
      </c>
      <c r="I683" t="s">
        <v>1754</v>
      </c>
      <c r="J683">
        <v>9</v>
      </c>
      <c r="K683" s="2" t="s">
        <v>2353</v>
      </c>
      <c r="L683">
        <v>4.7</v>
      </c>
      <c r="M683">
        <v>60</v>
      </c>
      <c r="O683" t="s">
        <v>33</v>
      </c>
      <c r="P683" t="s">
        <v>51</v>
      </c>
      <c r="Q683" t="s">
        <v>1756</v>
      </c>
    </row>
    <row r="684" spans="1:17" ht="15.75" x14ac:dyDescent="0.25">
      <c r="A684" s="3" t="str">
        <f>HYPERLINK("https://www.als.com/smitho-goggle-skyline/p?skuId=1073396", "https://www.als.com/smitho-goggle-skyline/p?skuId=1073396")</f>
        <v>https://www.als.com/smitho-goggle-skyline/p?skuId=1073396</v>
      </c>
      <c r="B684" s="3" t="str">
        <f>HYPERLINK("https://www.als.com/smitho-goggle-skyline/p", "https://www.als.com/smitho-goggle-skyline/p")</f>
        <v>https://www.als.com/smitho-goggle-skyline/p</v>
      </c>
      <c r="C684" t="s">
        <v>186</v>
      </c>
      <c r="D684" t="s">
        <v>2354</v>
      </c>
      <c r="E684" s="3" t="str">
        <f>HYPERLINK("https://www.amazon.com/SMITH-Frontier-Snow-Goggle-French/dp/B097FDGXMM/ref=sr_1_25?keywords=Smith+Optics+Skyline+Snow+Goggle&amp;qid=1695124362&amp;sr=8-25", "https://www.amazon.com/SMITH-Frontier-Snow-Goggle-French/dp/B097FDGXMM/ref=sr_1_25?keywords=Smith+Optics+Skyline+Snow+Goggle&amp;qid=1695124362&amp;sr=8-25")</f>
        <v>https://www.amazon.com/SMITH-Frontier-Snow-Goggle-French/dp/B097FDGXMM/ref=sr_1_25?keywords=Smith+Optics+Skyline+Snow+Goggle&amp;qid=1695124362&amp;sr=8-25</v>
      </c>
      <c r="F684" t="s">
        <v>2355</v>
      </c>
      <c r="G684" t="e">
        <f ca="1">IMAGE("https://alssports.vtexassets.com/arquivos/ids/1173752-800-auto?v=638042496618870000&amp;width=800&amp;height=auto&amp;aspect=true")</f>
        <v>#NAME?</v>
      </c>
      <c r="H684" t="e">
        <f ca="1">IMAGE("https://m.media-amazon.com/images/I/71UONFt1E9L._AC_UL320_.jpg")</f>
        <v>#NAME?</v>
      </c>
      <c r="I684" t="s">
        <v>189</v>
      </c>
      <c r="J684">
        <v>40</v>
      </c>
      <c r="K684" s="2" t="s">
        <v>2353</v>
      </c>
      <c r="L684">
        <v>4.7</v>
      </c>
      <c r="M684">
        <v>383</v>
      </c>
      <c r="O684" t="s">
        <v>33</v>
      </c>
      <c r="P684" t="s">
        <v>191</v>
      </c>
      <c r="Q684" t="s">
        <v>192</v>
      </c>
    </row>
    <row r="685" spans="1:17" ht="15.75" x14ac:dyDescent="0.25">
      <c r="A685" s="3" t="str">
        <f>HYPERLINK("https://www.als.com/under-m-charged-verssert-run-shoe/p?skuId=1204906", "https://www.als.com/under-m-charged-verssert-run-shoe/p?skuId=1204906")</f>
        <v>https://www.als.com/under-m-charged-verssert-run-shoe/p?skuId=1204906</v>
      </c>
      <c r="B685" s="3" t="str">
        <f>HYPERLINK("https://www.als.com/under-m-charged-verssert-run-shoe/p", "https://www.als.com/under-m-charged-verssert-run-shoe/p")</f>
        <v>https://www.als.com/under-m-charged-verssert-run-shoe/p</v>
      </c>
      <c r="C685" t="s">
        <v>60</v>
      </c>
      <c r="D685" t="s">
        <v>2201</v>
      </c>
      <c r="E685" s="3" t="str">
        <f>HYPERLINK("https://www.amazon.com/Under-Armour-Charged-Assert-Downpour/dp/B0BN1K1NXX/ref=sr_1_13?keywords=Under+Armour+Charged+Verssert+Running+Shoe+-+Mens&amp;qid=1695124491&amp;sr=8-13", "https://www.amazon.com/Under-Armour-Charged-Assert-Downpour/dp/B0BN1K1NXX/ref=sr_1_13?keywords=Under+Armour+Charged+Verssert+Running+Shoe+-+Mens&amp;qid=1695124491&amp;sr=8-13")</f>
        <v>https://www.amazon.com/Under-Armour-Charged-Assert-Downpour/dp/B0BN1K1NXX/ref=sr_1_13?keywords=Under+Armour+Charged+Verssert+Running+Shoe+-+Mens&amp;qid=1695124491&amp;sr=8-13</v>
      </c>
      <c r="F685" t="s">
        <v>2356</v>
      </c>
      <c r="G685" t="e">
        <f ca="1">IMAGE("https://alssports.vtexassets.com/arquivos/ids/1282426-800-auto?v=638158001411130000&amp;width=800&amp;height=auto&amp;aspect=true")</f>
        <v>#NAME?</v>
      </c>
      <c r="H685" t="e">
        <f ca="1">IMAGE("https://m.media-amazon.com/images/I/815IxOvSBtL._AC_UL320_.jpg")</f>
        <v>#NAME?</v>
      </c>
      <c r="I685" t="s">
        <v>63</v>
      </c>
      <c r="J685">
        <v>49.95</v>
      </c>
      <c r="K685" s="2" t="s">
        <v>2357</v>
      </c>
      <c r="L685">
        <v>4.5</v>
      </c>
      <c r="M685">
        <v>216</v>
      </c>
      <c r="O685" t="s">
        <v>33</v>
      </c>
      <c r="P685" t="s">
        <v>26</v>
      </c>
      <c r="Q685" t="s">
        <v>64</v>
      </c>
    </row>
    <row r="686" spans="1:17" ht="15.75" x14ac:dyDescent="0.25">
      <c r="A686" s="3" t="str">
        <f>HYPERLINK("https://www.als.com/babola-m-shoe-jet-mach-3/p?skuId=599962", "https://www.als.com/babola-m-shoe-jet-mach-3/p?skuId=599962")</f>
        <v>https://www.als.com/babola-m-shoe-jet-mach-3/p?skuId=599962</v>
      </c>
      <c r="B686" s="3" t="str">
        <f>HYPERLINK("https://www.als.com/babola-m-shoe-jet-mach-3/p", "https://www.als.com/babola-m-shoe-jet-mach-3/p")</f>
        <v>https://www.als.com/babola-m-shoe-jet-mach-3/p</v>
      </c>
      <c r="C686" t="s">
        <v>875</v>
      </c>
      <c r="D686" t="s">
        <v>2358</v>
      </c>
      <c r="E686" s="3" t="str">
        <f>HYPERLINK("https://www.amazon.com/Babolat-Tennis-Shoes-Lace-Up-Classic/dp/B0B57MKGGD/ref=sr_1_13?keywords=Babolat+Jet+Mach+3+All+Court+Tennis+Shoe+-+Mens&amp;qid=1695124489&amp;sr=8-13", "https://www.amazon.com/Babolat-Tennis-Shoes-Lace-Up-Classic/dp/B0B57MKGGD/ref=sr_1_13?keywords=Babolat+Jet+Mach+3+All+Court+Tennis+Shoe+-+Mens&amp;qid=1695124489&amp;sr=8-13")</f>
        <v>https://www.amazon.com/Babolat-Tennis-Shoes-Lace-Up-Classic/dp/B0B57MKGGD/ref=sr_1_13?keywords=Babolat+Jet+Mach+3+All+Court+Tennis+Shoe+-+Mens&amp;qid=1695124489&amp;sr=8-13</v>
      </c>
      <c r="F686" t="s">
        <v>2359</v>
      </c>
      <c r="G686" t="e">
        <f ca="1">IMAGE("https://alssports.vtexassets.com/arquivos/ids/1411604-800-auto?v=638270546404000000&amp;width=800&amp;height=auto&amp;aspect=true")</f>
        <v>#NAME?</v>
      </c>
      <c r="H686" t="e">
        <f ca="1">IMAGE("https://m.media-amazon.com/images/I/51ADdpEMCYL._AC_UL320_.jpg")</f>
        <v>#NAME?</v>
      </c>
      <c r="I686" t="s">
        <v>878</v>
      </c>
      <c r="J686">
        <v>99</v>
      </c>
      <c r="K686" s="2" t="s">
        <v>2360</v>
      </c>
      <c r="L686">
        <v>3.7</v>
      </c>
      <c r="M686">
        <v>10</v>
      </c>
      <c r="O686" t="s">
        <v>33</v>
      </c>
      <c r="P686" t="s">
        <v>26</v>
      </c>
      <c r="Q686" t="s">
        <v>880</v>
      </c>
    </row>
    <row r="687" spans="1:17" ht="15.75" x14ac:dyDescent="0.25">
      <c r="A687" s="3" t="str">
        <f>HYPERLINK("https://www.als.com/gord-rally-mitt/p?skuId=1306142", "https://www.als.com/gord-rally-mitt/p?skuId=1306142")</f>
        <v>https://www.als.com/gord-rally-mitt/p?skuId=1306142</v>
      </c>
      <c r="B687" s="3" t="str">
        <f>HYPERLINK("https://www.als.com/gord-rally-mitt/p", "https://www.als.com/gord-rally-mitt/p")</f>
        <v>https://www.als.com/gord-rally-mitt/p</v>
      </c>
      <c r="C687" t="s">
        <v>682</v>
      </c>
      <c r="D687" t="s">
        <v>2361</v>
      </c>
      <c r="E687" s="3" t="str">
        <f>HYPERLINK("https://www.amazon.com/Gordini-Womens-Standard-AquaBloc-Mitten/dp/B08DHSP1LF/ref=sr_1_39?keywords=Gordini+Rally+Mitten+-+Mens&amp;qid=1695124309&amp;sr=8-39", "https://www.amazon.com/Gordini-Womens-Standard-AquaBloc-Mitten/dp/B08DHSP1LF/ref=sr_1_39?keywords=Gordini+Rally+Mitten+-+Mens&amp;qid=1695124309&amp;sr=8-39")</f>
        <v>https://www.amazon.com/Gordini-Womens-Standard-AquaBloc-Mitten/dp/B08DHSP1LF/ref=sr_1_39?keywords=Gordini+Rally+Mitten+-+Mens&amp;qid=1695124309&amp;sr=8-39</v>
      </c>
      <c r="F687" t="s">
        <v>2362</v>
      </c>
      <c r="G687" t="e">
        <f ca="1">IMAGE("https://alssports.vtexassets.com/arquivos/ids/1427992-800-auto?v=638283287978400000&amp;width=800&amp;height=auto&amp;aspect=true")</f>
        <v>#NAME?</v>
      </c>
      <c r="H687" t="e">
        <f ca="1">IMAGE("https://m.media-amazon.com/images/I/61pHQyiNHVL._AC_UL320_.jpg")</f>
        <v>#NAME?</v>
      </c>
      <c r="I687" t="s">
        <v>225</v>
      </c>
      <c r="J687">
        <v>46.5</v>
      </c>
      <c r="K687" s="2" t="s">
        <v>2363</v>
      </c>
      <c r="L687">
        <v>4.7</v>
      </c>
      <c r="M687">
        <v>3</v>
      </c>
      <c r="O687" t="s">
        <v>33</v>
      </c>
      <c r="P687" t="s">
        <v>26</v>
      </c>
      <c r="Q687" t="s">
        <v>686</v>
      </c>
    </row>
    <row r="688" spans="1:17" ht="15.75" x14ac:dyDescent="0.25">
      <c r="A688" s="3" t="str">
        <f>HYPERLINK("https://www.als.com/camel-womens-mule-12/p?skuId=928900", "https://www.als.com/camel-womens-mule-12/p?skuId=928900")</f>
        <v>https://www.als.com/camel-womens-mule-12/p?skuId=928900</v>
      </c>
      <c r="B688" s="3" t="str">
        <f>HYPERLINK("https://www.als.com/camel-womens-mule-12/p", "https://www.als.com/camel-womens-mule-12/p")</f>
        <v>https://www.als.com/camel-womens-mule-12/p</v>
      </c>
      <c r="C688" t="s">
        <v>398</v>
      </c>
      <c r="D688" t="s">
        <v>2364</v>
      </c>
      <c r="E688" s="3" t="str">
        <f>HYPERLINK("https://www.amazon.com/CamelBak-M-U-L-Reservoir-Hydration-Flames/dp/B01L8LR0IY/ref=sr_1_11?keywords=CamelBak+M.U.L.E.+12+Hydration+Pack+-+Womens&amp;qid=1695124412&amp;sr=8-11", "https://www.amazon.com/CamelBak-M-U-L-Reservoir-Hydration-Flames/dp/B01L8LR0IY/ref=sr_1_11?keywords=CamelBak+M.U.L.E.+12+Hydration+Pack+-+Womens&amp;qid=1695124412&amp;sr=8-11")</f>
        <v>https://www.amazon.com/CamelBak-M-U-L-Reservoir-Hydration-Flames/dp/B01L8LR0IY/ref=sr_1_11?keywords=CamelBak+M.U.L.E.+12+Hydration+Pack+-+Womens&amp;qid=1695124412&amp;sr=8-11</v>
      </c>
      <c r="F688" t="s">
        <v>2365</v>
      </c>
      <c r="G688" t="e">
        <f ca="1">IMAGE("https://alssports.vtexassets.com/arquivos/ids/1344859-800-auto?v=638222065082070000&amp;width=800&amp;height=auto&amp;aspect=true")</f>
        <v>#NAME?</v>
      </c>
      <c r="H688" t="e">
        <f ca="1">IMAGE("https://m.media-amazon.com/images/I/91euv+lRCML._AC_UL320_.jpg")</f>
        <v>#NAME?</v>
      </c>
      <c r="I688" t="s">
        <v>401</v>
      </c>
      <c r="J688">
        <v>39.72</v>
      </c>
      <c r="K688" s="2" t="s">
        <v>2366</v>
      </c>
      <c r="L688">
        <v>4.7</v>
      </c>
      <c r="M688">
        <v>4166</v>
      </c>
      <c r="O688" t="s">
        <v>33</v>
      </c>
      <c r="P688" t="s">
        <v>403</v>
      </c>
      <c r="Q688" t="s">
        <v>404</v>
      </c>
    </row>
    <row r="689" spans="1:17" ht="15.75" x14ac:dyDescent="0.25">
      <c r="A689" s="3" t="str">
        <f>HYPERLINK("https://www.als.com/crocs-classic-clog/p?skuId=1196935", "https://www.als.com/crocs-classic-clog/p?skuId=1196935")</f>
        <v>https://www.als.com/crocs-classic-clog/p?skuId=1196935</v>
      </c>
      <c r="B689" s="3" t="str">
        <f>HYPERLINK("https://www.als.com/crocs-classic-clog/p", "https://www.als.com/crocs-classic-clog/p")</f>
        <v>https://www.als.com/crocs-classic-clog/p</v>
      </c>
      <c r="C689" t="s">
        <v>1100</v>
      </c>
      <c r="D689" t="s">
        <v>2367</v>
      </c>
      <c r="E689" s="3" t="str">
        <f>HYPERLINK("https://www.amazon.com/Crocs-Unisex-Classic-Graphic-Clogs/dp/B0BPTS27YL/ref=sr_1_7?keywords=Crocs+Classic+Clog&amp;qid=1695124151&amp;sr=8-7", "https://www.amazon.com/Crocs-Unisex-Classic-Graphic-Clogs/dp/B0BPTS27YL/ref=sr_1_7?keywords=Crocs+Classic+Clog&amp;qid=1695124151&amp;sr=8-7")</f>
        <v>https://www.amazon.com/Crocs-Unisex-Classic-Graphic-Clogs/dp/B0BPTS27YL/ref=sr_1_7?keywords=Crocs+Classic+Clog&amp;qid=1695124151&amp;sr=8-7</v>
      </c>
      <c r="F689" t="s">
        <v>2368</v>
      </c>
      <c r="G689" t="e">
        <f ca="1">IMAGE("https://alssports.vtexassets.com/arquivos/ids/1222253-800-auto?v=638102875835800000&amp;width=800&amp;height=auto&amp;aspect=true")</f>
        <v>#NAME?</v>
      </c>
      <c r="H689" t="e">
        <f ca="1">IMAGE("https://m.media-amazon.com/images/I/81GuCrA6sNL._AC_UL320_.jpg")</f>
        <v>#NAME?</v>
      </c>
      <c r="I689" t="s">
        <v>157</v>
      </c>
      <c r="J689">
        <v>32.99</v>
      </c>
      <c r="K689" s="2" t="s">
        <v>2369</v>
      </c>
      <c r="L689">
        <v>4.8</v>
      </c>
      <c r="M689">
        <v>10467</v>
      </c>
      <c r="O689" t="s">
        <v>33</v>
      </c>
      <c r="P689" t="s">
        <v>26</v>
      </c>
      <c r="Q689" t="s">
        <v>1103</v>
      </c>
    </row>
    <row r="690" spans="1:17" ht="15.75" x14ac:dyDescent="0.25">
      <c r="A690" s="3" t="str">
        <f>HYPERLINK("https://www.als.com/conti-tire-grand-prix-5000-s-tr/p?skuId=971397", "https://www.als.com/conti-tire-grand-prix-5000-s-tr/p?skuId=971397")</f>
        <v>https://www.als.com/conti-tire-grand-prix-5000-s-tr/p?skuId=971397</v>
      </c>
      <c r="B690" s="3" t="str">
        <f>HYPERLINK("https://www.als.com/conti-tire-grand-prix-5000-s-tr/p", "https://www.als.com/conti-tire-grand-prix-5000-s-tr/p")</f>
        <v>https://www.als.com/conti-tire-grand-prix-5000-s-tr/p</v>
      </c>
      <c r="C690" t="s">
        <v>718</v>
      </c>
      <c r="D690" t="s">
        <v>2370</v>
      </c>
      <c r="E690" s="3" t="str">
        <f>HYPERLINK("https://www.amazon.com/Continental-Grand-Prix-5000-Tire/dp/B09HS53FYS/ref=sr_1_2?keywords=Continental+Tires+Continental+Grand+Prix+5000+S+TR+Tire&amp;qid=1695124461&amp;sr=8-2", "https://www.amazon.com/Continental-Grand-Prix-5000-Tire/dp/B09HS53FYS/ref=sr_1_2?keywords=Continental+Tires+Continental+Grand+Prix+5000+S+TR+Tire&amp;qid=1695124461&amp;sr=8-2")</f>
        <v>https://www.amazon.com/Continental-Grand-Prix-5000-Tire/dp/B09HS53FYS/ref=sr_1_2?keywords=Continental+Tires+Continental+Grand+Prix+5000+S+TR+Tire&amp;qid=1695124461&amp;sr=8-2</v>
      </c>
      <c r="F690" t="s">
        <v>2371</v>
      </c>
      <c r="G690" t="e">
        <f ca="1">IMAGE("https://alssports.vtexassets.com/arquivos/ids/1235281-800-auto?v=638114086611970000&amp;width=800&amp;height=auto&amp;aspect=true")</f>
        <v>#NAME?</v>
      </c>
      <c r="H690" t="e">
        <f ca="1">IMAGE("https://m.media-amazon.com/images/I/81o0jt5deJL._AC_UL320_.jpg")</f>
        <v>#NAME?</v>
      </c>
      <c r="I690" t="s">
        <v>32</v>
      </c>
      <c r="J690">
        <v>65.73</v>
      </c>
      <c r="K690" s="2" t="s">
        <v>2372</v>
      </c>
      <c r="L690">
        <v>4.7</v>
      </c>
      <c r="M690">
        <v>319</v>
      </c>
      <c r="O690" t="s">
        <v>33</v>
      </c>
      <c r="P690" t="s">
        <v>26</v>
      </c>
      <c r="Q690" t="s">
        <v>722</v>
      </c>
    </row>
    <row r="691" spans="1:17" ht="15.75" x14ac:dyDescent="0.25">
      <c r="A691" s="3" t="str">
        <f>HYPERLINK("https://www.als.com/adidas-cleat-goletto-viii-fg/p?skuId=936456", "https://www.als.com/adidas-cleat-goletto-viii-fg/p?skuId=936456")</f>
        <v>https://www.als.com/adidas-cleat-goletto-viii-fg/p?skuId=936456</v>
      </c>
      <c r="B691" s="3" t="str">
        <f>HYPERLINK("https://www.als.com/adidas-cleat-goletto-viii-fg/p", "https://www.als.com/adidas-cleat-goletto-viii-fg/p")</f>
        <v>https://www.als.com/adidas-cleat-goletto-viii-fg/p</v>
      </c>
      <c r="C691" t="s">
        <v>2373</v>
      </c>
      <c r="D691" t="s">
        <v>1039</v>
      </c>
      <c r="E691" s="3" t="str">
        <f>HYPERLINK("https://www.amazon.com/adidas-Goletto-Ground-Soccer-Unisex/dp/B093RWCRX4/ref=sr_1_1?keywords=adidas+Goletto+VII+FG+Soccer+Cleat&amp;qid=1695124430&amp;sr=8-1", "https://www.amazon.com/adidas-Goletto-Ground-Soccer-Unisex/dp/B093RWCRX4/ref=sr_1_1?keywords=adidas+Goletto+VII+FG+Soccer+Cleat&amp;qid=1695124430&amp;sr=8-1")</f>
        <v>https://www.amazon.com/adidas-Goletto-Ground-Soccer-Unisex/dp/B093RWCRX4/ref=sr_1_1?keywords=adidas+Goletto+VII+FG+Soccer+Cleat&amp;qid=1695124430&amp;sr=8-1</v>
      </c>
      <c r="F691" t="s">
        <v>2079</v>
      </c>
      <c r="G691" t="e">
        <f ca="1">IMAGE("https://alssports.vtexassets.com/arquivos/ids/1081472-800-auto?v=637913397511230000&amp;width=800&amp;height=auto&amp;aspect=true")</f>
        <v>#NAME?</v>
      </c>
      <c r="H691" t="e">
        <f ca="1">IMAGE("https://m.media-amazon.com/images/I/61zH9V4VFDL._AC_UL320_.jpg")</f>
        <v>#NAME?</v>
      </c>
      <c r="I691" t="s">
        <v>797</v>
      </c>
      <c r="J691">
        <v>29.55</v>
      </c>
      <c r="K691" s="2" t="s">
        <v>2374</v>
      </c>
      <c r="L691">
        <v>4.7</v>
      </c>
      <c r="M691">
        <v>6522</v>
      </c>
      <c r="O691" t="s">
        <v>33</v>
      </c>
      <c r="P691" t="s">
        <v>401</v>
      </c>
      <c r="Q691" t="s">
        <v>2375</v>
      </c>
    </row>
    <row r="692" spans="1:17" ht="15.75" x14ac:dyDescent="0.25">
      <c r="A692" s="3" t="str">
        <f>HYPERLINK("https://www.als.com/seasum-dry-bag-ultra-sil/p?skuId=1284260", "https://www.als.com/seasum-dry-bag-ultra-sil/p?skuId=1284260")</f>
        <v>https://www.als.com/seasum-dry-bag-ultra-sil/p?skuId=1284260</v>
      </c>
      <c r="B692" s="3" t="str">
        <f>HYPERLINK("https://www.als.com/seasum-dry-bag-ultra-sil/p", "https://www.als.com/seasum-dry-bag-ultra-sil/p")</f>
        <v>https://www.als.com/seasum-dry-bag-ultra-sil/p</v>
      </c>
      <c r="C692" t="s">
        <v>1515</v>
      </c>
      <c r="D692" t="s">
        <v>2376</v>
      </c>
      <c r="E692" s="3" t="str">
        <f>HYPERLINK("https://www.amazon.com/Sea-Summit-eVac-Sack-Liter/dp/B001Q3KKQE/ref=sr_1_22?keywords=Sea+to+Summit+Ultra-Sil+Dry+Bag&amp;qid=1695124478&amp;sr=8-22", "https://www.amazon.com/Sea-Summit-eVac-Sack-Liter/dp/B001Q3KKQE/ref=sr_1_22?keywords=Sea+to+Summit+Ultra-Sil+Dry+Bag&amp;qid=1695124478&amp;sr=8-22")</f>
        <v>https://www.amazon.com/Sea-Summit-eVac-Sack-Liter/dp/B001Q3KKQE/ref=sr_1_22?keywords=Sea+to+Summit+Ultra-Sil+Dry+Bag&amp;qid=1695124478&amp;sr=8-22</v>
      </c>
      <c r="F692" t="s">
        <v>2377</v>
      </c>
      <c r="G692" t="e">
        <f ca="1">IMAGE("https://alssports.vtexassets.com/arquivos/ids/1257254-800-auto?v=638134633277170000&amp;width=800&amp;height=auto&amp;aspect=true")</f>
        <v>#NAME?</v>
      </c>
      <c r="H692" t="e">
        <f ca="1">IMAGE("https://m.media-amazon.com/images/I/611HVclyljL._AC_UL320_.jpg")</f>
        <v>#NAME?</v>
      </c>
      <c r="I692" t="s">
        <v>140</v>
      </c>
      <c r="J692">
        <v>26.21</v>
      </c>
      <c r="K692" s="2" t="s">
        <v>2378</v>
      </c>
      <c r="L692">
        <v>4.7</v>
      </c>
      <c r="M692">
        <v>609</v>
      </c>
      <c r="O692" t="s">
        <v>26</v>
      </c>
      <c r="P692" t="s">
        <v>26</v>
      </c>
      <c r="Q692" t="s">
        <v>1519</v>
      </c>
    </row>
    <row r="693" spans="1:17" ht="15.75" x14ac:dyDescent="0.25">
      <c r="A693" s="3" t="str">
        <f>HYPERLINK("https://www.als.com/carve-ws-swim-top-sanitas-reversibl/p?skuId=1322239", "https://www.als.com/carve-ws-swim-top-sanitas-reversibl/p?skuId=1322239")</f>
        <v>https://www.als.com/carve-ws-swim-top-sanitas-reversibl/p?skuId=1322239</v>
      </c>
      <c r="B693" s="3" t="str">
        <f>HYPERLINK("https://www.als.com/carve-ws-swim-top-sanitas-reversibl/p", "https://www.als.com/carve-ws-swim-top-sanitas-reversibl/p")</f>
        <v>https://www.als.com/carve-ws-swim-top-sanitas-reversibl/p</v>
      </c>
      <c r="C693" t="s">
        <v>663</v>
      </c>
      <c r="D693" t="s">
        <v>2379</v>
      </c>
      <c r="E693" s="3" t="str">
        <f>HYPERLINK("https://www.amazon.com/Designs-Sanitas-Reversible-Bikini-Stargazer/dp/B09NRFP69S/ref=sr_1_8?keywords=Carve+Designs+Sanitas+Reversible+Swim+Top+-+Women%27s&amp;qid=1695124482&amp;sr=8-8", "https://www.amazon.com/Designs-Sanitas-Reversible-Bikini-Stargazer/dp/B09NRFP69S/ref=sr_1_8?keywords=Carve+Designs+Sanitas+Reversible+Swim+Top+-+Women%27s&amp;qid=1695124482&amp;sr=8-8")</f>
        <v>https://www.amazon.com/Designs-Sanitas-Reversible-Bikini-Stargazer/dp/B09NRFP69S/ref=sr_1_8?keywords=Carve+Designs+Sanitas+Reversible+Swim+Top+-+Women%27s&amp;qid=1695124482&amp;sr=8-8</v>
      </c>
      <c r="F693" t="s">
        <v>2380</v>
      </c>
      <c r="G693" t="e">
        <f ca="1">IMAGE("https://alssports.vtexassets.com/arquivos/ids/1272388-800-auto?v=638150148052170000&amp;width=800&amp;height=auto&amp;aspect=true")</f>
        <v>#NAME?</v>
      </c>
      <c r="H693" t="e">
        <f ca="1">IMAGE("https://m.media-amazon.com/images/I/61MZm8xQ4DL._MCnd_AC_UL320_.jpg")</f>
        <v>#NAME?</v>
      </c>
      <c r="I693" t="s">
        <v>189</v>
      </c>
      <c r="J693">
        <v>39.200000000000003</v>
      </c>
      <c r="K693" s="2" t="s">
        <v>2381</v>
      </c>
      <c r="L693">
        <v>5</v>
      </c>
      <c r="M693">
        <v>1</v>
      </c>
      <c r="O693" t="s">
        <v>33</v>
      </c>
      <c r="P693" t="s">
        <v>26</v>
      </c>
      <c r="Q693" t="s">
        <v>667</v>
      </c>
    </row>
    <row r="694" spans="1:17" ht="15.75" x14ac:dyDescent="0.25">
      <c r="A694" s="3" t="str">
        <f>HYPERLINK("https://www.als.com/danner-boot-laces/p?skuId=1197070", "https://www.als.com/danner-boot-laces/p?skuId=1197070")</f>
        <v>https://www.als.com/danner-boot-laces/p?skuId=1197070</v>
      </c>
      <c r="B694" s="3" t="str">
        <f>HYPERLINK("https://www.als.com/danner-boot-laces/p", "https://www.als.com/danner-boot-laces/p")</f>
        <v>https://www.als.com/danner-boot-laces/p</v>
      </c>
      <c r="C694" t="s">
        <v>2382</v>
      </c>
      <c r="D694" t="s">
        <v>2383</v>
      </c>
      <c r="E694" s="3" t="str">
        <f>HYPERLINK("https://www.amazon.com/Shoeslulu-Premium-Bootlaces-Shoelaces-Chocolate/dp/B06X6DP8CK/ref=sr_1_35?keywords=Danner+Premium+Boot+Laces&amp;qid=1695124426&amp;sr=8-35", "https://www.amazon.com/Shoeslulu-Premium-Bootlaces-Shoelaces-Chocolate/dp/B06X6DP8CK/ref=sr_1_35?keywords=Danner+Premium+Boot+Laces&amp;qid=1695124426&amp;sr=8-35")</f>
        <v>https://www.amazon.com/Shoeslulu-Premium-Bootlaces-Shoelaces-Chocolate/dp/B06X6DP8CK/ref=sr_1_35?keywords=Danner+Premium+Boot+Laces&amp;qid=1695124426&amp;sr=8-35</v>
      </c>
      <c r="F694" t="s">
        <v>2384</v>
      </c>
      <c r="G694" t="e">
        <f ca="1">IMAGE("https://alssports.vtexassets.com/arquivos/ids/1203480-800-auto?v=638082989418630000&amp;width=800&amp;height=auto&amp;aspect=true")</f>
        <v>#NAME?</v>
      </c>
      <c r="H694" t="e">
        <f ca="1">IMAGE("https://m.media-amazon.com/images/I/715dE45dV1L._AC_UL320_.jpg")</f>
        <v>#NAME?</v>
      </c>
      <c r="I694" t="s">
        <v>1528</v>
      </c>
      <c r="J694">
        <v>6.5</v>
      </c>
      <c r="K694" s="2" t="s">
        <v>2381</v>
      </c>
      <c r="L694">
        <v>4.2</v>
      </c>
      <c r="M694">
        <v>782</v>
      </c>
      <c r="O694" t="s">
        <v>33</v>
      </c>
      <c r="P694" t="s">
        <v>1528</v>
      </c>
      <c r="Q694" t="s">
        <v>2385</v>
      </c>
    </row>
    <row r="695" spans="1:17" ht="15.75" x14ac:dyDescent="0.25">
      <c r="A695" s="3" t="str">
        <f>HYPERLINK("https://www.als.com/stansp-stove-2-burner-regulated/p?skuId=1124381", "https://www.als.com/stansp-stove-2-burner-regulated/p?skuId=1124381")</f>
        <v>https://www.als.com/stansp-stove-2-burner-regulated/p?skuId=1124381</v>
      </c>
      <c r="B695" s="3" t="str">
        <f>HYPERLINK("https://www.als.com/stansp-stove-2-burner-regulated/p", "https://www.als.com/stansp-stove-2-burner-regulated/p")</f>
        <v>https://www.als.com/stansp-stove-2-burner-regulated/p</v>
      </c>
      <c r="C695" t="s">
        <v>2386</v>
      </c>
      <c r="D695" t="s">
        <v>2387</v>
      </c>
      <c r="E695" s="3" t="str">
        <f>HYPERLINK("https://www.amazon.com/Stansport-Single-Burner-Propane-Stove/dp/B000XADLN0/ref=sr_1_8?keywords=Stansport+2-Burner+Regulated+Propane+Stove&amp;qid=1695124362&amp;sr=8-8", "https://www.amazon.com/Stansport-Single-Burner-Propane-Stove/dp/B000XADLN0/ref=sr_1_8?keywords=Stansport+2-Burner+Regulated+Propane+Stove&amp;qid=1695124362&amp;sr=8-8")</f>
        <v>https://www.amazon.com/Stansport-Single-Burner-Propane-Stove/dp/B000XADLN0/ref=sr_1_8?keywords=Stansport+2-Burner+Regulated+Propane+Stove&amp;qid=1695124362&amp;sr=8-8</v>
      </c>
      <c r="F695" t="s">
        <v>2388</v>
      </c>
      <c r="G695" t="e">
        <f ca="1">IMAGE("https://alssports.vtexassets.com/arquivos/ids/1203051-800-auto?v=638080492450170000&amp;width=800&amp;height=auto&amp;aspect=true")</f>
        <v>#NAME?</v>
      </c>
      <c r="H695" t="e">
        <f ca="1">IMAGE("https://m.media-amazon.com/images/I/71rEY4rEt2L._AC_UY218_.jpg")</f>
        <v>#NAME?</v>
      </c>
      <c r="I695" t="s">
        <v>94</v>
      </c>
      <c r="J695">
        <v>26.09</v>
      </c>
      <c r="K695" s="2" t="s">
        <v>2389</v>
      </c>
      <c r="L695">
        <v>4.5999999999999996</v>
      </c>
      <c r="M695">
        <v>602</v>
      </c>
      <c r="O695" t="s">
        <v>33</v>
      </c>
      <c r="P695" t="s">
        <v>787</v>
      </c>
      <c r="Q695" t="s">
        <v>2390</v>
      </c>
    </row>
    <row r="696" spans="1:17" ht="15.75" x14ac:dyDescent="0.25">
      <c r="A696" s="3" t="str">
        <f>HYPERLINK("https://www.als.com/asics-ws-shoe-gel-nimbus-24/p?skuId=1037727", "https://www.als.com/asics-ws-shoe-gel-nimbus-24/p?skuId=1037727")</f>
        <v>https://www.als.com/asics-ws-shoe-gel-nimbus-24/p?skuId=1037727</v>
      </c>
      <c r="B696" s="3" t="str">
        <f>HYPERLINK("https://www.als.com/asics-ws-shoe-gel-nimbus-24/p", "https://www.als.com/asics-ws-shoe-gel-nimbus-24/p")</f>
        <v>https://www.als.com/asics-ws-shoe-gel-nimbus-24/p</v>
      </c>
      <c r="C696" t="s">
        <v>1217</v>
      </c>
      <c r="D696" t="s">
        <v>2391</v>
      </c>
      <c r="E696" s="3" t="str">
        <f>HYPERLINK("https://www.amazon.com/ASICS-Womens-Gel-Cumulus-Running-Shoes/dp/B08XXJB3JQ/ref=sr_1_31?keywords=Asics+GEL-NIMBUS+24+Running+Shoe+-+Womens&amp;qid=1695124093&amp;sr=8-31", "https://www.amazon.com/ASICS-Womens-Gel-Cumulus-Running-Shoes/dp/B08XXJB3JQ/ref=sr_1_31?keywords=Asics+GEL-NIMBUS+24+Running+Shoe+-+Womens&amp;qid=1695124093&amp;sr=8-31")</f>
        <v>https://www.amazon.com/ASICS-Womens-Gel-Cumulus-Running-Shoes/dp/B08XXJB3JQ/ref=sr_1_31?keywords=Asics+GEL-NIMBUS+24+Running+Shoe+-+Womens&amp;qid=1695124093&amp;sr=8-31</v>
      </c>
      <c r="F696" t="s">
        <v>2392</v>
      </c>
      <c r="G696" t="e">
        <f ca="1">IMAGE("https://alssports.vtexassets.com/arquivos/ids/1109551-800-auto?v=637950821539330000&amp;width=800&amp;height=auto&amp;aspect=true")</f>
        <v>#NAME?</v>
      </c>
      <c r="H696" t="e">
        <f ca="1">IMAGE("https://m.media-amazon.com/images/I/51vSr-z8HBL._AC_UL320_.jpg")</f>
        <v>#NAME?</v>
      </c>
      <c r="I696" t="s">
        <v>1220</v>
      </c>
      <c r="J696">
        <v>72.95</v>
      </c>
      <c r="K696" s="2" t="s">
        <v>2393</v>
      </c>
      <c r="L696">
        <v>4.4000000000000004</v>
      </c>
      <c r="M696">
        <v>2577</v>
      </c>
      <c r="O696" t="s">
        <v>33</v>
      </c>
      <c r="P696" t="s">
        <v>88</v>
      </c>
      <c r="Q696" t="s">
        <v>1222</v>
      </c>
    </row>
    <row r="697" spans="1:17" ht="15.75" x14ac:dyDescent="0.25">
      <c r="A697" s="3" t="str">
        <f>HYPERLINK("https://www.als.com/seasum-dry-bag-ultra-sil/p?skuId=1284260", "https://www.als.com/seasum-dry-bag-ultra-sil/p?skuId=1284260")</f>
        <v>https://www.als.com/seasum-dry-bag-ultra-sil/p?skuId=1284260</v>
      </c>
      <c r="B697" s="3" t="str">
        <f>HYPERLINK("https://www.als.com/seasum-dry-bag-ultra-sil/p", "https://www.als.com/seasum-dry-bag-ultra-sil/p")</f>
        <v>https://www.als.com/seasum-dry-bag-ultra-sil/p</v>
      </c>
      <c r="C697" t="s">
        <v>1515</v>
      </c>
      <c r="D697" t="s">
        <v>2394</v>
      </c>
      <c r="E697" s="3" t="str">
        <f>HYPERLINK("https://www.amazon.com/Sea-Summit-Ultra-SIL-Nano-Sack/dp/B007JV7EJI/ref=sr_1_6?keywords=Sea+to+Summit+Ultra-Sil+Dry+Bag&amp;qid=1695124478&amp;sr=8-6", "https://www.amazon.com/Sea-Summit-Ultra-SIL-Nano-Sack/dp/B007JV7EJI/ref=sr_1_6?keywords=Sea+to+Summit+Ultra-Sil+Dry+Bag&amp;qid=1695124478&amp;sr=8-6")</f>
        <v>https://www.amazon.com/Sea-Summit-Ultra-SIL-Nano-Sack/dp/B007JV7EJI/ref=sr_1_6?keywords=Sea+to+Summit+Ultra-Sil+Dry+Bag&amp;qid=1695124478&amp;sr=8-6</v>
      </c>
      <c r="F697" t="s">
        <v>2395</v>
      </c>
      <c r="G697" t="e">
        <f ca="1">IMAGE("https://alssports.vtexassets.com/arquivos/ids/1257254-800-auto?v=638134633277170000&amp;width=800&amp;height=auto&amp;aspect=true")</f>
        <v>#NAME?</v>
      </c>
      <c r="H697" t="e">
        <f ca="1">IMAGE("https://m.media-amazon.com/images/I/51KEYjaEiFL._AC_UL320_.jpg")</f>
        <v>#NAME?</v>
      </c>
      <c r="I697" t="s">
        <v>140</v>
      </c>
      <c r="J697">
        <v>26</v>
      </c>
      <c r="K697" s="2" t="s">
        <v>2396</v>
      </c>
      <c r="L697">
        <v>4.5999999999999996</v>
      </c>
      <c r="M697">
        <v>594</v>
      </c>
      <c r="O697" t="s">
        <v>26</v>
      </c>
      <c r="P697" t="s">
        <v>26</v>
      </c>
      <c r="Q697" t="s">
        <v>1519</v>
      </c>
    </row>
    <row r="698" spans="1:17" ht="15.75" x14ac:dyDescent="0.25">
      <c r="A698" s="3" t="str">
        <f>HYPERLINK("https://www.als.com/heydud-m-shoe-wally-washed-canvas/p?skuId=1317816", "https://www.als.com/heydud-m-shoe-wally-washed-canvas/p?skuId=1317816")</f>
        <v>https://www.als.com/heydud-m-shoe-wally-washed-canvas/p?skuId=1317816</v>
      </c>
      <c r="B698" s="3" t="str">
        <f>HYPERLINK("https://www.als.com/heydud-m-shoe-wally-washed-canvas/p", "https://www.als.com/heydud-m-shoe-wally-washed-canvas/p")</f>
        <v>https://www.als.com/heydud-m-shoe-wally-washed-canvas/p</v>
      </c>
      <c r="C698" t="s">
        <v>501</v>
      </c>
      <c r="D698" t="s">
        <v>1794</v>
      </c>
      <c r="E698" s="3" t="str">
        <f>HYPERLINK("https://www.amazon.com/Hey-Dude-Mens-Wally-Camo/dp/B07YQRFQCW/ref=sr_1_15?keywords=Hey+Dude+Wally+Washed+Canvas+Shoe+-+Mens&amp;qid=1695124460&amp;sr=8-15", "https://www.amazon.com/Hey-Dude-Mens-Wally-Camo/dp/B07YQRFQCW/ref=sr_1_15?keywords=Hey+Dude+Wally+Washed+Canvas+Shoe+-+Mens&amp;qid=1695124460&amp;sr=8-15")</f>
        <v>https://www.amazon.com/Hey-Dude-Mens-Wally-Camo/dp/B07YQRFQCW/ref=sr_1_15?keywords=Hey+Dude+Wally+Washed+Canvas+Shoe+-+Mens&amp;qid=1695124460&amp;sr=8-15</v>
      </c>
      <c r="F698" t="s">
        <v>2397</v>
      </c>
      <c r="G698" t="e">
        <f ca="1">IMAGE("https://alssports.vtexassets.com/arquivos/ids/1388214-800-auto?v=638255521966130000&amp;width=800&amp;height=auto&amp;aspect=true")</f>
        <v>#NAME?</v>
      </c>
      <c r="H698" t="e">
        <f ca="1">IMAGE("https://m.media-amazon.com/images/I/619avZIZHsL._AC_UL320_.jpg")</f>
        <v>#NAME?</v>
      </c>
      <c r="I698" t="s">
        <v>58</v>
      </c>
      <c r="J698">
        <v>42.24</v>
      </c>
      <c r="K698" s="2" t="s">
        <v>2398</v>
      </c>
      <c r="L698">
        <v>4.7</v>
      </c>
      <c r="M698">
        <v>26435</v>
      </c>
      <c r="O698" t="s">
        <v>33</v>
      </c>
      <c r="P698" t="s">
        <v>26</v>
      </c>
      <c r="Q698" t="s">
        <v>505</v>
      </c>
    </row>
    <row r="699" spans="1:17" ht="15.75" x14ac:dyDescent="0.25">
      <c r="A699" s="3" t="str">
        <f>HYPERLINK("https://www.als.com/heydud-m-shoe-wally-washed-canvas/p?skuId=1317816", "https://www.als.com/heydud-m-shoe-wally-washed-canvas/p?skuId=1317816")</f>
        <v>https://www.als.com/heydud-m-shoe-wally-washed-canvas/p?skuId=1317816</v>
      </c>
      <c r="B699" s="3" t="str">
        <f>HYPERLINK("https://www.als.com/heydud-m-shoe-wally-washed-canvas/p", "https://www.als.com/heydud-m-shoe-wally-washed-canvas/p")</f>
        <v>https://www.als.com/heydud-m-shoe-wally-washed-canvas/p</v>
      </c>
      <c r="C699" t="s">
        <v>501</v>
      </c>
      <c r="D699" t="s">
        <v>2399</v>
      </c>
      <c r="E699" s="3" t="str">
        <f>HYPERLINK("https://www.amazon.com/Hey-Dude-Loafers-Comfortable-Light-Weight/dp/B0C1PWB26Y/ref=sr_1_11?keywords=Hey+Dude+Wally+Washed+Canvas+Shoe+-+Mens&amp;qid=1695124460&amp;sr=8-11", "https://www.amazon.com/Hey-Dude-Loafers-Comfortable-Light-Weight/dp/B0C1PWB26Y/ref=sr_1_11?keywords=Hey+Dude+Wally+Washed+Canvas+Shoe+-+Mens&amp;qid=1695124460&amp;sr=8-11")</f>
        <v>https://www.amazon.com/Hey-Dude-Loafers-Comfortable-Light-Weight/dp/B0C1PWB26Y/ref=sr_1_11?keywords=Hey+Dude+Wally+Washed+Canvas+Shoe+-+Mens&amp;qid=1695124460&amp;sr=8-11</v>
      </c>
      <c r="F699" t="s">
        <v>2400</v>
      </c>
      <c r="G699" t="e">
        <f ca="1">IMAGE("https://alssports.vtexassets.com/arquivos/ids/1388214-800-auto?v=638255521966130000&amp;width=800&amp;height=auto&amp;aspect=true")</f>
        <v>#NAME?</v>
      </c>
      <c r="H699" t="e">
        <f ca="1">IMAGE("https://m.media-amazon.com/images/I/61CrcTckCuL._AC_UL320_.jpg")</f>
        <v>#NAME?</v>
      </c>
      <c r="I699" t="s">
        <v>58</v>
      </c>
      <c r="J699">
        <v>42.24</v>
      </c>
      <c r="K699" s="2" t="s">
        <v>2398</v>
      </c>
      <c r="L699">
        <v>4.8</v>
      </c>
      <c r="M699">
        <v>246</v>
      </c>
      <c r="O699" t="s">
        <v>33</v>
      </c>
      <c r="P699" t="s">
        <v>26</v>
      </c>
      <c r="Q699" t="s">
        <v>505</v>
      </c>
    </row>
    <row r="700" spans="1:17" ht="15.75" x14ac:dyDescent="0.25">
      <c r="A700" s="3" t="str">
        <f>HYPERLINK("https://www.als.com/heydud-m-shoe-wally-braided/p?skuId=599445", "https://www.als.com/heydud-m-shoe-wally-braided/p?skuId=599445")</f>
        <v>https://www.als.com/heydud-m-shoe-wally-braided/p?skuId=599445</v>
      </c>
      <c r="B700" s="3" t="str">
        <f>HYPERLINK("https://www.als.com/heydud-m-shoe-wally-braided/p", "https://www.als.com/heydud-m-shoe-wally-braided/p")</f>
        <v>https://www.als.com/heydud-m-shoe-wally-braided/p</v>
      </c>
      <c r="C700" t="s">
        <v>506</v>
      </c>
      <c r="D700" t="s">
        <v>2401</v>
      </c>
      <c r="E700" s="3" t="str">
        <f>HYPERLINK("https://www.amazon.com/Hey-Dude-Loafers-Comfortable-Light-Weight/dp/B0C1PWDK1P/ref=sr_1_12?keywords=Hey+Dude+Wally+Braided+Shoe+-+Mens&amp;qid=1695124451&amp;sr=8-12", "https://www.amazon.com/Hey-Dude-Loafers-Comfortable-Light-Weight/dp/B0C1PWDK1P/ref=sr_1_12?keywords=Hey+Dude+Wally+Braided+Shoe+-+Mens&amp;qid=1695124451&amp;sr=8-12")</f>
        <v>https://www.amazon.com/Hey-Dude-Loafers-Comfortable-Light-Weight/dp/B0C1PWDK1P/ref=sr_1_12?keywords=Hey+Dude+Wally+Braided+Shoe+-+Mens&amp;qid=1695124451&amp;sr=8-12</v>
      </c>
      <c r="F700" t="s">
        <v>2402</v>
      </c>
      <c r="G700" t="e">
        <f ca="1">IMAGE("https://alssports.vtexassets.com/arquivos/ids/1386107-800-auto?v=638254870959300000&amp;width=800&amp;height=auto&amp;aspect=true")</f>
        <v>#NAME?</v>
      </c>
      <c r="H700" t="e">
        <f ca="1">IMAGE("https://m.media-amazon.com/images/I/61glyUESgCL._AC_UL320_.jpg")</f>
        <v>#NAME?</v>
      </c>
      <c r="I700" t="s">
        <v>58</v>
      </c>
      <c r="J700">
        <v>42.24</v>
      </c>
      <c r="K700" s="2" t="s">
        <v>2398</v>
      </c>
      <c r="L700">
        <v>4.7</v>
      </c>
      <c r="M700">
        <v>2248</v>
      </c>
      <c r="O700" t="s">
        <v>33</v>
      </c>
      <c r="P700" t="s">
        <v>26</v>
      </c>
      <c r="Q700" t="s">
        <v>507</v>
      </c>
    </row>
    <row r="701" spans="1:17" ht="15.75" x14ac:dyDescent="0.25">
      <c r="A701" s="3" t="str">
        <f>HYPERLINK("https://www.als.com/heydud-m-shoe-wally-braided/p?skuId=599445", "https://www.als.com/heydud-m-shoe-wally-braided/p?skuId=599445")</f>
        <v>https://www.als.com/heydud-m-shoe-wally-braided/p?skuId=599445</v>
      </c>
      <c r="B701" s="3" t="str">
        <f>HYPERLINK("https://www.als.com/heydud-m-shoe-wally-braided/p", "https://www.als.com/heydud-m-shoe-wally-braided/p")</f>
        <v>https://www.als.com/heydud-m-shoe-wally-braided/p</v>
      </c>
      <c r="C701" t="s">
        <v>506</v>
      </c>
      <c r="D701" t="s">
        <v>2399</v>
      </c>
      <c r="E701" s="3" t="str">
        <f>HYPERLINK("https://www.amazon.com/Hey-Dude-Loafers-Comfortable-Light-Weight/dp/B0C1QJQM22/ref=sr_1_7?keywords=Hey+Dude+Wally+Braided+Shoe+-+Mens&amp;qid=1695124451&amp;sr=8-7", "https://www.amazon.com/Hey-Dude-Loafers-Comfortable-Light-Weight/dp/B0C1QJQM22/ref=sr_1_7?keywords=Hey+Dude+Wally+Braided+Shoe+-+Mens&amp;qid=1695124451&amp;sr=8-7")</f>
        <v>https://www.amazon.com/Hey-Dude-Loafers-Comfortable-Light-Weight/dp/B0C1QJQM22/ref=sr_1_7?keywords=Hey+Dude+Wally+Braided+Shoe+-+Mens&amp;qid=1695124451&amp;sr=8-7</v>
      </c>
      <c r="F701" t="s">
        <v>2403</v>
      </c>
      <c r="G701" t="e">
        <f ca="1">IMAGE("https://alssports.vtexassets.com/arquivos/ids/1386107-800-auto?v=638254870959300000&amp;width=800&amp;height=auto&amp;aspect=true")</f>
        <v>#NAME?</v>
      </c>
      <c r="H701" t="e">
        <f ca="1">IMAGE("https://m.media-amazon.com/images/I/61CrcTckCuL._AC_UL320_.jpg")</f>
        <v>#NAME?</v>
      </c>
      <c r="I701" t="s">
        <v>58</v>
      </c>
      <c r="J701">
        <v>42.24</v>
      </c>
      <c r="K701" s="2" t="s">
        <v>2398</v>
      </c>
      <c r="L701">
        <v>4.8</v>
      </c>
      <c r="M701">
        <v>245</v>
      </c>
      <c r="O701" t="s">
        <v>33</v>
      </c>
      <c r="P701" t="s">
        <v>26</v>
      </c>
      <c r="Q701" t="s">
        <v>507</v>
      </c>
    </row>
    <row r="702" spans="1:17" ht="15.75" x14ac:dyDescent="0.25">
      <c r="A702" s="3" t="str">
        <f>HYPERLINK("https://www.als.com/adidas-cleat-freak-23/p?skuId=1287468", "https://www.als.com/adidas-cleat-freak-23/p?skuId=1287468")</f>
        <v>https://www.als.com/adidas-cleat-freak-23/p?skuId=1287468</v>
      </c>
      <c r="B702" s="3" t="str">
        <f>HYPERLINK("https://www.als.com/adidas-cleat-freak-23/p", "https://www.als.com/adidas-cleat-freak-23/p")</f>
        <v>https://www.als.com/adidas-cleat-freak-23/p</v>
      </c>
      <c r="C702" t="s">
        <v>1059</v>
      </c>
      <c r="D702" t="s">
        <v>2404</v>
      </c>
      <c r="E702" s="3" t="str">
        <f>HYPERLINK("https://www.amazon.com/adidas-Freak-Spark-Football-Molded/dp/B0B5YNCY3X/ref=sr_1_2?keywords=adidas+Freak+23+Football+Cleat&amp;qid=1695124101&amp;sr=8-2", "https://www.amazon.com/adidas-Freak-Spark-Football-Molded/dp/B0B5YNCY3X/ref=sr_1_2?keywords=adidas+Freak+23+Football+Cleat&amp;qid=1695124101&amp;sr=8-2")</f>
        <v>https://www.amazon.com/adidas-Freak-Spark-Football-Molded/dp/B0B5YNCY3X/ref=sr_1_2?keywords=adidas+Freak+23+Football+Cleat&amp;qid=1695124101&amp;sr=8-2</v>
      </c>
      <c r="F702" t="s">
        <v>2405</v>
      </c>
      <c r="G702" t="e">
        <f ca="1">IMAGE("https://alssports.vtexassets.com/arquivos/ids/1400222-800-auto?v=638264233896900000&amp;width=800&amp;height=auto&amp;aspect=true")</f>
        <v>#NAME?</v>
      </c>
      <c r="H702" t="e">
        <f ca="1">IMAGE("https://m.media-amazon.com/images/I/81vM+qaPsgL._AC_UL320_.jpg")</f>
        <v>#NAME?</v>
      </c>
      <c r="I702" t="s">
        <v>1062</v>
      </c>
      <c r="J702">
        <v>50</v>
      </c>
      <c r="K702" s="2" t="s">
        <v>2406</v>
      </c>
      <c r="L702">
        <v>4.2</v>
      </c>
      <c r="M702">
        <v>35</v>
      </c>
      <c r="O702" t="s">
        <v>33</v>
      </c>
      <c r="P702" t="s">
        <v>1064</v>
      </c>
      <c r="Q702" t="s">
        <v>1065</v>
      </c>
    </row>
    <row r="703" spans="1:17" ht="15.75" x14ac:dyDescent="0.25">
      <c r="A703" s="3" t="str">
        <f>HYPERLINK("https://www.als.com/mizuno-w-wave-sky-6/p?skuId=1262559", "https://www.als.com/mizuno-w-wave-sky-6/p?skuId=1262559")</f>
        <v>https://www.als.com/mizuno-w-wave-sky-6/p?skuId=1262559</v>
      </c>
      <c r="B703" s="3" t="str">
        <f>HYPERLINK("https://www.als.com/mizuno-w-wave-sky-6/p", "https://www.als.com/mizuno-w-wave-sky-6/p")</f>
        <v>https://www.als.com/mizuno-w-wave-sky-6/p</v>
      </c>
      <c r="C703" t="s">
        <v>200</v>
      </c>
      <c r="D703" t="s">
        <v>2407</v>
      </c>
      <c r="E703" s="3" t="str">
        <f>HYPERLINK("https://www.amazon.com/Mizuno-Womens-Wave-Running-Black/dp/B08JZHJ1LF/ref=sr_1_2?keywords=Mizuno+Wave+Sky+6+Running+Shoe+-+Women%27s&amp;qid=1695124449&amp;sr=8-2", "https://www.amazon.com/Mizuno-Womens-Wave-Running-Black/dp/B08JZHJ1LF/ref=sr_1_2?keywords=Mizuno+Wave+Sky+6+Running+Shoe+-+Women%27s&amp;qid=1695124449&amp;sr=8-2")</f>
        <v>https://www.amazon.com/Mizuno-Womens-Wave-Running-Black/dp/B08JZHJ1LF/ref=sr_1_2?keywords=Mizuno+Wave+Sky+6+Running+Shoe+-+Women%27s&amp;qid=1695124449&amp;sr=8-2</v>
      </c>
      <c r="F703" t="s">
        <v>2408</v>
      </c>
      <c r="G703" t="e">
        <f ca="1">IMAGE("https://alssports.vtexassets.com/arquivos/ids/1277387-800-auto?v=638152938174200000&amp;width=800&amp;height=auto&amp;aspect=true")</f>
        <v>#NAME?</v>
      </c>
      <c r="H703" t="e">
        <f ca="1">IMAGE("https://m.media-amazon.com/images/I/81Mv-0JIa4L._AC_UL320_.jpg")</f>
        <v>#NAME?</v>
      </c>
      <c r="I703" t="s">
        <v>164</v>
      </c>
      <c r="J703">
        <v>110.05</v>
      </c>
      <c r="K703" s="2" t="s">
        <v>2409</v>
      </c>
      <c r="L703">
        <v>4.4000000000000004</v>
      </c>
      <c r="M703">
        <v>232</v>
      </c>
      <c r="O703" t="s">
        <v>33</v>
      </c>
      <c r="P703" t="s">
        <v>191</v>
      </c>
      <c r="Q703" t="s">
        <v>203</v>
      </c>
    </row>
    <row r="704" spans="1:17" ht="15.75" x14ac:dyDescent="0.25">
      <c r="A704" s="3" t="str">
        <f>HYPERLINK("https://www.als.com/sal-sh-m-shoe-speedcross-6/p?skuId=1067283", "https://www.als.com/sal-sh-m-shoe-speedcross-6/p?skuId=1067283")</f>
        <v>https://www.als.com/sal-sh-m-shoe-speedcross-6/p?skuId=1067283</v>
      </c>
      <c r="B704" s="3" t="str">
        <f>HYPERLINK("https://www.als.com/sal-sh-m-shoe-speedcross-6/p", "https://www.als.com/sal-sh-m-shoe-speedcross-6/p")</f>
        <v>https://www.als.com/sal-sh-m-shoe-speedcross-6/p</v>
      </c>
      <c r="C704" t="s">
        <v>547</v>
      </c>
      <c r="D704" t="s">
        <v>2410</v>
      </c>
      <c r="E704" s="3" t="str">
        <f>HYPERLINK("https://www.amazon.com/Salomon-Speedcross-Trail-Runner-Black/dp/B017SQX3M0/ref=sr_1_8?keywords=Salomon+Speedcross+6+Trail+Running+Shoe+-+Men%27s&amp;qid=1695124304&amp;sr=8-8", "https://www.amazon.com/Salomon-Speedcross-Trail-Runner-Black/dp/B017SQX3M0/ref=sr_1_8?keywords=Salomon+Speedcross+6+Trail+Running+Shoe+-+Men%27s&amp;qid=1695124304&amp;sr=8-8")</f>
        <v>https://www.amazon.com/Salomon-Speedcross-Trail-Runner-Black/dp/B017SQX3M0/ref=sr_1_8?keywords=Salomon+Speedcross+6+Trail+Running+Shoe+-+Men%27s&amp;qid=1695124304&amp;sr=8-8</v>
      </c>
      <c r="F704" t="s">
        <v>2411</v>
      </c>
      <c r="G704" t="e">
        <f ca="1">IMAGE("https://alssports.vtexassets.com/arquivos/ids/1132465-800-auto?v=637986345574970000&amp;width=800&amp;height=auto&amp;aspect=true")</f>
        <v>#NAME?</v>
      </c>
      <c r="H704" t="e">
        <f ca="1">IMAGE("https://m.media-amazon.com/images/I/71-h7s7wWlL._AC_UL320_.jpg")</f>
        <v>#NAME?</v>
      </c>
      <c r="I704" t="s">
        <v>550</v>
      </c>
      <c r="J704">
        <v>93.75</v>
      </c>
      <c r="K704" s="2" t="s">
        <v>2412</v>
      </c>
      <c r="L704">
        <v>4.5999999999999996</v>
      </c>
      <c r="M704">
        <v>21483</v>
      </c>
      <c r="O704" t="s">
        <v>33</v>
      </c>
      <c r="P704" t="s">
        <v>552</v>
      </c>
      <c r="Q704" t="s">
        <v>553</v>
      </c>
    </row>
    <row r="705" spans="1:17" ht="15.75" x14ac:dyDescent="0.25">
      <c r="A705" s="3" t="str">
        <f>HYPERLINK("https://www.als.com/quiksh-canopy-shade-tech-100/p?skuId=898263", "https://www.als.com/quiksh-canopy-shade-tech-100/p?skuId=898263")</f>
        <v>https://www.als.com/quiksh-canopy-shade-tech-100/p?skuId=898263</v>
      </c>
      <c r="B705" s="3" t="str">
        <f>HYPERLINK("https://www.als.com/quiksh-canopy-shade-tech-100/p", "https://www.als.com/quiksh-canopy-shade-tech-100/p")</f>
        <v>https://www.als.com/quiksh-canopy-shade-tech-100/p</v>
      </c>
      <c r="C705" t="s">
        <v>784</v>
      </c>
      <c r="D705" t="s">
        <v>2413</v>
      </c>
      <c r="E705" s="3" t="str">
        <f>HYPERLINK("https://www.amazon.com/Quik-Shade-Instant-Accessory-Canopies/dp/B002WXWDTY/ref=sr_1_12?keywords=Quik+Shade+Straight+Leg+10+X+10+canopy&amp;qid=1695124378&amp;sr=8-12", "https://www.amazon.com/Quik-Shade-Instant-Accessory-Canopies/dp/B002WXWDTY/ref=sr_1_12?keywords=Quik+Shade+Straight+Leg+10+X+10+canopy&amp;qid=1695124378&amp;sr=8-12")</f>
        <v>https://www.amazon.com/Quik-Shade-Instant-Accessory-Canopies/dp/B002WXWDTY/ref=sr_1_12?keywords=Quik+Shade+Straight+Leg+10+X+10+canopy&amp;qid=1695124378&amp;sr=8-12</v>
      </c>
      <c r="F705" t="s">
        <v>2414</v>
      </c>
      <c r="G705" t="e">
        <f ca="1">IMAGE("https://alssports.vtexassets.com/arquivos/ids/1099798-800-auto?v=637939423737200000&amp;width=800&amp;height=auto&amp;aspect=true")</f>
        <v>#NAME?</v>
      </c>
      <c r="H705" t="e">
        <f ca="1">IMAGE("https://m.media-amazon.com/images/I/61Ro++MDrKL._AC_UL320_.jpg")</f>
        <v>#NAME?</v>
      </c>
      <c r="I705" t="s">
        <v>787</v>
      </c>
      <c r="J705">
        <v>64.650000000000006</v>
      </c>
      <c r="K705" s="2" t="s">
        <v>2415</v>
      </c>
      <c r="L705">
        <v>4.2</v>
      </c>
      <c r="M705">
        <v>610</v>
      </c>
      <c r="O705" t="s">
        <v>33</v>
      </c>
      <c r="P705" t="s">
        <v>164</v>
      </c>
      <c r="Q705" t="s">
        <v>789</v>
      </c>
    </row>
    <row r="706" spans="1:17" ht="15.75" x14ac:dyDescent="0.25">
      <c r="A706" s="3" t="str">
        <f>HYPERLINK("https://www.als.com/keen-w-koven/p?skuId=1240446", "https://www.als.com/keen-w-koven/p?skuId=1240446")</f>
        <v>https://www.als.com/keen-w-koven/p?skuId=1240446</v>
      </c>
      <c r="B706" s="3" t="str">
        <f>HYPERLINK("https://www.als.com/keen-w-koven/p", "https://www.als.com/keen-w-koven/p")</f>
        <v>https://www.als.com/keen-w-koven/p</v>
      </c>
      <c r="C706" t="s">
        <v>737</v>
      </c>
      <c r="D706" t="s">
        <v>2416</v>
      </c>
      <c r="E706" s="3" t="str">
        <f>HYPERLINK("https://www.amazon.com/KEEN-Terradora-Steel-Grey-Ocean/dp/B07TBSPDY3/ref=sr_1_1?keywords=KEEN+Koven+Hiking+Shoe+-+Women%27s&amp;qid=1695124139&amp;sr=8-1", "https://www.amazon.com/KEEN-Terradora-Steel-Grey-Ocean/dp/B07TBSPDY3/ref=sr_1_1?keywords=KEEN+Koven+Hiking+Shoe+-+Women%27s&amp;qid=1695124139&amp;sr=8-1")</f>
        <v>https://www.amazon.com/KEEN-Terradora-Steel-Grey-Ocean/dp/B07TBSPDY3/ref=sr_1_1?keywords=KEEN+Koven+Hiking+Shoe+-+Women%27s&amp;qid=1695124139&amp;sr=8-1</v>
      </c>
      <c r="F706" t="s">
        <v>2417</v>
      </c>
      <c r="G706" t="e">
        <f ca="1">IMAGE("https://alssports.vtexassets.com/arquivos/ids/1211483-800-auto?v=638091747520730000&amp;width=800&amp;height=auto&amp;aspect=true")</f>
        <v>#NAME?</v>
      </c>
      <c r="H706" t="e">
        <f ca="1">IMAGE("https://m.media-amazon.com/images/I/71yrvh9ULzL._AC_UL320_.jpg")</f>
        <v>#NAME?</v>
      </c>
      <c r="I706" t="s">
        <v>639</v>
      </c>
      <c r="J706">
        <v>77.5</v>
      </c>
      <c r="K706" s="2" t="s">
        <v>2418</v>
      </c>
      <c r="L706">
        <v>4.0999999999999996</v>
      </c>
      <c r="M706">
        <v>1849</v>
      </c>
      <c r="O706" t="s">
        <v>33</v>
      </c>
      <c r="P706" t="s">
        <v>26</v>
      </c>
      <c r="Q706" t="s">
        <v>741</v>
      </c>
    </row>
    <row r="707" spans="1:17" ht="15.75" x14ac:dyDescent="0.25">
      <c r="A707" s="3" t="str">
        <f>HYPERLINK("https://www.als.com/mizuno-knee-pad-lr6-pair/p?skuId=31573", "https://www.als.com/mizuno-knee-pad-lr6-pair/p?skuId=31573")</f>
        <v>https://www.als.com/mizuno-knee-pad-lr6-pair/p?skuId=31573</v>
      </c>
      <c r="B707" s="3" t="str">
        <f>HYPERLINK("https://www.als.com/mizuno-knee-pad-lr6-pair/p", "https://www.als.com/mizuno-knee-pad-lr6-pair/p")</f>
        <v>https://www.als.com/mizuno-knee-pad-lr6-pair/p</v>
      </c>
      <c r="C707" t="s">
        <v>2419</v>
      </c>
      <c r="D707" t="s">
        <v>2420</v>
      </c>
      <c r="E707" s="3" t="str">
        <f>HYPERLINK("https://www.amazon.com/Mizuno-Youth-Plus-Kneepad-Black/dp/B00P9OJF9E/ref=sr_1_5?keywords=Mizuno+LR6+Volleyball+Knee+Pad&amp;qid=1695124466&amp;sr=8-5", "https://www.amazon.com/Mizuno-Youth-Plus-Kneepad-Black/dp/B00P9OJF9E/ref=sr_1_5?keywords=Mizuno+LR6+Volleyball+Knee+Pad&amp;qid=1695124466&amp;sr=8-5")</f>
        <v>https://www.amazon.com/Mizuno-Youth-Plus-Kneepad-Black/dp/B00P9OJF9E/ref=sr_1_5?keywords=Mizuno+LR6+Volleyball+Knee+Pad&amp;qid=1695124466&amp;sr=8-5</v>
      </c>
      <c r="F707" t="s">
        <v>2421</v>
      </c>
      <c r="G707" t="e">
        <f ca="1">IMAGE("https://alssports.vtexassets.com/arquivos/ids/1061088-800-auto?v=637878968177600000&amp;width=800&amp;height=auto&amp;aspect=true")</f>
        <v>#NAME?</v>
      </c>
      <c r="H707" t="e">
        <f ca="1">IMAGE("https://m.media-amazon.com/images/I/618yftwszxL._AC_UL320_.jpg")</f>
        <v>#NAME?</v>
      </c>
      <c r="I707" t="s">
        <v>810</v>
      </c>
      <c r="J707">
        <v>12.86</v>
      </c>
      <c r="K707" s="2" t="s">
        <v>2422</v>
      </c>
      <c r="L707">
        <v>4.7</v>
      </c>
      <c r="M707">
        <v>3985</v>
      </c>
      <c r="O707" t="s">
        <v>26</v>
      </c>
      <c r="P707" t="s">
        <v>528</v>
      </c>
      <c r="Q707" t="s">
        <v>2423</v>
      </c>
    </row>
    <row r="708" spans="1:17" ht="15.75" x14ac:dyDescent="0.25">
      <c r="A708" s="3" t="str">
        <f>HYPERLINK("https://www.als.com/adidas-w-slide-adilette-comfort/p?skuId=1286469", "https://www.als.com/adidas-w-slide-adilette-comfort/p?skuId=1286469")</f>
        <v>https://www.als.com/adidas-w-slide-adilette-comfort/p?skuId=1286469</v>
      </c>
      <c r="B708" s="3" t="str">
        <f>HYPERLINK("https://www.als.com/adidas-w-slide-adilette-comfort/p", "https://www.als.com/adidas-w-slide-adilette-comfort/p")</f>
        <v>https://www.als.com/adidas-w-slide-adilette-comfort/p</v>
      </c>
      <c r="C708" t="s">
        <v>441</v>
      </c>
      <c r="D708" t="s">
        <v>2424</v>
      </c>
      <c r="E708" s="3" t="str">
        <f>HYPERLINK("https://www.amazon.com/adidas-Originals-Womens-Adilette-Sneaker/dp/B08MJTSWTG/ref=sr_1_31?keywords=Adidas+Adilette+Comfort+Sandal+-+Women%27s&amp;qid=1695124352&amp;sr=8-31", "https://www.amazon.com/adidas-Originals-Womens-Adilette-Sneaker/dp/B08MJTSWTG/ref=sr_1_31?keywords=Adidas+Adilette+Comfort+Sandal+-+Women%27s&amp;qid=1695124352&amp;sr=8-31")</f>
        <v>https://www.amazon.com/adidas-Originals-Womens-Adilette-Sneaker/dp/B08MJTSWTG/ref=sr_1_31?keywords=Adidas+Adilette+Comfort+Sandal+-+Women%27s&amp;qid=1695124352&amp;sr=8-31</v>
      </c>
      <c r="F708" t="s">
        <v>2425</v>
      </c>
      <c r="G708" t="e">
        <f ca="1">IMAGE("https://alssports.vtexassets.com/arquivos/ids/1250704-800-auto?v=638128818653670000&amp;width=800&amp;height=auto&amp;aspect=true")</f>
        <v>#NAME?</v>
      </c>
      <c r="H708" t="e">
        <f ca="1">IMAGE("https://m.media-amazon.com/images/I/61LH77+FG5L._AC_UL320_.jpg")</f>
        <v>#NAME?</v>
      </c>
      <c r="I708" t="s">
        <v>444</v>
      </c>
      <c r="J708">
        <v>18</v>
      </c>
      <c r="K708" s="2" t="s">
        <v>2426</v>
      </c>
      <c r="L708">
        <v>4.5999999999999996</v>
      </c>
      <c r="M708">
        <v>5781</v>
      </c>
      <c r="O708" t="s">
        <v>33</v>
      </c>
      <c r="P708" t="s">
        <v>140</v>
      </c>
      <c r="Q708" t="s">
        <v>445</v>
      </c>
    </row>
    <row r="709" spans="1:17" ht="15.75" x14ac:dyDescent="0.25">
      <c r="A709" s="3" t="str">
        <f>HYPERLINK("https://www.als.com/adidaa-shinguard-predator-competition/p?skuId=1284404", "https://www.als.com/adidaa-shinguard-predator-competition/p?skuId=1284404")</f>
        <v>https://www.als.com/adidaa-shinguard-predator-competition/p?skuId=1284404</v>
      </c>
      <c r="B709" s="3" t="str">
        <f>HYPERLINK("https://www.als.com/adidaa-shinguard-predator-competition/p", "https://www.als.com/adidaa-shinguard-predator-competition/p")</f>
        <v>https://www.als.com/adidaa-shinguard-predator-competition/p</v>
      </c>
      <c r="C709" t="s">
        <v>930</v>
      </c>
      <c r="D709" t="s">
        <v>2427</v>
      </c>
      <c r="E709" s="3" t="str">
        <f>HYPERLINK("https://www.amazon.com/adidas-Unisex-Adult-Ground-Predator-X-Small/dp/B09XN6V5F2/ref=sr_1_9?keywords=Adidas+Predator+Competition+Shin+Guard&amp;qid=1695124435&amp;sr=8-9", "https://www.amazon.com/adidas-Unisex-Adult-Ground-Predator-X-Small/dp/B09XN6V5F2/ref=sr_1_9?keywords=Adidas+Predator+Competition+Shin+Guard&amp;qid=1695124435&amp;sr=8-9")</f>
        <v>https://www.amazon.com/adidas-Unisex-Adult-Ground-Predator-X-Small/dp/B09XN6V5F2/ref=sr_1_9?keywords=Adidas+Predator+Competition+Shin+Guard&amp;qid=1695124435&amp;sr=8-9</v>
      </c>
      <c r="F709" t="s">
        <v>2428</v>
      </c>
      <c r="G709" t="e">
        <f ca="1">IMAGE("https://alssports.vtexassets.com/arquivos/ids/1307225-800-auto?v=638188141824000000&amp;width=800&amp;height=auto&amp;aspect=true")</f>
        <v>#NAME?</v>
      </c>
      <c r="H709" t="e">
        <f ca="1">IMAGE("https://m.media-amazon.com/images/I/61BiQOqKmwL._AC_UL320_.jpg")</f>
        <v>#NAME?</v>
      </c>
      <c r="I709" t="s">
        <v>933</v>
      </c>
      <c r="J709">
        <v>18</v>
      </c>
      <c r="K709" s="2" t="s">
        <v>2429</v>
      </c>
      <c r="L709">
        <v>5</v>
      </c>
      <c r="M709">
        <v>1</v>
      </c>
      <c r="O709" t="s">
        <v>33</v>
      </c>
      <c r="P709" t="s">
        <v>935</v>
      </c>
      <c r="Q709" t="s">
        <v>936</v>
      </c>
    </row>
    <row r="710" spans="1:17" ht="15.75" x14ac:dyDescent="0.25">
      <c r="A710" s="3" t="str">
        <f>HYPERLINK("https://www.als.com/brooks-m-shoe-hyperion/p?skuId=1327074", "https://www.als.com/brooks-m-shoe-hyperion/p?skuId=1327074")</f>
        <v>https://www.als.com/brooks-m-shoe-hyperion/p?skuId=1327074</v>
      </c>
      <c r="B710" s="3" t="str">
        <f>HYPERLINK("https://www.als.com/brooks-m-shoe-hyperion/p", "https://www.als.com/brooks-m-shoe-hyperion/p")</f>
        <v>https://www.als.com/brooks-m-shoe-hyperion/p</v>
      </c>
      <c r="C710" t="s">
        <v>571</v>
      </c>
      <c r="D710" t="s">
        <v>2430</v>
      </c>
      <c r="E710" s="3" t="str">
        <f>HYPERLINK("https://www.amazon.com/Brooks-Catamount-Grey-Nightlife-Black/dp/B08QV39MD9/ref=sr_1_14?keywords=Brooks+Hyperion+Running+Shoe+-+Men%27s&amp;qid=1695124104&amp;sr=8-14", "https://www.amazon.com/Brooks-Catamount-Grey-Nightlife-Black/dp/B08QV39MD9/ref=sr_1_14?keywords=Brooks+Hyperion+Running+Shoe+-+Men%27s&amp;qid=1695124104&amp;sr=8-14")</f>
        <v>https://www.amazon.com/Brooks-Catamount-Grey-Nightlife-Black/dp/B08QV39MD9/ref=sr_1_14?keywords=Brooks+Hyperion+Running+Shoe+-+Men%27s&amp;qid=1695124104&amp;sr=8-14</v>
      </c>
      <c r="F710" t="s">
        <v>2431</v>
      </c>
      <c r="G710" t="e">
        <f ca="1">IMAGE("https://alssports.vtexassets.com/arquivos/ids/1377944-800-auto?v=638248725248900000&amp;width=800&amp;height=auto&amp;aspect=true")</f>
        <v>#NAME?</v>
      </c>
      <c r="H710" t="e">
        <f ca="1">IMAGE("https://m.media-amazon.com/images/I/81TBeJkoNWL._AC_UL320_.jpg")</f>
        <v>#NAME?</v>
      </c>
      <c r="I710" t="s">
        <v>119</v>
      </c>
      <c r="J710">
        <v>89.95</v>
      </c>
      <c r="K710" s="2" t="s">
        <v>2432</v>
      </c>
      <c r="L710">
        <v>4.5</v>
      </c>
      <c r="M710">
        <v>276</v>
      </c>
      <c r="O710" t="s">
        <v>33</v>
      </c>
      <c r="P710" t="s">
        <v>26</v>
      </c>
      <c r="Q710" t="s">
        <v>575</v>
      </c>
    </row>
    <row r="711" spans="1:17" ht="15.75" x14ac:dyDescent="0.25">
      <c r="A711" s="3" t="str">
        <f>HYPERLINK("https://www.als.com/brooks-m-shoe-hyperion/p?skuId=1327074", "https://www.als.com/brooks-m-shoe-hyperion/p?skuId=1327074")</f>
        <v>https://www.als.com/brooks-m-shoe-hyperion/p?skuId=1327074</v>
      </c>
      <c r="B711" s="3" t="str">
        <f>HYPERLINK("https://www.als.com/brooks-m-shoe-hyperion/p", "https://www.als.com/brooks-m-shoe-hyperion/p")</f>
        <v>https://www.als.com/brooks-m-shoe-hyperion/p</v>
      </c>
      <c r="C711" t="s">
        <v>571</v>
      </c>
      <c r="D711" t="s">
        <v>2433</v>
      </c>
      <c r="E711" s="3" t="str">
        <f>HYPERLINK("https://www.amazon.com/Brooks-Ghost-Black-Blackened-Pearl/dp/B08QV4XHLL/ref=sr_1_16?keywords=Brooks+Hyperion+Running+Shoe+-+Men%27s&amp;qid=1695124104&amp;sr=8-16", "https://www.amazon.com/Brooks-Ghost-Black-Blackened-Pearl/dp/B08QV4XHLL/ref=sr_1_16?keywords=Brooks+Hyperion+Running+Shoe+-+Men%27s&amp;qid=1695124104&amp;sr=8-16")</f>
        <v>https://www.amazon.com/Brooks-Ghost-Black-Blackened-Pearl/dp/B08QV4XHLL/ref=sr_1_16?keywords=Brooks+Hyperion+Running+Shoe+-+Men%27s&amp;qid=1695124104&amp;sr=8-16</v>
      </c>
      <c r="F711" t="s">
        <v>2434</v>
      </c>
      <c r="G711" t="e">
        <f ca="1">IMAGE("https://alssports.vtexassets.com/arquivos/ids/1377944-800-auto?v=638248725248900000&amp;width=800&amp;height=auto&amp;aspect=true")</f>
        <v>#NAME?</v>
      </c>
      <c r="H711" t="e">
        <f ca="1">IMAGE("https://m.media-amazon.com/images/I/8173xRAefBL._AC_UL320_.jpg")</f>
        <v>#NAME?</v>
      </c>
      <c r="I711" t="s">
        <v>119</v>
      </c>
      <c r="J711">
        <v>89.95</v>
      </c>
      <c r="K711" s="2" t="s">
        <v>2432</v>
      </c>
      <c r="L711">
        <v>4.7</v>
      </c>
      <c r="M711">
        <v>17658</v>
      </c>
      <c r="O711" t="s">
        <v>33</v>
      </c>
      <c r="P711" t="s">
        <v>26</v>
      </c>
      <c r="Q711" t="s">
        <v>575</v>
      </c>
    </row>
    <row r="712" spans="1:17" ht="15.75" x14ac:dyDescent="0.25">
      <c r="A712" s="3" t="str">
        <f>HYPERLINK("https://www.als.com/peakre-food-breakfast-skillet/p?skuId=576078", "https://www.als.com/peakre-food-breakfast-skillet/p?skuId=576078")</f>
        <v>https://www.als.com/peakre-food-breakfast-skillet/p?skuId=576078</v>
      </c>
      <c r="B712" s="3" t="str">
        <f>HYPERLINK("https://www.als.com/peakre-food-breakfast-skillet/p", "https://www.als.com/peakre-food-breakfast-skillet/p")</f>
        <v>https://www.als.com/peakre-food-breakfast-skillet/p</v>
      </c>
      <c r="C712" t="s">
        <v>96</v>
      </c>
      <c r="D712" t="s">
        <v>2435</v>
      </c>
      <c r="E712" s="3" t="str">
        <f>HYPERLINK("https://www.amazon.com/Peak-Refuel-Strawberry-Granola-Backpacking/dp/B07BSL19CP/ref=sr_1_5?keywords=Peak+Refuel+Breakfast+Skillet+Freeze+Dried+Meal&amp;qid=1695124134&amp;sr=8-5", "https://www.amazon.com/Peak-Refuel-Strawberry-Granola-Backpacking/dp/B07BSL19CP/ref=sr_1_5?keywords=Peak+Refuel+Breakfast+Skillet+Freeze+Dried+Meal&amp;qid=1695124134&amp;sr=8-5")</f>
        <v>https://www.amazon.com/Peak-Refuel-Strawberry-Granola-Backpacking/dp/B07BSL19CP/ref=sr_1_5?keywords=Peak+Refuel+Breakfast+Skillet+Freeze+Dried+Meal&amp;qid=1695124134&amp;sr=8-5</v>
      </c>
      <c r="F712" t="s">
        <v>2436</v>
      </c>
      <c r="G712" t="e">
        <f ca="1">IMAGE("https://alssports.vtexassets.com/arquivos/ids/1082240-800-auto?v=637913616562400000&amp;width=800&amp;height=auto&amp;aspect=true")</f>
        <v>#NAME?</v>
      </c>
      <c r="H712" t="e">
        <f ca="1">IMAGE("https://m.media-amazon.com/images/I/71uTuxKHI2L._AC_UL320_.jpg")</f>
        <v>#NAME?</v>
      </c>
      <c r="I712" t="s">
        <v>99</v>
      </c>
      <c r="J712">
        <v>8.99</v>
      </c>
      <c r="K712" s="2" t="s">
        <v>2437</v>
      </c>
      <c r="L712">
        <v>4.5999999999999996</v>
      </c>
      <c r="M712">
        <v>702</v>
      </c>
      <c r="O712" t="s">
        <v>33</v>
      </c>
      <c r="P712" t="s">
        <v>26</v>
      </c>
      <c r="Q712" t="s">
        <v>100</v>
      </c>
    </row>
    <row r="713" spans="1:17" ht="15.75" x14ac:dyDescent="0.25">
      <c r="A713" s="3" t="str">
        <f>HYPERLINK("https://www.als.com/peakre-food-beef-stroganoff/p?skuId=659791", "https://www.als.com/peakre-food-beef-stroganoff/p?skuId=659791")</f>
        <v>https://www.als.com/peakre-food-beef-stroganoff/p?skuId=659791</v>
      </c>
      <c r="B713" s="3" t="str">
        <f>HYPERLINK("https://www.als.com/peakre-food-beef-stroganoff/p", "https://www.als.com/peakre-food-beef-stroganoff/p")</f>
        <v>https://www.als.com/peakre-food-beef-stroganoff/p</v>
      </c>
      <c r="C713" t="s">
        <v>357</v>
      </c>
      <c r="D713" t="s">
        <v>2435</v>
      </c>
      <c r="E713" s="3" t="str">
        <f>HYPERLINK("https://www.amazon.com/Peak-Refuel-Strawberry-Servings-Backpacking/dp/B07D3D64CM/ref=sr_1_25?keywords=Peak+Refuel+Beef+Stroganoff+Freeze+Dried+Meal&amp;qid=1695124119&amp;sr=8-25", "https://www.amazon.com/Peak-Refuel-Strawberry-Servings-Backpacking/dp/B07D3D64CM/ref=sr_1_25?keywords=Peak+Refuel+Beef+Stroganoff+Freeze+Dried+Meal&amp;qid=1695124119&amp;sr=8-25")</f>
        <v>https://www.amazon.com/Peak-Refuel-Strawberry-Servings-Backpacking/dp/B07D3D64CM/ref=sr_1_25?keywords=Peak+Refuel+Beef+Stroganoff+Freeze+Dried+Meal&amp;qid=1695124119&amp;sr=8-25</v>
      </c>
      <c r="F713" t="s">
        <v>2438</v>
      </c>
      <c r="G713" t="e">
        <f ca="1">IMAGE("https://alssports.vtexassets.com/arquivos/ids/362697-800-auto?v=637193625962630000&amp;width=800&amp;height=auto&amp;aspect=true")</f>
        <v>#NAME?</v>
      </c>
      <c r="H713" t="e">
        <f ca="1">IMAGE("https://m.media-amazon.com/images/I/81QsdrUL-nS._AC_UL320_.jpg")</f>
        <v>#NAME?</v>
      </c>
      <c r="I713" t="s">
        <v>99</v>
      </c>
      <c r="J713">
        <v>8.99</v>
      </c>
      <c r="K713" s="2" t="s">
        <v>2437</v>
      </c>
      <c r="L713">
        <v>4.5999999999999996</v>
      </c>
      <c r="M713">
        <v>52</v>
      </c>
      <c r="O713" t="s">
        <v>33</v>
      </c>
      <c r="P713" t="s">
        <v>26</v>
      </c>
      <c r="Q713" t="s">
        <v>358</v>
      </c>
    </row>
    <row r="714" spans="1:17" ht="15.75" x14ac:dyDescent="0.25">
      <c r="A714" s="3" t="str">
        <f>HYPERLINK("https://www.als.com/keen-m-koven-mid-wp/p?skuId=1240445", "https://www.als.com/keen-m-koven-mid-wp/p?skuId=1240445")</f>
        <v>https://www.als.com/keen-m-koven-mid-wp/p?skuId=1240445</v>
      </c>
      <c r="B714" s="3" t="str">
        <f>HYPERLINK("https://www.als.com/keen-m-koven-mid-wp/p", "https://www.als.com/keen-m-koven-mid-wp/p")</f>
        <v>https://www.als.com/keen-m-koven-mid-wp/p</v>
      </c>
      <c r="C714" t="s">
        <v>282</v>
      </c>
      <c r="D714" t="s">
        <v>2439</v>
      </c>
      <c r="E714" s="3" t="str">
        <f>HYPERLINK("https://www.amazon.com/KEEN-Targhee-Waterproof-Shitake-Brindle/dp/B008J5FA8K/ref=sr_1_2?keywords=KEEN+Koven+Mid+Waterproof+Hiking+Boot+-+Men%27s&amp;qid=1695124140&amp;sr=8-2", "https://www.amazon.com/KEEN-Targhee-Waterproof-Shitake-Brindle/dp/B008J5FA8K/ref=sr_1_2?keywords=KEEN+Koven+Mid+Waterproof+Hiking+Boot+-+Men%27s&amp;qid=1695124140&amp;sr=8-2")</f>
        <v>https://www.amazon.com/KEEN-Targhee-Waterproof-Shitake-Brindle/dp/B008J5FA8K/ref=sr_1_2?keywords=KEEN+Koven+Mid+Waterproof+Hiking+Boot+-+Men%27s&amp;qid=1695124140&amp;sr=8-2</v>
      </c>
      <c r="F714" t="s">
        <v>2440</v>
      </c>
      <c r="G714" t="e">
        <f ca="1">IMAGE("https://alssports.vtexassets.com/arquivos/ids/1363221-800-auto?v=638236488805200000&amp;width=800&amp;height=auto&amp;aspect=true")</f>
        <v>#NAME?</v>
      </c>
      <c r="H714" t="e">
        <f ca="1">IMAGE("https://m.media-amazon.com/images/I/81b6sZ+xAuL._AC_UL320_.jpg")</f>
        <v>#NAME?</v>
      </c>
      <c r="I714" t="s">
        <v>285</v>
      </c>
      <c r="J714">
        <v>89.95</v>
      </c>
      <c r="K714" s="2" t="s">
        <v>2441</v>
      </c>
      <c r="L714">
        <v>4.3</v>
      </c>
      <c r="M714">
        <v>10715</v>
      </c>
      <c r="O714" t="s">
        <v>33</v>
      </c>
      <c r="P714" t="s">
        <v>26</v>
      </c>
      <c r="Q714" t="s">
        <v>287</v>
      </c>
    </row>
    <row r="715" spans="1:17" ht="15.75" x14ac:dyDescent="0.25">
      <c r="A715" s="3" t="str">
        <f>HYPERLINK("https://www.als.com/chaco-w-bodhi/p?skuId=1196759", "https://www.als.com/chaco-w-bodhi/p?skuId=1196759")</f>
        <v>https://www.als.com/chaco-w-bodhi/p?skuId=1196759</v>
      </c>
      <c r="B715" s="3" t="str">
        <f>HYPERLINK("https://www.als.com/chaco-w-bodhi/p", "https://www.als.com/chaco-w-bodhi/p")</f>
        <v>https://www.als.com/chaco-w-bodhi/p</v>
      </c>
      <c r="C715" t="s">
        <v>367</v>
      </c>
      <c r="D715" t="s">
        <v>1073</v>
      </c>
      <c r="E715" s="3" t="str">
        <f>HYPERLINK("https://www.amazon.com/Chaco-CHILLOS-SPORT-Womens-Sandals/dp/B08C2LM4LJ/ref=sr_1_31?keywords=Chaco+Bodhi+Sandal+-+Women%27s&amp;qid=1695124386&amp;sr=8-31", "https://www.amazon.com/Chaco-CHILLOS-SPORT-Womens-Sandals/dp/B08C2LM4LJ/ref=sr_1_31?keywords=Chaco+Bodhi+Sandal+-+Women%27s&amp;qid=1695124386&amp;sr=8-31")</f>
        <v>https://www.amazon.com/Chaco-CHILLOS-SPORT-Womens-Sandals/dp/B08C2LM4LJ/ref=sr_1_31?keywords=Chaco+Bodhi+Sandal+-+Women%27s&amp;qid=1695124386&amp;sr=8-31</v>
      </c>
      <c r="F715" t="s">
        <v>2442</v>
      </c>
      <c r="G715" t="e">
        <f ca="1">IMAGE("https://alssports.vtexassets.com/arquivos/ids/1222611-800-auto?v=638103009944700000&amp;width=800&amp;height=auto&amp;aspect=true")</f>
        <v>#NAME?</v>
      </c>
      <c r="H715" t="e">
        <f ca="1">IMAGE("https://m.media-amazon.com/images/I/715EBlcwOIL._AC_UL320_.jpg")</f>
        <v>#NAME?</v>
      </c>
      <c r="I715" t="s">
        <v>370</v>
      </c>
      <c r="J715">
        <v>25.67</v>
      </c>
      <c r="K715" s="2" t="s">
        <v>2443</v>
      </c>
      <c r="L715">
        <v>4.0999999999999996</v>
      </c>
      <c r="M715">
        <v>272</v>
      </c>
      <c r="O715" t="s">
        <v>33</v>
      </c>
      <c r="P715" t="s">
        <v>32</v>
      </c>
      <c r="Q715" t="s">
        <v>372</v>
      </c>
    </row>
    <row r="716" spans="1:17" ht="15.75" x14ac:dyDescent="0.25">
      <c r="A716" s="3" t="str">
        <f>HYPERLINK("https://www.als.com/under-ua-drive-pant/p?skuId=997492", "https://www.als.com/under-ua-drive-pant/p?skuId=997492")</f>
        <v>https://www.als.com/under-ua-drive-pant/p?skuId=997492</v>
      </c>
      <c r="B716" s="3" t="str">
        <f>HYPERLINK("https://www.als.com/under-ua-drive-pant/p", "https://www.als.com/under-ua-drive-pant/p")</f>
        <v>https://www.als.com/under-ua-drive-pant/p</v>
      </c>
      <c r="C716" t="s">
        <v>452</v>
      </c>
      <c r="D716" t="s">
        <v>2444</v>
      </c>
      <c r="E716" s="3" t="str">
        <f>HYPERLINK("https://www.amazon.com/Under-Armour-Showdown-Tapered-Academy/dp/B07171562C/ref=sr_1_8?keywords=Under+Armour+Drive+Pant+-+Men%27s&amp;qid=1695124299&amp;sr=8-8", "https://www.amazon.com/Under-Armour-Showdown-Tapered-Academy/dp/B07171562C/ref=sr_1_8?keywords=Under+Armour+Drive+Pant+-+Men%27s&amp;qid=1695124299&amp;sr=8-8")</f>
        <v>https://www.amazon.com/Under-Armour-Showdown-Tapered-Academy/dp/B07171562C/ref=sr_1_8?keywords=Under+Armour+Drive+Pant+-+Men%27s&amp;qid=1695124299&amp;sr=8-8</v>
      </c>
      <c r="F716" t="s">
        <v>2445</v>
      </c>
      <c r="G716" t="e">
        <f ca="1">IMAGE("https://alssports.vtexassets.com/arquivos/ids/1442508-800-auto?v=638291812057330000&amp;width=800&amp;height=auto&amp;aspect=true")</f>
        <v>#NAME?</v>
      </c>
      <c r="H716" t="e">
        <f ca="1">IMAGE("https://m.media-amazon.com/images/I/61kwVJS6jpL._AC_UL320_.jpg")</f>
        <v>#NAME?</v>
      </c>
      <c r="I716" t="s">
        <v>455</v>
      </c>
      <c r="J716">
        <v>32.67</v>
      </c>
      <c r="K716" s="2" t="s">
        <v>2446</v>
      </c>
      <c r="L716">
        <v>4.3</v>
      </c>
      <c r="M716">
        <v>363</v>
      </c>
      <c r="O716" t="s">
        <v>26</v>
      </c>
      <c r="P716" t="s">
        <v>457</v>
      </c>
      <c r="Q716" t="s">
        <v>458</v>
      </c>
    </row>
    <row r="717" spans="1:17" ht="15.75" x14ac:dyDescent="0.25">
      <c r="A717" s="3" t="str">
        <f>HYPERLINK("https://www.als.com/smitho-goggle-skyline/p?skuId=1073396", "https://www.als.com/smitho-goggle-skyline/p?skuId=1073396")</f>
        <v>https://www.als.com/smitho-goggle-skyline/p?skuId=1073396</v>
      </c>
      <c r="B717" s="3" t="str">
        <f>HYPERLINK("https://www.als.com/smitho-goggle-skyline/p", "https://www.als.com/smitho-goggle-skyline/p")</f>
        <v>https://www.als.com/smitho-goggle-skyline/p</v>
      </c>
      <c r="C717" t="s">
        <v>186</v>
      </c>
      <c r="D717" t="s">
        <v>2447</v>
      </c>
      <c r="E717" s="3" t="str">
        <f>HYPERLINK("https://www.amazon.com/Smith-Optics-Youth-Gambler-Goggles/dp/B01M11TZP6/ref=sr_1_20?keywords=Smith+Optics+Skyline+Snow+Goggle&amp;qid=1695124362&amp;sr=8-20", "https://www.amazon.com/Smith-Optics-Youth-Gambler-Goggles/dp/B01M11TZP6/ref=sr_1_20?keywords=Smith+Optics+Skyline+Snow+Goggle&amp;qid=1695124362&amp;sr=8-20")</f>
        <v>https://www.amazon.com/Smith-Optics-Youth-Gambler-Goggles/dp/B01M11TZP6/ref=sr_1_20?keywords=Smith+Optics+Skyline+Snow+Goggle&amp;qid=1695124362&amp;sr=8-20</v>
      </c>
      <c r="F717" t="s">
        <v>2448</v>
      </c>
      <c r="G717" t="e">
        <f ca="1">IMAGE("https://alssports.vtexassets.com/arquivos/ids/1173752-800-auto?v=638042496618870000&amp;width=800&amp;height=auto&amp;aspect=true")</f>
        <v>#NAME?</v>
      </c>
      <c r="H717" t="e">
        <f ca="1">IMAGE("https://m.media-amazon.com/images/I/61jfeQ2PBeL._AC_UL320_.jpg")</f>
        <v>#NAME?</v>
      </c>
      <c r="I717" t="s">
        <v>189</v>
      </c>
      <c r="J717">
        <v>38.35</v>
      </c>
      <c r="K717" s="2" t="s">
        <v>2449</v>
      </c>
      <c r="L717">
        <v>4.4000000000000004</v>
      </c>
      <c r="M717">
        <v>151</v>
      </c>
      <c r="O717" t="s">
        <v>33</v>
      </c>
      <c r="P717" t="s">
        <v>191</v>
      </c>
      <c r="Q717" t="s">
        <v>192</v>
      </c>
    </row>
    <row r="718" spans="1:17" ht="15.75" x14ac:dyDescent="0.25">
      <c r="A718" s="3" t="str">
        <f>HYPERLINK("https://www.als.com/mizuno-w-wave-sky-6/p?skuId=1262559", "https://www.als.com/mizuno-w-wave-sky-6/p?skuId=1262559")</f>
        <v>https://www.als.com/mizuno-w-wave-sky-6/p?skuId=1262559</v>
      </c>
      <c r="B718" s="3" t="str">
        <f>HYPERLINK("https://www.als.com/mizuno-w-wave-sky-6/p", "https://www.als.com/mizuno-w-wave-sky-6/p")</f>
        <v>https://www.als.com/mizuno-w-wave-sky-6/p</v>
      </c>
      <c r="C718" t="s">
        <v>200</v>
      </c>
      <c r="D718" t="s">
        <v>2450</v>
      </c>
      <c r="E718" s="3" t="str">
        <f>HYPERLINK("https://www.amazon.com/Mizuno-Running-Womens-Inspire-Blue-White/dp/B091ZJRR7X/ref=sr_1_15?keywords=Mizuno+Wave+Sky+6+Running+Shoe+-+Women%27s&amp;qid=1695124449&amp;sr=8-15", "https://www.amazon.com/Mizuno-Running-Womens-Inspire-Blue-White/dp/B091ZJRR7X/ref=sr_1_15?keywords=Mizuno+Wave+Sky+6+Running+Shoe+-+Women%27s&amp;qid=1695124449&amp;sr=8-15")</f>
        <v>https://www.amazon.com/Mizuno-Running-Womens-Inspire-Blue-White/dp/B091ZJRR7X/ref=sr_1_15?keywords=Mizuno+Wave+Sky+6+Running+Shoe+-+Women%27s&amp;qid=1695124449&amp;sr=8-15</v>
      </c>
      <c r="F718" t="s">
        <v>2451</v>
      </c>
      <c r="G718" t="e">
        <f ca="1">IMAGE("https://alssports.vtexassets.com/arquivos/ids/1277387-800-auto?v=638152938174200000&amp;width=800&amp;height=auto&amp;aspect=true")</f>
        <v>#NAME?</v>
      </c>
      <c r="H718" t="e">
        <f ca="1">IMAGE("https://m.media-amazon.com/images/I/81hye3AQiHL._AC_UL320_.jpg")</f>
        <v>#NAME?</v>
      </c>
      <c r="I718" t="s">
        <v>164</v>
      </c>
      <c r="J718">
        <v>108.4</v>
      </c>
      <c r="K718" s="2" t="s">
        <v>2452</v>
      </c>
      <c r="L718">
        <v>4.5</v>
      </c>
      <c r="M718">
        <v>446</v>
      </c>
      <c r="O718" t="s">
        <v>33</v>
      </c>
      <c r="P718" t="s">
        <v>191</v>
      </c>
      <c r="Q718" t="s">
        <v>203</v>
      </c>
    </row>
    <row r="719" spans="1:17" ht="15.75" x14ac:dyDescent="0.25">
      <c r="A719" s="3" t="str">
        <f>HYPERLINK("https://www.als.com/adidas-w-shoe-4dfwd-2/p?skuId=1285989", "https://www.als.com/adidas-w-shoe-4dfwd-2/p?skuId=1285989")</f>
        <v>https://www.als.com/adidas-w-shoe-4dfwd-2/p?skuId=1285989</v>
      </c>
      <c r="B719" s="3" t="str">
        <f>HYPERLINK("https://www.als.com/adidas-w-shoe-4dfwd-2/p", "https://www.als.com/adidas-w-shoe-4dfwd-2/p")</f>
        <v>https://www.als.com/adidas-w-shoe-4dfwd-2/p</v>
      </c>
      <c r="C719" t="s">
        <v>392</v>
      </c>
      <c r="D719" t="s">
        <v>2453</v>
      </c>
      <c r="E719" s="3" t="str">
        <f>HYPERLINK("https://www.amazon.com/adidas-Womens-Solar-Boost-Silver/dp/B087FC2RS9/ref=sr_1_45?keywords=adidas+4DFWD+2+Shoe+-+Women%27s&amp;qid=1695124326&amp;sr=8-45", "https://www.amazon.com/adidas-Womens-Solar-Boost-Silver/dp/B087FC2RS9/ref=sr_1_45?keywords=adidas+4DFWD+2+Shoe+-+Women%27s&amp;qid=1695124326&amp;sr=8-45")</f>
        <v>https://www.amazon.com/adidas-Womens-Solar-Boost-Silver/dp/B087FC2RS9/ref=sr_1_45?keywords=adidas+4DFWD+2+Shoe+-+Women%27s&amp;qid=1695124326&amp;sr=8-45</v>
      </c>
      <c r="F719" t="s">
        <v>2454</v>
      </c>
      <c r="G719" t="e">
        <f ca="1">IMAGE("https://alssports.vtexassets.com/arquivos/ids/1396854-800-auto?v=638260048905170000&amp;width=800&amp;height=auto&amp;aspect=true")</f>
        <v>#NAME?</v>
      </c>
      <c r="H719" t="e">
        <f ca="1">IMAGE("https://m.media-amazon.com/images/I/71zgPrC8jqL._AC_UL320_.jpg")</f>
        <v>#NAME?</v>
      </c>
      <c r="I719" t="s">
        <v>395</v>
      </c>
      <c r="J719">
        <v>50.7</v>
      </c>
      <c r="K719" s="2" t="s">
        <v>2455</v>
      </c>
      <c r="L719">
        <v>4.2</v>
      </c>
      <c r="M719">
        <v>72</v>
      </c>
      <c r="O719" t="s">
        <v>33</v>
      </c>
      <c r="P719" t="s">
        <v>73</v>
      </c>
      <c r="Q719" t="s">
        <v>397</v>
      </c>
    </row>
    <row r="720" spans="1:17" ht="15.75" x14ac:dyDescent="0.25">
      <c r="A720" s="3" t="str">
        <f>HYPERLINK("https://www.als.com/asics-ws-shoe-gel-nimbus-24/p?skuId=1037727", "https://www.als.com/asics-ws-shoe-gel-nimbus-24/p?skuId=1037727")</f>
        <v>https://www.als.com/asics-ws-shoe-gel-nimbus-24/p?skuId=1037727</v>
      </c>
      <c r="B720" s="3" t="str">
        <f>HYPERLINK("https://www.als.com/asics-ws-shoe-gel-nimbus-24/p", "https://www.als.com/asics-ws-shoe-gel-nimbus-24/p")</f>
        <v>https://www.als.com/asics-ws-shoe-gel-nimbus-24/p</v>
      </c>
      <c r="C720" t="s">
        <v>1217</v>
      </c>
      <c r="D720" t="s">
        <v>1691</v>
      </c>
      <c r="E720" s="3" t="str">
        <f>HYPERLINK("https://www.amazon.com/ASICS-Womens-Gel-Cumulus-Running-Shoes/dp/B09CLM92NX/ref=sr_1_13?keywords=Asics+GEL-NIMBUS+24+Running+Shoe+-+Womens&amp;qid=1695124093&amp;sr=8-13", "https://www.amazon.com/ASICS-Womens-Gel-Cumulus-Running-Shoes/dp/B09CLM92NX/ref=sr_1_13?keywords=Asics+GEL-NIMBUS+24+Running+Shoe+-+Womens&amp;qid=1695124093&amp;sr=8-13")</f>
        <v>https://www.amazon.com/ASICS-Womens-Gel-Cumulus-Running-Shoes/dp/B09CLM92NX/ref=sr_1_13?keywords=Asics+GEL-NIMBUS+24+Running+Shoe+-+Womens&amp;qid=1695124093&amp;sr=8-13</v>
      </c>
      <c r="F720" t="s">
        <v>2456</v>
      </c>
      <c r="G720" t="e">
        <f ca="1">IMAGE("https://alssports.vtexassets.com/arquivos/ids/1109551-800-auto?v=637950821539330000&amp;width=800&amp;height=auto&amp;aspect=true")</f>
        <v>#NAME?</v>
      </c>
      <c r="H720" t="e">
        <f ca="1">IMAGE("https://m.media-amazon.com/images/I/61gfRTkrosL._AC_UL320_.jpg")</f>
        <v>#NAME?</v>
      </c>
      <c r="I720" t="s">
        <v>1220</v>
      </c>
      <c r="J720">
        <v>70.959999999999994</v>
      </c>
      <c r="K720" s="2" t="s">
        <v>2457</v>
      </c>
      <c r="L720">
        <v>4.5999999999999996</v>
      </c>
      <c r="M720">
        <v>1072</v>
      </c>
      <c r="O720" t="s">
        <v>33</v>
      </c>
      <c r="P720" t="s">
        <v>88</v>
      </c>
      <c r="Q720" t="s">
        <v>1222</v>
      </c>
    </row>
    <row r="721" spans="1:17" ht="15.75" x14ac:dyDescent="0.25">
      <c r="A721" s="3" t="str">
        <f>HYPERLINK("https://www.als.com/asics-ws-shoe-gel-nimbus-24/p?skuId=1037727", "https://www.als.com/asics-ws-shoe-gel-nimbus-24/p?skuId=1037727")</f>
        <v>https://www.als.com/asics-ws-shoe-gel-nimbus-24/p?skuId=1037727</v>
      </c>
      <c r="B721" s="3" t="str">
        <f>HYPERLINK("https://www.als.com/asics-ws-shoe-gel-nimbus-24/p", "https://www.als.com/asics-ws-shoe-gel-nimbus-24/p")</f>
        <v>https://www.als.com/asics-ws-shoe-gel-nimbus-24/p</v>
      </c>
      <c r="C721" t="s">
        <v>1217</v>
      </c>
      <c r="D721" t="s">
        <v>1691</v>
      </c>
      <c r="E721" s="3" t="str">
        <f>HYPERLINK("https://www.amazon.com/ASICS-Womens-Gel-Cumulus-Running-Shoes/dp/B09CLMN5VD/ref=sr_1_7?keywords=Asics+GEL-NIMBUS+24+Running+Shoe+-+Womens&amp;qid=1695124093&amp;sr=8-7", "https://www.amazon.com/ASICS-Womens-Gel-Cumulus-Running-Shoes/dp/B09CLMN5VD/ref=sr_1_7?keywords=Asics+GEL-NIMBUS+24+Running+Shoe+-+Womens&amp;qid=1695124093&amp;sr=8-7")</f>
        <v>https://www.amazon.com/ASICS-Womens-Gel-Cumulus-Running-Shoes/dp/B09CLMN5VD/ref=sr_1_7?keywords=Asics+GEL-NIMBUS+24+Running+Shoe+-+Womens&amp;qid=1695124093&amp;sr=8-7</v>
      </c>
      <c r="F721" t="s">
        <v>2458</v>
      </c>
      <c r="G721" t="e">
        <f ca="1">IMAGE("https://alssports.vtexassets.com/arquivos/ids/1109551-800-auto?v=637950821539330000&amp;width=800&amp;height=auto&amp;aspect=true")</f>
        <v>#NAME?</v>
      </c>
      <c r="H721" t="e">
        <f ca="1">IMAGE("https://m.media-amazon.com/images/I/61gfRTkrosL._AC_UL320_.jpg")</f>
        <v>#NAME?</v>
      </c>
      <c r="I721" t="s">
        <v>1220</v>
      </c>
      <c r="J721">
        <v>70.959999999999994</v>
      </c>
      <c r="K721" s="2" t="s">
        <v>2457</v>
      </c>
      <c r="L721">
        <v>4.5999999999999996</v>
      </c>
      <c r="M721">
        <v>1072</v>
      </c>
      <c r="O721" t="s">
        <v>33</v>
      </c>
      <c r="P721" t="s">
        <v>88</v>
      </c>
      <c r="Q721" t="s">
        <v>1222</v>
      </c>
    </row>
    <row r="722" spans="1:17" ht="15.75" x14ac:dyDescent="0.25">
      <c r="A722" s="3" t="str">
        <f t="shared" ref="A722:A728" si="0">HYPERLINK("https://www.als.com/fox-helmet-proframe-rs/p?skuId=599903", "https://www.als.com/fox-helmet-proframe-rs/p?skuId=599903")</f>
        <v>https://www.als.com/fox-helmet-proframe-rs/p?skuId=599903</v>
      </c>
      <c r="B722" s="3" t="str">
        <f t="shared" ref="B722:B728" si="1">HYPERLINK("https://www.als.com/fox-helmet-proframe-rs/p", "https://www.als.com/fox-helmet-proframe-rs/p")</f>
        <v>https://www.als.com/fox-helmet-proframe-rs/p</v>
      </c>
      <c r="C722" t="s">
        <v>2026</v>
      </c>
      <c r="D722" t="s">
        <v>2459</v>
      </c>
      <c r="E722" s="3" t="str">
        <f>HYPERLINK("https://www.amazon.com/Fox-Racing-Proframe-Helmet-Matte/dp/B07F96Q429/ref=sr_1_14?keywords=Fox+Racing+Proframe+RS+Helmet&amp;qid=1695124415&amp;sr=8-14", "https://www.amazon.com/Fox-Racing-Proframe-Helmet-Matte/dp/B07F96Q429/ref=sr_1_14?keywords=Fox+Racing+Proframe+RS+Helmet&amp;qid=1695124415&amp;sr=8-14")</f>
        <v>https://www.amazon.com/Fox-Racing-Proframe-Helmet-Matte/dp/B07F96Q429/ref=sr_1_14?keywords=Fox+Racing+Proframe+RS+Helmet&amp;qid=1695124415&amp;sr=8-14</v>
      </c>
      <c r="F722" t="s">
        <v>2460</v>
      </c>
      <c r="G722" t="e">
        <f t="shared" ref="G722:G728" ca="1" si="2">IMAGE("https://alssports.vtexassets.com/arquivos/ids/1279583-800-auto?v=638156298149200000&amp;width=800&amp;height=auto&amp;aspect=true")</f>
        <v>#NAME?</v>
      </c>
      <c r="H722" t="e">
        <f ca="1">IMAGE("https://m.media-amazon.com/images/I/51IbA1RzrCL._AC_UL320_.jpg")</f>
        <v>#NAME?</v>
      </c>
      <c r="I722" t="s">
        <v>2029</v>
      </c>
      <c r="J722">
        <v>227.99</v>
      </c>
      <c r="K722" s="2" t="s">
        <v>2461</v>
      </c>
      <c r="L722">
        <v>4.5999999999999996</v>
      </c>
      <c r="M722">
        <v>33</v>
      </c>
      <c r="O722" t="s">
        <v>33</v>
      </c>
      <c r="P722" t="s">
        <v>26</v>
      </c>
      <c r="Q722" t="s">
        <v>2031</v>
      </c>
    </row>
    <row r="723" spans="1:17" ht="15.75" x14ac:dyDescent="0.25">
      <c r="A723" s="3" t="str">
        <f t="shared" si="0"/>
        <v>https://www.als.com/fox-helmet-proframe-rs/p?skuId=599903</v>
      </c>
      <c r="B723" s="3" t="str">
        <f t="shared" si="1"/>
        <v>https://www.als.com/fox-helmet-proframe-rs/p</v>
      </c>
      <c r="C723" t="s">
        <v>2026</v>
      </c>
      <c r="D723" t="s">
        <v>2462</v>
      </c>
      <c r="E723" s="3" t="str">
        <f>HYPERLINK("https://www.amazon.com/Fox-Racing-Proframe-Mountain-Blocked/dp/B0B9HQ64YZ/ref=sr_1_30?keywords=Fox+Racing+Proframe+RS+Helmet&amp;qid=1695124415&amp;sr=8-30", "https://www.amazon.com/Fox-Racing-Proframe-Mountain-Blocked/dp/B0B9HQ64YZ/ref=sr_1_30?keywords=Fox+Racing+Proframe+RS+Helmet&amp;qid=1695124415&amp;sr=8-30")</f>
        <v>https://www.amazon.com/Fox-Racing-Proframe-Mountain-Blocked/dp/B0B9HQ64YZ/ref=sr_1_30?keywords=Fox+Racing+Proframe+RS+Helmet&amp;qid=1695124415&amp;sr=8-30</v>
      </c>
      <c r="F723" t="s">
        <v>2463</v>
      </c>
      <c r="G723" t="e">
        <f t="shared" ca="1" si="2"/>
        <v>#NAME?</v>
      </c>
      <c r="H723" t="e">
        <f ca="1">IMAGE("https://m.media-amazon.com/images/I/71IxSXl2juL._AC_UL320_.jpg")</f>
        <v>#NAME?</v>
      </c>
      <c r="I723" t="s">
        <v>2029</v>
      </c>
      <c r="J723">
        <v>227.99</v>
      </c>
      <c r="K723" s="2" t="s">
        <v>2461</v>
      </c>
      <c r="L723">
        <v>5</v>
      </c>
      <c r="M723">
        <v>2</v>
      </c>
      <c r="O723" t="s">
        <v>33</v>
      </c>
      <c r="P723" t="s">
        <v>26</v>
      </c>
      <c r="Q723" t="s">
        <v>2031</v>
      </c>
    </row>
    <row r="724" spans="1:17" ht="15.75" x14ac:dyDescent="0.25">
      <c r="A724" s="3" t="str">
        <f t="shared" si="0"/>
        <v>https://www.als.com/fox-helmet-proframe-rs/p?skuId=599903</v>
      </c>
      <c r="B724" s="3" t="str">
        <f t="shared" si="1"/>
        <v>https://www.als.com/fox-helmet-proframe-rs/p</v>
      </c>
      <c r="C724" t="s">
        <v>2026</v>
      </c>
      <c r="D724" t="s">
        <v>2464</v>
      </c>
      <c r="E724" s="3" t="str">
        <f>HYPERLINK("https://www.amazon.com/Fox-Racing-Proframe-Helmet-Matte/dp/B07FF15VWS/ref=sr_1_12?keywords=Fox+Racing+Proframe+RS+Helmet&amp;qid=1695124415&amp;sr=8-12", "https://www.amazon.com/Fox-Racing-Proframe-Helmet-Matte/dp/B07FF15VWS/ref=sr_1_12?keywords=Fox+Racing+Proframe+RS+Helmet&amp;qid=1695124415&amp;sr=8-12")</f>
        <v>https://www.amazon.com/Fox-Racing-Proframe-Helmet-Matte/dp/B07FF15VWS/ref=sr_1_12?keywords=Fox+Racing+Proframe+RS+Helmet&amp;qid=1695124415&amp;sr=8-12</v>
      </c>
      <c r="F724" t="s">
        <v>2465</v>
      </c>
      <c r="G724" t="e">
        <f t="shared" ca="1" si="2"/>
        <v>#NAME?</v>
      </c>
      <c r="H724" t="e">
        <f ca="1">IMAGE("https://m.media-amazon.com/images/I/61NqCmQ297L._AC_UL320_.jpg")</f>
        <v>#NAME?</v>
      </c>
      <c r="I724" t="s">
        <v>2029</v>
      </c>
      <c r="J724">
        <v>227.99</v>
      </c>
      <c r="K724" s="2" t="s">
        <v>2461</v>
      </c>
      <c r="L724">
        <v>4.5999999999999996</v>
      </c>
      <c r="M724">
        <v>60</v>
      </c>
      <c r="O724" t="s">
        <v>33</v>
      </c>
      <c r="P724" t="s">
        <v>26</v>
      </c>
      <c r="Q724" t="s">
        <v>2031</v>
      </c>
    </row>
    <row r="725" spans="1:17" ht="15.75" x14ac:dyDescent="0.25">
      <c r="A725" s="3" t="str">
        <f t="shared" si="0"/>
        <v>https://www.als.com/fox-helmet-proframe-rs/p?skuId=599903</v>
      </c>
      <c r="B725" s="3" t="str">
        <f t="shared" si="1"/>
        <v>https://www.als.com/fox-helmet-proframe-rs/p</v>
      </c>
      <c r="C725" t="s">
        <v>2026</v>
      </c>
      <c r="D725" t="s">
        <v>2466</v>
      </c>
      <c r="E725" s="3"/>
      <c r="F725" t="s">
        <v>2467</v>
      </c>
      <c r="G725" t="e">
        <f t="shared" ca="1" si="2"/>
        <v>#NAME?</v>
      </c>
      <c r="H725" t="e">
        <f ca="1">IMAGE("https://m.media-amazon.com/images/I/71sWhUovyoL._AC_UL320_.jpg")</f>
        <v>#NAME?</v>
      </c>
      <c r="I725" t="s">
        <v>2029</v>
      </c>
      <c r="J725">
        <v>227.99</v>
      </c>
      <c r="K725" s="2" t="s">
        <v>2461</v>
      </c>
      <c r="L725">
        <v>4.4000000000000004</v>
      </c>
      <c r="M725">
        <v>2</v>
      </c>
      <c r="O725" t="s">
        <v>33</v>
      </c>
      <c r="P725" t="s">
        <v>26</v>
      </c>
      <c r="Q725" t="s">
        <v>2031</v>
      </c>
    </row>
    <row r="726" spans="1:17" ht="15.75" x14ac:dyDescent="0.25">
      <c r="A726" s="3" t="str">
        <f t="shared" si="0"/>
        <v>https://www.als.com/fox-helmet-proframe-rs/p?skuId=599903</v>
      </c>
      <c r="B726" s="3" t="str">
        <f t="shared" si="1"/>
        <v>https://www.als.com/fox-helmet-proframe-rs/p</v>
      </c>
      <c r="C726" t="s">
        <v>2026</v>
      </c>
      <c r="D726" t="s">
        <v>2466</v>
      </c>
      <c r="E726" s="3" t="str">
        <f>HYPERLINK("https://www.amazon.com/Fox-Racing-29366-341-PROFRAME-Mountain/dp/B0988CL15H/ref=sr_1_33?keywords=Fox+Racing+Proframe+RS+Helmet&amp;qid=1695124415&amp;sr=8-33", "https://www.amazon.com/Fox-Racing-29366-341-PROFRAME-Mountain/dp/B0988CL15H/ref=sr_1_33?keywords=Fox+Racing+Proframe+RS+Helmet&amp;qid=1695124415&amp;sr=8-33")</f>
        <v>https://www.amazon.com/Fox-Racing-29366-341-PROFRAME-Mountain/dp/B0988CL15H/ref=sr_1_33?keywords=Fox+Racing+Proframe+RS+Helmet&amp;qid=1695124415&amp;sr=8-33</v>
      </c>
      <c r="F726" t="s">
        <v>2467</v>
      </c>
      <c r="G726" t="e">
        <f t="shared" ca="1" si="2"/>
        <v>#NAME?</v>
      </c>
      <c r="H726" t="e">
        <f ca="1">IMAGE("https://m.media-amazon.com/images/I/71sWhUovyoL._AC_UL320_.jpg")</f>
        <v>#NAME?</v>
      </c>
      <c r="I726" t="s">
        <v>2029</v>
      </c>
      <c r="J726">
        <v>227.99</v>
      </c>
      <c r="K726" s="2" t="s">
        <v>2461</v>
      </c>
      <c r="L726">
        <v>4.4000000000000004</v>
      </c>
      <c r="M726">
        <v>2</v>
      </c>
      <c r="O726" t="s">
        <v>33</v>
      </c>
      <c r="P726" t="s">
        <v>26</v>
      </c>
      <c r="Q726" t="s">
        <v>2031</v>
      </c>
    </row>
    <row r="727" spans="1:17" ht="15.75" x14ac:dyDescent="0.25">
      <c r="A727" s="3" t="str">
        <f t="shared" si="0"/>
        <v>https://www.als.com/fox-helmet-proframe-rs/p?skuId=599903</v>
      </c>
      <c r="B727" s="3" t="str">
        <f t="shared" si="1"/>
        <v>https://www.als.com/fox-helmet-proframe-rs/p</v>
      </c>
      <c r="C727" t="s">
        <v>2026</v>
      </c>
      <c r="D727" t="s">
        <v>2464</v>
      </c>
      <c r="E727" s="3"/>
      <c r="F727" t="s">
        <v>2465</v>
      </c>
      <c r="G727" t="e">
        <f t="shared" ca="1" si="2"/>
        <v>#NAME?</v>
      </c>
      <c r="H727" t="e">
        <f ca="1">IMAGE("https://m.media-amazon.com/images/I/61NqCmQ297L._AC_UL320_.jpg")</f>
        <v>#NAME?</v>
      </c>
      <c r="I727" t="s">
        <v>2029</v>
      </c>
      <c r="J727">
        <v>227.99</v>
      </c>
      <c r="K727" s="2" t="s">
        <v>2461</v>
      </c>
      <c r="L727">
        <v>4.5999999999999996</v>
      </c>
      <c r="M727">
        <v>60</v>
      </c>
      <c r="O727" t="s">
        <v>33</v>
      </c>
      <c r="P727" t="s">
        <v>26</v>
      </c>
      <c r="Q727" t="s">
        <v>2031</v>
      </c>
    </row>
    <row r="728" spans="1:17" ht="15.75" x14ac:dyDescent="0.25">
      <c r="A728" s="3" t="str">
        <f t="shared" si="0"/>
        <v>https://www.als.com/fox-helmet-proframe-rs/p?skuId=599903</v>
      </c>
      <c r="B728" s="3" t="str">
        <f t="shared" si="1"/>
        <v>https://www.als.com/fox-helmet-proframe-rs/p</v>
      </c>
      <c r="C728" t="s">
        <v>2026</v>
      </c>
      <c r="D728" t="s">
        <v>2468</v>
      </c>
      <c r="E728" s="3" t="str">
        <f>HYPERLINK("https://www.amazon.com/Fox-Racing-Proframe-Mountain-Helmet/dp/B07FDYBG32/ref=sr_1_9?keywords=Fox+Racing+Proframe+RS+Helmet&amp;qid=1695124415&amp;sr=8-9", "https://www.amazon.com/Fox-Racing-Proframe-Mountain-Helmet/dp/B07FDYBG32/ref=sr_1_9?keywords=Fox+Racing+Proframe+RS+Helmet&amp;qid=1695124415&amp;sr=8-9")</f>
        <v>https://www.amazon.com/Fox-Racing-Proframe-Mountain-Helmet/dp/B07FDYBG32/ref=sr_1_9?keywords=Fox+Racing+Proframe+RS+Helmet&amp;qid=1695124415&amp;sr=8-9</v>
      </c>
      <c r="F728" t="s">
        <v>2469</v>
      </c>
      <c r="G728" t="e">
        <f t="shared" ca="1" si="2"/>
        <v>#NAME?</v>
      </c>
      <c r="H728" t="e">
        <f ca="1">IMAGE("https://m.media-amazon.com/images/I/51IbA1RzrCL._AC_UL320_.jpg")</f>
        <v>#NAME?</v>
      </c>
      <c r="I728" t="s">
        <v>2029</v>
      </c>
      <c r="J728">
        <v>227.99</v>
      </c>
      <c r="K728" s="2" t="s">
        <v>2461</v>
      </c>
      <c r="L728">
        <v>4.5</v>
      </c>
      <c r="M728">
        <v>99</v>
      </c>
      <c r="O728" t="s">
        <v>33</v>
      </c>
      <c r="P728" t="s">
        <v>26</v>
      </c>
      <c r="Q728" t="s">
        <v>2031</v>
      </c>
    </row>
    <row r="729" spans="1:17" ht="15.75" x14ac:dyDescent="0.25">
      <c r="A729" s="3" t="str">
        <f>HYPERLINK("https://www.als.com/shimab-pedal-pd-m9100-spd-cleat-pack/p?skuId=500218", "https://www.als.com/shimab-pedal-pd-m9100-spd-cleat-pack/p?skuId=500218")</f>
        <v>https://www.als.com/shimab-pedal-pd-m9100-spd-cleat-pack/p?skuId=500218</v>
      </c>
      <c r="B729" s="3" t="str">
        <f>HYPERLINK("https://www.als.com/shimab-pedal-pd-m9100-spd-cleat-pack/p", "https://www.als.com/shimab-pedal-pd-m9100-spd-cleat-pack/p")</f>
        <v>https://www.als.com/shimab-pedal-pd-m9100-spd-cleat-pack/p</v>
      </c>
      <c r="C729" t="s">
        <v>541</v>
      </c>
      <c r="D729" t="s">
        <v>2470</v>
      </c>
      <c r="E729" s="3" t="str">
        <f>HYPERLINK("https://www.amazon.com/SHIMANO-DEORE-PD-M8100-Without-Reflector/dp/B07TTK7T8B/ref=sr_1_6?keywords=Shimano+TR+PD-M9100+Pedal&amp;qid=1695124455&amp;sr=8-6", "https://www.amazon.com/SHIMANO-DEORE-PD-M8100-Without-Reflector/dp/B07TTK7T8B/ref=sr_1_6?keywords=Shimano+TR+PD-M9100+Pedal&amp;qid=1695124455&amp;sr=8-6")</f>
        <v>https://www.amazon.com/SHIMANO-DEORE-PD-M8100-Without-Reflector/dp/B07TTK7T8B/ref=sr_1_6?keywords=Shimano+TR+PD-M9100+Pedal&amp;qid=1695124455&amp;sr=8-6</v>
      </c>
      <c r="F729" t="s">
        <v>2471</v>
      </c>
      <c r="G729" t="e">
        <f ca="1">IMAGE("https://alssports.vtexassets.com/arquivos/ids/1120618-800-auto?v=637969747990030000&amp;width=800&amp;height=auto&amp;aspect=true")</f>
        <v>#NAME?</v>
      </c>
      <c r="H729" t="e">
        <f ca="1">IMAGE("https://m.media-amazon.com/images/I/612NIMnHZVL._AC_UL320_.jpg")</f>
        <v>#NAME?</v>
      </c>
      <c r="I729" t="s">
        <v>544</v>
      </c>
      <c r="J729">
        <v>114</v>
      </c>
      <c r="K729" s="2" t="s">
        <v>2461</v>
      </c>
      <c r="L729">
        <v>4.8</v>
      </c>
      <c r="M729">
        <v>223</v>
      </c>
      <c r="O729" t="s">
        <v>33</v>
      </c>
      <c r="P729" t="s">
        <v>26</v>
      </c>
      <c r="Q729" t="s">
        <v>546</v>
      </c>
    </row>
    <row r="730" spans="1:17" ht="15.75" x14ac:dyDescent="0.25">
      <c r="A730" s="3" t="str">
        <f>HYPERLINK("https://www.als.com/heydud-m-shoe-wally-braided/p?skuId=599445", "https://www.als.com/heydud-m-shoe-wally-braided/p?skuId=599445")</f>
        <v>https://www.als.com/heydud-m-shoe-wally-braided/p?skuId=599445</v>
      </c>
      <c r="B730" s="3" t="str">
        <f>HYPERLINK("https://www.als.com/heydud-m-shoe-wally-braided/p", "https://www.als.com/heydud-m-shoe-wally-braided/p")</f>
        <v>https://www.als.com/heydud-m-shoe-wally-braided/p</v>
      </c>
      <c r="C730" t="s">
        <v>506</v>
      </c>
      <c r="D730" t="s">
        <v>1878</v>
      </c>
      <c r="E730" s="3" t="str">
        <f>HYPERLINK("https://www.amazon.com/Hey-Dude-Wally-Micro-Total/dp/B07H7SXKHX/ref=sr_1_9?keywords=Hey+Dude+Wally+Braided+Shoe+-+Mens&amp;qid=1695124451&amp;sr=8-9", "https://www.amazon.com/Hey-Dude-Wally-Micro-Total/dp/B07H7SXKHX/ref=sr_1_9?keywords=Hey+Dude+Wally+Braided+Shoe+-+Mens&amp;qid=1695124451&amp;sr=8-9")</f>
        <v>https://www.amazon.com/Hey-Dude-Wally-Micro-Total/dp/B07H7SXKHX/ref=sr_1_9?keywords=Hey+Dude+Wally+Braided+Shoe+-+Mens&amp;qid=1695124451&amp;sr=8-9</v>
      </c>
      <c r="F730" t="s">
        <v>2472</v>
      </c>
      <c r="G730" t="e">
        <f ca="1">IMAGE("https://alssports.vtexassets.com/arquivos/ids/1386107-800-auto?v=638254870959300000&amp;width=800&amp;height=auto&amp;aspect=true")</f>
        <v>#NAME?</v>
      </c>
      <c r="H730" t="e">
        <f ca="1">IMAGE("https://m.media-amazon.com/images/I/81r6UvM0bnL._AC_UL320_.jpg")</f>
        <v>#NAME?</v>
      </c>
      <c r="I730" t="s">
        <v>58</v>
      </c>
      <c r="J730">
        <v>40.72</v>
      </c>
      <c r="K730" s="2" t="s">
        <v>2473</v>
      </c>
      <c r="L730">
        <v>4.8</v>
      </c>
      <c r="M730">
        <v>22761</v>
      </c>
      <c r="O730" t="s">
        <v>33</v>
      </c>
      <c r="P730" t="s">
        <v>26</v>
      </c>
      <c r="Q730" t="s">
        <v>507</v>
      </c>
    </row>
    <row r="731" spans="1:17" ht="15.75" x14ac:dyDescent="0.25">
      <c r="A731" s="3" t="str">
        <f>HYPERLINK("https://www.als.com/altra-w-shoe-timp-4/p?skuId=929220", "https://www.als.com/altra-w-shoe-timp-4/p?skuId=929220")</f>
        <v>https://www.als.com/altra-w-shoe-timp-4/p?skuId=929220</v>
      </c>
      <c r="B731" s="3" t="str">
        <f>HYPERLINK("https://www.als.com/altra-w-shoe-timp-4/p", "https://www.als.com/altra-w-shoe-timp-4/p")</f>
        <v>https://www.als.com/altra-w-shoe-timp-4/p</v>
      </c>
      <c r="C731" t="s">
        <v>829</v>
      </c>
      <c r="D731" t="s">
        <v>2474</v>
      </c>
      <c r="E731" s="3" t="str">
        <f>HYPERLINK("https://www.amazon.com/ALTRA-Womens-Lone-Numeric_6-Coral/dp/B096FGRYL3/ref=sr_1_28?keywords=Altra+Timp+4+Running+Shoe+-+Womens&amp;qid=1695124369&amp;sr=8-28", "https://www.amazon.com/ALTRA-Womens-Lone-Numeric_6-Coral/dp/B096FGRYL3/ref=sr_1_28?keywords=Altra+Timp+4+Running+Shoe+-+Womens&amp;qid=1695124369&amp;sr=8-28")</f>
        <v>https://www.amazon.com/ALTRA-Womens-Lone-Numeric_6-Coral/dp/B096FGRYL3/ref=sr_1_28?keywords=Altra+Timp+4+Running+Shoe+-+Womens&amp;qid=1695124369&amp;sr=8-28</v>
      </c>
      <c r="F731" t="s">
        <v>2475</v>
      </c>
      <c r="G731" t="e">
        <f ca="1">IMAGE("https://alssports.vtexassets.com/arquivos/ids/1112796-800-auto?v=637957454637830000&amp;width=800&amp;height=auto&amp;aspect=true")</f>
        <v>#NAME?</v>
      </c>
      <c r="H731" t="e">
        <f ca="1">IMAGE("https://m.media-amazon.com/images/I/71FFjgWkddL._AC_UL320_.jpg")</f>
        <v>#NAME?</v>
      </c>
      <c r="I731" t="s">
        <v>88</v>
      </c>
      <c r="J731">
        <v>99.99</v>
      </c>
      <c r="K731" s="2" t="s">
        <v>2476</v>
      </c>
      <c r="L731">
        <v>4.7</v>
      </c>
      <c r="M731">
        <v>1640</v>
      </c>
      <c r="O731" t="s">
        <v>33</v>
      </c>
      <c r="P731" t="s">
        <v>832</v>
      </c>
      <c r="Q731" t="s">
        <v>833</v>
      </c>
    </row>
    <row r="732" spans="1:17" ht="15.75" x14ac:dyDescent="0.25">
      <c r="A732" s="3" t="str">
        <f>HYPERLINK("https://www.als.com/fenwic-fly-rod-aetos/p?skuId=720779", "https://www.als.com/fenwic-fly-rod-aetos/p?skuId=720779")</f>
        <v>https://www.als.com/fenwic-fly-rod-aetos/p?skuId=720779</v>
      </c>
      <c r="B732" s="3" t="str">
        <f>HYPERLINK("https://www.als.com/fenwic-fly-rod-aetos/p", "https://www.als.com/fenwic-fly-rod-aetos/p")</f>
        <v>https://www.als.com/fenwic-fly-rod-aetos/p</v>
      </c>
      <c r="C732" t="s">
        <v>1154</v>
      </c>
      <c r="D732" t="s">
        <v>2477</v>
      </c>
      <c r="E732" s="3" t="str">
        <f>HYPERLINK("https://www.amazon.com/Fenwicks-EAFLY804WT-4-Fenwick-Eagle-Fly/dp/B00VS167JS/ref=sr_1_5?keywords=Fenwick+Aetos+Fly+Rod&amp;qid=1695124155&amp;sr=8-5", "https://www.amazon.com/Fenwicks-EAFLY804WT-4-Fenwick-Eagle-Fly/dp/B00VS167JS/ref=sr_1_5?keywords=Fenwick+Aetos+Fly+Rod&amp;qid=1695124155&amp;sr=8-5")</f>
        <v>https://www.amazon.com/Fenwicks-EAFLY804WT-4-Fenwick-Eagle-Fly/dp/B00VS167JS/ref=sr_1_5?keywords=Fenwick+Aetos+Fly+Rod&amp;qid=1695124155&amp;sr=8-5</v>
      </c>
      <c r="F732" t="s">
        <v>2478</v>
      </c>
      <c r="G732" t="e">
        <f ca="1">IMAGE("https://alssports.vtexassets.com/arquivos/ids/973232-800-auto?v=637750127157830000&amp;width=800&amp;height=auto&amp;aspect=true")</f>
        <v>#NAME?</v>
      </c>
      <c r="H732" t="e">
        <f ca="1">IMAGE("https://m.media-amazon.com/images/I/51zlfTLKkqL._AC_UL320_.jpg")</f>
        <v>#NAME?</v>
      </c>
      <c r="I732" t="s">
        <v>73</v>
      </c>
      <c r="J732">
        <v>124.95</v>
      </c>
      <c r="K732" s="2" t="s">
        <v>2479</v>
      </c>
      <c r="L732">
        <v>3.9</v>
      </c>
      <c r="M732">
        <v>30</v>
      </c>
      <c r="O732" t="s">
        <v>33</v>
      </c>
      <c r="P732" t="s">
        <v>26</v>
      </c>
      <c r="Q732" t="s">
        <v>1158</v>
      </c>
    </row>
    <row r="733" spans="1:17" ht="15.75" x14ac:dyDescent="0.25">
      <c r="A733" s="3" t="str">
        <f>HYPERLINK("https://www.als.com/asics-ws-shoe-gel-nimbus-24/p?skuId=1037727", "https://www.als.com/asics-ws-shoe-gel-nimbus-24/p?skuId=1037727")</f>
        <v>https://www.als.com/asics-ws-shoe-gel-nimbus-24/p?skuId=1037727</v>
      </c>
      <c r="B733" s="3" t="str">
        <f>HYPERLINK("https://www.als.com/asics-ws-shoe-gel-nimbus-24/p", "https://www.als.com/asics-ws-shoe-gel-nimbus-24/p")</f>
        <v>https://www.als.com/asics-ws-shoe-gel-nimbus-24/p</v>
      </c>
      <c r="C733" t="s">
        <v>1217</v>
      </c>
      <c r="D733" t="s">
        <v>2480</v>
      </c>
      <c r="E733" s="3" t="str">
        <f>HYPERLINK("https://www.amazon.com/ASICS-Womens-Gel-Cumulus-Running-French/dp/B09FY1PMFH/ref=sr_1_43?keywords=Asics+GEL-NIMBUS+24+Running+Shoe+-+Womens&amp;qid=1695124093&amp;sr=8-43", "https://www.amazon.com/ASICS-Womens-Gel-Cumulus-Running-French/dp/B09FY1PMFH/ref=sr_1_43?keywords=Asics+GEL-NIMBUS+24+Running+Shoe+-+Womens&amp;qid=1695124093&amp;sr=8-43")</f>
        <v>https://www.amazon.com/ASICS-Womens-Gel-Cumulus-Running-French/dp/B09FY1PMFH/ref=sr_1_43?keywords=Asics+GEL-NIMBUS+24+Running+Shoe+-+Womens&amp;qid=1695124093&amp;sr=8-43</v>
      </c>
      <c r="F733" t="s">
        <v>2481</v>
      </c>
      <c r="G733" t="e">
        <f ca="1">IMAGE("https://alssports.vtexassets.com/arquivos/ids/1109551-800-auto?v=637950821539330000&amp;width=800&amp;height=auto&amp;aspect=true")</f>
        <v>#NAME?</v>
      </c>
      <c r="H733" t="e">
        <f ca="1">IMAGE("https://m.media-amazon.com/images/I/61mBm4+slNL._AC_UL320_.jpg")</f>
        <v>#NAME?</v>
      </c>
      <c r="I733" t="s">
        <v>1220</v>
      </c>
      <c r="J733">
        <v>69.95</v>
      </c>
      <c r="K733" s="2" t="s">
        <v>2482</v>
      </c>
      <c r="L733">
        <v>4.4000000000000004</v>
      </c>
      <c r="M733">
        <v>71</v>
      </c>
      <c r="O733" t="s">
        <v>33</v>
      </c>
      <c r="P733" t="s">
        <v>88</v>
      </c>
      <c r="Q733" t="s">
        <v>1222</v>
      </c>
    </row>
    <row r="734" spans="1:17" ht="15.75" x14ac:dyDescent="0.25">
      <c r="A734" s="3" t="str">
        <f>HYPERLINK("https://www.als.com/shimab-pedal-pd-m9100-spd-cleat-pack/p?skuId=500218", "https://www.als.com/shimab-pedal-pd-m9100-spd-cleat-pack/p?skuId=500218")</f>
        <v>https://www.als.com/shimab-pedal-pd-m9100-spd-cleat-pack/p?skuId=500218</v>
      </c>
      <c r="B734" s="3" t="str">
        <f>HYPERLINK("https://www.als.com/shimab-pedal-pd-m9100-spd-cleat-pack/p", "https://www.als.com/shimab-pedal-pd-m9100-spd-cleat-pack/p")</f>
        <v>https://www.als.com/shimab-pedal-pd-m9100-spd-cleat-pack/p</v>
      </c>
      <c r="C734" t="s">
        <v>541</v>
      </c>
      <c r="D734" t="s">
        <v>2483</v>
      </c>
      <c r="E734" s="3" t="str">
        <f>HYPERLINK("https://www.amazon.com/SHIMANO-PDM9100-PD-M9100-Pedals-Black/dp/B07F2NWQ2H/ref=sr_1_1?keywords=Shimano+TR+PD-M9100+Pedal&amp;qid=1695124455&amp;sr=8-1", "https://www.amazon.com/SHIMANO-PDM9100-PD-M9100-Pedals-Black/dp/B07F2NWQ2H/ref=sr_1_1?keywords=Shimano+TR+PD-M9100+Pedal&amp;qid=1695124455&amp;sr=8-1")</f>
        <v>https://www.amazon.com/SHIMANO-PDM9100-PD-M9100-Pedals-Black/dp/B07F2NWQ2H/ref=sr_1_1?keywords=Shimano+TR+PD-M9100+Pedal&amp;qid=1695124455&amp;sr=8-1</v>
      </c>
      <c r="F734" t="s">
        <v>2484</v>
      </c>
      <c r="G734" t="e">
        <f ca="1">IMAGE("https://alssports.vtexassets.com/arquivos/ids/1120618-800-auto?v=637969747990030000&amp;width=800&amp;height=auto&amp;aspect=true")</f>
        <v>#NAME?</v>
      </c>
      <c r="H734" t="e">
        <f ca="1">IMAGE("https://m.media-amazon.com/images/I/6154NINQhXL._AC_UL320_.jpg")</f>
        <v>#NAME?</v>
      </c>
      <c r="I734" t="s">
        <v>544</v>
      </c>
      <c r="J734">
        <v>111.4</v>
      </c>
      <c r="K734" s="2" t="s">
        <v>2485</v>
      </c>
      <c r="L734">
        <v>4.7</v>
      </c>
      <c r="M734">
        <v>439</v>
      </c>
      <c r="O734" t="s">
        <v>33</v>
      </c>
      <c r="P734" t="s">
        <v>26</v>
      </c>
      <c r="Q734" t="s">
        <v>546</v>
      </c>
    </row>
    <row r="735" spans="1:17" ht="15.75" x14ac:dyDescent="0.25">
      <c r="A735" s="3" t="str">
        <f>HYPERLINK("https://www.als.com/camel-pack-sequoia/p?skuId=594174", "https://www.als.com/camel-pack-sequoia/p?skuId=594174")</f>
        <v>https://www.als.com/camel-pack-sequoia/p?skuId=594174</v>
      </c>
      <c r="B735" s="3" t="str">
        <f>HYPERLINK("https://www.als.com/camel-pack-sequoia/p", "https://www.als.com/camel-pack-sequoia/p")</f>
        <v>https://www.als.com/camel-pack-sequoia/p</v>
      </c>
      <c r="C735" t="s">
        <v>2311</v>
      </c>
      <c r="D735" t="s">
        <v>2127</v>
      </c>
      <c r="E735" s="3" t="str">
        <f>HYPERLINK("https://www.amazon.com/CamelBak-Womens-Hydrobak-Hydration-Drizzle/dp/B08R6QJCL1/ref=sr_1_10?keywords=CamelBak+Sequoia+24L+Hydration+Pack+-+Women%27s&amp;qid=1695124157&amp;sr=8-10", "https://www.amazon.com/CamelBak-Womens-Hydrobak-Hydration-Drizzle/dp/B08R6QJCL1/ref=sr_1_10?keywords=CamelBak+Sequoia+24L+Hydration+Pack+-+Women%27s&amp;qid=1695124157&amp;sr=8-10")</f>
        <v>https://www.amazon.com/CamelBak-Womens-Hydrobak-Hydration-Drizzle/dp/B08R6QJCL1/ref=sr_1_10?keywords=CamelBak+Sequoia+24L+Hydration+Pack+-+Women%27s&amp;qid=1695124157&amp;sr=8-10</v>
      </c>
      <c r="F735" t="s">
        <v>2128</v>
      </c>
      <c r="G735" t="e">
        <f ca="1">IMAGE("https://alssports.vtexassets.com/arquivos/ids/351956-800-auto?v=637163786175770000&amp;width=800&amp;height=auto&amp;aspect=true")</f>
        <v>#NAME?</v>
      </c>
      <c r="H735" t="e">
        <f ca="1">IMAGE("https://m.media-amazon.com/images/I/91tYJRkk-jL._AC_UL320_.jpg")</f>
        <v>#NAME?</v>
      </c>
      <c r="I735" t="s">
        <v>225</v>
      </c>
      <c r="J735">
        <v>43.28</v>
      </c>
      <c r="K735" s="2" t="s">
        <v>2486</v>
      </c>
      <c r="L735">
        <v>4.5</v>
      </c>
      <c r="M735">
        <v>254</v>
      </c>
      <c r="O735" t="s">
        <v>33</v>
      </c>
      <c r="P735" t="s">
        <v>2313</v>
      </c>
      <c r="Q735" t="s">
        <v>2314</v>
      </c>
    </row>
    <row r="736" spans="1:17" ht="15.75" x14ac:dyDescent="0.25">
      <c r="A736" s="3" t="str">
        <f>HYPERLINK("https://www.als.com/heydud-w-shoe-wendy-rise-woven/p?skuId=1317686", "https://www.als.com/heydud-w-shoe-wendy-rise-woven/p?skuId=1317686")</f>
        <v>https://www.als.com/heydud-w-shoe-wendy-rise-woven/p?skuId=1317686</v>
      </c>
      <c r="B736" s="3" t="str">
        <f>HYPERLINK("https://www.als.com/heydud-w-shoe-wendy-rise-woven/p", "https://www.als.com/heydud-w-shoe-wendy-rise-woven/p")</f>
        <v>https://www.als.com/heydud-w-shoe-wendy-rise-woven/p</v>
      </c>
      <c r="C736" t="s">
        <v>425</v>
      </c>
      <c r="D736" t="s">
        <v>2487</v>
      </c>
      <c r="E736" s="3" t="str">
        <f>HYPERLINK("https://www.amazon.com/Hey-Dude-Womens-Wendy-Black/dp/B08KTRQ23B/ref=sr_1_1?keywords=Hey+Dude+Wendy+Rise+Woven+Shoe+-+Womens&amp;qid=1695124483&amp;sr=8-1", "https://www.amazon.com/Hey-Dude-Womens-Wendy-Black/dp/B08KTRQ23B/ref=sr_1_1?keywords=Hey+Dude+Wendy+Rise+Woven+Shoe+-+Womens&amp;qid=1695124483&amp;sr=8-1")</f>
        <v>https://www.amazon.com/Hey-Dude-Womens-Wendy-Black/dp/B08KTRQ23B/ref=sr_1_1?keywords=Hey+Dude+Wendy+Rise+Woven+Shoe+-+Womens&amp;qid=1695124483&amp;sr=8-1</v>
      </c>
      <c r="F736" t="s">
        <v>2488</v>
      </c>
      <c r="G736" t="e">
        <f ca="1">IMAGE("https://alssports.vtexassets.com/arquivos/ids/1387367-800-auto?v=638255482261930000&amp;width=800&amp;height=auto&amp;aspect=true")</f>
        <v>#NAME?</v>
      </c>
      <c r="H736" t="e">
        <f ca="1">IMAGE("https://m.media-amazon.com/images/I/51Mfv9tmxJS._AC_UL320_.jpg")</f>
        <v>#NAME?</v>
      </c>
      <c r="I736" t="s">
        <v>58</v>
      </c>
      <c r="J736">
        <v>40.15</v>
      </c>
      <c r="K736" s="2" t="s">
        <v>2489</v>
      </c>
      <c r="L736">
        <v>4.7</v>
      </c>
      <c r="M736">
        <v>3946</v>
      </c>
      <c r="O736" t="s">
        <v>33</v>
      </c>
      <c r="P736" t="s">
        <v>26</v>
      </c>
      <c r="Q736" t="s">
        <v>429</v>
      </c>
    </row>
    <row r="737" spans="1:17" ht="15.75" x14ac:dyDescent="0.25">
      <c r="A737" s="3" t="str">
        <f>HYPERLINK("https://www.als.com/mizuno-w-wave-sky-6/p?skuId=1262559", "https://www.als.com/mizuno-w-wave-sky-6/p?skuId=1262559")</f>
        <v>https://www.als.com/mizuno-w-wave-sky-6/p?skuId=1262559</v>
      </c>
      <c r="B737" s="3" t="str">
        <f>HYPERLINK("https://www.als.com/mizuno-w-wave-sky-6/p", "https://www.als.com/mizuno-w-wave-sky-6/p")</f>
        <v>https://www.als.com/mizuno-w-wave-sky-6/p</v>
      </c>
      <c r="C737" t="s">
        <v>200</v>
      </c>
      <c r="D737" t="s">
        <v>2490</v>
      </c>
      <c r="E737" s="3" t="str">
        <f>HYPERLINK("https://www.amazon.com/Mizuno-Running-Womens-Odyssey-Grey-Quiksilver/dp/B09KP2WP4Y/ref=sr_1_17?keywords=Mizuno+Wave+Sky+6+Running+Shoe+-+Women%27s&amp;qid=1695124449&amp;sr=8-17", "https://www.amazon.com/Mizuno-Running-Womens-Odyssey-Grey-Quiksilver/dp/B09KP2WP4Y/ref=sr_1_17?keywords=Mizuno+Wave+Sky+6+Running+Shoe+-+Women%27s&amp;qid=1695124449&amp;sr=8-17")</f>
        <v>https://www.amazon.com/Mizuno-Running-Womens-Odyssey-Grey-Quiksilver/dp/B09KP2WP4Y/ref=sr_1_17?keywords=Mizuno+Wave+Sky+6+Running+Shoe+-+Women%27s&amp;qid=1695124449&amp;sr=8-17</v>
      </c>
      <c r="F737" t="s">
        <v>2491</v>
      </c>
      <c r="G737" t="e">
        <f ca="1">IMAGE("https://alssports.vtexassets.com/arquivos/ids/1277387-800-auto?v=638152938174200000&amp;width=800&amp;height=auto&amp;aspect=true")</f>
        <v>#NAME?</v>
      </c>
      <c r="H737" t="e">
        <f ca="1">IMAGE("https://m.media-amazon.com/images/I/81q5Bp2YmtL._AC_UL320_.jpg")</f>
        <v>#NAME?</v>
      </c>
      <c r="I737" t="s">
        <v>164</v>
      </c>
      <c r="J737">
        <v>105</v>
      </c>
      <c r="K737" s="2" t="s">
        <v>2492</v>
      </c>
      <c r="L737">
        <v>4.5</v>
      </c>
      <c r="M737">
        <v>159</v>
      </c>
      <c r="O737" t="s">
        <v>33</v>
      </c>
      <c r="P737" t="s">
        <v>191</v>
      </c>
      <c r="Q737" t="s">
        <v>203</v>
      </c>
    </row>
    <row r="738" spans="1:17" ht="15.75" x14ac:dyDescent="0.25">
      <c r="A738" s="3" t="str">
        <f>HYPERLINK("https://www.als.com/coleha-ms-shoe-grndpr0-rally-lasrcut/p?skuId=858897", "https://www.als.com/coleha-ms-shoe-grndpr0-rally-lasrcut/p?skuId=858897")</f>
        <v>https://www.als.com/coleha-ms-shoe-grndpr0-rally-lasrcut/p?skuId=858897</v>
      </c>
      <c r="B738" s="3" t="str">
        <f>HYPERLINK("https://www.als.com/coleha-ms-shoe-grndpr0-rally-lasrcut/p", "https://www.als.com/coleha-ms-shoe-grndpr0-rally-lasrcut/p")</f>
        <v>https://www.als.com/coleha-ms-shoe-grndpr0-rally-lasrcut/p</v>
      </c>
      <c r="C738" t="s">
        <v>836</v>
      </c>
      <c r="D738" t="s">
        <v>2493</v>
      </c>
      <c r="E738" s="3" t="str">
        <f>HYPERLINK("https://www.amazon.com/Cole-Haan-Grandpro-Laser-Sneaker/dp/B07VNGQ67T/ref=sr_1_2?keywords=Cole+Haan+Grandpro+Rally+Laser+Cut+Shoe+-+Mens&amp;qid=1695124117&amp;sr=8-2", "https://www.amazon.com/Cole-Haan-Grandpro-Laser-Sneaker/dp/B07VNGQ67T/ref=sr_1_2?keywords=Cole+Haan+Grandpro+Rally+Laser+Cut+Shoe+-+Mens&amp;qid=1695124117&amp;sr=8-2")</f>
        <v>https://www.amazon.com/Cole-Haan-Grandpro-Laser-Sneaker/dp/B07VNGQ67T/ref=sr_1_2?keywords=Cole+Haan+Grandpro+Rally+Laser+Cut+Shoe+-+Mens&amp;qid=1695124117&amp;sr=8-2</v>
      </c>
      <c r="F738" t="s">
        <v>2494</v>
      </c>
      <c r="G738" t="e">
        <f ca="1">IMAGE("https://alssports.vtexassets.com/arquivos/ids/691385-800-auto?v=637575556199130000&amp;width=800&amp;height=auto&amp;aspect=true")</f>
        <v>#NAME?</v>
      </c>
      <c r="H738" t="e">
        <f ca="1">IMAGE("https://m.media-amazon.com/images/I/71BfqJ5adWL._AC_UL320_.jpg")</f>
        <v>#NAME?</v>
      </c>
      <c r="I738" t="s">
        <v>88</v>
      </c>
      <c r="J738">
        <v>98.6</v>
      </c>
      <c r="K738" s="2" t="s">
        <v>2495</v>
      </c>
      <c r="L738">
        <v>3.9</v>
      </c>
      <c r="M738">
        <v>8</v>
      </c>
      <c r="O738" t="s">
        <v>33</v>
      </c>
      <c r="P738" t="s">
        <v>26</v>
      </c>
      <c r="Q738" t="s">
        <v>839</v>
      </c>
    </row>
    <row r="739" spans="1:17" ht="15.75" x14ac:dyDescent="0.25">
      <c r="A739" s="3" t="str">
        <f>HYPERLINK("https://www.als.com/keen-w-koven/p?skuId=1240446", "https://www.als.com/keen-w-koven/p?skuId=1240446")</f>
        <v>https://www.als.com/keen-w-koven/p?skuId=1240446</v>
      </c>
      <c r="B739" s="3" t="str">
        <f>HYPERLINK("https://www.als.com/keen-w-koven/p", "https://www.als.com/keen-w-koven/p")</f>
        <v>https://www.als.com/keen-w-koven/p</v>
      </c>
      <c r="C739" t="s">
        <v>737</v>
      </c>
      <c r="D739" t="s">
        <v>2496</v>
      </c>
      <c r="E739" s="3" t="str">
        <f>HYPERLINK("https://www.amazon.com/KEEN-Womens-Voyageur-Brindle-Alaskan/dp/B00HGAGBKA/ref=sr_1_16?keywords=KEEN+Koven+Hiking+Shoe+-+Women%27s&amp;qid=1695124139&amp;sr=8-16", "https://www.amazon.com/KEEN-Womens-Voyageur-Brindle-Alaskan/dp/B00HGAGBKA/ref=sr_1_16?keywords=KEEN+Koven+Hiking+Shoe+-+Women%27s&amp;qid=1695124139&amp;sr=8-16")</f>
        <v>https://www.amazon.com/KEEN-Womens-Voyageur-Brindle-Alaskan/dp/B00HGAGBKA/ref=sr_1_16?keywords=KEEN+Koven+Hiking+Shoe+-+Women%27s&amp;qid=1695124139&amp;sr=8-16</v>
      </c>
      <c r="F739" t="s">
        <v>2497</v>
      </c>
      <c r="G739" t="e">
        <f ca="1">IMAGE("https://alssports.vtexassets.com/arquivos/ids/1211483-800-auto?v=638091747520730000&amp;width=800&amp;height=auto&amp;aspect=true")</f>
        <v>#NAME?</v>
      </c>
      <c r="H739" t="e">
        <f ca="1">IMAGE("https://m.media-amazon.com/images/I/81-lYTJU19L._AC_UL320_.jpg")</f>
        <v>#NAME?</v>
      </c>
      <c r="I739" t="s">
        <v>639</v>
      </c>
      <c r="J739">
        <v>73.95</v>
      </c>
      <c r="K739" s="2" t="s">
        <v>2498</v>
      </c>
      <c r="L739">
        <v>4.5</v>
      </c>
      <c r="M739">
        <v>2360</v>
      </c>
      <c r="O739" t="s">
        <v>33</v>
      </c>
      <c r="P739" t="s">
        <v>26</v>
      </c>
      <c r="Q739" t="s">
        <v>741</v>
      </c>
    </row>
    <row r="740" spans="1:17" ht="15.75" x14ac:dyDescent="0.25">
      <c r="A740" s="3" t="str">
        <f>HYPERLINK("https://www.als.com/shimab-pedal-pd-m9100-spd-cleat-pack/p?skuId=500218", "https://www.als.com/shimab-pedal-pd-m9100-spd-cleat-pack/p?skuId=500218")</f>
        <v>https://www.als.com/shimab-pedal-pd-m9100-spd-cleat-pack/p?skuId=500218</v>
      </c>
      <c r="B740" s="3" t="str">
        <f>HYPERLINK("https://www.als.com/shimab-pedal-pd-m9100-spd-cleat-pack/p", "https://www.als.com/shimab-pedal-pd-m9100-spd-cleat-pack/p")</f>
        <v>https://www.als.com/shimab-pedal-pd-m9100-spd-cleat-pack/p</v>
      </c>
      <c r="C740" t="s">
        <v>541</v>
      </c>
      <c r="D740" t="s">
        <v>2499</v>
      </c>
      <c r="E740" s="3" t="str">
        <f>HYPERLINK("https://www.amazon.com/SHIMANO-DEORE-PD-M8120-Without-Reflector/dp/B07TXRNVBR/ref=sr_1_9?keywords=Shimano+TR+PD-M9100+Pedal&amp;qid=1695124455&amp;sr=8-9", "https://www.amazon.com/SHIMANO-DEORE-PD-M8120-Without-Reflector/dp/B07TXRNVBR/ref=sr_1_9?keywords=Shimano+TR+PD-M9100+Pedal&amp;qid=1695124455&amp;sr=8-9")</f>
        <v>https://www.amazon.com/SHIMANO-DEORE-PD-M8120-Without-Reflector/dp/B07TXRNVBR/ref=sr_1_9?keywords=Shimano+TR+PD-M9100+Pedal&amp;qid=1695124455&amp;sr=8-9</v>
      </c>
      <c r="F740" t="s">
        <v>2500</v>
      </c>
      <c r="G740" t="e">
        <f ca="1">IMAGE("https://alssports.vtexassets.com/arquivos/ids/1120618-800-auto?v=637969747990030000&amp;width=800&amp;height=auto&amp;aspect=true")</f>
        <v>#NAME?</v>
      </c>
      <c r="H740" t="e">
        <f ca="1">IMAGE("https://m.media-amazon.com/images/I/6197EAsDtsL._AC_UL320_.jpg")</f>
        <v>#NAME?</v>
      </c>
      <c r="I740" t="s">
        <v>544</v>
      </c>
      <c r="J740">
        <v>110.9</v>
      </c>
      <c r="K740" s="2" t="s">
        <v>2501</v>
      </c>
      <c r="L740">
        <v>4.8</v>
      </c>
      <c r="M740">
        <v>299</v>
      </c>
      <c r="O740" t="s">
        <v>33</v>
      </c>
      <c r="P740" t="s">
        <v>26</v>
      </c>
      <c r="Q740" t="s">
        <v>546</v>
      </c>
    </row>
    <row r="741" spans="1:17" ht="15.75" x14ac:dyDescent="0.25">
      <c r="A741" s="3" t="str">
        <f>HYPERLINK("https://www.als.com/heydud-w-shoe-wendy-rise-woven/p?skuId=1317686", "https://www.als.com/heydud-w-shoe-wendy-rise-woven/p?skuId=1317686")</f>
        <v>https://www.als.com/heydud-w-shoe-wendy-rise-woven/p?skuId=1317686</v>
      </c>
      <c r="B741" s="3" t="str">
        <f>HYPERLINK("https://www.als.com/heydud-w-shoe-wendy-rise-woven/p", "https://www.als.com/heydud-w-shoe-wendy-rise-woven/p")</f>
        <v>https://www.als.com/heydud-w-shoe-wendy-rise-woven/p</v>
      </c>
      <c r="C741" t="s">
        <v>425</v>
      </c>
      <c r="D741" t="s">
        <v>2502</v>
      </c>
      <c r="E741" s="3" t="str">
        <f>HYPERLINK("https://www.amazon.com/Hey-Dude-Loafers-Comfortable-Light-Weight/dp/B09MJQF87H/ref=sr_1_16?keywords=Hey+Dude+Wendy+Rise+Woven+Shoe+-+Womens&amp;qid=1695124483&amp;sr=8-16", "https://www.amazon.com/Hey-Dude-Loafers-Comfortable-Light-Weight/dp/B09MJQF87H/ref=sr_1_16?keywords=Hey+Dude+Wendy+Rise+Woven+Shoe+-+Womens&amp;qid=1695124483&amp;sr=8-16")</f>
        <v>https://www.amazon.com/Hey-Dude-Loafers-Comfortable-Light-Weight/dp/B09MJQF87H/ref=sr_1_16?keywords=Hey+Dude+Wendy+Rise+Woven+Shoe+-+Womens&amp;qid=1695124483&amp;sr=8-16</v>
      </c>
      <c r="F741" t="s">
        <v>2503</v>
      </c>
      <c r="G741" t="e">
        <f ca="1">IMAGE("https://alssports.vtexassets.com/arquivos/ids/1387367-800-auto?v=638255482261930000&amp;width=800&amp;height=auto&amp;aspect=true")</f>
        <v>#NAME?</v>
      </c>
      <c r="H741" t="e">
        <f ca="1">IMAGE("https://m.media-amazon.com/images/I/61im0P21isL._AC_UL320_.jpg")</f>
        <v>#NAME?</v>
      </c>
      <c r="I741" t="s">
        <v>58</v>
      </c>
      <c r="J741">
        <v>39.99</v>
      </c>
      <c r="K741" s="2" t="s">
        <v>2504</v>
      </c>
      <c r="L741">
        <v>4.5</v>
      </c>
      <c r="M741">
        <v>202</v>
      </c>
      <c r="O741" t="s">
        <v>33</v>
      </c>
      <c r="P741" t="s">
        <v>26</v>
      </c>
      <c r="Q741" t="s">
        <v>429</v>
      </c>
    </row>
    <row r="742" spans="1:17" ht="15.75" x14ac:dyDescent="0.25">
      <c r="A742" s="3" t="str">
        <f>HYPERLINK("https://www.als.com/heydud-m-shoe-wally-washed-canvas/p?skuId=1317816", "https://www.als.com/heydud-m-shoe-wally-washed-canvas/p?skuId=1317816")</f>
        <v>https://www.als.com/heydud-m-shoe-wally-washed-canvas/p?skuId=1317816</v>
      </c>
      <c r="B742" s="3" t="str">
        <f>HYPERLINK("https://www.als.com/heydud-m-shoe-wally-washed-canvas/p", "https://www.als.com/heydud-m-shoe-wally-washed-canvas/p")</f>
        <v>https://www.als.com/heydud-m-shoe-wally-washed-canvas/p</v>
      </c>
      <c r="C742" t="s">
        <v>501</v>
      </c>
      <c r="D742" t="s">
        <v>2505</v>
      </c>
      <c r="E742" s="3" t="str">
        <f>HYPERLINK("https://www.amazon.com/Mens-Dude-Shoes-Chestnut-Loafers/dp/B06XKX9WJ8/ref=sr_1_47?keywords=Hey+Dude+Wally+Washed+Canvas+Shoe+-+Mens&amp;qid=1695124460&amp;sr=8-47", "https://www.amazon.com/Mens-Dude-Shoes-Chestnut-Loafers/dp/B06XKX9WJ8/ref=sr_1_47?keywords=Hey+Dude+Wally+Washed+Canvas+Shoe+-+Mens&amp;qid=1695124460&amp;sr=8-47")</f>
        <v>https://www.amazon.com/Mens-Dude-Shoes-Chestnut-Loafers/dp/B06XKX9WJ8/ref=sr_1_47?keywords=Hey+Dude+Wally+Washed+Canvas+Shoe+-+Mens&amp;qid=1695124460&amp;sr=8-47</v>
      </c>
      <c r="F742" t="s">
        <v>2506</v>
      </c>
      <c r="G742" t="e">
        <f ca="1">IMAGE("https://alssports.vtexassets.com/arquivos/ids/1388214-800-auto?v=638255521966130000&amp;width=800&amp;height=auto&amp;aspect=true")</f>
        <v>#NAME?</v>
      </c>
      <c r="H742" t="e">
        <f ca="1">IMAGE("https://m.media-amazon.com/images/I/61FZoq9TQ0S._AC_UL320_.jpg")</f>
        <v>#NAME?</v>
      </c>
      <c r="I742" t="s">
        <v>58</v>
      </c>
      <c r="J742">
        <v>39.950000000000003</v>
      </c>
      <c r="K742" s="2" t="s">
        <v>2507</v>
      </c>
      <c r="L742">
        <v>4.5999999999999996</v>
      </c>
      <c r="M742">
        <v>375</v>
      </c>
      <c r="O742" t="s">
        <v>33</v>
      </c>
      <c r="P742" t="s">
        <v>26</v>
      </c>
      <c r="Q742" t="s">
        <v>505</v>
      </c>
    </row>
    <row r="743" spans="1:17" ht="15.75" x14ac:dyDescent="0.25">
      <c r="A743" s="3" t="str">
        <f>HYPERLINK("https://www.als.com/heydud-m-shoe-wally-braided/p?skuId=599445", "https://www.als.com/heydud-m-shoe-wally-braided/p?skuId=599445")</f>
        <v>https://www.als.com/heydud-m-shoe-wally-braided/p?skuId=599445</v>
      </c>
      <c r="B743" s="3" t="str">
        <f>HYPERLINK("https://www.als.com/heydud-m-shoe-wally-braided/p", "https://www.als.com/heydud-m-shoe-wally-braided/p")</f>
        <v>https://www.als.com/heydud-m-shoe-wally-braided/p</v>
      </c>
      <c r="C743" t="s">
        <v>506</v>
      </c>
      <c r="D743" t="s">
        <v>2508</v>
      </c>
      <c r="E743" s="3" t="str">
        <f>HYPERLINK("https://www.amazon.com/Hey-Dude-Wally-Stretch-Loafer/dp/B06VTZ4ZPP/ref=sr_1_31?keywords=Hey+Dude+Wally+Braided+Shoe+-+Mens&amp;qid=1695124451&amp;sr=8-31", "https://www.amazon.com/Hey-Dude-Wally-Stretch-Loafer/dp/B06VTZ4ZPP/ref=sr_1_31?keywords=Hey+Dude+Wally+Braided+Shoe+-+Mens&amp;qid=1695124451&amp;sr=8-31")</f>
        <v>https://www.amazon.com/Hey-Dude-Wally-Stretch-Loafer/dp/B06VTZ4ZPP/ref=sr_1_31?keywords=Hey+Dude+Wally+Braided+Shoe+-+Mens&amp;qid=1695124451&amp;sr=8-31</v>
      </c>
      <c r="F743" t="s">
        <v>2509</v>
      </c>
      <c r="G743" t="e">
        <f ca="1">IMAGE("https://alssports.vtexassets.com/arquivos/ids/1386107-800-auto?v=638254870959300000&amp;width=800&amp;height=auto&amp;aspect=true")</f>
        <v>#NAME?</v>
      </c>
      <c r="H743" t="e">
        <f ca="1">IMAGE("https://m.media-amazon.com/images/I/81RIEmPzfQL._AC_UL320_.jpg")</f>
        <v>#NAME?</v>
      </c>
      <c r="I743" t="s">
        <v>58</v>
      </c>
      <c r="J743">
        <v>39.93</v>
      </c>
      <c r="K743" s="2" t="s">
        <v>2510</v>
      </c>
      <c r="L743">
        <v>4.7</v>
      </c>
      <c r="M743">
        <v>5197</v>
      </c>
      <c r="O743" t="s">
        <v>33</v>
      </c>
      <c r="P743" t="s">
        <v>26</v>
      </c>
      <c r="Q743" t="s">
        <v>507</v>
      </c>
    </row>
    <row r="744" spans="1:17" ht="15.75" x14ac:dyDescent="0.25">
      <c r="A744" s="3" t="str">
        <f>HYPERLINK("https://www.als.com/altra-w-shoe-timp-4/p?skuId=929220", "https://www.als.com/altra-w-shoe-timp-4/p?skuId=929220")</f>
        <v>https://www.als.com/altra-w-shoe-timp-4/p?skuId=929220</v>
      </c>
      <c r="B744" s="3" t="str">
        <f>HYPERLINK("https://www.als.com/altra-w-shoe-timp-4/p", "https://www.als.com/altra-w-shoe-timp-4/p")</f>
        <v>https://www.als.com/altra-w-shoe-timp-4/p</v>
      </c>
      <c r="C744" t="s">
        <v>829</v>
      </c>
      <c r="D744" t="s">
        <v>2511</v>
      </c>
      <c r="E744" s="3" t="str">
        <f>HYPERLINK("https://www.amazon.com/ALTRA-Womens-AL0A548E-Trail-Running/dp/B09MYZPCF6/ref=sr_1_4?keywords=Altra+Timp+4+Running+Shoe+-+Womens&amp;qid=1695124369&amp;sr=8-4", "https://www.amazon.com/ALTRA-Womens-AL0A548E-Trail-Running/dp/B09MYZPCF6/ref=sr_1_4?keywords=Altra+Timp+4+Running+Shoe+-+Womens&amp;qid=1695124369&amp;sr=8-4")</f>
        <v>https://www.amazon.com/ALTRA-Womens-AL0A548E-Trail-Running/dp/B09MYZPCF6/ref=sr_1_4?keywords=Altra+Timp+4+Running+Shoe+-+Womens&amp;qid=1695124369&amp;sr=8-4</v>
      </c>
      <c r="F744" t="s">
        <v>2512</v>
      </c>
      <c r="G744" t="e">
        <f ca="1">IMAGE("https://alssports.vtexassets.com/arquivos/ids/1112796-800-auto?v=637957454637830000&amp;width=800&amp;height=auto&amp;aspect=true")</f>
        <v>#NAME?</v>
      </c>
      <c r="H744" t="e">
        <f ca="1">IMAGE("https://m.media-amazon.com/images/I/711d0wmxX2L._AC_UL320_.jpg")</f>
        <v>#NAME?</v>
      </c>
      <c r="I744" t="s">
        <v>88</v>
      </c>
      <c r="J744">
        <v>97.97</v>
      </c>
      <c r="K744" s="2" t="s">
        <v>2513</v>
      </c>
      <c r="L744">
        <v>4.5</v>
      </c>
      <c r="M744">
        <v>1937</v>
      </c>
      <c r="O744" t="s">
        <v>33</v>
      </c>
      <c r="P744" t="s">
        <v>832</v>
      </c>
      <c r="Q744" t="s">
        <v>833</v>
      </c>
    </row>
    <row r="745" spans="1:17" ht="15.75" x14ac:dyDescent="0.25">
      <c r="A745" s="3" t="str">
        <f>HYPERLINK("https://www.als.com/frogg-wader-canyon-ii-breathable/p?skuId=801564", "https://www.als.com/frogg-wader-canyon-ii-breathable/p?skuId=801564")</f>
        <v>https://www.als.com/frogg-wader-canyon-ii-breathable/p?skuId=801564</v>
      </c>
      <c r="B745" s="3" t="str">
        <f>HYPERLINK("https://www.als.com/frogg-wader-canyon-ii-breathable/p", "https://www.als.com/frogg-wader-canyon-ii-breathable/p")</f>
        <v>https://www.als.com/frogg-wader-canyon-ii-breathable/p</v>
      </c>
      <c r="C745" t="s">
        <v>884</v>
      </c>
      <c r="D745" t="s">
        <v>2514</v>
      </c>
      <c r="E745" s="3" t="str">
        <f>HYPERLINK("https://www.amazon.com/Frogg-Toggs-Bootfoot-Cleated-Outsole/dp/B00KBSO4L2/ref=sr_1_9?keywords=frogg+toggs+Canyon+II+Stockingfoot+Wader+-+Mens&amp;qid=1695124321&amp;sr=8-9", "https://www.amazon.com/Frogg-Toggs-Bootfoot-Cleated-Outsole/dp/B00KBSO4L2/ref=sr_1_9?keywords=frogg+toggs+Canyon+II+Stockingfoot+Wader+-+Mens&amp;qid=1695124321&amp;sr=8-9")</f>
        <v>https://www.amazon.com/Frogg-Toggs-Bootfoot-Cleated-Outsole/dp/B00KBSO4L2/ref=sr_1_9?keywords=frogg+toggs+Canyon+II+Stockingfoot+Wader+-+Mens&amp;qid=1695124321&amp;sr=8-9</v>
      </c>
      <c r="F745" t="s">
        <v>2515</v>
      </c>
      <c r="G745" t="e">
        <f ca="1">IMAGE("https://alssports.vtexassets.com/arquivos/ids/671502-800-auto?v=637562972890570000&amp;width=800&amp;height=auto&amp;aspect=true")</f>
        <v>#NAME?</v>
      </c>
      <c r="H745" t="e">
        <f ca="1">IMAGE("https://m.media-amazon.com/images/I/71XhFqaT6QL._AC_UL320_.jpg")</f>
        <v>#NAME?</v>
      </c>
      <c r="I745" t="s">
        <v>174</v>
      </c>
      <c r="J745">
        <v>48.99</v>
      </c>
      <c r="K745" s="2" t="s">
        <v>2513</v>
      </c>
      <c r="L745">
        <v>4.2</v>
      </c>
      <c r="M745">
        <v>113</v>
      </c>
      <c r="O745" t="s">
        <v>33</v>
      </c>
      <c r="P745" t="s">
        <v>285</v>
      </c>
      <c r="Q745" t="s">
        <v>888</v>
      </c>
    </row>
    <row r="746" spans="1:17" ht="15.75" x14ac:dyDescent="0.25">
      <c r="A746" s="3" t="str">
        <f>HYPERLINK("https://www.als.com/fox-helmet-proframe-rs/p?skuId=599903", "https://www.als.com/fox-helmet-proframe-rs/p?skuId=599903")</f>
        <v>https://www.als.com/fox-helmet-proframe-rs/p?skuId=599903</v>
      </c>
      <c r="B746" s="3" t="str">
        <f>HYPERLINK("https://www.als.com/fox-helmet-proframe-rs/p", "https://www.als.com/fox-helmet-proframe-rs/p")</f>
        <v>https://www.als.com/fox-helmet-proframe-rs/p</v>
      </c>
      <c r="C746" t="s">
        <v>2026</v>
      </c>
      <c r="D746" t="s">
        <v>2516</v>
      </c>
      <c r="E746" s="3" t="str">
        <f>HYPERLINK("https://www.amazon.com/Fox-Racing-Dropframe-Helmet-Return/dp/B0B4SR4G45/ref=sr_1_44?keywords=Fox+Racing+Proframe+RS+Helmet&amp;qid=1695124415&amp;sr=8-44", "https://www.amazon.com/Fox-Racing-Dropframe-Helmet-Return/dp/B0B4SR4G45/ref=sr_1_44?keywords=Fox+Racing+Proframe+RS+Helmet&amp;qid=1695124415&amp;sr=8-44")</f>
        <v>https://www.amazon.com/Fox-Racing-Dropframe-Helmet-Return/dp/B0B4SR4G45/ref=sr_1_44?keywords=Fox+Racing+Proframe+RS+Helmet&amp;qid=1695124415&amp;sr=8-44</v>
      </c>
      <c r="F746" t="s">
        <v>2517</v>
      </c>
      <c r="G746" t="e">
        <f ca="1">IMAGE("https://alssports.vtexassets.com/arquivos/ids/1279583-800-auto?v=638156298149200000&amp;width=800&amp;height=auto&amp;aspect=true")</f>
        <v>#NAME?</v>
      </c>
      <c r="H746" t="e">
        <f ca="1">IMAGE("https://m.media-amazon.com/images/I/61BUJcQbhCL._AC_UL320_.jpg")</f>
        <v>#NAME?</v>
      </c>
      <c r="I746" t="s">
        <v>2029</v>
      </c>
      <c r="J746">
        <v>219.85</v>
      </c>
      <c r="K746" s="2" t="s">
        <v>2518</v>
      </c>
      <c r="L746">
        <v>5</v>
      </c>
      <c r="M746">
        <v>2</v>
      </c>
      <c r="O746" t="s">
        <v>33</v>
      </c>
      <c r="P746" t="s">
        <v>26</v>
      </c>
      <c r="Q746" t="s">
        <v>2031</v>
      </c>
    </row>
    <row r="747" spans="1:17" ht="15.75" x14ac:dyDescent="0.25">
      <c r="A747" s="3" t="str">
        <f>HYPERLINK("https://www.als.com/crocs-classic-clog/p?skuId=1196935", "https://www.als.com/crocs-classic-clog/p?skuId=1196935")</f>
        <v>https://www.als.com/crocs-classic-clog/p?skuId=1196935</v>
      </c>
      <c r="B747" s="3" t="str">
        <f>HYPERLINK("https://www.als.com/crocs-classic-clog/p", "https://www.als.com/crocs-classic-clog/p")</f>
        <v>https://www.als.com/crocs-classic-clog/p</v>
      </c>
      <c r="C747" t="s">
        <v>1100</v>
      </c>
      <c r="D747" t="s">
        <v>1264</v>
      </c>
      <c r="E747" s="3" t="str">
        <f>HYPERLINK("https://www.amazon.com/Crocs-Unisex-Classic-Black-Women/dp/B0014C2NBC/ref=sr_1_1?keywords=Crocs+Classic+Clog&amp;qid=1695124151&amp;sr=8-1", "https://www.amazon.com/Crocs-Unisex-Classic-Black-Women/dp/B0014C2NBC/ref=sr_1_1?keywords=Crocs+Classic+Clog&amp;qid=1695124151&amp;sr=8-1")</f>
        <v>https://www.amazon.com/Crocs-Unisex-Classic-Black-Women/dp/B0014C2NBC/ref=sr_1_1?keywords=Crocs+Classic+Clog&amp;qid=1695124151&amp;sr=8-1</v>
      </c>
      <c r="F747" t="s">
        <v>2519</v>
      </c>
      <c r="G747" t="e">
        <f ca="1">IMAGE("https://alssports.vtexassets.com/arquivos/ids/1222253-800-auto?v=638102875835800000&amp;width=800&amp;height=auto&amp;aspect=true")</f>
        <v>#NAME?</v>
      </c>
      <c r="H747" t="e">
        <f ca="1">IMAGE("https://m.media-amazon.com/images/I/81Vekenn4lL._AC_UL320_.jpg")</f>
        <v>#NAME?</v>
      </c>
      <c r="I747" t="s">
        <v>157</v>
      </c>
      <c r="J747">
        <v>30.48</v>
      </c>
      <c r="K747" s="2" t="s">
        <v>2520</v>
      </c>
      <c r="L747">
        <v>4.8</v>
      </c>
      <c r="M747">
        <v>531405</v>
      </c>
      <c r="O747" t="s">
        <v>33</v>
      </c>
      <c r="P747" t="s">
        <v>26</v>
      </c>
      <c r="Q747" t="s">
        <v>1103</v>
      </c>
    </row>
    <row r="748" spans="1:17" ht="15.75" x14ac:dyDescent="0.25">
      <c r="A748" s="3" t="str">
        <f>HYPERLINK("https://www.als.com/teva-m-sandal-hurricane-xlt2/p?skuId=398840", "https://www.als.com/teva-m-sandal-hurricane-xlt2/p?skuId=398840")</f>
        <v>https://www.als.com/teva-m-sandal-hurricane-xlt2/p?skuId=398840</v>
      </c>
      <c r="B748" s="3" t="str">
        <f>HYPERLINK("https://www.als.com/teva-m-sandal-hurricane-xlt2/p", "https://www.als.com/teva-m-sandal-hurricane-xlt2/p")</f>
        <v>https://www.als.com/teva-m-sandal-hurricane-xlt2/p</v>
      </c>
      <c r="C748" t="s">
        <v>37</v>
      </c>
      <c r="D748" t="s">
        <v>2308</v>
      </c>
      <c r="E748" s="3" t="str">
        <f>HYPERLINK("https://www.amazon.com/Teva-Hurricane-Drift-Sandal-Feather/dp/B0B5LY7MDN/ref=sr_1_20?keywords=Teva+Hurricane+XLT2+Sandal+-+Men%27s&amp;qid=1695124141&amp;sr=8-20", "https://www.amazon.com/Teva-Hurricane-Drift-Sandal-Feather/dp/B0B5LY7MDN/ref=sr_1_20?keywords=Teva+Hurricane+XLT2+Sandal+-+Men%27s&amp;qid=1695124141&amp;sr=8-20")</f>
        <v>https://www.amazon.com/Teva-Hurricane-Drift-Sandal-Feather/dp/B0B5LY7MDN/ref=sr_1_20?keywords=Teva+Hurricane+XLT2+Sandal+-+Men%27s&amp;qid=1695124141&amp;sr=8-20</v>
      </c>
      <c r="F748" t="s">
        <v>2521</v>
      </c>
      <c r="G748" t="e">
        <f ca="1">IMAGE("https://alssports.vtexassets.com/arquivos/ids/1220918-800-auto?v=638102154417000000&amp;width=800&amp;height=auto&amp;aspect=true")</f>
        <v>#NAME?</v>
      </c>
      <c r="H748" t="e">
        <f ca="1">IMAGE("https://m.media-amazon.com/images/I/619oDXMu+GL._AC_UL320_.jpg")</f>
        <v>#NAME?</v>
      </c>
      <c r="I748" t="s">
        <v>40</v>
      </c>
      <c r="J748">
        <v>45.71</v>
      </c>
      <c r="K748" s="2" t="s">
        <v>2522</v>
      </c>
      <c r="L748">
        <v>3.2</v>
      </c>
      <c r="M748">
        <v>3</v>
      </c>
      <c r="O748" t="s">
        <v>33</v>
      </c>
      <c r="P748" t="s">
        <v>26</v>
      </c>
      <c r="Q748" t="s">
        <v>41</v>
      </c>
    </row>
    <row r="749" spans="1:17" ht="15.75" x14ac:dyDescent="0.25">
      <c r="A749" s="3" t="str">
        <f>HYPERLINK("https://www.als.com/under-m-charged-verssert-run-shoe/p?skuId=1204906", "https://www.als.com/under-m-charged-verssert-run-shoe/p?skuId=1204906")</f>
        <v>https://www.als.com/under-m-charged-verssert-run-shoe/p?skuId=1204906</v>
      </c>
      <c r="B749" s="3" t="str">
        <f>HYPERLINK("https://www.als.com/under-m-charged-verssert-run-shoe/p", "https://www.als.com/under-m-charged-verssert-run-shoe/p")</f>
        <v>https://www.als.com/under-m-charged-verssert-run-shoe/p</v>
      </c>
      <c r="C749" t="s">
        <v>60</v>
      </c>
      <c r="D749" t="s">
        <v>2523</v>
      </c>
      <c r="E749" s="3" t="str">
        <f>HYPERLINK("https://www.amazon.com/Under-Armour-Charged-Pursuit-X-Wide/dp/B07Z76MG13/ref=sr_1_28?keywords=Under+Armour+Charged+Verssert+Running+Shoe+-+Mens&amp;qid=1695124491&amp;sr=8-28", "https://www.amazon.com/Under-Armour-Charged-Pursuit-X-Wide/dp/B07Z76MG13/ref=sr_1_28?keywords=Under+Armour+Charged+Verssert+Running+Shoe+-+Mens&amp;qid=1695124491&amp;sr=8-28")</f>
        <v>https://www.amazon.com/Under-Armour-Charged-Pursuit-X-Wide/dp/B07Z76MG13/ref=sr_1_28?keywords=Under+Armour+Charged+Verssert+Running+Shoe+-+Mens&amp;qid=1695124491&amp;sr=8-28</v>
      </c>
      <c r="F749" t="s">
        <v>2524</v>
      </c>
      <c r="G749" t="e">
        <f ca="1">IMAGE("https://alssports.vtexassets.com/arquivos/ids/1282426-800-auto?v=638158001411130000&amp;width=800&amp;height=auto&amp;aspect=true")</f>
        <v>#NAME?</v>
      </c>
      <c r="H749" t="e">
        <f ca="1">IMAGE("https://m.media-amazon.com/images/I/81umGoUbrGL._AC_UL320_.jpg")</f>
        <v>#NAME?</v>
      </c>
      <c r="I749" t="s">
        <v>63</v>
      </c>
      <c r="J749">
        <v>45.74</v>
      </c>
      <c r="K749" s="2" t="s">
        <v>2522</v>
      </c>
      <c r="L749">
        <v>4.7</v>
      </c>
      <c r="M749">
        <v>2746</v>
      </c>
      <c r="O749" t="s">
        <v>33</v>
      </c>
      <c r="P749" t="s">
        <v>26</v>
      </c>
      <c r="Q749" t="s">
        <v>64</v>
      </c>
    </row>
    <row r="750" spans="1:17" ht="15.75" x14ac:dyDescent="0.25">
      <c r="A750" s="3" t="str">
        <f>HYPERLINK("https://www.als.com/altra-w-shoe-timp-4/p?skuId=929220", "https://www.als.com/altra-w-shoe-timp-4/p?skuId=929220")</f>
        <v>https://www.als.com/altra-w-shoe-timp-4/p?skuId=929220</v>
      </c>
      <c r="B750" s="3" t="str">
        <f>HYPERLINK("https://www.als.com/altra-w-shoe-timp-4/p", "https://www.als.com/altra-w-shoe-timp-4/p")</f>
        <v>https://www.als.com/altra-w-shoe-timp-4/p</v>
      </c>
      <c r="C750" t="s">
        <v>829</v>
      </c>
      <c r="D750" t="s">
        <v>2525</v>
      </c>
      <c r="E750" s="3" t="str">
        <f>HYPERLINK("https://www.amazon.com/ALTRA-AL0A7R7G-Lone-Peak-Running/dp/B09Y68R9ZY/ref=sr_1_6?keywords=Altra+Timp+4+Running+Shoe+-+Womens&amp;qid=1695124369&amp;sr=8-6", "https://www.amazon.com/ALTRA-AL0A7R7G-Lone-Peak-Running/dp/B09Y68R9ZY/ref=sr_1_6?keywords=Altra+Timp+4+Running+Shoe+-+Womens&amp;qid=1695124369&amp;sr=8-6")</f>
        <v>https://www.amazon.com/ALTRA-AL0A7R7G-Lone-Peak-Running/dp/B09Y68R9ZY/ref=sr_1_6?keywords=Altra+Timp+4+Running+Shoe+-+Womens&amp;qid=1695124369&amp;sr=8-6</v>
      </c>
      <c r="F750" t="s">
        <v>2526</v>
      </c>
      <c r="G750" t="e">
        <f ca="1">IMAGE("https://alssports.vtexassets.com/arquivos/ids/1112796-800-auto?v=637957454637830000&amp;width=800&amp;height=auto&amp;aspect=true")</f>
        <v>#NAME?</v>
      </c>
      <c r="H750" t="e">
        <f ca="1">IMAGE("https://m.media-amazon.com/images/I/61Odaje3HXL._AC_UL320_.jpg")</f>
        <v>#NAME?</v>
      </c>
      <c r="I750" t="s">
        <v>88</v>
      </c>
      <c r="J750">
        <v>97.38</v>
      </c>
      <c r="K750" s="2" t="s">
        <v>2527</v>
      </c>
      <c r="L750">
        <v>4.5</v>
      </c>
      <c r="M750">
        <v>75</v>
      </c>
      <c r="O750" t="s">
        <v>33</v>
      </c>
      <c r="P750" t="s">
        <v>832</v>
      </c>
      <c r="Q750" t="s">
        <v>833</v>
      </c>
    </row>
    <row r="751" spans="1:17" ht="15.75" x14ac:dyDescent="0.25">
      <c r="A751" s="3" t="str">
        <f>HYPERLINK("https://www.als.com/adidas-m-shoe-lite-racer-adapt-50/p?skuId=1338101", "https://www.als.com/adidas-m-shoe-lite-racer-adapt-50/p?skuId=1338101")</f>
        <v>https://www.als.com/adidas-m-shoe-lite-racer-adapt-50/p?skuId=1338101</v>
      </c>
      <c r="B751" s="3" t="str">
        <f>HYPERLINK("https://www.als.com/adidas-m-shoe-lite-racer-adapt-50/p", "https://www.als.com/adidas-m-shoe-lite-racer-adapt-50/p")</f>
        <v>https://www.als.com/adidas-m-shoe-lite-racer-adapt-50/p</v>
      </c>
      <c r="C751" t="s">
        <v>1119</v>
      </c>
      <c r="D751" t="s">
        <v>2528</v>
      </c>
      <c r="E751" s="3" t="str">
        <f>HYPERLINK("https://www.amazon.com/adidas-Mens-Racer-Running-Black/dp/B091MPYGKC/ref=sr_1_16?keywords=adidas+Lite+Racer+Adapt+5.0+Shoe+-+Mens&amp;qid=1695124407&amp;sr=8-16", "https://www.amazon.com/adidas-Mens-Racer-Running-Black/dp/B091MPYGKC/ref=sr_1_16?keywords=adidas+Lite+Racer+Adapt+5.0+Shoe+-+Mens&amp;qid=1695124407&amp;sr=8-16")</f>
        <v>https://www.amazon.com/adidas-Mens-Racer-Running-Black/dp/B091MPYGKC/ref=sr_1_16?keywords=adidas+Lite+Racer+Adapt+5.0+Shoe+-+Mens&amp;qid=1695124407&amp;sr=8-16</v>
      </c>
      <c r="F751" t="s">
        <v>2529</v>
      </c>
      <c r="G751" t="e">
        <f ca="1">IMAGE("https://alssports.vtexassets.com/arquivos/ids/1378546-800-auto?v=638248784142700000&amp;width=800&amp;height=auto&amp;aspect=true")</f>
        <v>#NAME?</v>
      </c>
      <c r="H751" t="e">
        <f ca="1">IMAGE("https://m.media-amazon.com/images/I/71cvRZf10FL._AC_UL320_.jpg")</f>
        <v>#NAME?</v>
      </c>
      <c r="I751" t="s">
        <v>274</v>
      </c>
      <c r="J751">
        <v>42.51</v>
      </c>
      <c r="K751" s="2" t="s">
        <v>2530</v>
      </c>
      <c r="L751">
        <v>4.4000000000000004</v>
      </c>
      <c r="M751">
        <v>374</v>
      </c>
      <c r="O751" t="s">
        <v>33</v>
      </c>
      <c r="P751" t="s">
        <v>26</v>
      </c>
      <c r="Q751" t="s">
        <v>1123</v>
      </c>
    </row>
    <row r="752" spans="1:17" ht="15.75" x14ac:dyDescent="0.25">
      <c r="A752" s="3" t="str">
        <f>HYPERLINK("https://www.als.com/smartw-sock-hk-lt-cush-stripe-crw-yth/p?skuId=1047536", "https://www.als.com/smartw-sock-hk-lt-cush-stripe-crw-yth/p?skuId=1047536")</f>
        <v>https://www.als.com/smartw-sock-hk-lt-cush-stripe-crw-yth/p?skuId=1047536</v>
      </c>
      <c r="B752" s="3" t="str">
        <f>HYPERLINK("https://www.als.com/smartw-sock-hk-lt-cush-stripe-crw-yth/p", "https://www.als.com/smartw-sock-hk-lt-cush-stripe-crw-yth/p")</f>
        <v>https://www.als.com/smartw-sock-hk-lt-cush-stripe-crw-yth/p</v>
      </c>
      <c r="C752" t="s">
        <v>687</v>
      </c>
      <c r="D752" t="s">
        <v>2531</v>
      </c>
      <c r="E752" s="3" t="str">
        <f>HYPERLINK("https://www.amazon.com/Smartwool-Hike-Light-Cushion-Striped/dp/B0B2XY2RB2/ref=sr_1_2?keywords=Smartwool+Hike+Light+Cushion+Striped+Crew+Sock+-+Youth&amp;qid=1695124167&amp;sr=8-2", "https://www.amazon.com/Smartwool-Hike-Light-Cushion-Striped/dp/B0B2XY2RB2/ref=sr_1_2?keywords=Smartwool+Hike+Light+Cushion+Striped+Crew+Sock+-+Youth&amp;qid=1695124167&amp;sr=8-2")</f>
        <v>https://www.amazon.com/Smartwool-Hike-Light-Cushion-Striped/dp/B0B2XY2RB2/ref=sr_1_2?keywords=Smartwool+Hike+Light+Cushion+Striped+Crew+Sock+-+Youth&amp;qid=1695124167&amp;sr=8-2</v>
      </c>
      <c r="F752" t="s">
        <v>2532</v>
      </c>
      <c r="G752" t="e">
        <f ca="1">IMAGE("https://alssports.vtexassets.com/arquivos/ids/1101855-800-auto?v=637941110184030000&amp;width=800&amp;height=auto&amp;aspect=true")</f>
        <v>#NAME?</v>
      </c>
      <c r="H752" t="e">
        <f ca="1">IMAGE("https://m.media-amazon.com/images/I/81EtRwr3anL._AC_UL320_.jpg")</f>
        <v>#NAME?</v>
      </c>
      <c r="I752" t="s">
        <v>690</v>
      </c>
      <c r="J752">
        <v>12.75</v>
      </c>
      <c r="K752" s="2" t="s">
        <v>2533</v>
      </c>
      <c r="L752">
        <v>4.3</v>
      </c>
      <c r="M752">
        <v>2</v>
      </c>
      <c r="O752" t="s">
        <v>26</v>
      </c>
      <c r="P752" t="s">
        <v>692</v>
      </c>
      <c r="Q752" t="s">
        <v>693</v>
      </c>
    </row>
    <row r="753" spans="1:17" ht="15.75" x14ac:dyDescent="0.25">
      <c r="A753" s="3" t="str">
        <f>HYPERLINK("https://www.als.com/brooks-m-shoe-hyperion/p?skuId=1327074", "https://www.als.com/brooks-m-shoe-hyperion/p?skuId=1327074")</f>
        <v>https://www.als.com/brooks-m-shoe-hyperion/p?skuId=1327074</v>
      </c>
      <c r="B753" s="3" t="str">
        <f>HYPERLINK("https://www.als.com/brooks-m-shoe-hyperion/p", "https://www.als.com/brooks-m-shoe-hyperion/p")</f>
        <v>https://www.als.com/brooks-m-shoe-hyperion/p</v>
      </c>
      <c r="C753" t="s">
        <v>571</v>
      </c>
      <c r="D753" t="s">
        <v>2534</v>
      </c>
      <c r="E753" s="3" t="str">
        <f>HYPERLINK("https://www.amazon.com/Brooks-Mens-Hyperion-Tempo-Running/dp/B094MK9KBV/ref=sr_1_1?keywords=Brooks+Hyperion+Running+Shoe+-+Men%27s&amp;qid=1695124104&amp;sr=8-1", "https://www.amazon.com/Brooks-Mens-Hyperion-Tempo-Running/dp/B094MK9KBV/ref=sr_1_1?keywords=Brooks+Hyperion+Running+Shoe+-+Men%27s&amp;qid=1695124104&amp;sr=8-1")</f>
        <v>https://www.amazon.com/Brooks-Mens-Hyperion-Tempo-Running/dp/B094MK9KBV/ref=sr_1_1?keywords=Brooks+Hyperion+Running+Shoe+-+Men%27s&amp;qid=1695124104&amp;sr=8-1</v>
      </c>
      <c r="F753" t="s">
        <v>2535</v>
      </c>
      <c r="G753" t="e">
        <f ca="1">IMAGE("https://alssports.vtexassets.com/arquivos/ids/1377944-800-auto?v=638248725248900000&amp;width=800&amp;height=auto&amp;aspect=true")</f>
        <v>#NAME?</v>
      </c>
      <c r="H753" t="e">
        <f ca="1">IMAGE("https://m.media-amazon.com/images/I/81Q6M0x7sSL._AC_UL320_.jpg")</f>
        <v>#NAME?</v>
      </c>
      <c r="I753" t="s">
        <v>119</v>
      </c>
      <c r="J753">
        <v>84.95</v>
      </c>
      <c r="K753" s="2" t="s">
        <v>2536</v>
      </c>
      <c r="L753">
        <v>4.5999999999999996</v>
      </c>
      <c r="M753">
        <v>950</v>
      </c>
      <c r="O753" t="s">
        <v>33</v>
      </c>
      <c r="P753" t="s">
        <v>26</v>
      </c>
      <c r="Q753" t="s">
        <v>575</v>
      </c>
    </row>
    <row r="754" spans="1:17" ht="15.75" x14ac:dyDescent="0.25">
      <c r="A754" s="3" t="str">
        <f>HYPERLINK("https://www.als.com/under-m-ua-hammer-d-cleats/p?skuId=1259273", "https://www.als.com/under-m-ua-hammer-d-cleats/p?skuId=1259273")</f>
        <v>https://www.als.com/under-m-ua-hammer-d-cleats/p?skuId=1259273</v>
      </c>
      <c r="B754" s="3" t="str">
        <f>HYPERLINK("https://www.als.com/under-m-ua-hammer-d-cleats/p", "https://www.als.com/under-m-ua-hammer-d-cleats/p")</f>
        <v>https://www.als.com/under-m-ua-hammer-d-cleats/p</v>
      </c>
      <c r="C754" t="s">
        <v>2537</v>
      </c>
      <c r="D754" t="s">
        <v>2538</v>
      </c>
      <c r="E754" s="3" t="str">
        <f>HYPERLINK("https://www.amazon.com/Under-Armour-Spotlight-Football-Black/dp/B093T94C5R/ref=sr_1_fkmr0_1?keywords=Under+Armour+Hammer+D+Football+Shoe+-+Mens&amp;qid=1695124323&amp;sr=8-1-fkmr0", "https://www.amazon.com/Under-Armour-Spotlight-Football-Black/dp/B093T94C5R/ref=sr_1_fkmr0_1?keywords=Under+Armour+Hammer+D+Football+Shoe+-+Mens&amp;qid=1695124323&amp;sr=8-1-fkmr0")</f>
        <v>https://www.amazon.com/Under-Armour-Spotlight-Football-Black/dp/B093T94C5R/ref=sr_1_fkmr0_1?keywords=Under+Armour+Hammer+D+Football+Shoe+-+Mens&amp;qid=1695124323&amp;sr=8-1-fkmr0</v>
      </c>
      <c r="F754" t="s">
        <v>2539</v>
      </c>
      <c r="G754" t="e">
        <f ca="1">IMAGE("https://alssports.vtexassets.com/arquivos/ids/1216561-800-auto?v=638098364562330000&amp;width=800&amp;height=auto&amp;aspect=true")</f>
        <v>#NAME?</v>
      </c>
      <c r="H754" t="e">
        <f ca="1">IMAGE("https://m.media-amazon.com/images/I/81lvflpXlXL._AC_UL320_.jpg")</f>
        <v>#NAME?</v>
      </c>
      <c r="I754" t="s">
        <v>211</v>
      </c>
      <c r="J754">
        <v>24.28</v>
      </c>
      <c r="K754" s="2" t="s">
        <v>2536</v>
      </c>
      <c r="L754">
        <v>4.5999999999999996</v>
      </c>
      <c r="M754">
        <v>1034</v>
      </c>
      <c r="O754" t="s">
        <v>33</v>
      </c>
      <c r="P754" t="s">
        <v>2540</v>
      </c>
      <c r="Q754" t="s">
        <v>2541</v>
      </c>
    </row>
    <row r="755" spans="1:17" ht="15.75" x14ac:dyDescent="0.25">
      <c r="A755" s="3" t="str">
        <f>HYPERLINK("https://www.als.com/smitho-goggle-skyline/p?skuId=1073396", "https://www.als.com/smitho-goggle-skyline/p?skuId=1073396")</f>
        <v>https://www.als.com/smitho-goggle-skyline/p?skuId=1073396</v>
      </c>
      <c r="B755" s="3" t="str">
        <f>HYPERLINK("https://www.als.com/smitho-goggle-skyline/p", "https://www.als.com/smitho-goggle-skyline/p")</f>
        <v>https://www.als.com/smitho-goggle-skyline/p</v>
      </c>
      <c r="C755" t="s">
        <v>186</v>
      </c>
      <c r="D755" t="s">
        <v>2542</v>
      </c>
      <c r="E755" s="3" t="str">
        <f>HYPERLINK("https://www.amazon.com/Smith-Womens-Vogue-Snow-Goggle/dp/B084S79LJD/ref=sr_1_16?keywords=Smith+Optics+Skyline+Snow+Goggle&amp;qid=1695124362&amp;sr=8-16", "https://www.amazon.com/Smith-Womens-Vogue-Snow-Goggle/dp/B084S79LJD/ref=sr_1_16?keywords=Smith+Optics+Skyline+Snow+Goggle&amp;qid=1695124362&amp;sr=8-16")</f>
        <v>https://www.amazon.com/Smith-Womens-Vogue-Snow-Goggle/dp/B084S79LJD/ref=sr_1_16?keywords=Smith+Optics+Skyline+Snow+Goggle&amp;qid=1695124362&amp;sr=8-16</v>
      </c>
      <c r="F755" t="s">
        <v>2543</v>
      </c>
      <c r="G755" t="e">
        <f ca="1">IMAGE("https://alssports.vtexassets.com/arquivos/ids/1173752-800-auto?v=638042496618870000&amp;width=800&amp;height=auto&amp;aspect=true")</f>
        <v>#NAME?</v>
      </c>
      <c r="H755" t="e">
        <f ca="1">IMAGE("https://m.media-amazon.com/images/I/61No86NHmNL._AC_UL320_.jpg")</f>
        <v>#NAME?</v>
      </c>
      <c r="I755" t="s">
        <v>189</v>
      </c>
      <c r="J755">
        <v>36.409999999999997</v>
      </c>
      <c r="K755" s="2" t="s">
        <v>2544</v>
      </c>
      <c r="L755">
        <v>4.5</v>
      </c>
      <c r="M755">
        <v>434</v>
      </c>
      <c r="O755" t="s">
        <v>33</v>
      </c>
      <c r="P755" t="s">
        <v>191</v>
      </c>
      <c r="Q755" t="s">
        <v>192</v>
      </c>
    </row>
    <row r="756" spans="1:17" ht="15.75" x14ac:dyDescent="0.25">
      <c r="A756" s="3" t="str">
        <f>HYPERLINK("https://www.als.com/columbia-double-trouble-reversible-jacket-toddler-124814/p?skuId=1245039", "https://www.als.com/columbia-double-trouble-reversible-jacket-toddler-124814/p?skuId=1245039")</f>
        <v>https://www.als.com/columbia-double-trouble-reversible-jacket-toddler-124814/p?skuId=1245039</v>
      </c>
      <c r="B756" s="3" t="str">
        <f>HYPERLINK("https://www.als.com/columbia-double-trouble-reversible-jacket-toddler-124814/p", "https://www.als.com/columbia-double-trouble-reversible-jacket-toddler-124814/p")</f>
        <v>https://www.als.com/columbia-double-trouble-reversible-jacket-toddler-124814/p</v>
      </c>
      <c r="C756" t="s">
        <v>822</v>
      </c>
      <c r="D756" t="s">
        <v>2545</v>
      </c>
      <c r="E756" s="3" t="str">
        <f>HYPERLINK("https://www.amazon.com/Columbia-Double-Trouble-Jacket-Mountain/dp/B09KMCS1X4/ref=sr_1_12?keywords=Columbia+Double+Trouble+Reversible+Jacket+-+Toddler&amp;qid=1695124350&amp;sr=8-12", "https://www.amazon.com/Columbia-Double-Trouble-Jacket-Mountain/dp/B09KMCS1X4/ref=sr_1_12?keywords=Columbia+Double+Trouble+Reversible+Jacket+-+Toddler&amp;qid=1695124350&amp;sr=8-12")</f>
        <v>https://www.amazon.com/Columbia-Double-Trouble-Jacket-Mountain/dp/B09KMCS1X4/ref=sr_1_12?keywords=Columbia+Double+Trouble+Reversible+Jacket+-+Toddler&amp;qid=1695124350&amp;sr=8-12</v>
      </c>
      <c r="F756" t="s">
        <v>2546</v>
      </c>
      <c r="G756" t="e">
        <f ca="1">IMAGE("https://alssports.vtexassets.com/arquivos/ids/1182239-800-auto?v=638052779051930000&amp;width=800&amp;height=auto&amp;aspect=true")</f>
        <v>#NAME?</v>
      </c>
      <c r="H756" t="e">
        <f ca="1">IMAGE("https://m.media-amazon.com/images/I/61llR6dXdbL._AC_UL320_.jpg")</f>
        <v>#NAME?</v>
      </c>
      <c r="I756" t="s">
        <v>825</v>
      </c>
      <c r="J756">
        <v>33.96</v>
      </c>
      <c r="K756" s="2" t="s">
        <v>2547</v>
      </c>
      <c r="L756">
        <v>5</v>
      </c>
      <c r="M756">
        <v>9</v>
      </c>
      <c r="O756" t="s">
        <v>33</v>
      </c>
      <c r="P756" t="s">
        <v>827</v>
      </c>
      <c r="Q756" t="s">
        <v>828</v>
      </c>
    </row>
    <row r="757" spans="1:17" ht="15.75" x14ac:dyDescent="0.25">
      <c r="A757" s="3" t="str">
        <f>HYPERLINK("https://www.als.com/owala-bottle-free-sip-32-oz/p?skuId=1326138", "https://www.als.com/owala-bottle-free-sip-32-oz/p?skuId=1326138")</f>
        <v>https://www.als.com/owala-bottle-free-sip-32-oz/p?skuId=1326138</v>
      </c>
      <c r="B757" s="3" t="str">
        <f>HYPERLINK("https://www.als.com/owala-bottle-free-sip-32-oz/p", "https://www.als.com/owala-bottle-free-sip-32-oz/p")</f>
        <v>https://www.als.com/owala-bottle-free-sip-32-oz/p</v>
      </c>
      <c r="C757" t="s">
        <v>459</v>
      </c>
      <c r="D757" t="s">
        <v>2548</v>
      </c>
      <c r="E757" s="3" t="str">
        <f>HYPERLINK("https://www.amazon.com/Funkrin-Insulated-Water-Bottle-32oz/dp/B0BXMNFDGT/ref=sr_1_32?keywords=Owala+FreeSip+Stainless+Steel+Water+Bottle+-+32oz&amp;qid=1695124104&amp;sr=8-32", "https://www.amazon.com/Funkrin-Insulated-Water-Bottle-32oz/dp/B0BXMNFDGT/ref=sr_1_32?keywords=Owala+FreeSip+Stainless+Steel+Water+Bottle+-+32oz&amp;qid=1695124104&amp;sr=8-32")</f>
        <v>https://www.amazon.com/Funkrin-Insulated-Water-Bottle-32oz/dp/B0BXMNFDGT/ref=sr_1_32?keywords=Owala+FreeSip+Stainless+Steel+Water+Bottle+-+32oz&amp;qid=1695124104&amp;sr=8-32</v>
      </c>
      <c r="F757" t="s">
        <v>2549</v>
      </c>
      <c r="G757" t="e">
        <f ca="1">IMAGE("https://alssports.vtexassets.com/arquivos/ids/1355955-800-auto?v=638230513195900000&amp;width=800&amp;height=auto&amp;aspect=true")</f>
        <v>#NAME?</v>
      </c>
      <c r="H757" t="e">
        <f ca="1">IMAGE("https://m.media-amazon.com/images/I/515sp-nzZML._AC_UL320_.jpg")</f>
        <v>#NAME?</v>
      </c>
      <c r="I757" t="s">
        <v>462</v>
      </c>
      <c r="J757">
        <v>19.989999999999998</v>
      </c>
      <c r="K757" s="2" t="s">
        <v>2550</v>
      </c>
      <c r="L757">
        <v>4.7</v>
      </c>
      <c r="M757">
        <v>174</v>
      </c>
      <c r="O757" t="s">
        <v>33</v>
      </c>
      <c r="P757" t="s">
        <v>26</v>
      </c>
      <c r="Q757" t="s">
        <v>464</v>
      </c>
    </row>
    <row r="758" spans="1:17" ht="15.75" x14ac:dyDescent="0.25">
      <c r="A758" s="3" t="str">
        <f>HYPERLINK("https://www.als.com/altra-w-shoe-timp-4/p?skuId=929220", "https://www.als.com/altra-w-shoe-timp-4/p?skuId=929220")</f>
        <v>https://www.als.com/altra-w-shoe-timp-4/p?skuId=929220</v>
      </c>
      <c r="B758" s="3" t="str">
        <f>HYPERLINK("https://www.als.com/altra-w-shoe-timp-4/p", "https://www.als.com/altra-w-shoe-timp-4/p")</f>
        <v>https://www.als.com/altra-w-shoe-timp-4/p</v>
      </c>
      <c r="C758" t="s">
        <v>829</v>
      </c>
      <c r="D758" t="s">
        <v>2551</v>
      </c>
      <c r="E758" s="3" t="str">
        <f>HYPERLINK("https://www.amazon.com/ALTRA-Womens-AL0A7R72-Outroad-Running/dp/B09Q77ZWT8/ref=sr_1_5?keywords=Altra+Timp+4+Running+Shoe+-+Womens&amp;qid=1695124369&amp;sr=8-5", "https://www.amazon.com/ALTRA-Womens-AL0A7R72-Outroad-Running/dp/B09Q77ZWT8/ref=sr_1_5?keywords=Altra+Timp+4+Running+Shoe+-+Womens&amp;qid=1695124369&amp;sr=8-5")</f>
        <v>https://www.amazon.com/ALTRA-Womens-AL0A7R72-Outroad-Running/dp/B09Q77ZWT8/ref=sr_1_5?keywords=Altra+Timp+4+Running+Shoe+-+Womens&amp;qid=1695124369&amp;sr=8-5</v>
      </c>
      <c r="F758" t="s">
        <v>2552</v>
      </c>
      <c r="G758" t="e">
        <f ca="1">IMAGE("https://alssports.vtexassets.com/arquivos/ids/1112796-800-auto?v=637957454637830000&amp;width=800&amp;height=auto&amp;aspect=true")</f>
        <v>#NAME?</v>
      </c>
      <c r="H758" t="e">
        <f ca="1">IMAGE("https://m.media-amazon.com/images/I/61RImQFZYkL._AC_UL320_.jpg")</f>
        <v>#NAME?</v>
      </c>
      <c r="I758" t="s">
        <v>88</v>
      </c>
      <c r="J758">
        <v>96.76</v>
      </c>
      <c r="K758" s="2" t="s">
        <v>2553</v>
      </c>
      <c r="L758">
        <v>4.2</v>
      </c>
      <c r="M758">
        <v>126</v>
      </c>
      <c r="O758" t="s">
        <v>33</v>
      </c>
      <c r="P758" t="s">
        <v>832</v>
      </c>
      <c r="Q758" t="s">
        <v>833</v>
      </c>
    </row>
    <row r="759" spans="1:17" ht="15.75" x14ac:dyDescent="0.25">
      <c r="A759" s="3" t="str">
        <f>HYPERLINK("https://www.als.com/solstc-kayak-flare-2-inflatable/p", "https://www.als.com/solstc-kayak-flare-2-inflatable/p")</f>
        <v>https://www.als.com/solstc-kayak-flare-2-inflatable/p</v>
      </c>
      <c r="B759" s="3" t="str">
        <f>HYPERLINK("https://www.als.com/solstc-kayak-flare-2-inflatable/p", "https://www.als.com/solstc-kayak-flare-2-inflatable/p")</f>
        <v>https://www.als.com/solstc-kayak-flare-2-inflatable/p</v>
      </c>
      <c r="C759" t="s">
        <v>2156</v>
      </c>
      <c r="D759" t="s">
        <v>2554</v>
      </c>
      <c r="E759" s="3" t="str">
        <f>HYPERLINK("https://www.amazon.com/Elkton-Outdoors-Cormorant-Inflatable-Aluminum/dp/B07B8SS3L5/ref=sr_1_13?keywords=Solstice+Flare+1-2+Person+Inflatable+Kayak&amp;qid=1695124327&amp;sr=8-13", "https://www.amazon.com/Elkton-Outdoors-Cormorant-Inflatable-Aluminum/dp/B07B8SS3L5/ref=sr_1_13?keywords=Solstice+Flare+1-2+Person+Inflatable+Kayak&amp;qid=1695124327&amp;sr=8-13")</f>
        <v>https://www.amazon.com/Elkton-Outdoors-Cormorant-Inflatable-Aluminum/dp/B07B8SS3L5/ref=sr_1_13?keywords=Solstice+Flare+1-2+Person+Inflatable+Kayak&amp;qid=1695124327&amp;sr=8-13</v>
      </c>
      <c r="F759" t="s">
        <v>2555</v>
      </c>
      <c r="G759" t="e">
        <f ca="1">IMAGE("https://alssports.vtexassets.com/arquivos/ids/1412193-800-auto?v=638271061065300000&amp;width=800&amp;height=auto&amp;aspect=true")</f>
        <v>#NAME?</v>
      </c>
      <c r="H759" t="e">
        <f ca="1">IMAGE("https://m.media-amazon.com/images/I/71Bhi0X8+yL._AC_UY218_.jpg")</f>
        <v>#NAME?</v>
      </c>
      <c r="I759" t="s">
        <v>2159</v>
      </c>
      <c r="J759">
        <v>399.99</v>
      </c>
      <c r="K759" s="2" t="s">
        <v>2556</v>
      </c>
      <c r="L759">
        <v>4.0999999999999996</v>
      </c>
      <c r="M759">
        <v>101</v>
      </c>
      <c r="O759" t="s">
        <v>33</v>
      </c>
      <c r="P759" t="s">
        <v>26</v>
      </c>
      <c r="Q759" t="s">
        <v>2161</v>
      </c>
    </row>
    <row r="760" spans="1:17" ht="15.75" x14ac:dyDescent="0.25">
      <c r="A760" s="3" t="str">
        <f>HYPERLINK("https://www.als.com/owala-bottle-free-sip-32-oz/p?skuId=1326138", "https://www.als.com/owala-bottle-free-sip-32-oz/p?skuId=1326138")</f>
        <v>https://www.als.com/owala-bottle-free-sip-32-oz/p?skuId=1326138</v>
      </c>
      <c r="B760" s="3" t="str">
        <f>HYPERLINK("https://www.als.com/owala-bottle-free-sip-32-oz/p", "https://www.als.com/owala-bottle-free-sip-32-oz/p")</f>
        <v>https://www.als.com/owala-bottle-free-sip-32-oz/p</v>
      </c>
      <c r="C760" t="s">
        <v>459</v>
      </c>
      <c r="D760" t="s">
        <v>2557</v>
      </c>
      <c r="E760" s="3" t="str">
        <f>HYPERLINK("https://www.amazon.com/Contigo-Vacuum-Insulated-Stainless-Technology-Leak-Proof/dp/B0BSVMYC5N/ref=sr_1_37?keywords=Owala+FreeSip+Stainless+Steel+Water+Bottle+-+32oz&amp;qid=1695124104&amp;sr=8-37", "https://www.amazon.com/Contigo-Vacuum-Insulated-Stainless-Technology-Leak-Proof/dp/B0BSVMYC5N/ref=sr_1_37?keywords=Owala+FreeSip+Stainless+Steel+Water+Bottle+-+32oz&amp;qid=1695124104&amp;sr=8-37")</f>
        <v>https://www.amazon.com/Contigo-Vacuum-Insulated-Stainless-Technology-Leak-Proof/dp/B0BSVMYC5N/ref=sr_1_37?keywords=Owala+FreeSip+Stainless+Steel+Water+Bottle+-+32oz&amp;qid=1695124104&amp;sr=8-37</v>
      </c>
      <c r="F760" t="s">
        <v>2558</v>
      </c>
      <c r="G760" t="e">
        <f ca="1">IMAGE("https://alssports.vtexassets.com/arquivos/ids/1355955-800-auto?v=638230513195900000&amp;width=800&amp;height=auto&amp;aspect=true")</f>
        <v>#NAME?</v>
      </c>
      <c r="H760" t="e">
        <f ca="1">IMAGE("https://m.media-amazon.com/images/I/51LEWLdm7bL._AC_UL320_.jpg")</f>
        <v>#NAME?</v>
      </c>
      <c r="I760" t="s">
        <v>462</v>
      </c>
      <c r="J760">
        <v>19.89</v>
      </c>
      <c r="K760" s="2" t="s">
        <v>2559</v>
      </c>
      <c r="L760">
        <v>4.5</v>
      </c>
      <c r="M760">
        <v>4281</v>
      </c>
      <c r="O760" t="s">
        <v>33</v>
      </c>
      <c r="P760" t="s">
        <v>26</v>
      </c>
      <c r="Q760" t="s">
        <v>464</v>
      </c>
    </row>
    <row r="761" spans="1:17" ht="15.75" x14ac:dyDescent="0.25">
      <c r="A761" s="3" t="str">
        <f>HYPERLINK("https://www.als.com/hydrof-press-in-straw-lid/p?skuId=573668", "https://www.als.com/hydrof-press-in-straw-lid/p?skuId=573668")</f>
        <v>https://www.als.com/hydrof-press-in-straw-lid/p?skuId=573668</v>
      </c>
      <c r="B761" s="3" t="str">
        <f>HYPERLINK("https://www.als.com/hydrof-press-in-straw-lid/p", "https://www.als.com/hydrof-press-in-straw-lid/p")</f>
        <v>https://www.als.com/hydrof-press-in-straw-lid/p</v>
      </c>
      <c r="C761" t="s">
        <v>2254</v>
      </c>
      <c r="D761" t="s">
        <v>2560</v>
      </c>
      <c r="E761" s="3" t="str">
        <f>HYPERLINK("https://www.amazon.com/Standard-Bottle-Improved-Replacement-Insulated/dp/B07KYZ3CYG/ref=sr_1_23?keywords=Hydro+Flask+Press-in+Straw+Lid&amp;qid=1695124484&amp;sr=8-23", "https://www.amazon.com/Standard-Bottle-Improved-Replacement-Insulated/dp/B07KYZ3CYG/ref=sr_1_23?keywords=Hydro+Flask+Press-in+Straw+Lid&amp;qid=1695124484&amp;sr=8-23")</f>
        <v>https://www.amazon.com/Standard-Bottle-Improved-Replacement-Insulated/dp/B07KYZ3CYG/ref=sr_1_23?keywords=Hydro+Flask+Press-in+Straw+Lid&amp;qid=1695124484&amp;sr=8-23</v>
      </c>
      <c r="F761" t="s">
        <v>2561</v>
      </c>
      <c r="G761" t="e">
        <f ca="1">IMAGE("https://alssports.vtexassets.com/arquivos/ids/1008627-800-auto?v=637810977568700000&amp;width=800&amp;height=auto&amp;aspect=true")</f>
        <v>#NAME?</v>
      </c>
      <c r="H761" t="e">
        <f ca="1">IMAGE("https://m.media-amazon.com/images/I/71CCKpDmtFL._AC_UL320_.jpg")</f>
        <v>#NAME?</v>
      </c>
      <c r="I761" t="s">
        <v>1528</v>
      </c>
      <c r="J761">
        <v>5.99</v>
      </c>
      <c r="K761" s="2" t="s">
        <v>2562</v>
      </c>
      <c r="L761">
        <v>4.5</v>
      </c>
      <c r="M761">
        <v>5050</v>
      </c>
      <c r="O761" t="s">
        <v>33</v>
      </c>
      <c r="P761" t="s">
        <v>26</v>
      </c>
      <c r="Q761" t="s">
        <v>2258</v>
      </c>
    </row>
    <row r="762" spans="1:17" ht="15.75" x14ac:dyDescent="0.25">
      <c r="A762" s="3" t="str">
        <f>HYPERLINK("https://www.als.com/reef-w-sandals-cushion-vista-hi/p?skuId=1280794", "https://www.als.com/reef-w-sandals-cushion-vista-hi/p?skuId=1280794")</f>
        <v>https://www.als.com/reef-w-sandals-cushion-vista-hi/p?skuId=1280794</v>
      </c>
      <c r="B762" s="3" t="str">
        <f>HYPERLINK("https://www.als.com/reef-w-sandals-cushion-vista-hi/p", "https://www.als.com/reef-w-sandals-cushion-vista-hi/p")</f>
        <v>https://www.als.com/reef-w-sandals-cushion-vista-hi/p</v>
      </c>
      <c r="C762" t="s">
        <v>960</v>
      </c>
      <c r="D762" t="s">
        <v>2563</v>
      </c>
      <c r="E762" s="3" t="str">
        <f>HYPERLINK("https://www.amazon.com/Reef-Womens-Sandals-Cushion-Vintage/dp/B08BG2D6K4/ref=sr_1_12?keywords=REEF+Cushion+Vista+HI+Slide+-+Women%27s&amp;qid=1695124489&amp;sr=8-12", "https://www.amazon.com/Reef-Womens-Sandals-Cushion-Vintage/dp/B08BG2D6K4/ref=sr_1_12?keywords=REEF+Cushion+Vista+HI+Slide+-+Women%27s&amp;qid=1695124489&amp;sr=8-12")</f>
        <v>https://www.amazon.com/Reef-Womens-Sandals-Cushion-Vintage/dp/B08BG2D6K4/ref=sr_1_12?keywords=REEF+Cushion+Vista+HI+Slide+-+Women%27s&amp;qid=1695124489&amp;sr=8-12</v>
      </c>
      <c r="F762" t="s">
        <v>2564</v>
      </c>
      <c r="G762" t="e">
        <f ca="1">IMAGE("https://alssports.vtexassets.com/arquivos/ids/1252015-800-auto?v=638131199167330000&amp;width=800&amp;height=auto&amp;aspect=true")</f>
        <v>#NAME?</v>
      </c>
      <c r="H762" t="e">
        <f ca="1">IMAGE("https://m.media-amazon.com/images/I/61-JQa-1+6L._AC_UL320_.jpg")</f>
        <v>#NAME?</v>
      </c>
      <c r="I762" t="s">
        <v>58</v>
      </c>
      <c r="J762">
        <v>39</v>
      </c>
      <c r="K762" s="2" t="s">
        <v>2565</v>
      </c>
      <c r="L762">
        <v>3.9</v>
      </c>
      <c r="M762">
        <v>29</v>
      </c>
      <c r="O762" t="s">
        <v>33</v>
      </c>
      <c r="P762" t="s">
        <v>26</v>
      </c>
      <c r="Q762" t="s">
        <v>963</v>
      </c>
    </row>
    <row r="763" spans="1:17" ht="15.75" x14ac:dyDescent="0.25">
      <c r="A763" s="3" t="str">
        <f>HYPERLINK("https://www.als.com/teva-m-sandal-hurricane-xlt2/p?skuId=398840", "https://www.als.com/teva-m-sandal-hurricane-xlt2/p?skuId=398840")</f>
        <v>https://www.als.com/teva-m-sandal-hurricane-xlt2/p?skuId=398840</v>
      </c>
      <c r="B763" s="3" t="str">
        <f>HYPERLINK("https://www.als.com/teva-m-sandal-hurricane-xlt2/p", "https://www.als.com/teva-m-sandal-hurricane-xlt2/p")</f>
        <v>https://www.als.com/teva-m-sandal-hurricane-xlt2/p</v>
      </c>
      <c r="C763" t="s">
        <v>37</v>
      </c>
      <c r="D763" t="s">
        <v>2566</v>
      </c>
      <c r="E763" s="3" t="str">
        <f>HYPERLINK("https://www.amazon.com/Teva-Hurricane-Drift-Huemix-Sandal/dp/B0B5LXPCYS/ref=sr_1_18?keywords=Teva+Hurricane+XLT2+Sandal+-+Men%27s&amp;qid=1695124141&amp;sr=8-18", "https://www.amazon.com/Teva-Hurricane-Drift-Huemix-Sandal/dp/B0B5LXPCYS/ref=sr_1_18?keywords=Teva+Hurricane+XLT2+Sandal+-+Men%27s&amp;qid=1695124141&amp;sr=8-18")</f>
        <v>https://www.amazon.com/Teva-Hurricane-Drift-Huemix-Sandal/dp/B0B5LXPCYS/ref=sr_1_18?keywords=Teva+Hurricane+XLT2+Sandal+-+Men%27s&amp;qid=1695124141&amp;sr=8-18</v>
      </c>
      <c r="F763" t="s">
        <v>2567</v>
      </c>
      <c r="G763" t="e">
        <f ca="1">IMAGE("https://alssports.vtexassets.com/arquivos/ids/1220918-800-auto?v=638102154417000000&amp;width=800&amp;height=auto&amp;aspect=true")</f>
        <v>#NAME?</v>
      </c>
      <c r="H763" t="e">
        <f ca="1">IMAGE("https://m.media-amazon.com/images/I/51NQduOsjaL._AC_UL320_.jpg")</f>
        <v>#NAME?</v>
      </c>
      <c r="I763" t="s">
        <v>40</v>
      </c>
      <c r="J763">
        <v>45</v>
      </c>
      <c r="K763" s="2" t="s">
        <v>2568</v>
      </c>
      <c r="L763">
        <v>3</v>
      </c>
      <c r="M763">
        <v>6</v>
      </c>
      <c r="O763" t="s">
        <v>33</v>
      </c>
      <c r="P763" t="s">
        <v>26</v>
      </c>
      <c r="Q763" t="s">
        <v>41</v>
      </c>
    </row>
    <row r="764" spans="1:17" ht="15.75" x14ac:dyDescent="0.25">
      <c r="A764" s="3" t="str">
        <f>HYPERLINK("https://www.als.com/sal-sh-m-shoe-speedcross-6/p?skuId=1067283", "https://www.als.com/sal-sh-m-shoe-speedcross-6/p?skuId=1067283")</f>
        <v>https://www.als.com/sal-sh-m-shoe-speedcross-6/p?skuId=1067283</v>
      </c>
      <c r="B764" s="3" t="str">
        <f>HYPERLINK("https://www.als.com/sal-sh-m-shoe-speedcross-6/p", "https://www.als.com/sal-sh-m-shoe-speedcross-6/p")</f>
        <v>https://www.als.com/sal-sh-m-shoe-speedcross-6/p</v>
      </c>
      <c r="C764" t="s">
        <v>547</v>
      </c>
      <c r="D764" t="s">
        <v>2569</v>
      </c>
      <c r="E764" s="3" t="str">
        <f>HYPERLINK("https://www.amazon.com/Salomon-ALPHACROSS-Blast-Size-Black/dp/B07Z5GBLSW/ref=sr_1_23?keywords=Salomon+Speedcross+6+Trail+Running+Shoe+-+Men%27s&amp;qid=1695124304&amp;sr=8-23", "https://www.amazon.com/Salomon-ALPHACROSS-Blast-Size-Black/dp/B07Z5GBLSW/ref=sr_1_23?keywords=Salomon+Speedcross+6+Trail+Running+Shoe+-+Men%27s&amp;qid=1695124304&amp;sr=8-23")</f>
        <v>https://www.amazon.com/Salomon-ALPHACROSS-Blast-Size-Black/dp/B07Z5GBLSW/ref=sr_1_23?keywords=Salomon+Speedcross+6+Trail+Running+Shoe+-+Men%27s&amp;qid=1695124304&amp;sr=8-23</v>
      </c>
      <c r="F764" t="s">
        <v>2570</v>
      </c>
      <c r="G764" t="e">
        <f ca="1">IMAGE("https://alssports.vtexassets.com/arquivos/ids/1132465-800-auto?v=637986345574970000&amp;width=800&amp;height=auto&amp;aspect=true")</f>
        <v>#NAME?</v>
      </c>
      <c r="H764" t="e">
        <f ca="1">IMAGE("https://m.media-amazon.com/images/I/51oGUZRj6-S._AC_UL320_.jpg")</f>
        <v>#NAME?</v>
      </c>
      <c r="I764" t="s">
        <v>550</v>
      </c>
      <c r="J764">
        <v>87</v>
      </c>
      <c r="K764" s="2" t="s">
        <v>2571</v>
      </c>
      <c r="L764">
        <v>4.4000000000000004</v>
      </c>
      <c r="M764">
        <v>349</v>
      </c>
      <c r="O764" t="s">
        <v>33</v>
      </c>
      <c r="P764" t="s">
        <v>552</v>
      </c>
      <c r="Q764" t="s">
        <v>553</v>
      </c>
    </row>
    <row r="765" spans="1:17" ht="15.75" x14ac:dyDescent="0.25">
      <c r="A765" s="3" t="str">
        <f>HYPERLINK("https://www.als.com/bearar-bow-alaskan/p?skuId=969734", "https://www.als.com/bearar-bow-alaskan/p?skuId=969734")</f>
        <v>https://www.als.com/bearar-bow-alaskan/p?skuId=969734</v>
      </c>
      <c r="B765" s="3" t="str">
        <f>HYPERLINK("https://www.als.com/bearar-bow-alaskan/p", "https://www.als.com/bearar-bow-alaskan/p")</f>
        <v>https://www.als.com/bearar-bow-alaskan/p</v>
      </c>
      <c r="C765" t="s">
        <v>657</v>
      </c>
      <c r="D765" t="s">
        <v>2572</v>
      </c>
      <c r="E765" s="3" t="str">
        <f>HYPERLINK("https://www.amazon.com/Bear-Archery-Royale-Compound-Weight/dp/B07YQ3DJSG/ref=sr_1_19?keywords=Bear+Archery+Alaskan+Compound+Bow&amp;qid=1695124371&amp;sr=8-19", "https://www.amazon.com/Bear-Archery-Royale-Compound-Weight/dp/B07YQ3DJSG/ref=sr_1_19?keywords=Bear+Archery+Alaskan+Compound+Bow&amp;qid=1695124371&amp;sr=8-19")</f>
        <v>https://www.amazon.com/Bear-Archery-Royale-Compound-Weight/dp/B07YQ3DJSG/ref=sr_1_19?keywords=Bear+Archery+Alaskan+Compound+Bow&amp;qid=1695124371&amp;sr=8-19</v>
      </c>
      <c r="F765" t="s">
        <v>2573</v>
      </c>
      <c r="G765" t="e">
        <f ca="1">IMAGE("https://alssports.vtexassets.com/arquivos/ids/976192-800-auto?v=637754664177730000&amp;width=800&amp;height=auto&amp;aspect=true")</f>
        <v>#NAME?</v>
      </c>
      <c r="H765" t="e">
        <f ca="1">IMAGE("https://m.media-amazon.com/images/I/61bm0Z7APYL._AC_UL320_.jpg")</f>
        <v>#NAME?</v>
      </c>
      <c r="I765" t="s">
        <v>660</v>
      </c>
      <c r="J765">
        <v>269.99</v>
      </c>
      <c r="K765" s="2" t="s">
        <v>2574</v>
      </c>
      <c r="L765">
        <v>4.7</v>
      </c>
      <c r="M765">
        <v>394</v>
      </c>
      <c r="O765" t="s">
        <v>33</v>
      </c>
      <c r="P765" t="s">
        <v>661</v>
      </c>
      <c r="Q765" t="s">
        <v>662</v>
      </c>
    </row>
    <row r="766" spans="1:17" ht="15.75" x14ac:dyDescent="0.25">
      <c r="A766" s="3" t="str">
        <f>HYPERLINK("https://www.als.com/smitho-helmet-wilder-jr-mips/p?skuId=1277864", "https://www.als.com/smitho-helmet-wilder-jr-mips/p?skuId=1277864")</f>
        <v>https://www.als.com/smitho-helmet-wilder-jr-mips/p?skuId=1277864</v>
      </c>
      <c r="B766" s="3" t="str">
        <f>HYPERLINK("https://www.als.com/smitho-helmet-wilder-jr-mips/p", "https://www.als.com/smitho-helmet-wilder-jr-mips/p")</f>
        <v>https://www.als.com/smitho-helmet-wilder-jr-mips/p</v>
      </c>
      <c r="C766" t="s">
        <v>864</v>
      </c>
      <c r="D766" t="s">
        <v>2575</v>
      </c>
      <c r="E766" s="3" t="str">
        <f>HYPERLINK("https://www.amazon.com/Smith-Wilder-Mountain-Helmet-Youth/dp/B096YLQ15F/ref=sr_1_2?keywords=Smith+Optics+Wilder+Jr.+Helmet+w%2F+MIPS+-+Youth&amp;qid=1695124108&amp;sr=8-2", "https://www.amazon.com/Smith-Wilder-Mountain-Helmet-Youth/dp/B096YLQ15F/ref=sr_1_2?keywords=Smith+Optics+Wilder+Jr.+Helmet+w%2F+MIPS+-+Youth&amp;qid=1695124108&amp;sr=8-2")</f>
        <v>https://www.amazon.com/Smith-Wilder-Mountain-Helmet-Youth/dp/B096YLQ15F/ref=sr_1_2?keywords=Smith+Optics+Wilder+Jr.+Helmet+w%2F+MIPS+-+Youth&amp;qid=1695124108&amp;sr=8-2</v>
      </c>
      <c r="F766" t="s">
        <v>2576</v>
      </c>
      <c r="G766" t="e">
        <f ca="1">IMAGE("https://alssports.vtexassets.com/arquivos/ids/1210653-800-auto?v=638090917714800000&amp;width=800&amp;height=auto&amp;aspect=true")</f>
        <v>#NAME?</v>
      </c>
      <c r="H766" t="e">
        <f ca="1">IMAGE("https://m.media-amazon.com/images/I/611e74uV3SL._AC_UL320_.jpg")</f>
        <v>#NAME?</v>
      </c>
      <c r="I766" t="s">
        <v>63</v>
      </c>
      <c r="J766">
        <v>44.99</v>
      </c>
      <c r="K766" s="2" t="s">
        <v>2577</v>
      </c>
      <c r="L766">
        <v>4.9000000000000004</v>
      </c>
      <c r="M766">
        <v>16</v>
      </c>
      <c r="O766" t="s">
        <v>33</v>
      </c>
      <c r="P766" t="s">
        <v>26</v>
      </c>
      <c r="Q766" t="s">
        <v>868</v>
      </c>
    </row>
    <row r="767" spans="1:17" ht="15.75" x14ac:dyDescent="0.25">
      <c r="A767" s="3" t="str">
        <f>HYPERLINK("https://www.als.com/teva-m-sandal-hurricane-xlt2/p?skuId=398840", "https://www.als.com/teva-m-sandal-hurricane-xlt2/p?skuId=398840")</f>
        <v>https://www.als.com/teva-m-sandal-hurricane-xlt2/p?skuId=398840</v>
      </c>
      <c r="B767" s="3" t="str">
        <f>HYPERLINK("https://www.als.com/teva-m-sandal-hurricane-xlt2/p", "https://www.als.com/teva-m-sandal-hurricane-xlt2/p")</f>
        <v>https://www.als.com/teva-m-sandal-hurricane-xlt2/p</v>
      </c>
      <c r="C767" t="s">
        <v>37</v>
      </c>
      <c r="D767" t="s">
        <v>2578</v>
      </c>
      <c r="E767" s="3" t="str">
        <f>HYPERLINK("https://www.amazon.com/Teva-Hurricane-Drift-Sandal-Sport/dp/B097T8C5YX/ref=sr_1_3?keywords=Teva+Hurricane+XLT2+Sandal+-+Men%27s&amp;qid=1695124141&amp;sr=8-3", "https://www.amazon.com/Teva-Hurricane-Drift-Sandal-Sport/dp/B097T8C5YX/ref=sr_1_3?keywords=Teva+Hurricane+XLT2+Sandal+-+Men%27s&amp;qid=1695124141&amp;sr=8-3")</f>
        <v>https://www.amazon.com/Teva-Hurricane-Drift-Sandal-Sport/dp/B097T8C5YX/ref=sr_1_3?keywords=Teva+Hurricane+XLT2+Sandal+-+Men%27s&amp;qid=1695124141&amp;sr=8-3</v>
      </c>
      <c r="F767" t="s">
        <v>2579</v>
      </c>
      <c r="G767" t="e">
        <f ca="1">IMAGE("https://alssports.vtexassets.com/arquivos/ids/1220918-800-auto?v=638102154417000000&amp;width=800&amp;height=auto&amp;aspect=true")</f>
        <v>#NAME?</v>
      </c>
      <c r="H767" t="e">
        <f ca="1">IMAGE("https://m.media-amazon.com/images/I/51cZpd24qmL._AC_UL320_.jpg")</f>
        <v>#NAME?</v>
      </c>
      <c r="I767" t="s">
        <v>40</v>
      </c>
      <c r="J767">
        <v>44.95</v>
      </c>
      <c r="K767" s="2" t="s">
        <v>2580</v>
      </c>
      <c r="L767">
        <v>4.2</v>
      </c>
      <c r="M767">
        <v>299</v>
      </c>
      <c r="O767" t="s">
        <v>33</v>
      </c>
      <c r="P767" t="s">
        <v>26</v>
      </c>
      <c r="Q767" t="s">
        <v>41</v>
      </c>
    </row>
    <row r="768" spans="1:17" ht="15.75" x14ac:dyDescent="0.25">
      <c r="A768" s="3" t="str">
        <f>HYPERLINK("https://www.als.com/scott-glove-ultimate-warm/p?skuId=549897", "https://www.als.com/scott-glove-ultimate-warm/p?skuId=549897")</f>
        <v>https://www.als.com/scott-glove-ultimate-warm/p?skuId=549897</v>
      </c>
      <c r="B768" s="3" t="str">
        <f>HYPERLINK("https://www.als.com/scott-glove-ultimate-warm/p", "https://www.als.com/scott-glove-ultimate-warm/p")</f>
        <v>https://www.als.com/scott-glove-ultimate-warm/p</v>
      </c>
      <c r="C768" t="s">
        <v>1393</v>
      </c>
      <c r="D768" t="s">
        <v>2581</v>
      </c>
      <c r="E768" s="3" t="str">
        <f>HYPERLINK("https://www.amazon.com/SCOTT-Ws-Ultimate-Warm-Glove/dp/B08XFFWP8S/ref=sr_1_3?keywords=Scott+Ultimate+Warm+Glove+-+Mens&amp;qid=1695124361&amp;sr=8-3", "https://www.amazon.com/SCOTT-Ws-Ultimate-Warm-Glove/dp/B08XFFWP8S/ref=sr_1_3?keywords=Scott+Ultimate+Warm+Glove+-+Mens&amp;qid=1695124361&amp;sr=8-3")</f>
        <v>https://www.amazon.com/SCOTT-Ws-Ultimate-Warm-Glove/dp/B08XFFWP8S/ref=sr_1_3?keywords=Scott+Ultimate+Warm+Glove+-+Mens&amp;qid=1695124361&amp;sr=8-3</v>
      </c>
      <c r="F768" t="s">
        <v>2582</v>
      </c>
      <c r="G768" t="e">
        <f ca="1">IMAGE("https://alssports.vtexassets.com/arquivos/ids/1173949-800-auto?v=638043077543230000&amp;width=800&amp;height=auto&amp;aspect=true")</f>
        <v>#NAME?</v>
      </c>
      <c r="H768" t="e">
        <f ca="1">IMAGE("https://m.media-amazon.com/images/I/71uE6eEyK0L._AC_UL320_.jpg")</f>
        <v>#NAME?</v>
      </c>
      <c r="I768" t="s">
        <v>1396</v>
      </c>
      <c r="J768">
        <v>16.77</v>
      </c>
      <c r="K768" s="2" t="s">
        <v>2583</v>
      </c>
      <c r="L768">
        <v>3.5</v>
      </c>
      <c r="M768">
        <v>3</v>
      </c>
      <c r="O768" t="s">
        <v>33</v>
      </c>
      <c r="P768" t="s">
        <v>140</v>
      </c>
      <c r="Q768" t="s">
        <v>1398</v>
      </c>
    </row>
    <row r="769" spans="1:17" ht="15.75" x14ac:dyDescent="0.25">
      <c r="A769" s="3" t="str">
        <f>HYPERLINK("https://www.als.com/smartw-m-sock-evrydy-popcorn-cble-crw/p?skuId=1047473", "https://www.als.com/smartw-m-sock-evrydy-popcorn-cble-crw/p?skuId=1047473")</f>
        <v>https://www.als.com/smartw-m-sock-evrydy-popcorn-cble-crw/p?skuId=1047473</v>
      </c>
      <c r="B769" s="3" t="str">
        <f>HYPERLINK("https://www.als.com/smartw-m-sock-evrydy-popcorn-cble-crw/p", "https://www.als.com/smartw-m-sock-evrydy-popcorn-cble-crw/p")</f>
        <v>https://www.als.com/smartw-m-sock-evrydy-popcorn-cble-crw/p</v>
      </c>
      <c r="C769" t="s">
        <v>805</v>
      </c>
      <c r="D769" t="s">
        <v>2584</v>
      </c>
      <c r="E769" s="3" t="str">
        <f>HYPERLINK("https://www.amazon.com/Smartwool-Everyday-Cushion-Merino-Moonbeam/dp/B0B2XLQCYQ/ref=sr_1_20?keywords=Smartwool+Everyday+Popcorn+Cable+Crew+Sock+-+Womens&amp;qid=1695124378&amp;sr=8-20", "https://www.amazon.com/Smartwool-Everyday-Cushion-Merino-Moonbeam/dp/B0B2XLQCYQ/ref=sr_1_20?keywords=Smartwool+Everyday+Popcorn+Cable+Crew+Sock+-+Womens&amp;qid=1695124378&amp;sr=8-20")</f>
        <v>https://www.amazon.com/Smartwool-Everyday-Cushion-Merino-Moonbeam/dp/B0B2XLQCYQ/ref=sr_1_20?keywords=Smartwool+Everyday+Popcorn+Cable+Crew+Sock+-+Womens&amp;qid=1695124378&amp;sr=8-20</v>
      </c>
      <c r="F769" t="s">
        <v>2585</v>
      </c>
      <c r="G769" t="e">
        <f ca="1">IMAGE("https://alssports.vtexassets.com/arquivos/ids/1264369-800-auto?v=638143189174930000&amp;width=800&amp;height=auto&amp;aspect=true")</f>
        <v>#NAME?</v>
      </c>
      <c r="H769" t="e">
        <f ca="1">IMAGE("https://m.media-amazon.com/images/I/81u9iWKlaaL._AC_UL320_.jpg")</f>
        <v>#NAME?</v>
      </c>
      <c r="I769" t="s">
        <v>808</v>
      </c>
      <c r="J769">
        <v>16.149999999999999</v>
      </c>
      <c r="K769" s="2" t="s">
        <v>2586</v>
      </c>
      <c r="L769">
        <v>4.2</v>
      </c>
      <c r="M769">
        <v>17</v>
      </c>
      <c r="O769" t="s">
        <v>33</v>
      </c>
      <c r="P769" t="s">
        <v>810</v>
      </c>
      <c r="Q769" t="s">
        <v>811</v>
      </c>
    </row>
    <row r="770" spans="1:17" ht="15.75" x14ac:dyDescent="0.25">
      <c r="A770" s="3" t="str">
        <f>HYPERLINK("https://www.als.com/columbia-bugaboo-ii-fleece-interchange-jacket-girls-24034/p?skuId=1130725", "https://www.als.com/columbia-bugaboo-ii-fleece-interchange-jacket-girls-24034/p?skuId=1130725")</f>
        <v>https://www.als.com/columbia-bugaboo-ii-fleece-interchange-jacket-girls-24034/p?skuId=1130725</v>
      </c>
      <c r="B770" s="3" t="str">
        <f>HYPERLINK("https://www.als.com/columbia-bugaboo-ii-fleece-interchange-jacket-girls-24034/p", "https://www.als.com/columbia-bugaboo-ii-fleece-interchange-jacket-girls-24034/p")</f>
        <v>https://www.als.com/columbia-bugaboo-ii-fleece-interchange-jacket-girls-24034/p</v>
      </c>
      <c r="C770" t="s">
        <v>2587</v>
      </c>
      <c r="D770" t="s">
        <v>2588</v>
      </c>
      <c r="E770" s="3" t="str">
        <f>HYPERLINK("https://www.amazon.com/Columbia-Whirlbird-Interchange-Waterproof-Breathable/dp/B0814BTYG4/ref=sr_1_5?keywords=Columbia+Bugaboo+II+Fleece+Interchange+Jacket+-+Girls%27&amp;qid=1695124426&amp;sr=8-5", "https://www.amazon.com/Columbia-Whirlbird-Interchange-Waterproof-Breathable/dp/B0814BTYG4/ref=sr_1_5?keywords=Columbia+Bugaboo+II+Fleece+Interchange+Jacket+-+Girls%27&amp;qid=1695124426&amp;sr=8-5")</f>
        <v>https://www.amazon.com/Columbia-Whirlbird-Interchange-Waterproof-Breathable/dp/B0814BTYG4/ref=sr_1_5?keywords=Columbia+Bugaboo+II+Fleece+Interchange+Jacket+-+Girls%27&amp;qid=1695124426&amp;sr=8-5</v>
      </c>
      <c r="F770" t="s">
        <v>2589</v>
      </c>
      <c r="G770" t="e">
        <f ca="1">IMAGE("https://alssports.vtexassets.com/arquivos/ids/1329160-800-auto?v=638206235640600000&amp;width=800&amp;height=auto&amp;aspect=true")</f>
        <v>#NAME?</v>
      </c>
      <c r="H770" t="e">
        <f ca="1">IMAGE("https://m.media-amazon.com/images/I/61xB3J1-ixL._AC_UL320_.jpg")</f>
        <v>#NAME?</v>
      </c>
      <c r="I770" t="s">
        <v>977</v>
      </c>
      <c r="J770">
        <v>50.28</v>
      </c>
      <c r="K770" s="2" t="s">
        <v>2590</v>
      </c>
      <c r="L770">
        <v>4.5999999999999996</v>
      </c>
      <c r="M770">
        <v>55</v>
      </c>
      <c r="O770" t="s">
        <v>33</v>
      </c>
      <c r="P770" t="s">
        <v>978</v>
      </c>
      <c r="Q770" t="s">
        <v>2591</v>
      </c>
    </row>
    <row r="771" spans="1:17" ht="15.75" x14ac:dyDescent="0.25">
      <c r="A771" s="3" t="str">
        <f>HYPERLINK("https://www.als.com/babola-m-shoe-jet-mach-3/p?skuId=599962", "https://www.als.com/babola-m-shoe-jet-mach-3/p?skuId=599962")</f>
        <v>https://www.als.com/babola-m-shoe-jet-mach-3/p?skuId=599962</v>
      </c>
      <c r="B771" s="3" t="str">
        <f>HYPERLINK("https://www.als.com/babola-m-shoe-jet-mach-3/p", "https://www.als.com/babola-m-shoe-jet-mach-3/p")</f>
        <v>https://www.als.com/babola-m-shoe-jet-mach-3/p</v>
      </c>
      <c r="C771" t="s">
        <v>875</v>
      </c>
      <c r="D771" t="s">
        <v>2592</v>
      </c>
      <c r="E771" s="3" t="str">
        <f>HYPERLINK("https://www.amazon.com/Babolat-Mens-Court-Tennis-Shoes/dp/B0BQLCG7TC/ref=sr_1_10?keywords=Babolat+Jet+Mach+3+All+Court+Tennis+Shoe+-+Mens&amp;qid=1695124489&amp;sr=8-10", "https://www.amazon.com/Babolat-Mens-Court-Tennis-Shoes/dp/B0BQLCG7TC/ref=sr_1_10?keywords=Babolat+Jet+Mach+3+All+Court+Tennis+Shoe+-+Mens&amp;qid=1695124489&amp;sr=8-10")</f>
        <v>https://www.amazon.com/Babolat-Mens-Court-Tennis-Shoes/dp/B0BQLCG7TC/ref=sr_1_10?keywords=Babolat+Jet+Mach+3+All+Court+Tennis+Shoe+-+Mens&amp;qid=1695124489&amp;sr=8-10</v>
      </c>
      <c r="F771" t="s">
        <v>2593</v>
      </c>
      <c r="G771" t="e">
        <f ca="1">IMAGE("https://alssports.vtexassets.com/arquivos/ids/1411604-800-auto?v=638270546404000000&amp;width=800&amp;height=auto&amp;aspect=true")</f>
        <v>#NAME?</v>
      </c>
      <c r="H771" t="e">
        <f ca="1">IMAGE("https://m.media-amazon.com/images/I/81Iqkx3zGIL._AC_UL320_.jpg")</f>
        <v>#NAME?</v>
      </c>
      <c r="I771" t="s">
        <v>878</v>
      </c>
      <c r="J771">
        <v>89</v>
      </c>
      <c r="K771" s="2" t="s">
        <v>2594</v>
      </c>
      <c r="L771">
        <v>5</v>
      </c>
      <c r="M771">
        <v>2</v>
      </c>
      <c r="O771" t="s">
        <v>33</v>
      </c>
      <c r="P771" t="s">
        <v>26</v>
      </c>
      <c r="Q771" t="s">
        <v>880</v>
      </c>
    </row>
    <row r="772" spans="1:17" ht="15.75" x14ac:dyDescent="0.25">
      <c r="A772" s="3" t="str">
        <f>HYPERLINK("https://www.als.com/jr286-gloves-vapor-jet-70/p?skuId=990406", "https://www.als.com/jr286-gloves-vapor-jet-70/p?skuId=990406")</f>
        <v>https://www.als.com/jr286-gloves-vapor-jet-70/p?skuId=990406</v>
      </c>
      <c r="B772" s="3" t="str">
        <f>HYPERLINK("https://www.als.com/jr286-gloves-vapor-jet-70/p", "https://www.als.com/jr286-gloves-vapor-jet-70/p")</f>
        <v>https://www.als.com/jr286-gloves-vapor-jet-70/p</v>
      </c>
      <c r="C772" t="s">
        <v>208</v>
      </c>
      <c r="D772" t="s">
        <v>2595</v>
      </c>
      <c r="E772" s="3" t="str">
        <f>HYPERLINK("https://www.amazon.com/Nike-Football-Receiver-Service-Black-White/dp/B0958WL3GD/ref=sr_1_35?keywords=Nike+Vapor+Jet+7.0+Football+Glove&amp;qid=1695124146&amp;sr=8-35", "https://www.amazon.com/Nike-Football-Receiver-Service-Black-White/dp/B0958WL3GD/ref=sr_1_35?keywords=Nike+Vapor+Jet+7.0+Football+Glove&amp;qid=1695124146&amp;sr=8-35")</f>
        <v>https://www.amazon.com/Nike-Football-Receiver-Service-Black-White/dp/B0958WL3GD/ref=sr_1_35?keywords=Nike+Vapor+Jet+7.0+Football+Glove&amp;qid=1695124146&amp;sr=8-35</v>
      </c>
      <c r="F772" t="s">
        <v>2596</v>
      </c>
      <c r="G772" t="e">
        <f ca="1">IMAGE("https://alssports.vtexassets.com/arquivos/ids/1070522-800-auto?v=637897203028930000&amp;width=800&amp;height=auto&amp;aspect=true")</f>
        <v>#NAME?</v>
      </c>
      <c r="H772" t="e">
        <f ca="1">IMAGE("https://m.media-amazon.com/images/I/61XpKUQKRAL._AC_UL320_.jpg")</f>
        <v>#NAME?</v>
      </c>
      <c r="I772" t="s">
        <v>211</v>
      </c>
      <c r="J772">
        <v>23.85</v>
      </c>
      <c r="K772" s="2" t="s">
        <v>2597</v>
      </c>
      <c r="L772">
        <v>3.5</v>
      </c>
      <c r="M772">
        <v>11</v>
      </c>
      <c r="O772" t="s">
        <v>33</v>
      </c>
      <c r="P772" t="s">
        <v>212</v>
      </c>
      <c r="Q772" t="s">
        <v>213</v>
      </c>
    </row>
    <row r="773" spans="1:17" ht="15.75" x14ac:dyDescent="0.25">
      <c r="A773" s="3" t="str">
        <f>HYPERLINK("https://www.als.com/altra-w-shoe-timp-4/p?skuId=929220", "https://www.als.com/altra-w-shoe-timp-4/p?skuId=929220")</f>
        <v>https://www.als.com/altra-w-shoe-timp-4/p?skuId=929220</v>
      </c>
      <c r="B773" s="3" t="str">
        <f>HYPERLINK("https://www.als.com/altra-w-shoe-timp-4/p", "https://www.als.com/altra-w-shoe-timp-4/p")</f>
        <v>https://www.als.com/altra-w-shoe-timp-4/p</v>
      </c>
      <c r="C773" t="s">
        <v>829</v>
      </c>
      <c r="D773" t="s">
        <v>2598</v>
      </c>
      <c r="E773" s="3" t="str">
        <f>HYPERLINK("https://www.amazon.com/ALTRA-Womens-AL0A7R71-Escalante-Running/dp/B09Q6JXSCG/ref=sr_1_11?keywords=Altra+Timp+4+Running+Shoe+-+Womens&amp;qid=1695124369&amp;sr=8-11", "https://www.amazon.com/ALTRA-Womens-AL0A7R71-Escalante-Running/dp/B09Q6JXSCG/ref=sr_1_11?keywords=Altra+Timp+4+Running+Shoe+-+Womens&amp;qid=1695124369&amp;sr=8-11")</f>
        <v>https://www.amazon.com/ALTRA-Womens-AL0A7R71-Escalante-Running/dp/B09Q6JXSCG/ref=sr_1_11?keywords=Altra+Timp+4+Running+Shoe+-+Womens&amp;qid=1695124369&amp;sr=8-11</v>
      </c>
      <c r="F773" t="s">
        <v>2599</v>
      </c>
      <c r="G773" t="e">
        <f ca="1">IMAGE("https://alssports.vtexassets.com/arquivos/ids/1112796-800-auto?v=637957454637830000&amp;width=800&amp;height=auto&amp;aspect=true")</f>
        <v>#NAME?</v>
      </c>
      <c r="H773" t="e">
        <f ca="1">IMAGE("https://m.media-amazon.com/images/I/71iYl44DWOL._AC_UL320_.jpg")</f>
        <v>#NAME?</v>
      </c>
      <c r="I773" t="s">
        <v>88</v>
      </c>
      <c r="J773">
        <v>94.98</v>
      </c>
      <c r="K773" s="2" t="s">
        <v>2600</v>
      </c>
      <c r="L773">
        <v>4.3</v>
      </c>
      <c r="M773">
        <v>215</v>
      </c>
      <c r="O773" t="s">
        <v>33</v>
      </c>
      <c r="P773" t="s">
        <v>832</v>
      </c>
      <c r="Q773" t="s">
        <v>833</v>
      </c>
    </row>
    <row r="774" spans="1:17" ht="15.75" x14ac:dyDescent="0.25">
      <c r="A774" s="3" t="str">
        <f>HYPERLINK("https://www.als.com/shimab-pedal-pd-m9100-spd-cleat-pack/p?skuId=500218", "https://www.als.com/shimab-pedal-pd-m9100-spd-cleat-pack/p?skuId=500218")</f>
        <v>https://www.als.com/shimab-pedal-pd-m9100-spd-cleat-pack/p?skuId=500218</v>
      </c>
      <c r="B774" s="3" t="str">
        <f>HYPERLINK("https://www.als.com/shimab-pedal-pd-m9100-spd-cleat-pack/p", "https://www.als.com/shimab-pedal-pd-m9100-spd-cleat-pack/p")</f>
        <v>https://www.als.com/shimab-pedal-pd-m9100-spd-cleat-pack/p</v>
      </c>
      <c r="C774" t="s">
        <v>541</v>
      </c>
      <c r="D774" t="s">
        <v>1405</v>
      </c>
      <c r="E774" s="3" t="str">
        <f>HYPERLINK("https://www.amazon.com/Shimano-PD-T8000-Trekking-Bicycle-Clipless/dp/B01HI6M1KU/ref=sr_1_20?keywords=Shimano+TR+PD-M9100+Pedal&amp;qid=1695124455&amp;sr=8-20", "https://www.amazon.com/Shimano-PD-T8000-Trekking-Bicycle-Clipless/dp/B01HI6M1KU/ref=sr_1_20?keywords=Shimano+TR+PD-M9100+Pedal&amp;qid=1695124455&amp;sr=8-20")</f>
        <v>https://www.amazon.com/Shimano-PD-T8000-Trekking-Bicycle-Clipless/dp/B01HI6M1KU/ref=sr_1_20?keywords=Shimano+TR+PD-M9100+Pedal&amp;qid=1695124455&amp;sr=8-20</v>
      </c>
      <c r="F774" t="s">
        <v>1406</v>
      </c>
      <c r="G774" t="e">
        <f ca="1">IMAGE("https://alssports.vtexassets.com/arquivos/ids/1120618-800-auto?v=637969747990030000&amp;width=800&amp;height=auto&amp;aspect=true")</f>
        <v>#NAME?</v>
      </c>
      <c r="H774" t="e">
        <f ca="1">IMAGE("https://m.media-amazon.com/images/I/61adB0yN2NL._AC_UL320_.jpg")</f>
        <v>#NAME?</v>
      </c>
      <c r="I774" t="s">
        <v>544</v>
      </c>
      <c r="J774">
        <v>106.74</v>
      </c>
      <c r="K774" s="2" t="s">
        <v>2601</v>
      </c>
      <c r="L774">
        <v>4.7</v>
      </c>
      <c r="M774">
        <v>1017</v>
      </c>
      <c r="O774" t="s">
        <v>33</v>
      </c>
      <c r="P774" t="s">
        <v>26</v>
      </c>
      <c r="Q774" t="s">
        <v>546</v>
      </c>
    </row>
    <row r="775" spans="1:17" ht="15.75" x14ac:dyDescent="0.25">
      <c r="A775" s="3" t="str">
        <f>HYPERLINK("https://www.als.com/danner-ms-boot-element/p?skuId=530471", "https://www.als.com/danner-ms-boot-element/p?skuId=530471")</f>
        <v>https://www.als.com/danner-ms-boot-element/p?skuId=530471</v>
      </c>
      <c r="B775" s="3" t="str">
        <f>HYPERLINK("https://www.als.com/danner-ms-boot-element/p", "https://www.als.com/danner-ms-boot-element/p")</f>
        <v>https://www.als.com/danner-ms-boot-element/p</v>
      </c>
      <c r="C775" t="s">
        <v>750</v>
      </c>
      <c r="D775" t="s">
        <v>2602</v>
      </c>
      <c r="E775" s="3" t="str">
        <f>HYPERLINK("https://www.amazon.com/Danner-Mens-USMC-Military-Brown/dp/B00IMNJLES/ref=sr_1_15?keywords=Danner+Element+Boot+-+Men%27s&amp;qid=1695124487&amp;sr=8-15", "https://www.amazon.com/Danner-Mens-USMC-Military-Brown/dp/B00IMNJLES/ref=sr_1_15?keywords=Danner+Element+Boot+-+Men%27s&amp;qid=1695124487&amp;sr=8-15")</f>
        <v>https://www.amazon.com/Danner-Mens-USMC-Military-Brown/dp/B00IMNJLES/ref=sr_1_15?keywords=Danner+Element+Boot+-+Men%27s&amp;qid=1695124487&amp;sr=8-15</v>
      </c>
      <c r="F775" t="s">
        <v>2603</v>
      </c>
      <c r="G775" t="e">
        <f ca="1">IMAGE("https://alssports.vtexassets.com/arquivos/ids/790399-800-auto?v=637775367037830000&amp;width=800&amp;height=auto&amp;aspect=true")</f>
        <v>#NAME?</v>
      </c>
      <c r="H775" t="e">
        <f ca="1">IMAGE("https://m.media-amazon.com/images/I/814wyZZQXEL._AC_UL320_.jpg")</f>
        <v>#NAME?</v>
      </c>
      <c r="I775" t="s">
        <v>562</v>
      </c>
      <c r="J775">
        <v>99.99</v>
      </c>
      <c r="K775" s="2" t="s">
        <v>2604</v>
      </c>
      <c r="L775">
        <v>5</v>
      </c>
      <c r="M775">
        <v>3</v>
      </c>
      <c r="O775" t="s">
        <v>33</v>
      </c>
      <c r="P775" t="s">
        <v>26</v>
      </c>
      <c r="Q775" t="s">
        <v>753</v>
      </c>
    </row>
    <row r="776" spans="1:17" ht="15.75" x14ac:dyDescent="0.25">
      <c r="A776" s="3" t="str">
        <f>HYPERLINK("https://www.als.com/pflueg-reel-supreme-xt-spinning/p?skuId=943388", "https://www.als.com/pflueg-reel-supreme-xt-spinning/p?skuId=943388")</f>
        <v>https://www.als.com/pflueg-reel-supreme-xt-spinning/p?skuId=943388</v>
      </c>
      <c r="B776" s="3" t="str">
        <f>HYPERLINK("https://www.als.com/pflueg-reel-supreme-xt-spinning/p", "https://www.als.com/pflueg-reel-supreme-xt-spinning/p")</f>
        <v>https://www.als.com/pflueg-reel-supreme-xt-spinning/p</v>
      </c>
      <c r="C776" t="s">
        <v>1408</v>
      </c>
      <c r="D776" t="s">
        <v>2605</v>
      </c>
      <c r="E776" s="3" t="str">
        <f>HYPERLINK("https://www.amazon.com/Pflueger-PRESXTSP40X-PFL-PRESXT-1383425/dp/B07636GCB7/ref=sr_1_11?keywords=Pflueger+Supreme+XT+Spinning+Reel&amp;qid=1695124336&amp;sr=8-11", "https://www.amazon.com/Pflueger-PRESXTSP40X-PFL-PRESXT-1383425/dp/B07636GCB7/ref=sr_1_11?keywords=Pflueger+Supreme+XT+Spinning+Reel&amp;qid=1695124336&amp;sr=8-11")</f>
        <v>https://www.amazon.com/Pflueger-PRESXTSP40X-PFL-PRESXT-1383425/dp/B07636GCB7/ref=sr_1_11?keywords=Pflueger+Supreme+XT+Spinning+Reel&amp;qid=1695124336&amp;sr=8-11</v>
      </c>
      <c r="F776" t="s">
        <v>2606</v>
      </c>
      <c r="G776" t="e">
        <f ca="1">IMAGE("https://alssports.vtexassets.com/arquivos/ids/1053300-800-auto?v=637867095703370000&amp;width=800&amp;height=auto&amp;aspect=true")</f>
        <v>#NAME?</v>
      </c>
      <c r="H776" t="e">
        <f ca="1">IMAGE("https://m.media-amazon.com/images/I/61aSUi8AS7L._AC_UY218_.jpg")</f>
        <v>#NAME?</v>
      </c>
      <c r="I776" t="s">
        <v>562</v>
      </c>
      <c r="J776">
        <v>99.95</v>
      </c>
      <c r="K776" s="2" t="s">
        <v>2607</v>
      </c>
      <c r="L776">
        <v>4.9000000000000004</v>
      </c>
      <c r="M776">
        <v>52</v>
      </c>
      <c r="O776" t="s">
        <v>33</v>
      </c>
      <c r="P776" t="s">
        <v>26</v>
      </c>
      <c r="Q776" t="s">
        <v>1412</v>
      </c>
    </row>
    <row r="777" spans="1:17" ht="15.75" x14ac:dyDescent="0.25">
      <c r="A777" s="3" t="str">
        <f>HYPERLINK("https://www.als.com/adidas-m-shoe-ultraboost-light/p?skuId=1285844", "https://www.als.com/adidas-m-shoe-ultraboost-light/p?skuId=1285844")</f>
        <v>https://www.als.com/adidas-m-shoe-ultraboost-light/p?skuId=1285844</v>
      </c>
      <c r="B777" s="3" t="str">
        <f>HYPERLINK("https://www.als.com/adidas-m-shoe-ultraboost-light/p", "https://www.als.com/adidas-m-shoe-ultraboost-light/p")</f>
        <v>https://www.als.com/adidas-m-shoe-ultraboost-light/p</v>
      </c>
      <c r="C777" t="s">
        <v>1251</v>
      </c>
      <c r="D777" t="s">
        <v>2608</v>
      </c>
      <c r="E777" s="3" t="str">
        <f>HYPERLINK("https://www.amazon.com/adidas-Womens-Ultraboost-Running-Wonder/dp/B09Q4XL82D/ref=sr_1_41?keywords=Adidas+Ultraboost+Light+Running+Shoe&amp;qid=1695124091&amp;sr=8-41", "https://www.amazon.com/adidas-Womens-Ultraboost-Running-Wonder/dp/B09Q4XL82D/ref=sr_1_41?keywords=Adidas+Ultraboost+Light+Running+Shoe&amp;qid=1695124091&amp;sr=8-41")</f>
        <v>https://www.amazon.com/adidas-Womens-Ultraboost-Running-Wonder/dp/B09Q4XL82D/ref=sr_1_41?keywords=Adidas+Ultraboost+Light+Running+Shoe&amp;qid=1695124091&amp;sr=8-41</v>
      </c>
      <c r="F777" t="s">
        <v>2609</v>
      </c>
      <c r="G777" t="e">
        <f ca="1">IMAGE("https://alssports.vtexassets.com/arquivos/ids/1287149-800-auto?v=638163171209800000&amp;width=800&amp;height=auto&amp;aspect=true")</f>
        <v>#NAME?</v>
      </c>
      <c r="H777" t="e">
        <f ca="1">IMAGE("https://m.media-amazon.com/images/I/71L7tGvQcbL._AC_UL320_.jpg")</f>
        <v>#NAME?</v>
      </c>
      <c r="I777" t="s">
        <v>480</v>
      </c>
      <c r="J777">
        <v>44.45</v>
      </c>
      <c r="K777" s="2" t="s">
        <v>2610</v>
      </c>
      <c r="L777">
        <v>3.8</v>
      </c>
      <c r="M777">
        <v>21</v>
      </c>
      <c r="O777" t="s">
        <v>33</v>
      </c>
      <c r="P777" t="s">
        <v>482</v>
      </c>
      <c r="Q777" t="s">
        <v>1255</v>
      </c>
    </row>
    <row r="778" spans="1:17" ht="15.75" x14ac:dyDescent="0.25">
      <c r="A778" s="3" t="str">
        <f>HYPERLINK("https://www.als.com/frogg-wader-canyon-ii-breathable/p?skuId=801564", "https://www.als.com/frogg-wader-canyon-ii-breathable/p?skuId=801564")</f>
        <v>https://www.als.com/frogg-wader-canyon-ii-breathable/p?skuId=801564</v>
      </c>
      <c r="B778" s="3" t="str">
        <f>HYPERLINK("https://www.als.com/frogg-wader-canyon-ii-breathable/p", "https://www.als.com/frogg-wader-canyon-ii-breathable/p")</f>
        <v>https://www.als.com/frogg-wader-canyon-ii-breathable/p</v>
      </c>
      <c r="C778" t="s">
        <v>884</v>
      </c>
      <c r="D778" t="s">
        <v>2611</v>
      </c>
      <c r="E778" s="3" t="str">
        <f>HYPERLINK("https://www.amazon.com/Frogg-Toggs-Bootfoot-Wader-Outsole/dp/B01N1FJ9GJ/ref=sr_1_14?keywords=frogg+toggs+Canyon+II+Stockingfoot+Wader+-+Mens&amp;qid=1695124321&amp;sr=8-14", "https://www.amazon.com/Frogg-Toggs-Bootfoot-Wader-Outsole/dp/B01N1FJ9GJ/ref=sr_1_14?keywords=frogg+toggs+Canyon+II+Stockingfoot+Wader+-+Mens&amp;qid=1695124321&amp;sr=8-14")</f>
        <v>https://www.amazon.com/Frogg-Toggs-Bootfoot-Wader-Outsole/dp/B01N1FJ9GJ/ref=sr_1_14?keywords=frogg+toggs+Canyon+II+Stockingfoot+Wader+-+Mens&amp;qid=1695124321&amp;sr=8-14</v>
      </c>
      <c r="F778" t="s">
        <v>2612</v>
      </c>
      <c r="G778" t="e">
        <f ca="1">IMAGE("https://alssports.vtexassets.com/arquivos/ids/671502-800-auto?v=637562972890570000&amp;width=800&amp;height=auto&amp;aspect=true")</f>
        <v>#NAME?</v>
      </c>
      <c r="H778" t="e">
        <f ca="1">IMAGE("https://m.media-amazon.com/images/I/61hd5Xil9oL._AC_UL320_.jpg")</f>
        <v>#NAME?</v>
      </c>
      <c r="I778" t="s">
        <v>174</v>
      </c>
      <c r="J778">
        <v>46.76</v>
      </c>
      <c r="K778" s="2" t="s">
        <v>2613</v>
      </c>
      <c r="L778">
        <v>4.5</v>
      </c>
      <c r="M778">
        <v>3919</v>
      </c>
      <c r="O778" t="s">
        <v>33</v>
      </c>
      <c r="P778" t="s">
        <v>285</v>
      </c>
      <c r="Q778" t="s">
        <v>888</v>
      </c>
    </row>
    <row r="779" spans="1:17" ht="15.75" x14ac:dyDescent="0.25">
      <c r="A779" s="3" t="str">
        <f>HYPERLINK("https://www.als.com/smitho-goggle-skyline/p?skuId=1073396", "https://www.als.com/smitho-goggle-skyline/p?skuId=1073396")</f>
        <v>https://www.als.com/smitho-goggle-skyline/p?skuId=1073396</v>
      </c>
      <c r="B779" s="3" t="str">
        <f>HYPERLINK("https://www.als.com/smitho-goggle-skyline/p", "https://www.als.com/smitho-goggle-skyline/p")</f>
        <v>https://www.als.com/smitho-goggle-skyline/p</v>
      </c>
      <c r="C779" t="s">
        <v>186</v>
      </c>
      <c r="D779" t="s">
        <v>2614</v>
      </c>
      <c r="E779" s="3" t="str">
        <f>HYPERLINK("https://www.amazon.com/Smith-Cascade-Classic-Goggle-Black/dp/B01D4P69WU/ref=sr_1_13?keywords=Smith+Optics+Skyline+Snow+Goggle&amp;qid=1695124362&amp;sr=8-13", "https://www.amazon.com/Smith-Cascade-Classic-Goggle-Black/dp/B01D4P69WU/ref=sr_1_13?keywords=Smith+Optics+Skyline+Snow+Goggle&amp;qid=1695124362&amp;sr=8-13")</f>
        <v>https://www.amazon.com/Smith-Cascade-Classic-Goggle-Black/dp/B01D4P69WU/ref=sr_1_13?keywords=Smith+Optics+Skyline+Snow+Goggle&amp;qid=1695124362&amp;sr=8-13</v>
      </c>
      <c r="F779" t="s">
        <v>2615</v>
      </c>
      <c r="G779" t="e">
        <f ca="1">IMAGE("https://alssports.vtexassets.com/arquivos/ids/1173752-800-auto?v=638042496618870000&amp;width=800&amp;height=auto&amp;aspect=true")</f>
        <v>#NAME?</v>
      </c>
      <c r="H779" t="e">
        <f ca="1">IMAGE("https://m.media-amazon.com/images/I/71e9Kb5xHtL._AC_UL320_.jpg")</f>
        <v>#NAME?</v>
      </c>
      <c r="I779" t="s">
        <v>189</v>
      </c>
      <c r="J779">
        <v>35</v>
      </c>
      <c r="K779" s="2" t="s">
        <v>2616</v>
      </c>
      <c r="L779">
        <v>4.5</v>
      </c>
      <c r="M779">
        <v>279</v>
      </c>
      <c r="O779" t="s">
        <v>33</v>
      </c>
      <c r="P779" t="s">
        <v>191</v>
      </c>
      <c r="Q779" t="s">
        <v>192</v>
      </c>
    </row>
    <row r="780" spans="1:17" ht="15.75" x14ac:dyDescent="0.25">
      <c r="A780" s="3" t="str">
        <f>HYPERLINK("https://www.als.com/smitho-goggle-skyline/p?skuId=1073396", "https://www.als.com/smitho-goggle-skyline/p?skuId=1073396")</f>
        <v>https://www.als.com/smitho-goggle-skyline/p?skuId=1073396</v>
      </c>
      <c r="B780" s="3" t="str">
        <f>HYPERLINK("https://www.als.com/smitho-goggle-skyline/p", "https://www.als.com/smitho-goggle-skyline/p")</f>
        <v>https://www.als.com/smitho-goggle-skyline/p</v>
      </c>
      <c r="C780" t="s">
        <v>186</v>
      </c>
      <c r="D780" t="s">
        <v>2617</v>
      </c>
      <c r="E780" s="3" t="str">
        <f>HYPERLINK("https://www.amazon.com/Smith-Optics-Cascade-Classic-Goggles/dp/B00U7XLKFY/ref=sr_1_27?keywords=Smith+Optics+Skyline+Snow+Goggle&amp;qid=1695124362&amp;sr=8-27", "https://www.amazon.com/Smith-Optics-Cascade-Classic-Goggles/dp/B00U7XLKFY/ref=sr_1_27?keywords=Smith+Optics+Skyline+Snow+Goggle&amp;qid=1695124362&amp;sr=8-27")</f>
        <v>https://www.amazon.com/Smith-Optics-Cascade-Classic-Goggles/dp/B00U7XLKFY/ref=sr_1_27?keywords=Smith+Optics+Skyline+Snow+Goggle&amp;qid=1695124362&amp;sr=8-27</v>
      </c>
      <c r="F780" t="s">
        <v>2618</v>
      </c>
      <c r="G780" t="e">
        <f ca="1">IMAGE("https://alssports.vtexassets.com/arquivos/ids/1173752-800-auto?v=638042496618870000&amp;width=800&amp;height=auto&amp;aspect=true")</f>
        <v>#NAME?</v>
      </c>
      <c r="H780" t="e">
        <f ca="1">IMAGE("https://m.media-amazon.com/images/I/71vc6Hnq3EL._AC_UL320_.jpg")</f>
        <v>#NAME?</v>
      </c>
      <c r="I780" t="s">
        <v>189</v>
      </c>
      <c r="J780">
        <v>34.99</v>
      </c>
      <c r="K780" s="2" t="s">
        <v>2619</v>
      </c>
      <c r="L780">
        <v>4.0999999999999996</v>
      </c>
      <c r="M780">
        <v>94</v>
      </c>
      <c r="O780" t="s">
        <v>33</v>
      </c>
      <c r="P780" t="s">
        <v>191</v>
      </c>
      <c r="Q780" t="s">
        <v>192</v>
      </c>
    </row>
    <row r="781" spans="1:17" ht="15.75" x14ac:dyDescent="0.25">
      <c r="A781" s="3" t="str">
        <f>HYPERLINK("https://www.als.com/gord-rally-mitt/p?skuId=1306142", "https://www.als.com/gord-rally-mitt/p?skuId=1306142")</f>
        <v>https://www.als.com/gord-rally-mitt/p?skuId=1306142</v>
      </c>
      <c r="B781" s="3" t="str">
        <f>HYPERLINK("https://www.als.com/gord-rally-mitt/p", "https://www.als.com/gord-rally-mitt/p")</f>
        <v>https://www.als.com/gord-rally-mitt/p</v>
      </c>
      <c r="C781" t="s">
        <v>682</v>
      </c>
      <c r="D781" t="s">
        <v>2620</v>
      </c>
      <c r="E781" s="3" t="str">
        <f>HYPERLINK("https://www.amazon.com/Gordini-Aquabloc-Gauntlet-Waterproof-XX-Large/dp/B07Q13QFXL/ref=sr_1_4?keywords=Gordini+Rally+Mitten+-+Mens&amp;qid=1695124309&amp;sr=8-4", "https://www.amazon.com/Gordini-Aquabloc-Gauntlet-Waterproof-XX-Large/dp/B07Q13QFXL/ref=sr_1_4?keywords=Gordini+Rally+Mitten+-+Mens&amp;qid=1695124309&amp;sr=8-4")</f>
        <v>https://www.amazon.com/Gordini-Aquabloc-Gauntlet-Waterproof-XX-Large/dp/B07Q13QFXL/ref=sr_1_4?keywords=Gordini+Rally+Mitten+-+Mens&amp;qid=1695124309&amp;sr=8-4</v>
      </c>
      <c r="F781" t="s">
        <v>2621</v>
      </c>
      <c r="G781" t="e">
        <f ca="1">IMAGE("https://alssports.vtexassets.com/arquivos/ids/1427992-800-auto?v=638283287978400000&amp;width=800&amp;height=auto&amp;aspect=true")</f>
        <v>#NAME?</v>
      </c>
      <c r="H781" t="e">
        <f ca="1">IMAGE("https://m.media-amazon.com/images/I/81dusIT1GWL._AC_UL320_.jpg")</f>
        <v>#NAME?</v>
      </c>
      <c r="I781" t="s">
        <v>225</v>
      </c>
      <c r="J781">
        <v>40.69</v>
      </c>
      <c r="K781" s="2" t="s">
        <v>2622</v>
      </c>
      <c r="L781">
        <v>4.4000000000000004</v>
      </c>
      <c r="M781">
        <v>21</v>
      </c>
      <c r="O781" t="s">
        <v>33</v>
      </c>
      <c r="P781" t="s">
        <v>26</v>
      </c>
      <c r="Q781" t="s">
        <v>686</v>
      </c>
    </row>
    <row r="782" spans="1:17" ht="15.75" x14ac:dyDescent="0.25">
      <c r="A782" s="3" t="str">
        <f>HYPERLINK("https://www.als.com/prana-groveland-shirt/p?skuId=1102242", "https://www.als.com/prana-groveland-shirt/p?skuId=1102242")</f>
        <v>https://www.als.com/prana-groveland-shirt/p?skuId=1102242</v>
      </c>
      <c r="B782" s="3" t="str">
        <f>HYPERLINK("https://www.als.com/prana-groveland-shirt/p", "https://www.als.com/prana-groveland-shirt/p")</f>
        <v>https://www.als.com/prana-groveland-shirt/p</v>
      </c>
      <c r="C782" t="s">
        <v>1816</v>
      </c>
      <c r="D782" t="s">
        <v>2623</v>
      </c>
      <c r="E782" s="3" t="str">
        <f>HYPERLINK("https://www.amazon.com/prAna-Travel-Journeyman-Denim-Heather/dp/B07KQWYWWM/ref=sr_1_16?keywords=prAna+Groveland+Shirt+-+Men%27s&amp;qid=1695124402&amp;sr=8-16", "https://www.amazon.com/prAna-Travel-Journeyman-Denim-Heather/dp/B07KQWYWWM/ref=sr_1_16?keywords=prAna+Groveland+Shirt+-+Men%27s&amp;qid=1695124402&amp;sr=8-16")</f>
        <v>https://www.amazon.com/prAna-Travel-Journeyman-Denim-Heather/dp/B07KQWYWWM/ref=sr_1_16?keywords=prAna+Groveland+Shirt+-+Men%27s&amp;qid=1695124402&amp;sr=8-16</v>
      </c>
      <c r="F782" t="s">
        <v>2624</v>
      </c>
      <c r="G782" t="e">
        <f ca="1">IMAGE("https://alssports.vtexassets.com/arquivos/ids/1265503-800-auto?v=638144846989530000&amp;width=800&amp;height=auto&amp;aspect=true")</f>
        <v>#NAME?</v>
      </c>
      <c r="H782" t="e">
        <f ca="1">IMAGE("https://m.media-amazon.com/images/I/712pyOJpJpL._AC_UL320_.jpg")</f>
        <v>#NAME?</v>
      </c>
      <c r="I782" t="s">
        <v>589</v>
      </c>
      <c r="J782">
        <v>16.010000000000002</v>
      </c>
      <c r="K782" s="2" t="s">
        <v>2625</v>
      </c>
      <c r="L782">
        <v>4.5</v>
      </c>
      <c r="M782">
        <v>61</v>
      </c>
      <c r="O782" t="s">
        <v>33</v>
      </c>
      <c r="P782" t="s">
        <v>591</v>
      </c>
      <c r="Q782" t="s">
        <v>1817</v>
      </c>
    </row>
    <row r="783" spans="1:17" ht="15.75" x14ac:dyDescent="0.25">
      <c r="A783" s="3" t="str">
        <f>HYPERLINK("https://www.als.com/prana-lindores-shirt/p?skuId=986663", "https://www.als.com/prana-lindores-shirt/p?skuId=986663")</f>
        <v>https://www.als.com/prana-lindores-shirt/p?skuId=986663</v>
      </c>
      <c r="B783" s="3" t="str">
        <f>HYPERLINK("https://www.als.com/prana-lindores-shirt/p", "https://www.als.com/prana-lindores-shirt/p")</f>
        <v>https://www.als.com/prana-lindores-shirt/p</v>
      </c>
      <c r="C783" t="s">
        <v>586</v>
      </c>
      <c r="D783" t="s">
        <v>2623</v>
      </c>
      <c r="E783" s="3" t="str">
        <f>HYPERLINK("https://www.amazon.com/prAna-Travel-Journeyman-Denim-Heather/dp/B07KQWYWWM/ref=sr_1_12?keywords=prAna+Lindores+Shirt+-+Men%27s&amp;qid=1695124473&amp;sr=8-12", "https://www.amazon.com/prAna-Travel-Journeyman-Denim-Heather/dp/B07KQWYWWM/ref=sr_1_12?keywords=prAna+Lindores+Shirt+-+Men%27s&amp;qid=1695124473&amp;sr=8-12")</f>
        <v>https://www.amazon.com/prAna-Travel-Journeyman-Denim-Heather/dp/B07KQWYWWM/ref=sr_1_12?keywords=prAna+Lindores+Shirt+-+Men%27s&amp;qid=1695124473&amp;sr=8-12</v>
      </c>
      <c r="F783" t="s">
        <v>2624</v>
      </c>
      <c r="G783" t="e">
        <f ca="1">IMAGE("https://alssports.vtexassets.com/arquivos/ids/1012979-800-auto?v=637817020518400000&amp;width=800&amp;height=auto&amp;aspect=true")</f>
        <v>#NAME?</v>
      </c>
      <c r="H783" t="e">
        <f ca="1">IMAGE("https://m.media-amazon.com/images/I/712pyOJpJpL._AC_UL320_.jpg")</f>
        <v>#NAME?</v>
      </c>
      <c r="I783" t="s">
        <v>589</v>
      </c>
      <c r="J783">
        <v>16.010000000000002</v>
      </c>
      <c r="K783" s="2" t="s">
        <v>2625</v>
      </c>
      <c r="L783">
        <v>4.5</v>
      </c>
      <c r="M783">
        <v>61</v>
      </c>
      <c r="O783" t="s">
        <v>26</v>
      </c>
      <c r="P783" t="s">
        <v>591</v>
      </c>
      <c r="Q783" t="s">
        <v>592</v>
      </c>
    </row>
    <row r="784" spans="1:17" ht="15.75" x14ac:dyDescent="0.25">
      <c r="A784" s="3" t="str">
        <f>HYPERLINK("https://www.als.com/birken-ws-sandal-arizona-soft-ftbed/p?skuId=254551", "https://www.als.com/birken-ws-sandal-arizona-soft-ftbed/p?skuId=254551")</f>
        <v>https://www.als.com/birken-ws-sandal-arizona-soft-ftbed/p?skuId=254551</v>
      </c>
      <c r="B784" s="3" t="str">
        <f>HYPERLINK("https://www.als.com/birken-ws-sandal-arizona-soft-ftbed/p", "https://www.als.com/birken-ws-sandal-arizona-soft-ftbed/p")</f>
        <v>https://www.als.com/birken-ws-sandal-arizona-soft-ftbed/p</v>
      </c>
      <c r="C784" t="s">
        <v>446</v>
      </c>
      <c r="D784" t="s">
        <v>2626</v>
      </c>
      <c r="E784" s="3" t="str">
        <f>HYPERLINK("https://www.amazon.com/Birkenstock-Unisex-Arizona-Black-Sandals/dp/B00APYOB9W/ref=sr_1_1?keywords=Birkenstock+Arizona+Soft+Footbed+Sandal&amp;qid=1695124328&amp;sr=8-1", "https://www.amazon.com/Birkenstock-Unisex-Arizona-Black-Sandals/dp/B00APYOB9W/ref=sr_1_1?keywords=Birkenstock+Arizona+Soft+Footbed+Sandal&amp;qid=1695124328&amp;sr=8-1")</f>
        <v>https://www.amazon.com/Birkenstock-Unisex-Arizona-Black-Sandals/dp/B00APYOB9W/ref=sr_1_1?keywords=Birkenstock+Arizona+Soft+Footbed+Sandal&amp;qid=1695124328&amp;sr=8-1</v>
      </c>
      <c r="F784" t="s">
        <v>2627</v>
      </c>
      <c r="G784" t="e">
        <f ca="1">IMAGE("https://alssports.vtexassets.com/arquivos/ids/1316883-800-auto?v=638198562145970000&amp;width=800&amp;height=auto&amp;aspect=true")</f>
        <v>#NAME?</v>
      </c>
      <c r="H784" t="e">
        <f ca="1">IMAGE("https://m.media-amazon.com/images/I/61wpr8TYUyL._AC_UL320_.jpg")</f>
        <v>#NAME?</v>
      </c>
      <c r="I784" t="s">
        <v>449</v>
      </c>
      <c r="J784">
        <v>78</v>
      </c>
      <c r="K784" s="2" t="s">
        <v>2628</v>
      </c>
      <c r="L784">
        <v>4.5</v>
      </c>
      <c r="M784">
        <v>27924</v>
      </c>
      <c r="O784" t="s">
        <v>33</v>
      </c>
      <c r="P784" t="s">
        <v>26</v>
      </c>
      <c r="Q784" t="s">
        <v>451</v>
      </c>
    </row>
    <row r="785" spans="1:17" ht="15.75" x14ac:dyDescent="0.25">
      <c r="A785" s="3" t="str">
        <f>HYPERLINK("https://www.als.com/mizuno-m-wave-sky-6/p?skuId=1249127", "https://www.als.com/mizuno-m-wave-sky-6/p?skuId=1249127")</f>
        <v>https://www.als.com/mizuno-m-wave-sky-6/p?skuId=1249127</v>
      </c>
      <c r="B785" s="3" t="str">
        <f>HYPERLINK("https://www.als.com/mizuno-m-wave-sky-6/p", "https://www.als.com/mizuno-m-wave-sky-6/p")</f>
        <v>https://www.als.com/mizuno-m-wave-sky-6/p</v>
      </c>
      <c r="C785" t="s">
        <v>204</v>
      </c>
      <c r="D785" t="s">
        <v>2629</v>
      </c>
      <c r="E785" s="3" t="str">
        <f>HYPERLINK("https://www.amazon.com/Mizuno-Wave-Inspire-17-WAVEKNIT/dp/B086FKJHXR/ref=sr_1_21?keywords=Mizuno+Wave+Sky+6+Wide+Running+Shoe+-+Mens&amp;qid=1695124408&amp;sr=8-21", "https://www.amazon.com/Mizuno-Wave-Inspire-17-WAVEKNIT/dp/B086FKJHXR/ref=sr_1_21?keywords=Mizuno+Wave+Sky+6+Wide+Running+Shoe+-+Mens&amp;qid=1695124408&amp;sr=8-21")</f>
        <v>https://www.amazon.com/Mizuno-Wave-Inspire-17-WAVEKNIT/dp/B086FKJHXR/ref=sr_1_21?keywords=Mizuno+Wave+Sky+6+Wide+Running+Shoe+-+Mens&amp;qid=1695124408&amp;sr=8-21</v>
      </c>
      <c r="F785" t="s">
        <v>2630</v>
      </c>
      <c r="G785" t="e">
        <f ca="1">IMAGE("https://alssports.vtexassets.com/arquivos/ids/1277484-800-auto?v=638152954723900000&amp;width=800&amp;height=auto&amp;aspect=true")</f>
        <v>#NAME?</v>
      </c>
      <c r="H785" t="e">
        <f ca="1">IMAGE("https://m.media-amazon.com/images/I/610XtRF13tL._AC_UL320_.jpg")</f>
        <v>#NAME?</v>
      </c>
      <c r="I785" t="s">
        <v>164</v>
      </c>
      <c r="J785">
        <v>97.97</v>
      </c>
      <c r="K785" s="2" t="s">
        <v>2631</v>
      </c>
      <c r="L785">
        <v>4.5999999999999996</v>
      </c>
      <c r="M785">
        <v>2163</v>
      </c>
      <c r="O785" t="s">
        <v>33</v>
      </c>
      <c r="P785" t="s">
        <v>164</v>
      </c>
      <c r="Q785" t="s">
        <v>207</v>
      </c>
    </row>
    <row r="786" spans="1:17" ht="15.75" x14ac:dyDescent="0.25">
      <c r="A786" s="3" t="str">
        <f>HYPERLINK("https://www.als.com/mizuno-w-wave-sky-6/p?skuId=1262559", "https://www.als.com/mizuno-w-wave-sky-6/p?skuId=1262559")</f>
        <v>https://www.als.com/mizuno-w-wave-sky-6/p?skuId=1262559</v>
      </c>
      <c r="B786" s="3" t="str">
        <f>HYPERLINK("https://www.als.com/mizuno-w-wave-sky-6/p", "https://www.als.com/mizuno-w-wave-sky-6/p")</f>
        <v>https://www.als.com/mizuno-w-wave-sky-6/p</v>
      </c>
      <c r="C786" t="s">
        <v>200</v>
      </c>
      <c r="D786" t="s">
        <v>2632</v>
      </c>
      <c r="E786" s="3" t="str">
        <f>HYPERLINK("https://www.amazon.com/Mizuno-Wave-Inspire-17-WAVEKNIT/dp/B086FKJHZC/ref=sr_1_31?keywords=Mizuno+Wave+Sky+6+Running+Shoe+-+Women%27s&amp;qid=1695124449&amp;sr=8-31", "https://www.amazon.com/Mizuno-Wave-Inspire-17-WAVEKNIT/dp/B086FKJHZC/ref=sr_1_31?keywords=Mizuno+Wave+Sky+6+Running+Shoe+-+Women%27s&amp;qid=1695124449&amp;sr=8-31")</f>
        <v>https://www.amazon.com/Mizuno-Wave-Inspire-17-WAVEKNIT/dp/B086FKJHZC/ref=sr_1_31?keywords=Mizuno+Wave+Sky+6+Running+Shoe+-+Women%27s&amp;qid=1695124449&amp;sr=8-31</v>
      </c>
      <c r="F786" t="s">
        <v>2633</v>
      </c>
      <c r="G786" t="e">
        <f ca="1">IMAGE("https://alssports.vtexassets.com/arquivos/ids/1277387-800-auto?v=638152938174200000&amp;width=800&amp;height=auto&amp;aspect=true")</f>
        <v>#NAME?</v>
      </c>
      <c r="H786" t="e">
        <f ca="1">IMAGE("https://m.media-amazon.com/images/I/81vDwwtBsuL._AC_UL320_.jpg")</f>
        <v>#NAME?</v>
      </c>
      <c r="I786" t="s">
        <v>164</v>
      </c>
      <c r="J786">
        <v>97.97</v>
      </c>
      <c r="K786" s="2" t="s">
        <v>2631</v>
      </c>
      <c r="L786">
        <v>4.5</v>
      </c>
      <c r="M786">
        <v>1277</v>
      </c>
      <c r="O786" t="s">
        <v>33</v>
      </c>
      <c r="P786" t="s">
        <v>191</v>
      </c>
      <c r="Q786" t="s">
        <v>203</v>
      </c>
    </row>
    <row r="787" spans="1:17" ht="15.75" x14ac:dyDescent="0.25">
      <c r="A787" s="3" t="str">
        <f>HYPERLINK("https://www.als.com/seasum-dry-bag-ultra-sil/p?skuId=1284260", "https://www.als.com/seasum-dry-bag-ultra-sil/p?skuId=1284260")</f>
        <v>https://www.als.com/seasum-dry-bag-ultra-sil/p?skuId=1284260</v>
      </c>
      <c r="B787" s="3" t="str">
        <f>HYPERLINK("https://www.als.com/seasum-dry-bag-ultra-sil/p", "https://www.als.com/seasum-dry-bag-ultra-sil/p")</f>
        <v>https://www.als.com/seasum-dry-bag-ultra-sil/p</v>
      </c>
      <c r="C787" t="s">
        <v>1515</v>
      </c>
      <c r="D787" t="s">
        <v>2634</v>
      </c>
      <c r="E787" s="3" t="str">
        <f>HYPERLINK("https://www.amazon.com/Sea-Summit-Lightweight-Multi-Purpose-Storage/dp/B0BVWG3DGM/ref=sr_1_13?keywords=Sea+to+Summit+Ultra-Sil+Dry+Bag&amp;qid=1695124478&amp;sr=8-13", "https://www.amazon.com/Sea-Summit-Lightweight-Multi-Purpose-Storage/dp/B0BVWG3DGM/ref=sr_1_13?keywords=Sea+to+Summit+Ultra-Sil+Dry+Bag&amp;qid=1695124478&amp;sr=8-13")</f>
        <v>https://www.amazon.com/Sea-Summit-Lightweight-Multi-Purpose-Storage/dp/B0BVWG3DGM/ref=sr_1_13?keywords=Sea+to+Summit+Ultra-Sil+Dry+Bag&amp;qid=1695124478&amp;sr=8-13</v>
      </c>
      <c r="F787" t="s">
        <v>2635</v>
      </c>
      <c r="G787" t="e">
        <f ca="1">IMAGE("https://alssports.vtexassets.com/arquivos/ids/1257254-800-auto?v=638134633277170000&amp;width=800&amp;height=auto&amp;aspect=true")</f>
        <v>#NAME?</v>
      </c>
      <c r="H787" t="e">
        <f ca="1">IMAGE("https://m.media-amazon.com/images/I/51qo5E-azYL._AC_UL320_.jpg")</f>
        <v>#NAME?</v>
      </c>
      <c r="I787" t="s">
        <v>140</v>
      </c>
      <c r="J787">
        <v>22.95</v>
      </c>
      <c r="K787" s="2" t="s">
        <v>2636</v>
      </c>
      <c r="L787">
        <v>4.5</v>
      </c>
      <c r="M787">
        <v>2</v>
      </c>
      <c r="O787" t="s">
        <v>26</v>
      </c>
      <c r="P787" t="s">
        <v>26</v>
      </c>
      <c r="Q787" t="s">
        <v>1519</v>
      </c>
    </row>
    <row r="788" spans="1:17" ht="15.75" x14ac:dyDescent="0.25">
      <c r="A788" s="3" t="str">
        <f>HYPERLINK("https://www.als.com/crocs-classic-clog/p?skuId=1196935", "https://www.als.com/crocs-classic-clog/p?skuId=1196935")</f>
        <v>https://www.als.com/crocs-classic-clog/p?skuId=1196935</v>
      </c>
      <c r="B788" s="3" t="str">
        <f>HYPERLINK("https://www.als.com/crocs-classic-clog/p", "https://www.als.com/crocs-classic-clog/p")</f>
        <v>https://www.als.com/crocs-classic-clog/p</v>
      </c>
      <c r="C788" t="s">
        <v>1100</v>
      </c>
      <c r="D788" t="s">
        <v>2637</v>
      </c>
      <c r="E788" s="3" t="str">
        <f>HYPERLINK("https://www.amazon.com/crocs-Unisex-Classic-Pepper-Women/dp/B00HB55OIU/ref=sr_1_12?keywords=Crocs+Classic+Clog&amp;qid=1695124151&amp;sr=8-12", "https://www.amazon.com/crocs-Unisex-Classic-Pepper-Women/dp/B00HB55OIU/ref=sr_1_12?keywords=Crocs+Classic+Clog&amp;qid=1695124151&amp;sr=8-12")</f>
        <v>https://www.amazon.com/crocs-Unisex-Classic-Pepper-Women/dp/B00HB55OIU/ref=sr_1_12?keywords=Crocs+Classic+Clog&amp;qid=1695124151&amp;sr=8-12</v>
      </c>
      <c r="F788" t="s">
        <v>2638</v>
      </c>
      <c r="G788" t="e">
        <f ca="1">IMAGE("https://alssports.vtexassets.com/arquivos/ids/1222253-800-auto?v=638102875835800000&amp;width=800&amp;height=auto&amp;aspect=true")</f>
        <v>#NAME?</v>
      </c>
      <c r="H788" t="e">
        <f ca="1">IMAGE("https://m.media-amazon.com/images/I/81aw6vvX5EL._AC_UL320_.jpg")</f>
        <v>#NAME?</v>
      </c>
      <c r="I788" t="s">
        <v>157</v>
      </c>
      <c r="J788">
        <v>28.67</v>
      </c>
      <c r="K788" s="2" t="s">
        <v>2639</v>
      </c>
      <c r="L788">
        <v>4.8</v>
      </c>
      <c r="M788">
        <v>12518</v>
      </c>
      <c r="O788" t="s">
        <v>33</v>
      </c>
      <c r="P788" t="s">
        <v>26</v>
      </c>
      <c r="Q788" t="s">
        <v>1103</v>
      </c>
    </row>
    <row r="789" spans="1:17" ht="15.75" x14ac:dyDescent="0.25">
      <c r="A789" s="3" t="str">
        <f>HYPERLINK("https://www.als.com/asics-ws-shoe-gel-nimbus-24/p?skuId=1037727", "https://www.als.com/asics-ws-shoe-gel-nimbus-24/p?skuId=1037727")</f>
        <v>https://www.als.com/asics-ws-shoe-gel-nimbus-24/p?skuId=1037727</v>
      </c>
      <c r="B789" s="3" t="str">
        <f>HYPERLINK("https://www.als.com/asics-ws-shoe-gel-nimbus-24/p", "https://www.als.com/asics-ws-shoe-gel-nimbus-24/p")</f>
        <v>https://www.als.com/asics-ws-shoe-gel-nimbus-24/p</v>
      </c>
      <c r="C789" t="s">
        <v>1217</v>
      </c>
      <c r="D789" t="s">
        <v>2640</v>
      </c>
      <c r="E789" s="3" t="str">
        <f>HYPERLINK("https://www.amazon.com/ASICS-Womens-Gel-Nimbus-Running-Shoes/dp/B08QDX7JTQ/ref=sr_1_21?keywords=Asics+GEL-NIMBUS+24+Running+Shoe+-+Womens&amp;qid=1695124093&amp;sr=8-21", "https://www.amazon.com/ASICS-Womens-Gel-Nimbus-Running-Shoes/dp/B08QDX7JTQ/ref=sr_1_21?keywords=Asics+GEL-NIMBUS+24+Running+Shoe+-+Womens&amp;qid=1695124093&amp;sr=8-21")</f>
        <v>https://www.amazon.com/ASICS-Womens-Gel-Nimbus-Running-Shoes/dp/B08QDX7JTQ/ref=sr_1_21?keywords=Asics+GEL-NIMBUS+24+Running+Shoe+-+Womens&amp;qid=1695124093&amp;sr=8-21</v>
      </c>
      <c r="F789" t="s">
        <v>2641</v>
      </c>
      <c r="G789" t="e">
        <f ca="1">IMAGE("https://alssports.vtexassets.com/arquivos/ids/1109551-800-auto?v=637950821539330000&amp;width=800&amp;height=auto&amp;aspect=true")</f>
        <v>#NAME?</v>
      </c>
      <c r="H789" t="e">
        <f ca="1">IMAGE("https://m.media-amazon.com/images/I/618TSeYC7cL._AC_UL320_.jpg")</f>
        <v>#NAME?</v>
      </c>
      <c r="I789" t="s">
        <v>1220</v>
      </c>
      <c r="J789">
        <v>64.02</v>
      </c>
      <c r="K789" s="2" t="s">
        <v>2642</v>
      </c>
      <c r="L789">
        <v>3.9</v>
      </c>
      <c r="M789">
        <v>329</v>
      </c>
      <c r="O789" t="s">
        <v>33</v>
      </c>
      <c r="P789" t="s">
        <v>88</v>
      </c>
      <c r="Q789" t="s">
        <v>1222</v>
      </c>
    </row>
    <row r="790" spans="1:17" ht="15.75" x14ac:dyDescent="0.25">
      <c r="A790" s="3" t="str">
        <f>HYPERLINK("https://www.als.com/hoka-ws-shoe-arahi-6/p?skuId=900823", "https://www.als.com/hoka-ws-shoe-arahi-6/p?skuId=900823")</f>
        <v>https://www.als.com/hoka-ws-shoe-arahi-6/p?skuId=900823</v>
      </c>
      <c r="B790" s="3" t="str">
        <f>HYPERLINK("https://www.als.com/hoka-ws-shoe-arahi-6/p", "https://www.als.com/hoka-ws-shoe-arahi-6/p")</f>
        <v>https://www.als.com/hoka-ws-shoe-arahi-6/p</v>
      </c>
      <c r="C790" t="s">
        <v>2643</v>
      </c>
      <c r="D790" t="s">
        <v>2124</v>
      </c>
      <c r="E790" s="3" t="str">
        <f>HYPERLINK("https://www.amazon.com/ALTRA-Womens-AL0A5488-Provision-Running/dp/B09HPQBRDC/ref=sr_1_39?keywords=HOKA+Arahi+6+Running+Shoe+-+Women%27s&amp;qid=1695124414&amp;sr=8-39", "https://www.amazon.com/ALTRA-Womens-AL0A5488-Provision-Running/dp/B09HPQBRDC/ref=sr_1_39?keywords=HOKA+Arahi+6+Running+Shoe+-+Women%27s&amp;qid=1695124414&amp;sr=8-39")</f>
        <v>https://www.amazon.com/ALTRA-Womens-AL0A5488-Provision-Running/dp/B09HPQBRDC/ref=sr_1_39?keywords=HOKA+Arahi+6+Running+Shoe+-+Women%27s&amp;qid=1695124414&amp;sr=8-39</v>
      </c>
      <c r="F790" t="s">
        <v>2644</v>
      </c>
      <c r="G790" t="e">
        <f ca="1">IMAGE("https://alssports.vtexassets.com/arquivos/ids/1133744-800-auto?v=638138945292870000&amp;width=800&amp;height=auto&amp;aspect=true")</f>
        <v>#NAME?</v>
      </c>
      <c r="H790" t="e">
        <f ca="1">IMAGE("https://m.media-amazon.com/images/I/71FcHx+QSAL._AC_UL320_.jpg")</f>
        <v>#NAME?</v>
      </c>
      <c r="I790" t="s">
        <v>119</v>
      </c>
      <c r="J790">
        <v>79.989999999999995</v>
      </c>
      <c r="K790" s="2" t="s">
        <v>2645</v>
      </c>
      <c r="L790">
        <v>4.4000000000000004</v>
      </c>
      <c r="M790">
        <v>622</v>
      </c>
      <c r="O790" t="s">
        <v>33</v>
      </c>
      <c r="P790" t="s">
        <v>26</v>
      </c>
      <c r="Q790" t="s">
        <v>2646</v>
      </c>
    </row>
    <row r="791" spans="1:17" ht="15.75" x14ac:dyDescent="0.25">
      <c r="A791" s="3" t="str">
        <f>HYPERLINK("https://www.als.com/sitka-m-pant-mountain-optifade/p?skuId=90738", "https://www.als.com/sitka-m-pant-mountain-optifade/p?skuId=90738")</f>
        <v>https://www.als.com/sitka-m-pant-mountain-optifade/p?skuId=90738</v>
      </c>
      <c r="B791" s="3" t="str">
        <f>HYPERLINK("https://www.als.com/sitka-m-pant-mountain-optifade/p", "https://www.als.com/sitka-m-pant-mountain-optifade/p")</f>
        <v>https://www.als.com/sitka-m-pant-mountain-optifade/p</v>
      </c>
      <c r="C791" t="s">
        <v>260</v>
      </c>
      <c r="D791" t="s">
        <v>2647</v>
      </c>
      <c r="E791" s="3" t="str">
        <f>HYPERLINK("https://www.amazon.com/SITKA-Gear-Standard-Lightweight-Traverse/dp/B0983RXVG7/ref=sr_1_21?keywords=Sitka+Mountain+Pant+-+Mens&amp;qid=1695124392&amp;sr=8-21", "https://www.amazon.com/SITKA-Gear-Standard-Lightweight-Traverse/dp/B0983RXVG7/ref=sr_1_21?keywords=Sitka+Mountain+Pant+-+Mens&amp;qid=1695124392&amp;sr=8-21")</f>
        <v>https://www.amazon.com/SITKA-Gear-Standard-Lightweight-Traverse/dp/B0983RXVG7/ref=sr_1_21?keywords=Sitka+Mountain+Pant+-+Mens&amp;qid=1695124392&amp;sr=8-21</v>
      </c>
      <c r="F791" t="s">
        <v>2648</v>
      </c>
      <c r="G791" t="e">
        <f ca="1">IMAGE("https://alssports.vtexassets.com/arquivos/ids/1369099-800-auto?v=638242004529500000&amp;width=800&amp;height=auto&amp;aspect=true")</f>
        <v>#NAME?</v>
      </c>
      <c r="H791" t="e">
        <f ca="1">IMAGE("https://m.media-amazon.com/images/I/51TCkBWSzaL._AC_UL320_.jpg")</f>
        <v>#NAME?</v>
      </c>
      <c r="I791" t="s">
        <v>263</v>
      </c>
      <c r="J791">
        <v>119.2</v>
      </c>
      <c r="K791" s="2" t="s">
        <v>2649</v>
      </c>
      <c r="L791">
        <v>5</v>
      </c>
      <c r="M791">
        <v>1</v>
      </c>
      <c r="O791" t="s">
        <v>33</v>
      </c>
      <c r="P791" t="s">
        <v>26</v>
      </c>
      <c r="Q791" t="s">
        <v>264</v>
      </c>
    </row>
    <row r="792" spans="1:17" ht="15.75" x14ac:dyDescent="0.25">
      <c r="A792" s="3" t="str">
        <f>HYPERLINK("https://www.als.com/sitka-m-pant-mountain-optifade/p?skuId=90738", "https://www.als.com/sitka-m-pant-mountain-optifade/p?skuId=90738")</f>
        <v>https://www.als.com/sitka-m-pant-mountain-optifade/p?skuId=90738</v>
      </c>
      <c r="B792" s="3" t="str">
        <f>HYPERLINK("https://www.als.com/sitka-m-pant-mountain-optifade/p", "https://www.als.com/sitka-m-pant-mountain-optifade/p")</f>
        <v>https://www.als.com/sitka-m-pant-mountain-optifade/p</v>
      </c>
      <c r="C792" t="s">
        <v>260</v>
      </c>
      <c r="D792" t="s">
        <v>2650</v>
      </c>
      <c r="E792" s="3" t="str">
        <f>HYPERLINK("https://www.amazon.com/SITKA-Gear-Hunting-Traverse-Pants/dp/B0BJ6K9LFB/ref=sr_1_2?keywords=Sitka+Mountain+Pant+-+Mens&amp;qid=1695124392&amp;sr=8-2", "https://www.amazon.com/SITKA-Gear-Hunting-Traverse-Pants/dp/B0BJ6K9LFB/ref=sr_1_2?keywords=Sitka+Mountain+Pant+-+Mens&amp;qid=1695124392&amp;sr=8-2")</f>
        <v>https://www.amazon.com/SITKA-Gear-Hunting-Traverse-Pants/dp/B0BJ6K9LFB/ref=sr_1_2?keywords=Sitka+Mountain+Pant+-+Mens&amp;qid=1695124392&amp;sr=8-2</v>
      </c>
      <c r="F792" t="s">
        <v>2651</v>
      </c>
      <c r="G792" t="e">
        <f ca="1">IMAGE("https://alssports.vtexassets.com/arquivos/ids/1369099-800-auto?v=638242004529500000&amp;width=800&amp;height=auto&amp;aspect=true")</f>
        <v>#NAME?</v>
      </c>
      <c r="H792" t="e">
        <f ca="1">IMAGE("https://m.media-amazon.com/images/I/51BKcb5UExL._AC_UL320_.jpg")</f>
        <v>#NAME?</v>
      </c>
      <c r="I792" t="s">
        <v>263</v>
      </c>
      <c r="J792">
        <v>118.49</v>
      </c>
      <c r="K792" s="2" t="s">
        <v>2652</v>
      </c>
      <c r="L792">
        <v>4.7</v>
      </c>
      <c r="M792">
        <v>25</v>
      </c>
      <c r="O792" t="s">
        <v>33</v>
      </c>
      <c r="P792" t="s">
        <v>26</v>
      </c>
      <c r="Q792" t="s">
        <v>264</v>
      </c>
    </row>
    <row r="793" spans="1:17" ht="15.75" x14ac:dyDescent="0.25">
      <c r="A793" s="3" t="str">
        <f>HYPERLINK("https://www.als.com/reef-w-sandals-cushion-vista-hi/p?skuId=1280794", "https://www.als.com/reef-w-sandals-cushion-vista-hi/p?skuId=1280794")</f>
        <v>https://www.als.com/reef-w-sandals-cushion-vista-hi/p?skuId=1280794</v>
      </c>
      <c r="B793" s="3" t="str">
        <f>HYPERLINK("https://www.als.com/reef-w-sandals-cushion-vista-hi/p", "https://www.als.com/reef-w-sandals-cushion-vista-hi/p")</f>
        <v>https://www.als.com/reef-w-sandals-cushion-vista-hi/p</v>
      </c>
      <c r="C793" t="s">
        <v>960</v>
      </c>
      <c r="D793" t="s">
        <v>2653</v>
      </c>
      <c r="E793" s="3" t="str">
        <f>HYPERLINK("https://www.amazon.com/Reef-womens-Sandal-Cloud-10/dp/B08BG1ZDZN/ref=sr_1_18?keywords=REEF+Cushion+Vista+HI+Slide+-+Women%27s&amp;qid=1695124489&amp;sr=8-18", "https://www.amazon.com/Reef-womens-Sandal-Cloud-10/dp/B08BG1ZDZN/ref=sr_1_18?keywords=REEF+Cushion+Vista+HI+Slide+-+Women%27s&amp;qid=1695124489&amp;sr=8-18")</f>
        <v>https://www.amazon.com/Reef-womens-Sandal-Cloud-10/dp/B08BG1ZDZN/ref=sr_1_18?keywords=REEF+Cushion+Vista+HI+Slide+-+Women%27s&amp;qid=1695124489&amp;sr=8-18</v>
      </c>
      <c r="F793" t="s">
        <v>2654</v>
      </c>
      <c r="G793" t="e">
        <f ca="1">IMAGE("https://alssports.vtexassets.com/arquivos/ids/1252015-800-auto?v=638131199167330000&amp;width=800&amp;height=auto&amp;aspect=true")</f>
        <v>#NAME?</v>
      </c>
      <c r="H793" t="e">
        <f ca="1">IMAGE("https://m.media-amazon.com/images/I/61hbOetecGL._AC_UL320_.jpg")</f>
        <v>#NAME?</v>
      </c>
      <c r="I793" t="s">
        <v>58</v>
      </c>
      <c r="J793">
        <v>36.729999999999997</v>
      </c>
      <c r="K793" s="2" t="s">
        <v>2655</v>
      </c>
      <c r="L793">
        <v>4.4000000000000004</v>
      </c>
      <c r="M793">
        <v>1797</v>
      </c>
      <c r="O793" t="s">
        <v>33</v>
      </c>
      <c r="P793" t="s">
        <v>26</v>
      </c>
      <c r="Q793" t="s">
        <v>963</v>
      </c>
    </row>
    <row r="794" spans="1:17" ht="15.75" x14ac:dyDescent="0.25">
      <c r="A794" s="3" t="str">
        <f>HYPERLINK("https://www.als.com/mizuno-w-wave-sky-6/p?skuId=1262559", "https://www.als.com/mizuno-w-wave-sky-6/p?skuId=1262559")</f>
        <v>https://www.als.com/mizuno-w-wave-sky-6/p?skuId=1262559</v>
      </c>
      <c r="B794" s="3" t="str">
        <f>HYPERLINK("https://www.als.com/mizuno-w-wave-sky-6/p", "https://www.als.com/mizuno-w-wave-sky-6/p")</f>
        <v>https://www.als.com/mizuno-w-wave-sky-6/p</v>
      </c>
      <c r="C794" t="s">
        <v>200</v>
      </c>
      <c r="D794" t="s">
        <v>2656</v>
      </c>
      <c r="E794" s="3" t="str">
        <f>HYPERLINK("https://www.amazon.com/Mizuno-Womens-Running-Teaberry-Depths/dp/B076Y62NW9/ref=sr_1_12?keywords=Mizuno+Wave+Sky+6+Running+Shoe+-+Women%27s&amp;qid=1695124449&amp;sr=8-12", "https://www.amazon.com/Mizuno-Womens-Running-Teaberry-Depths/dp/B076Y62NW9/ref=sr_1_12?keywords=Mizuno+Wave+Sky+6+Running+Shoe+-+Women%27s&amp;qid=1695124449&amp;sr=8-12")</f>
        <v>https://www.amazon.com/Mizuno-Womens-Running-Teaberry-Depths/dp/B076Y62NW9/ref=sr_1_12?keywords=Mizuno+Wave+Sky+6+Running+Shoe+-+Women%27s&amp;qid=1695124449&amp;sr=8-12</v>
      </c>
      <c r="F794" t="s">
        <v>2657</v>
      </c>
      <c r="G794" t="e">
        <f ca="1">IMAGE("https://alssports.vtexassets.com/arquivos/ids/1277387-800-auto?v=638152938174200000&amp;width=800&amp;height=auto&amp;aspect=true")</f>
        <v>#NAME?</v>
      </c>
      <c r="H794" t="e">
        <f ca="1">IMAGE("https://m.media-amazon.com/images/I/81fmzBd7urL._AC_UL320_.jpg")</f>
        <v>#NAME?</v>
      </c>
      <c r="I794" t="s">
        <v>164</v>
      </c>
      <c r="J794">
        <v>95.69</v>
      </c>
      <c r="K794" s="2" t="s">
        <v>2658</v>
      </c>
      <c r="L794">
        <v>4.4000000000000004</v>
      </c>
      <c r="M794">
        <v>728</v>
      </c>
      <c r="O794" t="s">
        <v>33</v>
      </c>
      <c r="P794" t="s">
        <v>191</v>
      </c>
      <c r="Q794" t="s">
        <v>203</v>
      </c>
    </row>
    <row r="795" spans="1:17" ht="15.75" x14ac:dyDescent="0.25">
      <c r="A795" s="3" t="str">
        <f>HYPERLINK("https://www.als.com/altra-w-shoe-timp-4/p?skuId=929220", "https://www.als.com/altra-w-shoe-timp-4/p?skuId=929220")</f>
        <v>https://www.als.com/altra-w-shoe-timp-4/p?skuId=929220</v>
      </c>
      <c r="B795" s="3" t="str">
        <f>HYPERLINK("https://www.als.com/altra-w-shoe-timp-4/p", "https://www.als.com/altra-w-shoe-timp-4/p")</f>
        <v>https://www.als.com/altra-w-shoe-timp-4/p</v>
      </c>
      <c r="C795" t="s">
        <v>829</v>
      </c>
      <c r="D795" t="s">
        <v>2659</v>
      </c>
      <c r="E795" s="3" t="str">
        <f>HYPERLINK("https://www.amazon.com/ALTRA-Womens-AL0A4VQV-Rivera-Running/dp/B08RCLFK47/ref=sr_1_15?keywords=Altra+Timp+4+Running+Shoe+-+Womens&amp;qid=1695124369&amp;sr=8-15", "https://www.amazon.com/ALTRA-Womens-AL0A4VQV-Rivera-Running/dp/B08RCLFK47/ref=sr_1_15?keywords=Altra+Timp+4+Running+Shoe+-+Womens&amp;qid=1695124369&amp;sr=8-15")</f>
        <v>https://www.amazon.com/ALTRA-Womens-AL0A4VQV-Rivera-Running/dp/B08RCLFK47/ref=sr_1_15?keywords=Altra+Timp+4+Running+Shoe+-+Womens&amp;qid=1695124369&amp;sr=8-15</v>
      </c>
      <c r="F795" t="s">
        <v>2660</v>
      </c>
      <c r="G795" t="e">
        <f ca="1">IMAGE("https://alssports.vtexassets.com/arquivos/ids/1112796-800-auto?v=637957454637830000&amp;width=800&amp;height=auto&amp;aspect=true")</f>
        <v>#NAME?</v>
      </c>
      <c r="H795" t="e">
        <f ca="1">IMAGE("https://m.media-amazon.com/images/I/81GUHVO6xPL._AC_UL320_.jpg")</f>
        <v>#NAME?</v>
      </c>
      <c r="I795" t="s">
        <v>88</v>
      </c>
      <c r="J795">
        <v>89.95</v>
      </c>
      <c r="K795" s="2" t="s">
        <v>2661</v>
      </c>
      <c r="L795">
        <v>4.3</v>
      </c>
      <c r="M795">
        <v>706</v>
      </c>
      <c r="O795" t="s">
        <v>33</v>
      </c>
      <c r="P795" t="s">
        <v>832</v>
      </c>
      <c r="Q795" t="s">
        <v>833</v>
      </c>
    </row>
    <row r="796" spans="1:17" ht="15.75" x14ac:dyDescent="0.25">
      <c r="A796" s="3" t="str">
        <f>HYPERLINK("https://www.als.com/under-ua-drive-pant/p?skuId=997492", "https://www.als.com/under-ua-drive-pant/p?skuId=997492")</f>
        <v>https://www.als.com/under-ua-drive-pant/p?skuId=997492</v>
      </c>
      <c r="B796" s="3" t="str">
        <f>HYPERLINK("https://www.als.com/under-ua-drive-pant/p", "https://www.als.com/under-ua-drive-pant/p")</f>
        <v>https://www.als.com/under-ua-drive-pant/p</v>
      </c>
      <c r="C796" t="s">
        <v>452</v>
      </c>
      <c r="D796" t="s">
        <v>2662</v>
      </c>
      <c r="E796" s="3" t="str">
        <f>HYPERLINK("https://www.amazon.com/Under-Armour-Vital-Woven-Pants/dp/B07PNRZFKQ/ref=sr_1_5?keywords=Under+Armour+Drive+Pant+-+Men%27s&amp;qid=1695124299&amp;sr=8-5", "https://www.amazon.com/Under-Armour-Vital-Woven-Pants/dp/B07PNRZFKQ/ref=sr_1_5?keywords=Under+Armour+Drive+Pant+-+Men%27s&amp;qid=1695124299&amp;sr=8-5")</f>
        <v>https://www.amazon.com/Under-Armour-Vital-Woven-Pants/dp/B07PNRZFKQ/ref=sr_1_5?keywords=Under+Armour+Drive+Pant+-+Men%27s&amp;qid=1695124299&amp;sr=8-5</v>
      </c>
      <c r="F796" t="s">
        <v>2663</v>
      </c>
      <c r="G796" t="e">
        <f ca="1">IMAGE("https://alssports.vtexassets.com/arquivos/ids/1442508-800-auto?v=638291812057330000&amp;width=800&amp;height=auto&amp;aspect=true")</f>
        <v>#NAME?</v>
      </c>
      <c r="H796" t="e">
        <f ca="1">IMAGE("https://m.media-amazon.com/images/I/51hApvoqJQL._AC_UL320_.jpg")</f>
        <v>#NAME?</v>
      </c>
      <c r="I796" t="s">
        <v>455</v>
      </c>
      <c r="J796">
        <v>28.68</v>
      </c>
      <c r="K796" s="2" t="s">
        <v>2661</v>
      </c>
      <c r="L796">
        <v>4.4000000000000004</v>
      </c>
      <c r="M796">
        <v>19956</v>
      </c>
      <c r="O796" t="s">
        <v>26</v>
      </c>
      <c r="P796" t="s">
        <v>457</v>
      </c>
      <c r="Q796" t="s">
        <v>458</v>
      </c>
    </row>
    <row r="797" spans="1:17" ht="15.75" x14ac:dyDescent="0.25">
      <c r="A797" s="3" t="str">
        <f>HYPERLINK("https://www.als.com/seasum-dry-bag-ultra-sil/p?skuId=1284260", "https://www.als.com/seasum-dry-bag-ultra-sil/p?skuId=1284260")</f>
        <v>https://www.als.com/seasum-dry-bag-ultra-sil/p?skuId=1284260</v>
      </c>
      <c r="B797" s="3" t="str">
        <f>HYPERLINK("https://www.als.com/seasum-dry-bag-ultra-sil/p", "https://www.als.com/seasum-dry-bag-ultra-sil/p")</f>
        <v>https://www.als.com/seasum-dry-bag-ultra-sil/p</v>
      </c>
      <c r="C797" t="s">
        <v>1515</v>
      </c>
      <c r="D797" t="s">
        <v>2664</v>
      </c>
      <c r="E797" s="3" t="str">
        <f>HYPERLINK("https://www.amazon.com/Sea-Summit-View-Yellow-Liter/dp/B003Z24QCS/ref=sr_1_24?keywords=Sea+to+Summit+Ultra-Sil+Dry+Bag&amp;qid=1695124478&amp;sr=8-24", "https://www.amazon.com/Sea-Summit-View-Yellow-Liter/dp/B003Z24QCS/ref=sr_1_24?keywords=Sea+to+Summit+Ultra-Sil+Dry+Bag&amp;qid=1695124478&amp;sr=8-24")</f>
        <v>https://www.amazon.com/Sea-Summit-View-Yellow-Liter/dp/B003Z24QCS/ref=sr_1_24?keywords=Sea+to+Summit+Ultra-Sil+Dry+Bag&amp;qid=1695124478&amp;sr=8-24</v>
      </c>
      <c r="F797" t="s">
        <v>2665</v>
      </c>
      <c r="G797" t="e">
        <f ca="1">IMAGE("https://alssports.vtexassets.com/arquivos/ids/1257254-800-auto?v=638134633277170000&amp;width=800&amp;height=auto&amp;aspect=true")</f>
        <v>#NAME?</v>
      </c>
      <c r="H797" t="e">
        <f ca="1">IMAGE("https://m.media-amazon.com/images/I/7143koPdPGL._AC_UL320_.jpg")</f>
        <v>#NAME?</v>
      </c>
      <c r="I797" t="s">
        <v>140</v>
      </c>
      <c r="J797">
        <v>22.46</v>
      </c>
      <c r="K797" s="2" t="s">
        <v>2666</v>
      </c>
      <c r="L797">
        <v>4.5</v>
      </c>
      <c r="M797">
        <v>241</v>
      </c>
      <c r="O797" t="s">
        <v>26</v>
      </c>
      <c r="P797" t="s">
        <v>26</v>
      </c>
      <c r="Q797" t="s">
        <v>1519</v>
      </c>
    </row>
    <row r="798" spans="1:17" ht="15.75" x14ac:dyDescent="0.25">
      <c r="A798" s="3" t="str">
        <f>HYPERLINK("https://www.als.com/adidas-w-shoe-4dfwd-2/p?skuId=1285989", "https://www.als.com/adidas-w-shoe-4dfwd-2/p?skuId=1285989")</f>
        <v>https://www.als.com/adidas-w-shoe-4dfwd-2/p?skuId=1285989</v>
      </c>
      <c r="B798" s="3" t="str">
        <f>HYPERLINK("https://www.als.com/adidas-w-shoe-4dfwd-2/p", "https://www.als.com/adidas-w-shoe-4dfwd-2/p")</f>
        <v>https://www.als.com/adidas-w-shoe-4dfwd-2/p</v>
      </c>
      <c r="C798" t="s">
        <v>392</v>
      </c>
      <c r="D798" t="s">
        <v>2667</v>
      </c>
      <c r="E798" s="3" t="str">
        <f>HYPERLINK("https://www.amazon.com/adidas-Womens-Racer-Running-White/dp/B098SNL72S/ref=sr_1_17?keywords=adidas+4DFWD+2+Shoe+-+Women%27s&amp;qid=1695124326&amp;sr=8-17", "https://www.amazon.com/adidas-Womens-Racer-Running-White/dp/B098SNL72S/ref=sr_1_17?keywords=adidas+4DFWD+2+Shoe+-+Women%27s&amp;qid=1695124326&amp;sr=8-17")</f>
        <v>https://www.amazon.com/adidas-Womens-Racer-Running-White/dp/B098SNL72S/ref=sr_1_17?keywords=adidas+4DFWD+2+Shoe+-+Women%27s&amp;qid=1695124326&amp;sr=8-17</v>
      </c>
      <c r="F798" t="s">
        <v>2668</v>
      </c>
      <c r="G798" t="e">
        <f ca="1">IMAGE("https://alssports.vtexassets.com/arquivos/ids/1396854-800-auto?v=638260048905170000&amp;width=800&amp;height=auto&amp;aspect=true")</f>
        <v>#NAME?</v>
      </c>
      <c r="H798" t="e">
        <f ca="1">IMAGE("https://m.media-amazon.com/images/I/71V7ZMn-dsL._AC_UL320_.jpg")</f>
        <v>#NAME?</v>
      </c>
      <c r="I798" t="s">
        <v>395</v>
      </c>
      <c r="J798">
        <v>44.88</v>
      </c>
      <c r="K798" s="2" t="s">
        <v>2669</v>
      </c>
      <c r="L798">
        <v>4.4000000000000004</v>
      </c>
      <c r="M798">
        <v>2933</v>
      </c>
      <c r="O798" t="s">
        <v>33</v>
      </c>
      <c r="P798" t="s">
        <v>73</v>
      </c>
      <c r="Q798" t="s">
        <v>397</v>
      </c>
    </row>
    <row r="799" spans="1:17" ht="15.75" x14ac:dyDescent="0.25">
      <c r="A799" s="3" t="str">
        <f>HYPERLINK("https://www.als.com/reef-w-sandals-cushion-vista-hi/p?skuId=1280794", "https://www.als.com/reef-w-sandals-cushion-vista-hi/p?skuId=1280794")</f>
        <v>https://www.als.com/reef-w-sandals-cushion-vista-hi/p?skuId=1280794</v>
      </c>
      <c r="B799" s="3" t="str">
        <f>HYPERLINK("https://www.als.com/reef-w-sandals-cushion-vista-hi/p", "https://www.als.com/reef-w-sandals-cushion-vista-hi/p")</f>
        <v>https://www.als.com/reef-w-sandals-cushion-vista-hi/p</v>
      </c>
      <c r="C799" t="s">
        <v>960</v>
      </c>
      <c r="D799" t="s">
        <v>2670</v>
      </c>
      <c r="E799" s="3" t="str">
        <f>HYPERLINK("https://www.amazon.com/Reef-Womens-Sandals-Cushion-Copper/dp/B08BG24GSD/ref=sr_1_37?keywords=REEF+Cushion+Vista+HI+Slide+-+Women%27s&amp;qid=1695124489&amp;sr=8-37", "https://www.amazon.com/Reef-Womens-Sandals-Cushion-Copper/dp/B08BG24GSD/ref=sr_1_37?keywords=REEF+Cushion+Vista+HI+Slide+-+Women%27s&amp;qid=1695124489&amp;sr=8-37")</f>
        <v>https://www.amazon.com/Reef-Womens-Sandals-Cushion-Copper/dp/B08BG24GSD/ref=sr_1_37?keywords=REEF+Cushion+Vista+HI+Slide+-+Women%27s&amp;qid=1695124489&amp;sr=8-37</v>
      </c>
      <c r="F799" t="s">
        <v>2671</v>
      </c>
      <c r="G799" t="e">
        <f ca="1">IMAGE("https://alssports.vtexassets.com/arquivos/ids/1252015-800-auto?v=638131199167330000&amp;width=800&amp;height=auto&amp;aspect=true")</f>
        <v>#NAME?</v>
      </c>
      <c r="H799" t="e">
        <f ca="1">IMAGE("https://m.media-amazon.com/images/I/51nYX4xMioL._AC_UL320_.jpg")</f>
        <v>#NAME?</v>
      </c>
      <c r="I799" t="s">
        <v>58</v>
      </c>
      <c r="J799">
        <v>36.409999999999997</v>
      </c>
      <c r="K799" s="2" t="s">
        <v>2672</v>
      </c>
      <c r="L799">
        <v>4.5</v>
      </c>
      <c r="M799">
        <v>5303</v>
      </c>
      <c r="O799" t="s">
        <v>33</v>
      </c>
      <c r="P799" t="s">
        <v>26</v>
      </c>
      <c r="Q799" t="s">
        <v>963</v>
      </c>
    </row>
    <row r="800" spans="1:17" ht="15.75" x14ac:dyDescent="0.25">
      <c r="A800" s="3" t="str">
        <f>HYPERLINK("https://www.als.com/under-w-pure-stretch-hipster-3-pack/p?skuId=425820", "https://www.als.com/under-w-pure-stretch-hipster-3-pack/p?skuId=425820")</f>
        <v>https://www.als.com/under-w-pure-stretch-hipster-3-pack/p?skuId=425820</v>
      </c>
      <c r="B800" s="3" t="str">
        <f>HYPERLINK("https://www.als.com/under-w-pure-stretch-hipster-3-pack/p", "https://www.als.com/under-w-pure-stretch-hipster-3-pack/p")</f>
        <v>https://www.als.com/under-w-pure-stretch-hipster-3-pack/p</v>
      </c>
      <c r="C800" t="s">
        <v>2673</v>
      </c>
      <c r="D800" t="s">
        <v>2674</v>
      </c>
      <c r="E800" s="3" t="str">
        <f>HYPERLINK("https://www.amazon.com/Under-Armour-Stretch-Hipster-Printed/dp/B072LPC74F/ref=sr_1_9?keywords=Under+Armour+Pure+Stretch+Hipster+-+Womens+%283+Pack%29&amp;qid=1695124410&amp;sr=8-9", "https://www.amazon.com/Under-Armour-Stretch-Hipster-Printed/dp/B072LPC74F/ref=sr_1_9?keywords=Under+Armour+Pure+Stretch+Hipster+-+Womens+%283+Pack%29&amp;qid=1695124410&amp;sr=8-9")</f>
        <v>https://www.amazon.com/Under-Armour-Stretch-Hipster-Printed/dp/B072LPC74F/ref=sr_1_9?keywords=Under+Armour+Pure+Stretch+Hipster+-+Womens+%283+Pack%29&amp;qid=1695124410&amp;sr=8-9</v>
      </c>
      <c r="F800" t="s">
        <v>2675</v>
      </c>
      <c r="G800" t="e">
        <f ca="1">IMAGE("https://alssports.vtexassets.com/arquivos/ids/1117566-800-auto?v=637964483230270000&amp;width=800&amp;height=auto&amp;aspect=true")</f>
        <v>#NAME?</v>
      </c>
      <c r="H800" t="e">
        <f ca="1">IMAGE("https://m.media-amazon.com/images/I/714e9FVd1AL._AC_UL320_.jpg")</f>
        <v>#NAME?</v>
      </c>
      <c r="I800" t="s">
        <v>258</v>
      </c>
      <c r="J800">
        <v>14</v>
      </c>
      <c r="K800" s="2" t="s">
        <v>2676</v>
      </c>
      <c r="L800">
        <v>4.2</v>
      </c>
      <c r="M800">
        <v>33</v>
      </c>
      <c r="O800" t="s">
        <v>33</v>
      </c>
      <c r="P800" t="s">
        <v>26</v>
      </c>
      <c r="Q800" t="s">
        <v>2677</v>
      </c>
    </row>
    <row r="801" spans="1:17" ht="15.75" x14ac:dyDescent="0.25">
      <c r="A801" s="3" t="str">
        <f>HYPERLINK("https://www.als.com/outres-hat-sombriolet-sun-hat/p?skuId=54000", "https://www.als.com/outres-hat-sombriolet-sun-hat/p?skuId=54000")</f>
        <v>https://www.als.com/outres-hat-sombriolet-sun-hat/p?skuId=54000</v>
      </c>
      <c r="B801" s="3" t="str">
        <f>HYPERLINK("https://www.als.com/outres-hat-sombriolet-sun-hat/p", "https://www.als.com/outres-hat-sombriolet-sun-hat/p")</f>
        <v>https://www.als.com/outres-hat-sombriolet-sun-hat/p</v>
      </c>
      <c r="C801" t="s">
        <v>295</v>
      </c>
      <c r="D801" t="s">
        <v>2678</v>
      </c>
      <c r="E801" s="3" t="str">
        <f>HYPERLINK("https://www.amazon.com/Outdoor-Research-Sandbox-Alloy-X-Small/dp/B01I0O981O/ref=sr_1_8?keywords=Outdoor+Research+Sombriolet+Sun+Hat&amp;qid=1695124354&amp;sr=8-8", "https://www.amazon.com/Outdoor-Research-Sandbox-Alloy-X-Small/dp/B01I0O981O/ref=sr_1_8?keywords=Outdoor+Research+Sombriolet+Sun+Hat&amp;qid=1695124354&amp;sr=8-8")</f>
        <v>https://www.amazon.com/Outdoor-Research-Sandbox-Alloy-X-Small/dp/B01I0O981O/ref=sr_1_8?keywords=Outdoor+Research+Sombriolet+Sun+Hat&amp;qid=1695124354&amp;sr=8-8</v>
      </c>
      <c r="F801" t="s">
        <v>2679</v>
      </c>
      <c r="G801" t="e">
        <f ca="1">IMAGE("https://alssports.vtexassets.com/arquivos/ids/1085324-800-auto?v=637917182267970000&amp;width=800&amp;height=auto&amp;aspect=true")</f>
        <v>#NAME?</v>
      </c>
      <c r="H801" t="e">
        <f ca="1">IMAGE("https://m.media-amazon.com/images/I/616EmeC5X6L._AC_UL320_.jpg")</f>
        <v>#NAME?</v>
      </c>
      <c r="I801" t="s">
        <v>298</v>
      </c>
      <c r="J801">
        <v>15</v>
      </c>
      <c r="K801" s="2" t="s">
        <v>2680</v>
      </c>
      <c r="L801">
        <v>3.7</v>
      </c>
      <c r="M801">
        <v>38</v>
      </c>
      <c r="O801" t="s">
        <v>26</v>
      </c>
      <c r="P801" t="s">
        <v>300</v>
      </c>
      <c r="Q801" t="s">
        <v>301</v>
      </c>
    </row>
    <row r="802" spans="1:17" ht="15.75" x14ac:dyDescent="0.25">
      <c r="A802" s="3" t="str">
        <f>HYPERLINK("https://www.als.com/chaco-m-sandal-zcloud/p?skuId=932120", "https://www.als.com/chaco-m-sandal-zcloud/p?skuId=932120")</f>
        <v>https://www.als.com/chaco-m-sandal-zcloud/p?skuId=932120</v>
      </c>
      <c r="B802" s="3" t="str">
        <f>HYPERLINK("https://www.als.com/chaco-m-sandal-zcloud/p", "https://www.als.com/chaco-m-sandal-zcloud/p")</f>
        <v>https://www.als.com/chaco-m-sandal-zcloud/p</v>
      </c>
      <c r="C802" t="s">
        <v>694</v>
      </c>
      <c r="D802" t="s">
        <v>2681</v>
      </c>
      <c r="E802" s="3" t="str">
        <f>HYPERLINK("https://www.amazon.com/Chaco-J106591-Sport-Sandal-Solid/dp/B07R11RM27/ref=sr_1_20?keywords=Chaco+Z%2FCloud+Sandal+-+Mens&amp;qid=1695124430&amp;sr=8-20", "https://www.amazon.com/Chaco-J106591-Sport-Sandal-Solid/dp/B07R11RM27/ref=sr_1_20?keywords=Chaco+Z%2FCloud+Sandal+-+Mens&amp;qid=1695124430&amp;sr=8-20")</f>
        <v>https://www.amazon.com/Chaco-J106591-Sport-Sandal-Solid/dp/B07R11RM27/ref=sr_1_20?keywords=Chaco+Z%2FCloud+Sandal+-+Mens&amp;qid=1695124430&amp;sr=8-20</v>
      </c>
      <c r="F802" t="s">
        <v>2682</v>
      </c>
      <c r="G802" t="e">
        <f ca="1">IMAGE("https://alssports.vtexassets.com/arquivos/ids/1082383-800-auto?v=637913737461500000&amp;width=800&amp;height=auto&amp;aspect=true")</f>
        <v>#NAME?</v>
      </c>
      <c r="H802" t="e">
        <f ca="1">IMAGE("https://m.media-amazon.com/images/I/71Fo1daLkZL._AC_UL320_.jpg")</f>
        <v>#NAME?</v>
      </c>
      <c r="I802" t="s">
        <v>269</v>
      </c>
      <c r="J802">
        <v>57.91</v>
      </c>
      <c r="K802" s="2" t="s">
        <v>2683</v>
      </c>
      <c r="L802">
        <v>4.5999999999999996</v>
      </c>
      <c r="M802">
        <v>337</v>
      </c>
      <c r="O802" t="s">
        <v>33</v>
      </c>
      <c r="P802" t="s">
        <v>26</v>
      </c>
      <c r="Q802" t="s">
        <v>697</v>
      </c>
    </row>
    <row r="803" spans="1:17" ht="15.75" x14ac:dyDescent="0.25">
      <c r="A803" s="3" t="str">
        <f>HYPERLINK("https://www.als.com/nrthsd-y-k-bayview-sandal/p?skuId=1192172", "https://www.als.com/nrthsd-y-k-bayview-sandal/p?skuId=1192172")</f>
        <v>https://www.als.com/nrthsd-y-k-bayview-sandal/p?skuId=1192172</v>
      </c>
      <c r="B803" s="3" t="str">
        <f>HYPERLINK("https://www.als.com/nrthsd-y-k-bayview-sandal/p", "https://www.als.com/nrthsd-y-k-bayview-sandal/p")</f>
        <v>https://www.als.com/nrthsd-y-k-bayview-sandal/p</v>
      </c>
      <c r="C803" t="s">
        <v>2684</v>
      </c>
      <c r="D803" t="s">
        <v>2685</v>
      </c>
      <c r="E803" s="3" t="str">
        <f>HYPERLINK("https://www.amazon.com/Northside-Girls-Sandal-Lilac-Little/dp/B08QBF6LLY/ref=sr_1_1?keywords=Northside+Bayview+Open+Toe+Sport+Sandal+-+Kids%27&amp;qid=1695124398&amp;sr=8-1", "https://www.amazon.com/Northside-Girls-Sandal-Lilac-Little/dp/B08QBF6LLY/ref=sr_1_1?keywords=Northside+Bayview+Open+Toe+Sport+Sandal+-+Kids%27&amp;qid=1695124398&amp;sr=8-1")</f>
        <v>https://www.amazon.com/Northside-Girls-Sandal-Lilac-Little/dp/B08QBF6LLY/ref=sr_1_1?keywords=Northside+Bayview+Open+Toe+Sport+Sandal+-+Kids%27&amp;qid=1695124398&amp;sr=8-1</v>
      </c>
      <c r="F803" t="s">
        <v>2686</v>
      </c>
      <c r="G803" t="e">
        <f ca="1">IMAGE("https://alssports.vtexassets.com/arquivos/ids/1167709-800-auto?v=638032773957870000&amp;width=800&amp;height=auto&amp;aspect=true")</f>
        <v>#NAME?</v>
      </c>
      <c r="H803" t="e">
        <f ca="1">IMAGE("https://m.media-amazon.com/images/I/71zNGbKE+1S._AC_UL320_.jpg")</f>
        <v>#NAME?</v>
      </c>
      <c r="I803" t="s">
        <v>2687</v>
      </c>
      <c r="J803">
        <v>7.14</v>
      </c>
      <c r="K803" s="2" t="s">
        <v>2688</v>
      </c>
      <c r="L803">
        <v>3.8</v>
      </c>
      <c r="M803">
        <v>20</v>
      </c>
      <c r="O803" t="s">
        <v>33</v>
      </c>
      <c r="P803" t="s">
        <v>233</v>
      </c>
      <c r="Q803" t="s">
        <v>2689</v>
      </c>
    </row>
    <row r="804" spans="1:17" ht="15.75" x14ac:dyDescent="0.25">
      <c r="A804" s="3" t="str">
        <f>HYPERLINK("https://www.als.com/crocs-classic-clog/p?skuId=1196935", "https://www.als.com/crocs-classic-clog/p?skuId=1196935")</f>
        <v>https://www.als.com/crocs-classic-clog/p?skuId=1196935</v>
      </c>
      <c r="B804" s="3" t="str">
        <f>HYPERLINK("https://www.als.com/crocs-classic-clog/p", "https://www.als.com/crocs-classic-clog/p")</f>
        <v>https://www.als.com/crocs-classic-clog/p</v>
      </c>
      <c r="C804" t="s">
        <v>1100</v>
      </c>
      <c r="D804" t="s">
        <v>2690</v>
      </c>
      <c r="E804" s="3" t="str">
        <f>HYPERLINK("https://www.amazon.com/Crocs-unisex-adult-Womens-Classic/dp/B08S19J9FB/ref=sr_1_43?keywords=Crocs+Classic+Clog&amp;qid=1695124151&amp;sr=8-43", "https://www.amazon.com/Crocs-unisex-adult-Womens-Classic/dp/B08S19J9FB/ref=sr_1_43?keywords=Crocs+Classic+Clog&amp;qid=1695124151&amp;sr=8-43")</f>
        <v>https://www.amazon.com/Crocs-unisex-adult-Womens-Classic/dp/B08S19J9FB/ref=sr_1_43?keywords=Crocs+Classic+Clog&amp;qid=1695124151&amp;sr=8-43</v>
      </c>
      <c r="F804" t="s">
        <v>2691</v>
      </c>
      <c r="G804" t="e">
        <f ca="1">IMAGE("https://alssports.vtexassets.com/arquivos/ids/1222253-800-auto?v=638102875835800000&amp;width=800&amp;height=auto&amp;aspect=true")</f>
        <v>#NAME?</v>
      </c>
      <c r="H804" t="e">
        <f ca="1">IMAGE("https://m.media-amazon.com/images/I/71SmWKhR7lL._AC_UL320_.jpg")</f>
        <v>#NAME?</v>
      </c>
      <c r="I804" t="s">
        <v>157</v>
      </c>
      <c r="J804">
        <v>27.53</v>
      </c>
      <c r="K804" s="2" t="s">
        <v>2692</v>
      </c>
      <c r="L804">
        <v>4.8</v>
      </c>
      <c r="M804">
        <v>467</v>
      </c>
      <c r="O804" t="s">
        <v>33</v>
      </c>
      <c r="P804" t="s">
        <v>26</v>
      </c>
      <c r="Q804" t="s">
        <v>1103</v>
      </c>
    </row>
    <row r="805" spans="1:17" ht="15.75" x14ac:dyDescent="0.25">
      <c r="A805" s="3" t="str">
        <f>HYPERLINK("https://www.als.com/crocs-classic-clog/p?skuId=1196935", "https://www.als.com/crocs-classic-clog/p?skuId=1196935")</f>
        <v>https://www.als.com/crocs-classic-clog/p?skuId=1196935</v>
      </c>
      <c r="B805" s="3" t="str">
        <f>HYPERLINK("https://www.als.com/crocs-classic-clog/p", "https://www.als.com/crocs-classic-clog/p")</f>
        <v>https://www.als.com/crocs-classic-clog/p</v>
      </c>
      <c r="C805" t="s">
        <v>1100</v>
      </c>
      <c r="D805" t="s">
        <v>2693</v>
      </c>
      <c r="E805" s="3" t="str">
        <f>HYPERLINK("https://www.amazon.com/Crocs-Womens-Classic-Graphic-Butterfly/dp/B08PVZJVJX/ref=sr_1_28?keywords=Crocs+Classic+Clog&amp;qid=1695124151&amp;sr=8-28", "https://www.amazon.com/Crocs-Womens-Classic-Graphic-Butterfly/dp/B08PVZJVJX/ref=sr_1_28?keywords=Crocs+Classic+Clog&amp;qid=1695124151&amp;sr=8-28")</f>
        <v>https://www.amazon.com/Crocs-Womens-Classic-Graphic-Butterfly/dp/B08PVZJVJX/ref=sr_1_28?keywords=Crocs+Classic+Clog&amp;qid=1695124151&amp;sr=8-28</v>
      </c>
      <c r="F805" t="s">
        <v>2694</v>
      </c>
      <c r="G805" t="e">
        <f ca="1">IMAGE("https://alssports.vtexassets.com/arquivos/ids/1222253-800-auto?v=638102875835800000&amp;width=800&amp;height=auto&amp;aspect=true")</f>
        <v>#NAME?</v>
      </c>
      <c r="H805" t="e">
        <f ca="1">IMAGE("https://m.media-amazon.com/images/I/51HNNoZBJSL._AC_UL320_.jpg")</f>
        <v>#NAME?</v>
      </c>
      <c r="I805" t="s">
        <v>157</v>
      </c>
      <c r="J805">
        <v>27.5</v>
      </c>
      <c r="K805" s="2" t="s">
        <v>2695</v>
      </c>
      <c r="L805">
        <v>4.8</v>
      </c>
      <c r="M805">
        <v>4568</v>
      </c>
      <c r="O805" t="s">
        <v>33</v>
      </c>
      <c r="P805" t="s">
        <v>26</v>
      </c>
      <c r="Q805" t="s">
        <v>1103</v>
      </c>
    </row>
    <row r="806" spans="1:17" ht="15.75" x14ac:dyDescent="0.25">
      <c r="A806" s="3" t="str">
        <f>HYPERLINK("https://www.als.com/crocs-classic-clog/p?skuId=1196935", "https://www.als.com/crocs-classic-clog/p?skuId=1196935")</f>
        <v>https://www.als.com/crocs-classic-clog/p?skuId=1196935</v>
      </c>
      <c r="B806" s="3" t="str">
        <f>HYPERLINK("https://www.als.com/crocs-classic-clog/p", "https://www.als.com/crocs-classic-clog/p")</f>
        <v>https://www.als.com/crocs-classic-clog/p</v>
      </c>
      <c r="C806" t="s">
        <v>1100</v>
      </c>
      <c r="D806" t="s">
        <v>2696</v>
      </c>
      <c r="E806" s="3" t="str">
        <f>HYPERLINK("https://www.amazon.com/Crocs-Unisex-Classic-American-Stripes/dp/B0C4HZ7C3F/ref=sr_1_38?keywords=Crocs+Classic+Clog&amp;qid=1695124151&amp;sr=8-38", "https://www.amazon.com/Crocs-Unisex-Classic-American-Stripes/dp/B0C4HZ7C3F/ref=sr_1_38?keywords=Crocs+Classic+Clog&amp;qid=1695124151&amp;sr=8-38")</f>
        <v>https://www.amazon.com/Crocs-Unisex-Classic-American-Stripes/dp/B0C4HZ7C3F/ref=sr_1_38?keywords=Crocs+Classic+Clog&amp;qid=1695124151&amp;sr=8-38</v>
      </c>
      <c r="F806" t="s">
        <v>2697</v>
      </c>
      <c r="G806" t="e">
        <f ca="1">IMAGE("https://alssports.vtexassets.com/arquivos/ids/1222253-800-auto?v=638102875835800000&amp;width=800&amp;height=auto&amp;aspect=true")</f>
        <v>#NAME?</v>
      </c>
      <c r="H806" t="e">
        <f ca="1">IMAGE("https://m.media-amazon.com/images/I/81UVF0O1+ZL._AC_UL320_.jpg")</f>
        <v>#NAME?</v>
      </c>
      <c r="I806" t="s">
        <v>157</v>
      </c>
      <c r="J806">
        <v>27.49</v>
      </c>
      <c r="K806" s="2" t="s">
        <v>2698</v>
      </c>
      <c r="L806">
        <v>4.8</v>
      </c>
      <c r="M806">
        <v>9272</v>
      </c>
      <c r="O806" t="s">
        <v>33</v>
      </c>
      <c r="P806" t="s">
        <v>26</v>
      </c>
      <c r="Q806" t="s">
        <v>1103</v>
      </c>
    </row>
    <row r="807" spans="1:17" ht="15.75" x14ac:dyDescent="0.25">
      <c r="A807" s="3" t="str">
        <f>HYPERLINK("https://www.als.com/under-m-charged-verssert-run-shoe/p?skuId=1204906", "https://www.als.com/under-m-charged-verssert-run-shoe/p?skuId=1204906")</f>
        <v>https://www.als.com/under-m-charged-verssert-run-shoe/p?skuId=1204906</v>
      </c>
      <c r="B807" s="3" t="str">
        <f>HYPERLINK("https://www.als.com/under-m-charged-verssert-run-shoe/p", "https://www.als.com/under-m-charged-verssert-run-shoe/p")</f>
        <v>https://www.als.com/under-m-charged-verssert-run-shoe/p</v>
      </c>
      <c r="C807" t="s">
        <v>60</v>
      </c>
      <c r="D807" t="s">
        <v>2699</v>
      </c>
      <c r="E807" s="3" t="str">
        <f>HYPERLINK("https://www.amazon.com/Under-Armour-Charged-Running-X-Wide/dp/B07RL623RG/ref=sr_1_25?keywords=Under+Armour+Charged+Verssert+Running+Shoe+-+Mens&amp;qid=1695124491&amp;sr=8-25", "https://www.amazon.com/Under-Armour-Charged-Running-X-Wide/dp/B07RL623RG/ref=sr_1_25?keywords=Under+Armour+Charged+Verssert+Running+Shoe+-+Mens&amp;qid=1695124491&amp;sr=8-25")</f>
        <v>https://www.amazon.com/Under-Armour-Charged-Running-X-Wide/dp/B07RL623RG/ref=sr_1_25?keywords=Under+Armour+Charged+Verssert+Running+Shoe+-+Mens&amp;qid=1695124491&amp;sr=8-25</v>
      </c>
      <c r="F807" t="s">
        <v>2700</v>
      </c>
      <c r="G807" t="e">
        <f ca="1">IMAGE("https://alssports.vtexassets.com/arquivos/ids/1282426-800-auto?v=638158001411130000&amp;width=800&amp;height=auto&amp;aspect=true")</f>
        <v>#NAME?</v>
      </c>
      <c r="H807" t="e">
        <f ca="1">IMAGE("https://m.media-amazon.com/images/I/81FM0Al9zhL._AC_UL320_.jpg")</f>
        <v>#NAME?</v>
      </c>
      <c r="I807" t="s">
        <v>63</v>
      </c>
      <c r="J807">
        <v>41.25</v>
      </c>
      <c r="K807" s="2" t="s">
        <v>2701</v>
      </c>
      <c r="L807">
        <v>4.5999999999999996</v>
      </c>
      <c r="M807">
        <v>3189</v>
      </c>
      <c r="O807" t="s">
        <v>33</v>
      </c>
      <c r="P807" t="s">
        <v>26</v>
      </c>
      <c r="Q807" t="s">
        <v>64</v>
      </c>
    </row>
    <row r="808" spans="1:17" ht="15.75" x14ac:dyDescent="0.25">
      <c r="A808" s="3" t="str">
        <f>HYPERLINK("https://www.als.com/sorel-m-explorer-boot/p?skuId=1237286", "https://www.als.com/sorel-m-explorer-boot/p?skuId=1237286")</f>
        <v>https://www.als.com/sorel-m-explorer-boot/p?skuId=1237286</v>
      </c>
      <c r="B808" s="3" t="str">
        <f>HYPERLINK("https://www.als.com/sorel-m-explorer-boot/p", "https://www.als.com/sorel-m-explorer-boot/p")</f>
        <v>https://www.als.com/sorel-m-explorer-boot/p</v>
      </c>
      <c r="C808" t="s">
        <v>1094</v>
      </c>
      <c r="D808" t="s">
        <v>2702</v>
      </c>
      <c r="E808" s="3" t="str">
        <f>HYPERLINK("https://www.amazon.com/Sorel-Cheyanne-Metro-Waterproof-Black/dp/B082211H4H/ref=sr_1_39?keywords=Sorel+Explorer+Boot+-+Mens&amp;qid=1695124329&amp;sr=8-39", "https://www.amazon.com/Sorel-Cheyanne-Metro-Waterproof-Black/dp/B082211H4H/ref=sr_1_39?keywords=Sorel+Explorer+Boot+-+Mens&amp;qid=1695124329&amp;sr=8-39")</f>
        <v>https://www.amazon.com/Sorel-Cheyanne-Metro-Waterproof-Black/dp/B082211H4H/ref=sr_1_39?keywords=Sorel+Explorer+Boot+-+Mens&amp;qid=1695124329&amp;sr=8-39</v>
      </c>
      <c r="F808" t="s">
        <v>2703</v>
      </c>
      <c r="G808" t="e">
        <f ca="1">IMAGE("https://alssports.vtexassets.com/arquivos/ids/1316684-800-auto?v=638198518766100000&amp;width=800&amp;height=auto&amp;aspect=true")</f>
        <v>#NAME?</v>
      </c>
      <c r="H808" t="e">
        <f ca="1">IMAGE("https://m.media-amazon.com/images/I/71nPr6HX1oL._AC_UL320_.jpg")</f>
        <v>#NAME?</v>
      </c>
      <c r="I808" t="s">
        <v>1097</v>
      </c>
      <c r="J808">
        <v>49.99</v>
      </c>
      <c r="K808" s="2" t="s">
        <v>2704</v>
      </c>
      <c r="L808">
        <v>4.3</v>
      </c>
      <c r="M808">
        <v>61</v>
      </c>
      <c r="O808" t="s">
        <v>33</v>
      </c>
      <c r="P808" t="s">
        <v>832</v>
      </c>
      <c r="Q808" t="s">
        <v>1099</v>
      </c>
    </row>
    <row r="809" spans="1:17" ht="15.75" x14ac:dyDescent="0.25">
      <c r="A809" s="3" t="str">
        <f>HYPERLINK("https://www.als.com/heydud-w-shoe-wendy-rise-woven/p?skuId=1317686", "https://www.als.com/heydud-w-shoe-wendy-rise-woven/p?skuId=1317686")</f>
        <v>https://www.als.com/heydud-w-shoe-wendy-rise-woven/p?skuId=1317686</v>
      </c>
      <c r="B809" s="3" t="str">
        <f>HYPERLINK("https://www.als.com/heydud-w-shoe-wendy-rise-woven/p", "https://www.als.com/heydud-w-shoe-wendy-rise-woven/p")</f>
        <v>https://www.als.com/heydud-w-shoe-wendy-rise-woven/p</v>
      </c>
      <c r="C809" t="s">
        <v>425</v>
      </c>
      <c r="D809" t="s">
        <v>2705</v>
      </c>
      <c r="E809" s="3" t="str">
        <f>HYPERLINK("https://www.amazon.com/Hey-Dude-Womens-Stretch-Sparkling/dp/B08MH2V7VD/ref=sr_1_10?keywords=Hey+Dude+Wendy+Rise+Woven+Shoe+-+Womens&amp;qid=1695124483&amp;sr=8-10", "https://www.amazon.com/Hey-Dude-Womens-Stretch-Sparkling/dp/B08MH2V7VD/ref=sr_1_10?keywords=Hey+Dude+Wendy+Rise+Woven+Shoe+-+Womens&amp;qid=1695124483&amp;sr=8-10")</f>
        <v>https://www.amazon.com/Hey-Dude-Womens-Stretch-Sparkling/dp/B08MH2V7VD/ref=sr_1_10?keywords=Hey+Dude+Wendy+Rise+Woven+Shoe+-+Womens&amp;qid=1695124483&amp;sr=8-10</v>
      </c>
      <c r="F809" t="s">
        <v>2706</v>
      </c>
      <c r="G809" t="e">
        <f ca="1">IMAGE("https://alssports.vtexassets.com/arquivos/ids/1387367-800-auto?v=638255482261930000&amp;width=800&amp;height=auto&amp;aspect=true")</f>
        <v>#NAME?</v>
      </c>
      <c r="H809" t="e">
        <f ca="1">IMAGE("https://m.media-amazon.com/images/I/61lxHbJPF3L._AC_UL320_.jpg")</f>
        <v>#NAME?</v>
      </c>
      <c r="I809" t="s">
        <v>58</v>
      </c>
      <c r="J809">
        <v>35.58</v>
      </c>
      <c r="K809" s="2" t="s">
        <v>2707</v>
      </c>
      <c r="L809">
        <v>4.7</v>
      </c>
      <c r="M809">
        <v>16899</v>
      </c>
      <c r="O809" t="s">
        <v>33</v>
      </c>
      <c r="P809" t="s">
        <v>26</v>
      </c>
      <c r="Q809" t="s">
        <v>429</v>
      </c>
    </row>
    <row r="810" spans="1:17" ht="15.75" x14ac:dyDescent="0.25">
      <c r="A810" s="3" t="str">
        <f>HYPERLINK("https://www.als.com/columbia-powder-lite-novelty-hooded-jacket-girls-125482/p?skuId=1139868", "https://www.als.com/columbia-powder-lite-novelty-hooded-jacket-girls-125482/p?skuId=1139868")</f>
        <v>https://www.als.com/columbia-powder-lite-novelty-hooded-jacket-girls-125482/p?skuId=1139868</v>
      </c>
      <c r="B810" s="3" t="str">
        <f>HYPERLINK("https://www.als.com/columbia-powder-lite-novelty-hooded-jacket-girls-125482/p", "https://www.als.com/columbia-powder-lite-novelty-hooded-jacket-girls-125482/p")</f>
        <v>https://www.als.com/columbia-powder-lite-novelty-hooded-jacket-girls-125482/p</v>
      </c>
      <c r="C810" t="s">
        <v>974</v>
      </c>
      <c r="D810" t="s">
        <v>2708</v>
      </c>
      <c r="E810" s="3" t="str">
        <f>HYPERLINK("https://www.amazon.com/Columbia-GirlS-Powder-Jacket-Repellant/dp/B0814C2RMY/ref=sr_1_4?keywords=Columbia+Powder+Lite+Novelty+Hooded+Jacket+-+Girls&amp;qid=1695124483&amp;sr=8-4", "https://www.amazon.com/Columbia-GirlS-Powder-Jacket-Repellant/dp/B0814C2RMY/ref=sr_1_4?keywords=Columbia+Powder+Lite+Novelty+Hooded+Jacket+-+Girls&amp;qid=1695124483&amp;sr=8-4")</f>
        <v>https://www.amazon.com/Columbia-GirlS-Powder-Jacket-Repellant/dp/B0814C2RMY/ref=sr_1_4?keywords=Columbia+Powder+Lite+Novelty+Hooded+Jacket+-+Girls&amp;qid=1695124483&amp;sr=8-4</v>
      </c>
      <c r="F810" t="s">
        <v>2709</v>
      </c>
      <c r="G810" t="e">
        <f ca="1">IMAGE("https://alssports.vtexassets.com/arquivos/ids/1180419-800-auto?v=638050834194370000&amp;width=800&amp;height=auto&amp;aspect=true")</f>
        <v>#NAME?</v>
      </c>
      <c r="H810" t="e">
        <f ca="1">IMAGE("https://m.media-amazon.com/images/I/61-2k3j0mOS._AC_UL320_.jpg")</f>
        <v>#NAME?</v>
      </c>
      <c r="I810" t="s">
        <v>977</v>
      </c>
      <c r="J810">
        <v>45.96</v>
      </c>
      <c r="K810" s="2" t="s">
        <v>2710</v>
      </c>
      <c r="L810">
        <v>4.8</v>
      </c>
      <c r="M810">
        <v>90</v>
      </c>
      <c r="O810" t="s">
        <v>33</v>
      </c>
      <c r="P810" t="s">
        <v>978</v>
      </c>
      <c r="Q810" t="s">
        <v>979</v>
      </c>
    </row>
    <row r="811" spans="1:17" ht="15.75" x14ac:dyDescent="0.25">
      <c r="A811" s="3" t="str">
        <f>HYPERLINK("https://www.als.com/babola-m-shoe-jet-mach-3/p?skuId=599962", "https://www.als.com/babola-m-shoe-jet-mach-3/p?skuId=599962")</f>
        <v>https://www.als.com/babola-m-shoe-jet-mach-3/p?skuId=599962</v>
      </c>
      <c r="B811" s="3" t="str">
        <f>HYPERLINK("https://www.als.com/babola-m-shoe-jet-mach-3/p", "https://www.als.com/babola-m-shoe-jet-mach-3/p")</f>
        <v>https://www.als.com/babola-m-shoe-jet-mach-3/p</v>
      </c>
      <c r="C811" t="s">
        <v>875</v>
      </c>
      <c r="D811" t="s">
        <v>2711</v>
      </c>
      <c r="E811" s="3" t="str">
        <f>HYPERLINK("https://www.amazon.com/Babolat-Men%60s-Court-Tennis-Shoes/dp/B09B2TTWFK/ref=sr_1_1?keywords=Babolat+Jet+Mach+3+All+Court+Tennis+Shoe+-+Mens&amp;qid=1695124489&amp;sr=8-1", "https://www.amazon.com/Babolat-Men%60s-Court-Tennis-Shoes/dp/B09B2TTWFK/ref=sr_1_1?keywords=Babolat+Jet+Mach+3+All+Court+Tennis+Shoe+-+Mens&amp;qid=1695124489&amp;sr=8-1")</f>
        <v>https://www.amazon.com/Babolat-Men%60s-Court-Tennis-Shoes/dp/B09B2TTWFK/ref=sr_1_1?keywords=Babolat+Jet+Mach+3+All+Court+Tennis+Shoe+-+Mens&amp;qid=1695124489&amp;sr=8-1</v>
      </c>
      <c r="F811" t="s">
        <v>2712</v>
      </c>
      <c r="G811" t="e">
        <f ca="1">IMAGE("https://alssports.vtexassets.com/arquivos/ids/1411604-800-auto?v=638270546404000000&amp;width=800&amp;height=auto&amp;aspect=true")</f>
        <v>#NAME?</v>
      </c>
      <c r="H811" t="e">
        <f ca="1">IMAGE("https://m.media-amazon.com/images/I/61Pfo9bPruL._AC_UL320_.jpg")</f>
        <v>#NAME?</v>
      </c>
      <c r="I811" t="s">
        <v>878</v>
      </c>
      <c r="J811">
        <v>80.97</v>
      </c>
      <c r="K811" s="2" t="s">
        <v>2713</v>
      </c>
      <c r="L811">
        <v>3.7</v>
      </c>
      <c r="M811">
        <v>8</v>
      </c>
      <c r="O811" t="s">
        <v>33</v>
      </c>
      <c r="P811" t="s">
        <v>26</v>
      </c>
      <c r="Q811" t="s">
        <v>880</v>
      </c>
    </row>
    <row r="812" spans="1:17" ht="15.75" x14ac:dyDescent="0.25">
      <c r="A812" s="3" t="str">
        <f>HYPERLINK("https://www.als.com/seasum-dry-bag-ultra-sil/p?skuId=1284260", "https://www.als.com/seasum-dry-bag-ultra-sil/p?skuId=1284260")</f>
        <v>https://www.als.com/seasum-dry-bag-ultra-sil/p?skuId=1284260</v>
      </c>
      <c r="B812" s="3" t="str">
        <f>HYPERLINK("https://www.als.com/seasum-dry-bag-ultra-sil/p", "https://www.als.com/seasum-dry-bag-ultra-sil/p")</f>
        <v>https://www.als.com/seasum-dry-bag-ultra-sil/p</v>
      </c>
      <c r="C812" t="s">
        <v>1515</v>
      </c>
      <c r="D812" t="s">
        <v>2664</v>
      </c>
      <c r="E812" s="3" t="str">
        <f>HYPERLINK("https://www.amazon.com/Sea-Summit-View-Yellow-Liter/dp/B07NZ7BFDQ/ref=sr_1_28?keywords=Sea+to+Summit+Ultra-Sil+Dry+Bag&amp;qid=1695124478&amp;sr=8-28", "https://www.amazon.com/Sea-Summit-View-Yellow-Liter/dp/B07NZ7BFDQ/ref=sr_1_28?keywords=Sea+to+Summit+Ultra-Sil+Dry+Bag&amp;qid=1695124478&amp;sr=8-28")</f>
        <v>https://www.amazon.com/Sea-Summit-View-Yellow-Liter/dp/B07NZ7BFDQ/ref=sr_1_28?keywords=Sea+to+Summit+Ultra-Sil+Dry+Bag&amp;qid=1695124478&amp;sr=8-28</v>
      </c>
      <c r="F812" t="s">
        <v>2714</v>
      </c>
      <c r="G812" t="e">
        <f ca="1">IMAGE("https://alssports.vtexassets.com/arquivos/ids/1257254-800-auto?v=638134633277170000&amp;width=800&amp;height=auto&amp;aspect=true")</f>
        <v>#NAME?</v>
      </c>
      <c r="H812" t="e">
        <f ca="1">IMAGE("https://m.media-amazon.com/images/I/71cIi2nEvML._AC_UL320_.jpg")</f>
        <v>#NAME?</v>
      </c>
      <c r="I812" t="s">
        <v>140</v>
      </c>
      <c r="J812">
        <v>21.71</v>
      </c>
      <c r="K812" s="2" t="s">
        <v>2715</v>
      </c>
      <c r="L812">
        <v>4.5</v>
      </c>
      <c r="M812">
        <v>241</v>
      </c>
      <c r="O812" t="s">
        <v>26</v>
      </c>
      <c r="P812" t="s">
        <v>26</v>
      </c>
      <c r="Q812" t="s">
        <v>1519</v>
      </c>
    </row>
    <row r="813" spans="1:17" ht="15.75" x14ac:dyDescent="0.25">
      <c r="A813" s="3" t="str">
        <f>HYPERLINK("https://www.als.com/conti-tire-grand-prix-5000-s-tr/p?skuId=971397", "https://www.als.com/conti-tire-grand-prix-5000-s-tr/p?skuId=971397")</f>
        <v>https://www.als.com/conti-tire-grand-prix-5000-s-tr/p?skuId=971397</v>
      </c>
      <c r="B813" s="3" t="str">
        <f>HYPERLINK("https://www.als.com/conti-tire-grand-prix-5000-s-tr/p", "https://www.als.com/conti-tire-grand-prix-5000-s-tr/p")</f>
        <v>https://www.als.com/conti-tire-grand-prix-5000-s-tr/p</v>
      </c>
      <c r="C813" t="s">
        <v>718</v>
      </c>
      <c r="D813" t="s">
        <v>2716</v>
      </c>
      <c r="E813" s="3" t="str">
        <f>HYPERLINK("https://www.amazon.com/Continental-Grand-Season-Black-700cm/dp/B01N41H62V/ref=sr_1_46?keywords=Continental+Tires+Continental+Grand+Prix+5000+S+TR+Tire&amp;qid=1695124461&amp;sr=8-46", "https://www.amazon.com/Continental-Grand-Season-Black-700cm/dp/B01N41H62V/ref=sr_1_46?keywords=Continental+Tires+Continental+Grand+Prix+5000+S+TR+Tire&amp;qid=1695124461&amp;sr=8-46")</f>
        <v>https://www.amazon.com/Continental-Grand-Season-Black-700cm/dp/B01N41H62V/ref=sr_1_46?keywords=Continental+Tires+Continental+Grand+Prix+5000+S+TR+Tire&amp;qid=1695124461&amp;sr=8-46</v>
      </c>
      <c r="F813" t="s">
        <v>2717</v>
      </c>
      <c r="G813" t="e">
        <f ca="1">IMAGE("https://alssports.vtexassets.com/arquivos/ids/1235281-800-auto?v=638114086611970000&amp;width=800&amp;height=auto&amp;aspect=true")</f>
        <v>#NAME?</v>
      </c>
      <c r="H813" t="e">
        <f ca="1">IMAGE("https://m.media-amazon.com/images/I/71Ecnak8VBL._AC_UL320_.jpg")</f>
        <v>#NAME?</v>
      </c>
      <c r="I813" t="s">
        <v>32</v>
      </c>
      <c r="J813">
        <v>53.99</v>
      </c>
      <c r="K813" s="2" t="s">
        <v>2718</v>
      </c>
      <c r="L813">
        <v>4.7</v>
      </c>
      <c r="M813">
        <v>701</v>
      </c>
      <c r="O813" t="s">
        <v>33</v>
      </c>
      <c r="P813" t="s">
        <v>26</v>
      </c>
      <c r="Q813" t="s">
        <v>722</v>
      </c>
    </row>
    <row r="814" spans="1:17" ht="15.75" x14ac:dyDescent="0.25">
      <c r="A814" s="3" t="str">
        <f>HYPERLINK("https://www.als.com/sal-sh-m-shoe-speedcross-6/p?skuId=1067283", "https://www.als.com/sal-sh-m-shoe-speedcross-6/p?skuId=1067283")</f>
        <v>https://www.als.com/sal-sh-m-shoe-speedcross-6/p?skuId=1067283</v>
      </c>
      <c r="B814" s="3" t="str">
        <f>HYPERLINK("https://www.als.com/sal-sh-m-shoe-speedcross-6/p", "https://www.als.com/sal-sh-m-shoe-speedcross-6/p")</f>
        <v>https://www.als.com/sal-sh-m-shoe-speedcross-6/p</v>
      </c>
      <c r="C814" t="s">
        <v>547</v>
      </c>
      <c r="D814" t="s">
        <v>1640</v>
      </c>
      <c r="E814" s="3" t="str">
        <f>HYPERLINK("https://www.amazon.com/Salomon-ALPHACROSS-Gore-TEX-Trail-Running/dp/B0B5JVB86N/ref=sr_1_13?keywords=Salomon+Speedcross+6+Trail+Running+Shoe+-+Men%27s&amp;qid=1695124304&amp;sr=8-13", "https://www.amazon.com/Salomon-ALPHACROSS-Gore-TEX-Trail-Running/dp/B0B5JVB86N/ref=sr_1_13?keywords=Salomon+Speedcross+6+Trail+Running+Shoe+-+Men%27s&amp;qid=1695124304&amp;sr=8-13")</f>
        <v>https://www.amazon.com/Salomon-ALPHACROSS-Gore-TEX-Trail-Running/dp/B0B5JVB86N/ref=sr_1_13?keywords=Salomon+Speedcross+6+Trail+Running+Shoe+-+Men%27s&amp;qid=1695124304&amp;sr=8-13</v>
      </c>
      <c r="F814" t="s">
        <v>1641</v>
      </c>
      <c r="G814" t="e">
        <f ca="1">IMAGE("https://alssports.vtexassets.com/arquivos/ids/1132465-800-auto?v=637986345574970000&amp;width=800&amp;height=auto&amp;aspect=true")</f>
        <v>#NAME?</v>
      </c>
      <c r="H814" t="e">
        <f ca="1">IMAGE("https://m.media-amazon.com/images/I/81YJm-7NiSL._AC_UL320_.jpg")</f>
        <v>#NAME?</v>
      </c>
      <c r="I814" t="s">
        <v>550</v>
      </c>
      <c r="J814">
        <v>78.16</v>
      </c>
      <c r="K814" s="2" t="s">
        <v>2719</v>
      </c>
      <c r="L814">
        <v>4.5</v>
      </c>
      <c r="M814">
        <v>31</v>
      </c>
      <c r="O814" t="s">
        <v>33</v>
      </c>
      <c r="P814" t="s">
        <v>552</v>
      </c>
      <c r="Q814" t="s">
        <v>553</v>
      </c>
    </row>
    <row r="815" spans="1:17" ht="15.75" x14ac:dyDescent="0.25">
      <c r="A815" s="3" t="str">
        <f>HYPERLINK("https://www.als.com/columbia-anytime-outdoor-13-short-womens-89184/p?skuId=54938", "https://www.als.com/columbia-anytime-outdoor-13-short-womens-89184/p?skuId=54938")</f>
        <v>https://www.als.com/columbia-anytime-outdoor-13-short-womens-89184/p?skuId=54938</v>
      </c>
      <c r="B815" s="3" t="str">
        <f>HYPERLINK("https://www.als.com/columbia-anytime-outdoor-13-short-womens-89184/p", "https://www.als.com/columbia-anytime-outdoor-13-short-womens-89184/p")</f>
        <v>https://www.als.com/columbia-anytime-outdoor-13-short-womens-89184/p</v>
      </c>
      <c r="C815" t="s">
        <v>142</v>
      </c>
      <c r="D815" t="s">
        <v>2720</v>
      </c>
      <c r="E815" s="3" t="str">
        <f>HYPERLINK("https://www.amazon.com/Columbia-Womens-Anytime-Short-Spring/dp/B0B1KFR25L/ref=sr_1_15?keywords=Columbia+Anytime+Outdoor+13%22+Short+-+Women%27s&amp;qid=1695124095&amp;sr=8-15", "https://www.amazon.com/Columbia-Womens-Anytime-Short-Spring/dp/B0B1KFR25L/ref=sr_1_15?keywords=Columbia+Anytime+Outdoor+13%22+Short+-+Women%27s&amp;qid=1695124095&amp;sr=8-15")</f>
        <v>https://www.amazon.com/Columbia-Womens-Anytime-Short-Spring/dp/B0B1KFR25L/ref=sr_1_15?keywords=Columbia+Anytime+Outdoor+13%22+Short+-+Women%27s&amp;qid=1695124095&amp;sr=8-15</v>
      </c>
      <c r="F815" t="s">
        <v>2721</v>
      </c>
      <c r="G815" t="e">
        <f ca="1">IMAGE("https://alssports.vtexassets.com/arquivos/ids/997917-800-auto?v=638227998694600000&amp;width=800&amp;height=auto&amp;aspect=true")</f>
        <v>#NAME?</v>
      </c>
      <c r="H815" t="e">
        <f ca="1">IMAGE("https://m.media-amazon.com/images/I/61+GhtrTjFL._AC_UL320_.jpg")</f>
        <v>#NAME?</v>
      </c>
      <c r="I815" t="s">
        <v>93</v>
      </c>
      <c r="J815">
        <v>16.170000000000002</v>
      </c>
      <c r="K815" s="2" t="s">
        <v>2719</v>
      </c>
      <c r="L815">
        <v>4.4000000000000004</v>
      </c>
      <c r="M815">
        <v>5</v>
      </c>
      <c r="O815" t="s">
        <v>33</v>
      </c>
      <c r="P815" t="s">
        <v>145</v>
      </c>
      <c r="Q815" t="s">
        <v>146</v>
      </c>
    </row>
    <row r="816" spans="1:17" ht="15.75" x14ac:dyDescent="0.25">
      <c r="A816" s="3" t="str">
        <f>HYPERLINK("https://www.als.com/reef-w-sandals-cushion-vista-hi/p?skuId=1280794", "https://www.als.com/reef-w-sandals-cushion-vista-hi/p?skuId=1280794")</f>
        <v>https://www.als.com/reef-w-sandals-cushion-vista-hi/p?skuId=1280794</v>
      </c>
      <c r="B816" s="3" t="str">
        <f>HYPERLINK("https://www.als.com/reef-w-sandals-cushion-vista-hi/p", "https://www.als.com/reef-w-sandals-cushion-vista-hi/p")</f>
        <v>https://www.als.com/reef-w-sandals-cushion-vista-hi/p</v>
      </c>
      <c r="C816" t="s">
        <v>960</v>
      </c>
      <c r="D816" t="s">
        <v>2282</v>
      </c>
      <c r="E816" s="3" t="str">
        <f>HYPERLINK("https://www.amazon.com/Reef-Womens-Cushion-Vista-Thread/dp/B097TNJVRJ/ref=sr_1_38?keywords=REEF+Cushion+Vista+HI+Slide+-+Women%27s&amp;qid=1695124489&amp;sr=8-38", "https://www.amazon.com/Reef-Womens-Cushion-Vista-Thread/dp/B097TNJVRJ/ref=sr_1_38?keywords=REEF+Cushion+Vista+HI+Slide+-+Women%27s&amp;qid=1695124489&amp;sr=8-38")</f>
        <v>https://www.amazon.com/Reef-Womens-Cushion-Vista-Thread/dp/B097TNJVRJ/ref=sr_1_38?keywords=REEF+Cushion+Vista+HI+Slide+-+Women%27s&amp;qid=1695124489&amp;sr=8-38</v>
      </c>
      <c r="F816" t="s">
        <v>2722</v>
      </c>
      <c r="G816" t="e">
        <f ca="1">IMAGE("https://alssports.vtexassets.com/arquivos/ids/1252015-800-auto?v=638131199167330000&amp;width=800&amp;height=auto&amp;aspect=true")</f>
        <v>#NAME?</v>
      </c>
      <c r="H816" t="e">
        <f ca="1">IMAGE("https://m.media-amazon.com/images/I/51ItXHi4fIL._AC_UL320_.jpg")</f>
        <v>#NAME?</v>
      </c>
      <c r="I816" t="s">
        <v>58</v>
      </c>
      <c r="J816">
        <v>35</v>
      </c>
      <c r="K816" s="2" t="s">
        <v>2723</v>
      </c>
      <c r="L816">
        <v>4.5</v>
      </c>
      <c r="M816">
        <v>27</v>
      </c>
      <c r="O816" t="s">
        <v>33</v>
      </c>
      <c r="P816" t="s">
        <v>26</v>
      </c>
      <c r="Q816" t="s">
        <v>963</v>
      </c>
    </row>
    <row r="817" spans="1:17" ht="15.75" x14ac:dyDescent="0.25">
      <c r="A817" s="3" t="str">
        <f>HYPERLINK("https://www.als.com/babola-m-shoe-jet-mach-3/p?skuId=599962", "https://www.als.com/babola-m-shoe-jet-mach-3/p?skuId=599962")</f>
        <v>https://www.als.com/babola-m-shoe-jet-mach-3/p?skuId=599962</v>
      </c>
      <c r="B817" s="3" t="str">
        <f>HYPERLINK("https://www.als.com/babola-m-shoe-jet-mach-3/p", "https://www.als.com/babola-m-shoe-jet-mach-3/p")</f>
        <v>https://www.als.com/babola-m-shoe-jet-mach-3/p</v>
      </c>
      <c r="C817" t="s">
        <v>875</v>
      </c>
      <c r="D817" t="s">
        <v>876</v>
      </c>
      <c r="E817" s="3" t="str">
        <f>HYPERLINK("https://www.amazon.com/Babolat-Men%60s-Propulse-Court-Tennis/dp/B08LN361HS/ref=sr_1_11?keywords=Babolat+Jet+Mach+3+All+Court+Tennis+Shoe+-+Mens&amp;qid=1695124489&amp;sr=8-11", "https://www.amazon.com/Babolat-Men%60s-Propulse-Court-Tennis/dp/B08LN361HS/ref=sr_1_11?keywords=Babolat+Jet+Mach+3+All+Court+Tennis+Shoe+-+Mens&amp;qid=1695124489&amp;sr=8-11")</f>
        <v>https://www.amazon.com/Babolat-Men%60s-Propulse-Court-Tennis/dp/B08LN361HS/ref=sr_1_11?keywords=Babolat+Jet+Mach+3+All+Court+Tennis+Shoe+-+Mens&amp;qid=1695124489&amp;sr=8-11</v>
      </c>
      <c r="F817" t="s">
        <v>2724</v>
      </c>
      <c r="G817" t="e">
        <f ca="1">IMAGE("https://alssports.vtexassets.com/arquivos/ids/1411604-800-auto?v=638270546404000000&amp;width=800&amp;height=auto&amp;aspect=true")</f>
        <v>#NAME?</v>
      </c>
      <c r="H817" t="e">
        <f ca="1">IMAGE("https://m.media-amazon.com/images/I/61NGsycFHBL._AC_UL320_.jpg")</f>
        <v>#NAME?</v>
      </c>
      <c r="I817" t="s">
        <v>878</v>
      </c>
      <c r="J817">
        <v>79.94</v>
      </c>
      <c r="K817" s="2" t="s">
        <v>2725</v>
      </c>
      <c r="L817">
        <v>4.4000000000000004</v>
      </c>
      <c r="M817">
        <v>108</v>
      </c>
      <c r="O817" t="s">
        <v>33</v>
      </c>
      <c r="P817" t="s">
        <v>26</v>
      </c>
      <c r="Q817" t="s">
        <v>880</v>
      </c>
    </row>
    <row r="818" spans="1:17" ht="15.75" x14ac:dyDescent="0.25">
      <c r="A818" s="3" t="str">
        <f>HYPERLINK("https://www.als.com/osprey-transporter-whld-duffel-40/p?skuId=954321", "https://www.als.com/osprey-transporter-whld-duffel-40/p?skuId=954321")</f>
        <v>https://www.als.com/osprey-transporter-whld-duffel-40/p?skuId=954321</v>
      </c>
      <c r="B818" s="3" t="str">
        <f>HYPERLINK("https://www.als.com/osprey-transporter-whld-duffel-40/p", "https://www.als.com/osprey-transporter-whld-duffel-40/p")</f>
        <v>https://www.als.com/osprey-transporter-whld-duffel-40/p</v>
      </c>
      <c r="C818" t="s">
        <v>2726</v>
      </c>
      <c r="D818" t="s">
        <v>2727</v>
      </c>
      <c r="E818" s="3" t="str">
        <f>HYPERLINK("https://www.amazon.com/Daylite-Carry-Wheeled-Duffel-Black/dp/B092Z85QT6/ref=sr_1_13?keywords=Osprey+Transporter+40L+Wheeled+Duffel+Bag&amp;qid=1695124127&amp;sr=8-13", "https://www.amazon.com/Daylite-Carry-Wheeled-Duffel-Black/dp/B092Z85QT6/ref=sr_1_13?keywords=Osprey+Transporter+40L+Wheeled+Duffel+Bag&amp;qid=1695124127&amp;sr=8-13")</f>
        <v>https://www.amazon.com/Daylite-Carry-Wheeled-Duffel-Black/dp/B092Z85QT6/ref=sr_1_13?keywords=Osprey+Transporter+40L+Wheeled+Duffel+Bag&amp;qid=1695124127&amp;sr=8-13</v>
      </c>
      <c r="F818" t="s">
        <v>2728</v>
      </c>
      <c r="G818" t="e">
        <f ca="1">IMAGE("https://alssports.vtexassets.com/arquivos/ids/940093-800-auto?v=637680446609530000&amp;width=800&amp;height=auto&amp;aspect=true")</f>
        <v>#NAME?</v>
      </c>
      <c r="H818" t="e">
        <f ca="1">IMAGE("https://m.media-amazon.com/images/I/71WaH+XbYUS._AC_UL320_.jpg")</f>
        <v>#NAME?</v>
      </c>
      <c r="I818" t="s">
        <v>438</v>
      </c>
      <c r="J818">
        <v>160.81</v>
      </c>
      <c r="K818" s="2" t="s">
        <v>2729</v>
      </c>
      <c r="L818">
        <v>4.5</v>
      </c>
      <c r="M818">
        <v>37</v>
      </c>
      <c r="O818" t="s">
        <v>33</v>
      </c>
      <c r="P818" t="s">
        <v>26</v>
      </c>
      <c r="Q818" t="s">
        <v>2730</v>
      </c>
    </row>
    <row r="819" spans="1:17" ht="15.75" x14ac:dyDescent="0.25">
      <c r="A819" s="3" t="str">
        <f>HYPERLINK("https://www.als.com/adidaa-shinguard-predator-competition/p?skuId=1284404", "https://www.als.com/adidaa-shinguard-predator-competition/p?skuId=1284404")</f>
        <v>https://www.als.com/adidaa-shinguard-predator-competition/p?skuId=1284404</v>
      </c>
      <c r="B819" s="3" t="str">
        <f>HYPERLINK("https://www.als.com/adidaa-shinguard-predator-competition/p", "https://www.als.com/adidaa-shinguard-predator-competition/p")</f>
        <v>https://www.als.com/adidaa-shinguard-predator-competition/p</v>
      </c>
      <c r="C819" t="s">
        <v>930</v>
      </c>
      <c r="D819" t="s">
        <v>2731</v>
      </c>
      <c r="E819" s="3" t="str">
        <f>HYPERLINK("https://www.amazon.com/adidas-Predator-Competition-unisex-adult-X-Large/dp/B08L434C5Y/ref=sr_1_2?keywords=Adidas+Predator+Competition+Shin+Guard&amp;qid=1695124435&amp;sr=8-2", "https://www.amazon.com/adidas-Predator-Competition-unisex-adult-X-Large/dp/B08L434C5Y/ref=sr_1_2?keywords=Adidas+Predator+Competition+Shin+Guard&amp;qid=1695124435&amp;sr=8-2")</f>
        <v>https://www.amazon.com/adidas-Predator-Competition-unisex-adult-X-Large/dp/B08L434C5Y/ref=sr_1_2?keywords=Adidas+Predator+Competition+Shin+Guard&amp;qid=1695124435&amp;sr=8-2</v>
      </c>
      <c r="F819" t="s">
        <v>2732</v>
      </c>
      <c r="G819" t="e">
        <f ca="1">IMAGE("https://alssports.vtexassets.com/arquivos/ids/1307225-800-auto?v=638188141824000000&amp;width=800&amp;height=auto&amp;aspect=true")</f>
        <v>#NAME?</v>
      </c>
      <c r="H819" t="e">
        <f ca="1">IMAGE("https://m.media-amazon.com/images/I/711ocfW+JhL._AC_UL320_.jpg")</f>
        <v>#NAME?</v>
      </c>
      <c r="I819" t="s">
        <v>933</v>
      </c>
      <c r="J819">
        <v>14.98</v>
      </c>
      <c r="K819" s="2" t="s">
        <v>2733</v>
      </c>
      <c r="L819">
        <v>4.5</v>
      </c>
      <c r="M819">
        <v>70</v>
      </c>
      <c r="O819" t="s">
        <v>33</v>
      </c>
      <c r="P819" t="s">
        <v>935</v>
      </c>
      <c r="Q819" t="s">
        <v>936</v>
      </c>
    </row>
    <row r="820" spans="1:17" ht="15.75" x14ac:dyDescent="0.25">
      <c r="A820" s="3" t="str">
        <f>HYPERLINK("https://www.als.com/crocs-classic-clog/p?skuId=1196935", "https://www.als.com/crocs-classic-clog/p?skuId=1196935")</f>
        <v>https://www.als.com/crocs-classic-clog/p?skuId=1196935</v>
      </c>
      <c r="B820" s="3" t="str">
        <f>HYPERLINK("https://www.als.com/crocs-classic-clog/p", "https://www.als.com/crocs-classic-clog/p")</f>
        <v>https://www.als.com/crocs-classic-clog/p</v>
      </c>
      <c r="C820" t="s">
        <v>1100</v>
      </c>
      <c r="D820" t="s">
        <v>2734</v>
      </c>
      <c r="E820" s="3" t="str">
        <f>HYPERLINK("https://www.amazon.com/Crocs-Classic-Graphic-Multi-Women/dp/B078FBVJ7J/ref=sr_1_2?keywords=Crocs+Classic+Clog&amp;qid=1695124151&amp;sr=8-2", "https://www.amazon.com/Crocs-Classic-Graphic-Multi-Women/dp/B078FBVJ7J/ref=sr_1_2?keywords=Crocs+Classic+Clog&amp;qid=1695124151&amp;sr=8-2")</f>
        <v>https://www.amazon.com/Crocs-Classic-Graphic-Multi-Women/dp/B078FBVJ7J/ref=sr_1_2?keywords=Crocs+Classic+Clog&amp;qid=1695124151&amp;sr=8-2</v>
      </c>
      <c r="F820" t="s">
        <v>2735</v>
      </c>
      <c r="G820" t="e">
        <f ca="1">IMAGE("https://alssports.vtexassets.com/arquivos/ids/1222253-800-auto?v=638102875835800000&amp;width=800&amp;height=auto&amp;aspect=true")</f>
        <v>#NAME?</v>
      </c>
      <c r="H820" t="e">
        <f ca="1">IMAGE("https://m.media-amazon.com/images/I/71j8RUNDg4L._AC_UL320_.jpg")</f>
        <v>#NAME?</v>
      </c>
      <c r="I820" t="s">
        <v>157</v>
      </c>
      <c r="J820">
        <v>26.54</v>
      </c>
      <c r="K820" s="2" t="s">
        <v>2736</v>
      </c>
      <c r="L820">
        <v>4.8</v>
      </c>
      <c r="M820">
        <v>82294</v>
      </c>
      <c r="O820" t="s">
        <v>33</v>
      </c>
      <c r="P820" t="s">
        <v>26</v>
      </c>
      <c r="Q820" t="s">
        <v>1103</v>
      </c>
    </row>
    <row r="821" spans="1:17" ht="15.75" x14ac:dyDescent="0.25">
      <c r="A821" s="3" t="str">
        <f>HYPERLINK("https://www.als.com/sram-chain-pc-x01-eagle/p?skuId=536002", "https://www.als.com/sram-chain-pc-x01-eagle/p?skuId=536002")</f>
        <v>https://www.als.com/sram-chain-pc-x01-eagle/p?skuId=536002</v>
      </c>
      <c r="B821" s="3" t="str">
        <f>HYPERLINK("https://www.als.com/sram-chain-pc-x01-eagle/p", "https://www.als.com/sram-chain-pc-x01-eagle/p")</f>
        <v>https://www.als.com/sram-chain-pc-x01-eagle/p</v>
      </c>
      <c r="C821" t="s">
        <v>1104</v>
      </c>
      <c r="D821" t="s">
        <v>2737</v>
      </c>
      <c r="E821" s="3" t="str">
        <f>HYPERLINK("https://www.amazon.com/SRAM-Eagle-12-Speed-Chain-Silver/dp/B07218K493/ref=sr_1_4?keywords=SRAM+X01+Eagle+12-Speed+Chain&amp;qid=1695124143&amp;sr=8-4", "https://www.amazon.com/SRAM-Eagle-12-Speed-Chain-Silver/dp/B07218K493/ref=sr_1_4?keywords=SRAM+X01+Eagle+12-Speed+Chain&amp;qid=1695124143&amp;sr=8-4")</f>
        <v>https://www.amazon.com/SRAM-Eagle-12-Speed-Chain-Silver/dp/B07218K493/ref=sr_1_4?keywords=SRAM+X01+Eagle+12-Speed+Chain&amp;qid=1695124143&amp;sr=8-4</v>
      </c>
      <c r="F821" t="s">
        <v>2738</v>
      </c>
      <c r="G821" t="e">
        <f ca="1">IMAGE("https://alssports.vtexassets.com/arquivos/ids/1117391-800-auto?v=637964367650530000&amp;width=800&amp;height=auto&amp;aspect=true")</f>
        <v>#NAME?</v>
      </c>
      <c r="H821" t="e">
        <f ca="1">IMAGE("https://m.media-amazon.com/images/I/71xMAE5t-yL._AC_UL320_.jpg")</f>
        <v>#NAME?</v>
      </c>
      <c r="I821" t="s">
        <v>1107</v>
      </c>
      <c r="J821">
        <v>34</v>
      </c>
      <c r="K821" s="2" t="s">
        <v>2739</v>
      </c>
      <c r="L821">
        <v>4.7</v>
      </c>
      <c r="M821">
        <v>2484</v>
      </c>
      <c r="O821" t="s">
        <v>33</v>
      </c>
      <c r="P821" t="s">
        <v>26</v>
      </c>
      <c r="Q821" t="s">
        <v>1109</v>
      </c>
    </row>
    <row r="822" spans="1:17" ht="15.75" x14ac:dyDescent="0.25">
      <c r="A822" s="3" t="str">
        <f>HYPERLINK("https://www.als.com/sal-sh-m-shoe-speedcross-6/p?skuId=1067283", "https://www.als.com/sal-sh-m-shoe-speedcross-6/p?skuId=1067283")</f>
        <v>https://www.als.com/sal-sh-m-shoe-speedcross-6/p?skuId=1067283</v>
      </c>
      <c r="B822" s="3" t="str">
        <f>HYPERLINK("https://www.als.com/sal-sh-m-shoe-speedcross-6/p", "https://www.als.com/sal-sh-m-shoe-speedcross-6/p")</f>
        <v>https://www.als.com/sal-sh-m-shoe-speedcross-6/p</v>
      </c>
      <c r="C822" t="s">
        <v>547</v>
      </c>
      <c r="D822" t="s">
        <v>2740</v>
      </c>
      <c r="E822" s="3" t="str">
        <f>HYPERLINK("https://www.amazon.com/Salomon-Alphacross-Trail-Running-Black/dp/B09MS79VZ7/ref=sr_1_14?keywords=Salomon+Speedcross+6+Trail+Running+Shoe+-+Men%27s&amp;qid=1695124304&amp;sr=8-14", "https://www.amazon.com/Salomon-Alphacross-Trail-Running-Black/dp/B09MS79VZ7/ref=sr_1_14?keywords=Salomon+Speedcross+6+Trail+Running+Shoe+-+Men%27s&amp;qid=1695124304&amp;sr=8-14")</f>
        <v>https://www.amazon.com/Salomon-Alphacross-Trail-Running-Black/dp/B09MS79VZ7/ref=sr_1_14?keywords=Salomon+Speedcross+6+Trail+Running+Shoe+-+Men%27s&amp;qid=1695124304&amp;sr=8-14</v>
      </c>
      <c r="F822" t="s">
        <v>2741</v>
      </c>
      <c r="G822" t="e">
        <f ca="1">IMAGE("https://alssports.vtexassets.com/arquivos/ids/1132465-800-auto?v=637986345574970000&amp;width=800&amp;height=auto&amp;aspect=true")</f>
        <v>#NAME?</v>
      </c>
      <c r="H822" t="e">
        <f ca="1">IMAGE("https://m.media-amazon.com/images/I/71WpZSU6dBL._AC_UL320_.jpg")</f>
        <v>#NAME?</v>
      </c>
      <c r="I822" t="s">
        <v>550</v>
      </c>
      <c r="J822">
        <v>77</v>
      </c>
      <c r="K822" s="2" t="s">
        <v>2739</v>
      </c>
      <c r="L822">
        <v>4.3</v>
      </c>
      <c r="M822">
        <v>324</v>
      </c>
      <c r="O822" t="s">
        <v>33</v>
      </c>
      <c r="P822" t="s">
        <v>552</v>
      </c>
      <c r="Q822" t="s">
        <v>553</v>
      </c>
    </row>
    <row r="823" spans="1:17" ht="15.75" x14ac:dyDescent="0.25">
      <c r="A823" s="3" t="str">
        <f>HYPERLINK("https://www.als.com/sram-chain-pc-x01-eagle/p?skuId=536002", "https://www.als.com/sram-chain-pc-x01-eagle/p?skuId=536002")</f>
        <v>https://www.als.com/sram-chain-pc-x01-eagle/p?skuId=536002</v>
      </c>
      <c r="B823" s="3" t="str">
        <f>HYPERLINK("https://www.als.com/sram-chain-pc-x01-eagle/p", "https://www.als.com/sram-chain-pc-x01-eagle/p")</f>
        <v>https://www.als.com/sram-chain-pc-x01-eagle/p</v>
      </c>
      <c r="C823" t="s">
        <v>1104</v>
      </c>
      <c r="D823" t="s">
        <v>2742</v>
      </c>
      <c r="E823" s="3" t="str">
        <f>HYPERLINK("https://www.amazon.com/SRAM-Eagle-12-Speed-Powerlock-Included/dp/B07K2HDZHW/ref=sr_1_8?keywords=SRAM+X01+Eagle+12-Speed+Chain&amp;qid=1695124143&amp;sr=8-8", "https://www.amazon.com/SRAM-Eagle-12-Speed-Powerlock-Included/dp/B07K2HDZHW/ref=sr_1_8?keywords=SRAM+X01+Eagle+12-Speed+Chain&amp;qid=1695124143&amp;sr=8-8")</f>
        <v>https://www.amazon.com/SRAM-Eagle-12-Speed-Powerlock-Included/dp/B07K2HDZHW/ref=sr_1_8?keywords=SRAM+X01+Eagle+12-Speed+Chain&amp;qid=1695124143&amp;sr=8-8</v>
      </c>
      <c r="F823" t="s">
        <v>2743</v>
      </c>
      <c r="G823" t="e">
        <f ca="1">IMAGE("https://alssports.vtexassets.com/arquivos/ids/1117391-800-auto?v=637964367650530000&amp;width=800&amp;height=auto&amp;aspect=true")</f>
        <v>#NAME?</v>
      </c>
      <c r="H823" t="e">
        <f ca="1">IMAGE("https://m.media-amazon.com/images/I/61JD7+xyCaL._AC_UL320_.jpg")</f>
        <v>#NAME?</v>
      </c>
      <c r="I823" t="s">
        <v>1107</v>
      </c>
      <c r="J823">
        <v>33.99</v>
      </c>
      <c r="K823" s="2" t="s">
        <v>2744</v>
      </c>
      <c r="L823">
        <v>4.5</v>
      </c>
      <c r="M823">
        <v>72</v>
      </c>
      <c r="O823" t="s">
        <v>33</v>
      </c>
      <c r="P823" t="s">
        <v>26</v>
      </c>
      <c r="Q823" t="s">
        <v>1109</v>
      </c>
    </row>
    <row r="824" spans="1:17" ht="15.75" x14ac:dyDescent="0.25">
      <c r="A824" s="3" t="str">
        <f>HYPERLINK("https://www.als.com/mizuno-w-wave-sky-6/p?skuId=1262559", "https://www.als.com/mizuno-w-wave-sky-6/p?skuId=1262559")</f>
        <v>https://www.als.com/mizuno-w-wave-sky-6/p?skuId=1262559</v>
      </c>
      <c r="B824" s="3" t="str">
        <f>HYPERLINK("https://www.als.com/mizuno-w-wave-sky-6/p", "https://www.als.com/mizuno-w-wave-sky-6/p")</f>
        <v>https://www.als.com/mizuno-w-wave-sky-6/p</v>
      </c>
      <c r="C824" t="s">
        <v>200</v>
      </c>
      <c r="D824" t="s">
        <v>2745</v>
      </c>
      <c r="E824" s="3" t="str">
        <f>HYPERLINK("https://www.amazon.com/Mizuno-WAVEKNITTM-Friendly-Materials-Waveknit/dp/B08JZHT4PT/ref=sr_1_11?keywords=Mizuno+Wave+Sky+6+Running+Shoe+-+Women%27s&amp;qid=1695124449&amp;sr=8-11", "https://www.amazon.com/Mizuno-WAVEKNITTM-Friendly-Materials-Waveknit/dp/B08JZHT4PT/ref=sr_1_11?keywords=Mizuno+Wave+Sky+6+Running+Shoe+-+Women%27s&amp;qid=1695124449&amp;sr=8-11")</f>
        <v>https://www.amazon.com/Mizuno-WAVEKNITTM-Friendly-Materials-Waveknit/dp/B08JZHT4PT/ref=sr_1_11?keywords=Mizuno+Wave+Sky+6+Running+Shoe+-+Women%27s&amp;qid=1695124449&amp;sr=8-11</v>
      </c>
      <c r="F824" t="s">
        <v>2746</v>
      </c>
      <c r="G824" t="e">
        <f ca="1">IMAGE("https://alssports.vtexassets.com/arquivos/ids/1277387-800-auto?v=638152938174200000&amp;width=800&amp;height=auto&amp;aspect=true")</f>
        <v>#NAME?</v>
      </c>
      <c r="H824" t="e">
        <f ca="1">IMAGE("https://m.media-amazon.com/images/I/81Q6AmmQThL._AC_UL320_.jpg")</f>
        <v>#NAME?</v>
      </c>
      <c r="I824" t="s">
        <v>164</v>
      </c>
      <c r="J824">
        <v>89.68</v>
      </c>
      <c r="K824" s="2" t="s">
        <v>2747</v>
      </c>
      <c r="L824">
        <v>4.4000000000000004</v>
      </c>
      <c r="M824">
        <v>1162</v>
      </c>
      <c r="O824" t="s">
        <v>33</v>
      </c>
      <c r="P824" t="s">
        <v>191</v>
      </c>
      <c r="Q824" t="s">
        <v>203</v>
      </c>
    </row>
    <row r="825" spans="1:17" ht="15.75" x14ac:dyDescent="0.25">
      <c r="A825" s="3" t="str">
        <f>HYPERLINK("https://www.als.com/asics-ws-shoe-gel-nimbus-24/p?skuId=1037727", "https://www.als.com/asics-ws-shoe-gel-nimbus-24/p?skuId=1037727")</f>
        <v>https://www.als.com/asics-ws-shoe-gel-nimbus-24/p?skuId=1037727</v>
      </c>
      <c r="B825" s="3" t="str">
        <f>HYPERLINK("https://www.als.com/asics-ws-shoe-gel-nimbus-24/p", "https://www.als.com/asics-ws-shoe-gel-nimbus-24/p")</f>
        <v>https://www.als.com/asics-ws-shoe-gel-nimbus-24/p</v>
      </c>
      <c r="C825" t="s">
        <v>1217</v>
      </c>
      <c r="D825" t="s">
        <v>2748</v>
      </c>
      <c r="E825" s="3" t="str">
        <f>HYPERLINK("https://www.amazon.com/ASICS-Womens-Gel-Excite-Running-Shoes/dp/B09MZ2D7TT/ref=sr_1_42?keywords=Asics+GEL-NIMBUS+24+Running+Shoe+-+Womens&amp;qid=1695124093&amp;sr=8-42", "https://www.amazon.com/ASICS-Womens-Gel-Excite-Running-Shoes/dp/B09MZ2D7TT/ref=sr_1_42?keywords=Asics+GEL-NIMBUS+24+Running+Shoe+-+Womens&amp;qid=1695124093&amp;sr=8-42")</f>
        <v>https://www.amazon.com/ASICS-Womens-Gel-Excite-Running-Shoes/dp/B09MZ2D7TT/ref=sr_1_42?keywords=Asics+GEL-NIMBUS+24+Running+Shoe+-+Womens&amp;qid=1695124093&amp;sr=8-42</v>
      </c>
      <c r="F825" t="s">
        <v>2749</v>
      </c>
      <c r="G825" t="e">
        <f ca="1">IMAGE("https://alssports.vtexassets.com/arquivos/ids/1109551-800-auto?v=637950821539330000&amp;width=800&amp;height=auto&amp;aspect=true")</f>
        <v>#NAME?</v>
      </c>
      <c r="H825" t="e">
        <f ca="1">IMAGE("https://m.media-amazon.com/images/I/61xZnRAGLGL._AC_UL320_.jpg")</f>
        <v>#NAME?</v>
      </c>
      <c r="I825" t="s">
        <v>1220</v>
      </c>
      <c r="J825">
        <v>58.95</v>
      </c>
      <c r="K825" s="2" t="s">
        <v>2750</v>
      </c>
      <c r="L825">
        <v>4.5</v>
      </c>
      <c r="M825">
        <v>5404</v>
      </c>
      <c r="O825" t="s">
        <v>33</v>
      </c>
      <c r="P825" t="s">
        <v>88</v>
      </c>
      <c r="Q825" t="s">
        <v>1222</v>
      </c>
    </row>
    <row r="826" spans="1:17" ht="15.75" x14ac:dyDescent="0.25">
      <c r="A826" s="3" t="str">
        <f>HYPERLINK("https://www.als.com/seasum-dry-bag-ultra-sil/p?skuId=1284260", "https://www.als.com/seasum-dry-bag-ultra-sil/p?skuId=1284260")</f>
        <v>https://www.als.com/seasum-dry-bag-ultra-sil/p?skuId=1284260</v>
      </c>
      <c r="B826" s="3" t="str">
        <f>HYPERLINK("https://www.als.com/seasum-dry-bag-ultra-sil/p", "https://www.als.com/seasum-dry-bag-ultra-sil/p")</f>
        <v>https://www.als.com/seasum-dry-bag-ultra-sil/p</v>
      </c>
      <c r="C826" t="s">
        <v>1515</v>
      </c>
      <c r="D826" t="s">
        <v>2751</v>
      </c>
      <c r="E826" s="3" t="str">
        <f>HYPERLINK("https://www.amazon.com/Sea-Summit-Ultra-Sil-Orange-Large-13-Liter/dp/B001PR06ZQ/ref=sr_1_1?keywords=Sea+to+Summit+Ultra-Sil+Dry+Bag&amp;qid=1695124478&amp;sr=8-1", "https://www.amazon.com/Sea-Summit-Ultra-Sil-Orange-Large-13-Liter/dp/B001PR06ZQ/ref=sr_1_1?keywords=Sea+to+Summit+Ultra-Sil+Dry+Bag&amp;qid=1695124478&amp;sr=8-1")</f>
        <v>https://www.amazon.com/Sea-Summit-Ultra-Sil-Orange-Large-13-Liter/dp/B001PR06ZQ/ref=sr_1_1?keywords=Sea+to+Summit+Ultra-Sil+Dry+Bag&amp;qid=1695124478&amp;sr=8-1</v>
      </c>
      <c r="F826" t="s">
        <v>2752</v>
      </c>
      <c r="G826" t="e">
        <f ca="1">IMAGE("https://alssports.vtexassets.com/arquivos/ids/1257254-800-auto?v=638134633277170000&amp;width=800&amp;height=auto&amp;aspect=true")</f>
        <v>#NAME?</v>
      </c>
      <c r="H826" t="e">
        <f ca="1">IMAGE("https://m.media-amazon.com/images/I/71RybKY4U1L._AC_UL320_.jpg")</f>
        <v>#NAME?</v>
      </c>
      <c r="I826" t="s">
        <v>140</v>
      </c>
      <c r="J826">
        <v>20.96</v>
      </c>
      <c r="K826" s="2" t="s">
        <v>2753</v>
      </c>
      <c r="L826">
        <v>4.7</v>
      </c>
      <c r="M826">
        <v>1461</v>
      </c>
      <c r="O826" t="s">
        <v>26</v>
      </c>
      <c r="P826" t="s">
        <v>26</v>
      </c>
      <c r="Q826" t="s">
        <v>1519</v>
      </c>
    </row>
    <row r="827" spans="1:17" ht="15.75" x14ac:dyDescent="0.25">
      <c r="A827" s="3" t="str">
        <f>HYPERLINK("https://www.als.com/asics-ws-shoe-gel-nimbus-24/p?skuId=1037727", "https://www.als.com/asics-ws-shoe-gel-nimbus-24/p?skuId=1037727")</f>
        <v>https://www.als.com/asics-ws-shoe-gel-nimbus-24/p?skuId=1037727</v>
      </c>
      <c r="B827" s="3" t="str">
        <f>HYPERLINK("https://www.als.com/asics-ws-shoe-gel-nimbus-24/p", "https://www.als.com/asics-ws-shoe-gel-nimbus-24/p")</f>
        <v>https://www.als.com/asics-ws-shoe-gel-nimbus-24/p</v>
      </c>
      <c r="C827" t="s">
        <v>1217</v>
      </c>
      <c r="D827" t="s">
        <v>2754</v>
      </c>
      <c r="E827" s="3" t="str">
        <f>HYPERLINK("https://www.amazon.com/ASICS-Womens-Nimbus-White-Multi/dp/B00GDQS6DS/ref=sr_1_48?keywords=Asics+GEL-NIMBUS+24+Running+Shoe+-+Womens&amp;qid=1695124093&amp;sr=8-48", "https://www.amazon.com/ASICS-Womens-Nimbus-White-Multi/dp/B00GDQS6DS/ref=sr_1_48?keywords=Asics+GEL-NIMBUS+24+Running+Shoe+-+Womens&amp;qid=1695124093&amp;sr=8-48")</f>
        <v>https://www.amazon.com/ASICS-Womens-Nimbus-White-Multi/dp/B00GDQS6DS/ref=sr_1_48?keywords=Asics+GEL-NIMBUS+24+Running+Shoe+-+Womens&amp;qid=1695124093&amp;sr=8-48</v>
      </c>
      <c r="F827" t="s">
        <v>2755</v>
      </c>
      <c r="G827" t="e">
        <f ca="1">IMAGE("https://alssports.vtexassets.com/arquivos/ids/1109551-800-auto?v=637950821539330000&amp;width=800&amp;height=auto&amp;aspect=true")</f>
        <v>#NAME?</v>
      </c>
      <c r="H827" t="e">
        <f ca="1">IMAGE("https://m.media-amazon.com/images/I/61Q40WI+alL._AC_UL320_.jpg")</f>
        <v>#NAME?</v>
      </c>
      <c r="I827" t="s">
        <v>1220</v>
      </c>
      <c r="J827">
        <v>58.64</v>
      </c>
      <c r="K827" s="2" t="s">
        <v>2756</v>
      </c>
      <c r="L827">
        <v>2.6</v>
      </c>
      <c r="M827">
        <v>4</v>
      </c>
      <c r="O827" t="s">
        <v>33</v>
      </c>
      <c r="P827" t="s">
        <v>88</v>
      </c>
      <c r="Q827" t="s">
        <v>1222</v>
      </c>
    </row>
    <row r="828" spans="1:17" ht="15.75" x14ac:dyDescent="0.25">
      <c r="A828" s="3" t="str">
        <f>HYPERLINK("https://www.als.com/vans-shoe-sk8-hi-mte-2/p?skuId=1116049", "https://www.als.com/vans-shoe-sk8-hi-mte-2/p?skuId=1116049")</f>
        <v>https://www.als.com/vans-shoe-sk8-hi-mte-2/p?skuId=1116049</v>
      </c>
      <c r="B828" s="3" t="str">
        <f>HYPERLINK("https://www.als.com/vans-shoe-sk8-hi-mte-2/p", "https://www.als.com/vans-shoe-sk8-hi-mte-2/p")</f>
        <v>https://www.als.com/vans-shoe-sk8-hi-mte-2/p</v>
      </c>
      <c r="C828" t="s">
        <v>1174</v>
      </c>
      <c r="D828" t="s">
        <v>2757</v>
      </c>
      <c r="E828" s="3" t="str">
        <f>HYPERLINK("https://www.amazon.com/Vans-Unisex-SK8-Hi-VN000D5IB8C-Womens/dp/B01N3O4YAR/ref=sr_1_15?keywords=Vans+Sk8-Hi+MTE-2+Shoe&amp;qid=1695124405&amp;sr=8-15", "https://www.amazon.com/Vans-Unisex-SK8-Hi-VN000D5IB8C-Womens/dp/B01N3O4YAR/ref=sr_1_15?keywords=Vans+Sk8-Hi+MTE-2+Shoe&amp;qid=1695124405&amp;sr=8-15")</f>
        <v>https://www.amazon.com/Vans-Unisex-SK8-Hi-VN000D5IB8C-Womens/dp/B01N3O4YAR/ref=sr_1_15?keywords=Vans+Sk8-Hi+MTE-2+Shoe&amp;qid=1695124405&amp;sr=8-15</v>
      </c>
      <c r="F828" t="s">
        <v>2758</v>
      </c>
      <c r="G828" t="e">
        <f ca="1">IMAGE("https://alssports.vtexassets.com/arquivos/ids/1312527-800-auto?v=638193489147030000&amp;width=800&amp;height=auto&amp;aspect=true")</f>
        <v>#NAME?</v>
      </c>
      <c r="H828" t="e">
        <f ca="1">IMAGE("https://m.media-amazon.com/images/I/91eVpgRzQ+L._AC_UL320_.jpg")</f>
        <v>#NAME?</v>
      </c>
      <c r="I828" t="s">
        <v>44</v>
      </c>
      <c r="J828">
        <v>77.989999999999995</v>
      </c>
      <c r="K828" s="2" t="s">
        <v>2759</v>
      </c>
      <c r="L828">
        <v>5</v>
      </c>
      <c r="M828">
        <v>1</v>
      </c>
      <c r="O828" t="s">
        <v>33</v>
      </c>
      <c r="P828" t="s">
        <v>26</v>
      </c>
      <c r="Q828" t="s">
        <v>1178</v>
      </c>
    </row>
    <row r="829" spans="1:17" ht="15.75" x14ac:dyDescent="0.25">
      <c r="A829" s="3" t="str">
        <f>HYPERLINK("https://www.als.com/billab-mens-73-pro-boardshort/p?skuId=1309917", "https://www.als.com/billab-mens-73-pro-boardshort/p?skuId=1309917")</f>
        <v>https://www.als.com/billab-mens-73-pro-boardshort/p?skuId=1309917</v>
      </c>
      <c r="B829" s="3" t="str">
        <f>HYPERLINK("https://www.als.com/billab-mens-73-pro-boardshort/p", "https://www.als.com/billab-mens-73-pro-boardshort/p")</f>
        <v>https://www.als.com/billab-mens-73-pro-boardshort/p</v>
      </c>
      <c r="C829" t="s">
        <v>2760</v>
      </c>
      <c r="D829" t="s">
        <v>2761</v>
      </c>
      <c r="E829" s="3" t="str">
        <f>HYPERLINK("https://www.amazon.com/Billabong-Standard-73-Lineup-Boardshorts-Performance/dp/B0962YQP25/ref=sr_1_7?keywords=Billabong+73+Pro+Boardshort+-+Men%27s&amp;qid=1695124313&amp;sr=8-7", "https://www.amazon.com/Billabong-Standard-73-Lineup-Boardshorts-Performance/dp/B0962YQP25/ref=sr_1_7?keywords=Billabong+73+Pro+Boardshort+-+Men%27s&amp;qid=1695124313&amp;sr=8-7")</f>
        <v>https://www.amazon.com/Billabong-Standard-73-Lineup-Boardshorts-Performance/dp/B0962YQP25/ref=sr_1_7?keywords=Billabong+73+Pro+Boardshort+-+Men%27s&amp;qid=1695124313&amp;sr=8-7</v>
      </c>
      <c r="F829" t="s">
        <v>2762</v>
      </c>
      <c r="G829" t="e">
        <f ca="1">IMAGE("https://alssports.vtexassets.com/arquivos/ids/1302845-800-auto?v=638180456249830000&amp;width=800&amp;height=auto&amp;aspect=true")</f>
        <v>#NAME?</v>
      </c>
      <c r="H829" t="e">
        <f ca="1">IMAGE("https://m.media-amazon.com/images/I/71Xx9KcET2S._MCnd_AC_UL320_.jpg")</f>
        <v>#NAME?</v>
      </c>
      <c r="I829" t="s">
        <v>2763</v>
      </c>
      <c r="J829">
        <v>20.22</v>
      </c>
      <c r="K829" s="2" t="s">
        <v>2764</v>
      </c>
      <c r="L829">
        <v>5</v>
      </c>
      <c r="M829">
        <v>2</v>
      </c>
      <c r="O829" t="s">
        <v>33</v>
      </c>
      <c r="P829" t="s">
        <v>2765</v>
      </c>
      <c r="Q829" t="s">
        <v>2766</v>
      </c>
    </row>
    <row r="830" spans="1:17" ht="15.75" x14ac:dyDescent="0.25">
      <c r="A830" s="3" t="str">
        <f>HYPERLINK("https://www.als.com/owala-bottle-free-sip-32-oz/p?skuId=1326138", "https://www.als.com/owala-bottle-free-sip-32-oz/p?skuId=1326138")</f>
        <v>https://www.als.com/owala-bottle-free-sip-32-oz/p?skuId=1326138</v>
      </c>
      <c r="B830" s="3" t="str">
        <f>HYPERLINK("https://www.als.com/owala-bottle-free-sip-32-oz/p", "https://www.als.com/owala-bottle-free-sip-32-oz/p")</f>
        <v>https://www.als.com/owala-bottle-free-sip-32-oz/p</v>
      </c>
      <c r="C830" t="s">
        <v>459</v>
      </c>
      <c r="D830" t="s">
        <v>2767</v>
      </c>
      <c r="E830" s="3" t="str">
        <f>HYPERLINK("https://www.amazon.com/Zak-Designs-Stainless-Leak-Proof-Insulated/dp/B0C4KJP2T2/ref=sr_1_25?keywords=Owala+FreeSip+Stainless+Steel+Water+Bottle+-+32oz&amp;qid=1695124104&amp;sr=8-25", "https://www.amazon.com/Zak-Designs-Stainless-Leak-Proof-Insulated/dp/B0C4KJP2T2/ref=sr_1_25?keywords=Owala+FreeSip+Stainless+Steel+Water+Bottle+-+32oz&amp;qid=1695124104&amp;sr=8-25")</f>
        <v>https://www.amazon.com/Zak-Designs-Stainless-Leak-Proof-Insulated/dp/B0C4KJP2T2/ref=sr_1_25?keywords=Owala+FreeSip+Stainless+Steel+Water+Bottle+-+32oz&amp;qid=1695124104&amp;sr=8-25</v>
      </c>
      <c r="F830" t="s">
        <v>2768</v>
      </c>
      <c r="G830" t="e">
        <f ca="1">IMAGE("https://alssports.vtexassets.com/arquivos/ids/1355955-800-auto?v=638230513195900000&amp;width=800&amp;height=auto&amp;aspect=true")</f>
        <v>#NAME?</v>
      </c>
      <c r="H830" t="e">
        <f ca="1">IMAGE("https://m.media-amazon.com/images/I/51narO4taTL._AC_UL320_.jpg")</f>
        <v>#NAME?</v>
      </c>
      <c r="I830" t="s">
        <v>462</v>
      </c>
      <c r="J830">
        <v>16.989999999999998</v>
      </c>
      <c r="K830" s="2" t="s">
        <v>2769</v>
      </c>
      <c r="L830">
        <v>4.5</v>
      </c>
      <c r="M830">
        <v>193</v>
      </c>
      <c r="O830" t="s">
        <v>33</v>
      </c>
      <c r="P830" t="s">
        <v>26</v>
      </c>
      <c r="Q830" t="s">
        <v>464</v>
      </c>
    </row>
    <row r="831" spans="1:17" ht="15.75" x14ac:dyDescent="0.25">
      <c r="A831" s="3" t="str">
        <f>HYPERLINK("https://www.als.com/owala-ss-32oz-freesip-h2o-bottle/p?skuId=1195209", "https://www.als.com/owala-ss-32oz-freesip-h2o-bottle/p?skuId=1195209")</f>
        <v>https://www.als.com/owala-ss-32oz-freesip-h2o-bottle/p?skuId=1195209</v>
      </c>
      <c r="B831" s="3" t="str">
        <f>HYPERLINK("https://www.als.com/owala-ss-32oz-freesip-h2o-bottle/p", "https://www.als.com/owala-ss-32oz-freesip-h2o-bottle/p")</f>
        <v>https://www.als.com/owala-ss-32oz-freesip-h2o-bottle/p</v>
      </c>
      <c r="C831" t="s">
        <v>465</v>
      </c>
      <c r="D831" t="s">
        <v>2107</v>
      </c>
      <c r="E831" s="3" t="str">
        <f>HYPERLINK("https://www.amazon.com/Ello-Cooper-Insulated-Stainless-Halogen/dp/B09MG8FRMP/ref=sr_1_12?keywords=Owala+Free+Sip+Stainless+Steel+Water+Bottle+-+32oz&amp;qid=1695124108&amp;sr=8-12", "https://www.amazon.com/Ello-Cooper-Insulated-Stainless-Halogen/dp/B09MG8FRMP/ref=sr_1_12?keywords=Owala+Free+Sip+Stainless+Steel+Water+Bottle+-+32oz&amp;qid=1695124108&amp;sr=8-12")</f>
        <v>https://www.amazon.com/Ello-Cooper-Insulated-Stainless-Halogen/dp/B09MG8FRMP/ref=sr_1_12?keywords=Owala+Free+Sip+Stainless+Steel+Water+Bottle+-+32oz&amp;qid=1695124108&amp;sr=8-12</v>
      </c>
      <c r="F831" t="s">
        <v>2108</v>
      </c>
      <c r="G831" t="e">
        <f ca="1">IMAGE("https://alssports.vtexassets.com/arquivos/ids/1363762-800-auto?v=638236670706530000&amp;width=800&amp;height=auto&amp;aspect=true")</f>
        <v>#NAME?</v>
      </c>
      <c r="H831" t="e">
        <f ca="1">IMAGE("https://m.media-amazon.com/images/I/61n-lRvuQdL._AC_UL320_.jpg")</f>
        <v>#NAME?</v>
      </c>
      <c r="I831" t="s">
        <v>462</v>
      </c>
      <c r="J831">
        <v>16.989999999999998</v>
      </c>
      <c r="K831" s="2" t="s">
        <v>2769</v>
      </c>
      <c r="L831">
        <v>4.5999999999999996</v>
      </c>
      <c r="M831">
        <v>8193</v>
      </c>
      <c r="O831" t="s">
        <v>33</v>
      </c>
      <c r="P831" t="s">
        <v>26</v>
      </c>
      <c r="Q831" t="s">
        <v>466</v>
      </c>
    </row>
    <row r="832" spans="1:17" ht="15.75" x14ac:dyDescent="0.25">
      <c r="A832" s="3" t="str">
        <f>HYPERLINK("https://www.als.com/jetboi-stove-flash/p?skuId=416626", "https://www.als.com/jetboi-stove-flash/p?skuId=416626")</f>
        <v>https://www.als.com/jetboi-stove-flash/p?skuId=416626</v>
      </c>
      <c r="B832" s="3" t="str">
        <f>HYPERLINK("https://www.als.com/jetboi-stove-flash/p", "https://www.als.com/jetboi-stove-flash/p")</f>
        <v>https://www.als.com/jetboi-stove-flash/p</v>
      </c>
      <c r="C832" t="s">
        <v>484</v>
      </c>
      <c r="D832" t="s">
        <v>2770</v>
      </c>
      <c r="E832" s="3" t="str">
        <f>HYPERLINK("https://www.amazon.com/BLUU-1-4-Liter-Backpacking-Portable-Emergency/dp/B0B6ZJ94QL/ref=sr_1_15?keywords=Jetboil+Flash+Stove+Cooking+System&amp;qid=1695124341&amp;sr=8-15", "https://www.amazon.com/BLUU-1-4-Liter-Backpacking-Portable-Emergency/dp/B0B6ZJ94QL/ref=sr_1_15?keywords=Jetboil+Flash+Stove+Cooking+System&amp;qid=1695124341&amp;sr=8-15")</f>
        <v>https://www.amazon.com/BLUU-1-4-Liter-Backpacking-Portable-Emergency/dp/B0B6ZJ94QL/ref=sr_1_15?keywords=Jetboil+Flash+Stove+Cooking+System&amp;qid=1695124341&amp;sr=8-15</v>
      </c>
      <c r="F832" t="s">
        <v>2771</v>
      </c>
      <c r="G832" t="e">
        <f ca="1">IMAGE("https://alssports.vtexassets.com/arquivos/ids/996877-800-auto?v=637790103902500000&amp;width=800&amp;height=auto&amp;aspect=true")</f>
        <v>#NAME?</v>
      </c>
      <c r="H832" t="e">
        <f ca="1">IMAGE("https://m.media-amazon.com/images/I/61CeNKxwv0L._AC_UY218_.jpg")</f>
        <v>#NAME?</v>
      </c>
      <c r="I832" t="s">
        <v>487</v>
      </c>
      <c r="J832">
        <v>63.99</v>
      </c>
      <c r="K832" s="2" t="s">
        <v>2772</v>
      </c>
      <c r="L832">
        <v>4.5999999999999996</v>
      </c>
      <c r="M832">
        <v>684</v>
      </c>
      <c r="O832" t="s">
        <v>33</v>
      </c>
      <c r="P832" t="s">
        <v>26</v>
      </c>
      <c r="Q832" t="s">
        <v>489</v>
      </c>
    </row>
    <row r="833" spans="1:17" ht="15.75" x14ac:dyDescent="0.25">
      <c r="A833" s="3" t="str">
        <f>HYPERLINK("https://www.als.com/laspor-shoe-approach-tx4-r/p?skuId=1282021", "https://www.als.com/laspor-shoe-approach-tx4-r/p?skuId=1282021")</f>
        <v>https://www.als.com/laspor-shoe-approach-tx4-r/p?skuId=1282021</v>
      </c>
      <c r="B833" s="3" t="str">
        <f>HYPERLINK("https://www.als.com/laspor-shoe-approach-tx4-r/p", "https://www.als.com/laspor-shoe-approach-tx4-r/p")</f>
        <v>https://www.als.com/laspor-shoe-approach-tx4-r/p</v>
      </c>
      <c r="C833" t="s">
        <v>217</v>
      </c>
      <c r="D833" t="s">
        <v>2773</v>
      </c>
      <c r="E833" s="3" t="str">
        <f>HYPERLINK("https://www.amazon.com/Sportiva-TX2-Hiking-Shoe-Tangerine/dp/B071WP6D5R/ref=sr_1_12?keywords=La+Sportiva+TX4+Shoe+-+Mens&amp;qid=1695124396&amp;sr=8-12", "https://www.amazon.com/Sportiva-TX2-Hiking-Shoe-Tangerine/dp/B071WP6D5R/ref=sr_1_12?keywords=La+Sportiva+TX4+Shoe+-+Mens&amp;qid=1695124396&amp;sr=8-12")</f>
        <v>https://www.amazon.com/Sportiva-TX2-Hiking-Shoe-Tangerine/dp/B071WP6D5R/ref=sr_1_12?keywords=La+Sportiva+TX4+Shoe+-+Mens&amp;qid=1695124396&amp;sr=8-12</v>
      </c>
      <c r="F833" t="s">
        <v>2774</v>
      </c>
      <c r="G833" t="e">
        <f ca="1">IMAGE("https://alssports.vtexassets.com/arquivos/ids/1257651-800-auto?v=638134817479900000&amp;width=800&amp;height=auto&amp;aspect=true")</f>
        <v>#NAME?</v>
      </c>
      <c r="H833" t="e">
        <f ca="1">IMAGE("https://m.media-amazon.com/images/I/61S9Er8R7aL._AC_UL320_.jpg")</f>
        <v>#NAME?</v>
      </c>
      <c r="I833" t="s">
        <v>220</v>
      </c>
      <c r="J833">
        <v>91</v>
      </c>
      <c r="K833" s="2" t="s">
        <v>2775</v>
      </c>
      <c r="L833">
        <v>4.4000000000000004</v>
      </c>
      <c r="M833">
        <v>103</v>
      </c>
      <c r="O833" t="s">
        <v>33</v>
      </c>
      <c r="P833" t="s">
        <v>26</v>
      </c>
      <c r="Q833" t="s">
        <v>221</v>
      </c>
    </row>
    <row r="834" spans="1:17" ht="15.75" x14ac:dyDescent="0.25">
      <c r="A834" s="3" t="str">
        <f>HYPERLINK("https://www.als.com/reef-w-sandals-cushion-vista-hi/p?skuId=1280794", "https://www.als.com/reef-w-sandals-cushion-vista-hi/p?skuId=1280794")</f>
        <v>https://www.als.com/reef-w-sandals-cushion-vista-hi/p?skuId=1280794</v>
      </c>
      <c r="B834" s="3" t="str">
        <f>HYPERLINK("https://www.als.com/reef-w-sandals-cushion-vista-hi/p", "https://www.als.com/reef-w-sandals-cushion-vista-hi/p")</f>
        <v>https://www.als.com/reef-w-sandals-cushion-vista-hi/p</v>
      </c>
      <c r="C834" t="s">
        <v>960</v>
      </c>
      <c r="D834" t="s">
        <v>2776</v>
      </c>
      <c r="E834" s="3" t="str">
        <f>HYPERLINK("https://www.amazon.com/Reef-Womens-Cushion-Spring-Champagne/dp/B08BG2TVCM/ref=sr_1_8?keywords=REEF+Cushion+Vista+HI+Slide+-+Women%27s&amp;qid=1695124489&amp;sr=8-8", "https://www.amazon.com/Reef-Womens-Cushion-Spring-Champagne/dp/B08BG2TVCM/ref=sr_1_8?keywords=REEF+Cushion+Vista+HI+Slide+-+Women%27s&amp;qid=1695124489&amp;sr=8-8")</f>
        <v>https://www.amazon.com/Reef-Womens-Cushion-Spring-Champagne/dp/B08BG2TVCM/ref=sr_1_8?keywords=REEF+Cushion+Vista+HI+Slide+-+Women%27s&amp;qid=1695124489&amp;sr=8-8</v>
      </c>
      <c r="F834" t="s">
        <v>2777</v>
      </c>
      <c r="G834" t="e">
        <f ca="1">IMAGE("https://alssports.vtexassets.com/arquivos/ids/1252015-800-auto?v=638131199167330000&amp;width=800&amp;height=auto&amp;aspect=true")</f>
        <v>#NAME?</v>
      </c>
      <c r="H834" t="e">
        <f ca="1">IMAGE("https://m.media-amazon.com/images/I/71nAwwGF9HL._AC_UL320_.jpg")</f>
        <v>#NAME?</v>
      </c>
      <c r="I834" t="s">
        <v>58</v>
      </c>
      <c r="J834">
        <v>33</v>
      </c>
      <c r="K834" s="2" t="s">
        <v>2778</v>
      </c>
      <c r="L834">
        <v>4.3</v>
      </c>
      <c r="M834">
        <v>1093</v>
      </c>
      <c r="O834" t="s">
        <v>33</v>
      </c>
      <c r="P834" t="s">
        <v>26</v>
      </c>
      <c r="Q834" t="s">
        <v>963</v>
      </c>
    </row>
    <row r="835" spans="1:17" ht="15.75" x14ac:dyDescent="0.25">
      <c r="A835" s="3" t="str">
        <f>HYPERLINK("https://www.als.com/adidas-cleat-freak-23/p?skuId=1287468", "https://www.als.com/adidas-cleat-freak-23/p?skuId=1287468")</f>
        <v>https://www.als.com/adidas-cleat-freak-23/p?skuId=1287468</v>
      </c>
      <c r="B835" s="3" t="str">
        <f>HYPERLINK("https://www.als.com/adidas-cleat-freak-23/p", "https://www.als.com/adidas-cleat-freak-23/p")</f>
        <v>https://www.als.com/adidas-cleat-freak-23/p</v>
      </c>
      <c r="C835" t="s">
        <v>1059</v>
      </c>
      <c r="D835" t="s">
        <v>1060</v>
      </c>
      <c r="E835" s="3" t="str">
        <f>HYPERLINK("https://www.amazon.com/adidas-Freak-Football-Unisex-Little/dp/B0B5YPH218/ref=sr_1_34?keywords=adidas+Freak+23+Football+Cleat&amp;qid=1695124101&amp;sr=8-34", "https://www.amazon.com/adidas-Freak-Football-Unisex-Little/dp/B0B5YPH218/ref=sr_1_34?keywords=adidas+Freak+23+Football+Cleat&amp;qid=1695124101&amp;sr=8-34")</f>
        <v>https://www.amazon.com/adidas-Freak-Football-Unisex-Little/dp/B0B5YPH218/ref=sr_1_34?keywords=adidas+Freak+23+Football+Cleat&amp;qid=1695124101&amp;sr=8-34</v>
      </c>
      <c r="F835" t="s">
        <v>2779</v>
      </c>
      <c r="G835" t="e">
        <f ca="1">IMAGE("https://alssports.vtexassets.com/arquivos/ids/1400222-800-auto?v=638264233896900000&amp;width=800&amp;height=auto&amp;aspect=true")</f>
        <v>#NAME?</v>
      </c>
      <c r="H835" t="e">
        <f ca="1">IMAGE("https://m.media-amazon.com/images/I/711fEPJc6iL._AC_UL320_.jpg")</f>
        <v>#NAME?</v>
      </c>
      <c r="I835" t="s">
        <v>1062</v>
      </c>
      <c r="J835">
        <v>39.049999999999997</v>
      </c>
      <c r="K835" s="2" t="s">
        <v>2780</v>
      </c>
      <c r="L835">
        <v>4.2</v>
      </c>
      <c r="M835">
        <v>59</v>
      </c>
      <c r="O835" t="s">
        <v>33</v>
      </c>
      <c r="P835" t="s">
        <v>1064</v>
      </c>
      <c r="Q835" t="s">
        <v>1065</v>
      </c>
    </row>
    <row r="836" spans="1:17" ht="15.75" x14ac:dyDescent="0.25">
      <c r="A836" s="3" t="str">
        <f>HYPERLINK("https://www.als.com/owala-bottle-free-sip-32-oz/p?skuId=1326138", "https://www.als.com/owala-bottle-free-sip-32-oz/p?skuId=1326138")</f>
        <v>https://www.als.com/owala-bottle-free-sip-32-oz/p?skuId=1326138</v>
      </c>
      <c r="B836" s="3" t="str">
        <f>HYPERLINK("https://www.als.com/owala-bottle-free-sip-32-oz/p", "https://www.als.com/owala-bottle-free-sip-32-oz/p")</f>
        <v>https://www.als.com/owala-bottle-free-sip-32-oz/p</v>
      </c>
      <c r="C836" t="s">
        <v>459</v>
      </c>
      <c r="D836" t="s">
        <v>2781</v>
      </c>
      <c r="E836" s="3" t="str">
        <f>HYPERLINK("https://www.amazon.com/BJPKPK-Insulated-Bottles-Stainless-School-Ocean/dp/B0B6NTY387/ref=sr_1_39?keywords=Owala+FreeSip+Stainless+Steel+Water+Bottle+-+32oz&amp;qid=1695124104&amp;sr=8-39", "https://www.amazon.com/BJPKPK-Insulated-Bottles-Stainless-School-Ocean/dp/B0B6NTY387/ref=sr_1_39?keywords=Owala+FreeSip+Stainless+Steel+Water+Bottle+-+32oz&amp;qid=1695124104&amp;sr=8-39")</f>
        <v>https://www.amazon.com/BJPKPK-Insulated-Bottles-Stainless-School-Ocean/dp/B0B6NTY387/ref=sr_1_39?keywords=Owala+FreeSip+Stainless+Steel+Water+Bottle+-+32oz&amp;qid=1695124104&amp;sr=8-39</v>
      </c>
      <c r="F836" t="s">
        <v>2782</v>
      </c>
      <c r="G836" t="e">
        <f ca="1">IMAGE("https://alssports.vtexassets.com/arquivos/ids/1355955-800-auto?v=638230513195900000&amp;width=800&amp;height=auto&amp;aspect=true")</f>
        <v>#NAME?</v>
      </c>
      <c r="H836" t="e">
        <f ca="1">IMAGE("https://m.media-amazon.com/images/I/61v2LzuCcOL._AC_UL320_.jpg")</f>
        <v>#NAME?</v>
      </c>
      <c r="I836" t="s">
        <v>462</v>
      </c>
      <c r="J836">
        <v>16.7</v>
      </c>
      <c r="K836" s="2" t="s">
        <v>2783</v>
      </c>
      <c r="L836">
        <v>4.5999999999999996</v>
      </c>
      <c r="M836">
        <v>5882</v>
      </c>
      <c r="O836" t="s">
        <v>33</v>
      </c>
      <c r="P836" t="s">
        <v>26</v>
      </c>
      <c r="Q836" t="s">
        <v>464</v>
      </c>
    </row>
    <row r="837" spans="1:17" ht="15.75" x14ac:dyDescent="0.25">
      <c r="A837" s="3" t="str">
        <f>HYPERLINK("https://www.als.com/danner-ms-boot-element/p?skuId=530471", "https://www.als.com/danner-ms-boot-element/p?skuId=530471")</f>
        <v>https://www.als.com/danner-ms-boot-element/p?skuId=530471</v>
      </c>
      <c r="B837" s="3" t="str">
        <f>HYPERLINK("https://www.als.com/danner-ms-boot-element/p", "https://www.als.com/danner-ms-boot-element/p")</f>
        <v>https://www.als.com/danner-ms-boot-element/p</v>
      </c>
      <c r="C837" t="s">
        <v>750</v>
      </c>
      <c r="D837" t="s">
        <v>2784</v>
      </c>
      <c r="E837" s="3" t="str">
        <f>HYPERLINK("https://www.amazon.com/Danner-15163-Field-Ranger-Waterproof/dp/B089T4GDXN/ref=sr_1_12?keywords=Danner+Element+Boot+-+Men%27s&amp;qid=1695124487&amp;sr=8-12", "https://www.amazon.com/Danner-15163-Field-Ranger-Waterproof/dp/B089T4GDXN/ref=sr_1_12?keywords=Danner+Element+Boot+-+Men%27s&amp;qid=1695124487&amp;sr=8-12")</f>
        <v>https://www.amazon.com/Danner-15163-Field-Ranger-Waterproof/dp/B089T4GDXN/ref=sr_1_12?keywords=Danner+Element+Boot+-+Men%27s&amp;qid=1695124487&amp;sr=8-12</v>
      </c>
      <c r="F837" t="s">
        <v>2785</v>
      </c>
      <c r="G837" t="e">
        <f ca="1">IMAGE("https://alssports.vtexassets.com/arquivos/ids/790399-800-auto?v=637775367037830000&amp;width=800&amp;height=auto&amp;aspect=true")</f>
        <v>#NAME?</v>
      </c>
      <c r="H837" t="e">
        <f ca="1">IMAGE("https://m.media-amazon.com/images/I/81Cx6andHBL._AC_UL320_.jpg")</f>
        <v>#NAME?</v>
      </c>
      <c r="I837" t="s">
        <v>562</v>
      </c>
      <c r="J837">
        <v>85.9</v>
      </c>
      <c r="K837" s="2" t="s">
        <v>2786</v>
      </c>
      <c r="L837">
        <v>2.4</v>
      </c>
      <c r="M837">
        <v>2</v>
      </c>
      <c r="O837" t="s">
        <v>33</v>
      </c>
      <c r="P837" t="s">
        <v>26</v>
      </c>
      <c r="Q837" t="s">
        <v>753</v>
      </c>
    </row>
    <row r="838" spans="1:17" ht="15.75" x14ac:dyDescent="0.25">
      <c r="A838" s="3" t="str">
        <f>HYPERLINK("https://www.als.com/prana-womens-koen-pant/p?skuId=1105657", "https://www.als.com/prana-womens-koen-pant/p?skuId=1105657")</f>
        <v>https://www.als.com/prana-womens-koen-pant/p?skuId=1105657</v>
      </c>
      <c r="B838" s="3" t="str">
        <f>HYPERLINK("https://www.als.com/prana-womens-koen-pant/p", "https://www.als.com/prana-womens-koen-pant/p")</f>
        <v>https://www.als.com/prana-womens-koen-pant/p</v>
      </c>
      <c r="C838" t="s">
        <v>1919</v>
      </c>
      <c r="D838" t="s">
        <v>2787</v>
      </c>
      <c r="E838" s="3" t="str">
        <f>HYPERLINK("https://www.amazon.com/prAna-Womens-Briann-Pant-Earthbound/dp/B07KQXQFL4/ref=sr_1_15?keywords=prAna+Koen+Pant+-+Women%27s&amp;qid=1695124354&amp;sr=8-15", "https://www.amazon.com/prAna-Womens-Briann-Pant-Earthbound/dp/B07KQXQFL4/ref=sr_1_15?keywords=prAna+Koen+Pant+-+Women%27s&amp;qid=1695124354&amp;sr=8-15")</f>
        <v>https://www.amazon.com/prAna-Womens-Briann-Pant-Earthbound/dp/B07KQXQFL4/ref=sr_1_15?keywords=prAna+Koen+Pant+-+Women%27s&amp;qid=1695124354&amp;sr=8-15</v>
      </c>
      <c r="F838" t="s">
        <v>2788</v>
      </c>
      <c r="G838" t="e">
        <f ca="1">IMAGE("https://alssports.vtexassets.com/arquivos/ids/1242085-800-auto?v=638121058707700000&amp;width=800&amp;height=auto&amp;aspect=true")</f>
        <v>#NAME?</v>
      </c>
      <c r="H838" t="e">
        <f ca="1">IMAGE("https://m.media-amazon.com/images/I/61MG3gchFYL._AC_UL320_.jpg")</f>
        <v>#NAME?</v>
      </c>
      <c r="I838" t="s">
        <v>1922</v>
      </c>
      <c r="J838">
        <v>35.99</v>
      </c>
      <c r="K838" s="2" t="s">
        <v>2789</v>
      </c>
      <c r="L838">
        <v>4.4000000000000004</v>
      </c>
      <c r="M838">
        <v>317</v>
      </c>
      <c r="O838" t="s">
        <v>33</v>
      </c>
      <c r="P838" t="s">
        <v>1923</v>
      </c>
      <c r="Q838" t="s">
        <v>1924</v>
      </c>
    </row>
    <row r="839" spans="1:17" ht="15.75" x14ac:dyDescent="0.25">
      <c r="A839" s="3" t="str">
        <f>HYPERLINK("https://www.als.com/crocs-classic-clog/p?skuId=1196935", "https://www.als.com/crocs-classic-clog/p?skuId=1196935")</f>
        <v>https://www.als.com/crocs-classic-clog/p?skuId=1196935</v>
      </c>
      <c r="B839" s="3" t="str">
        <f>HYPERLINK("https://www.als.com/crocs-classic-clog/p", "https://www.als.com/crocs-classic-clog/p")</f>
        <v>https://www.als.com/crocs-classic-clog/p</v>
      </c>
      <c r="C839" t="s">
        <v>1100</v>
      </c>
      <c r="D839" t="s">
        <v>2790</v>
      </c>
      <c r="E839" s="3" t="str">
        <f>HYPERLINK("https://www.amazon.com/Crocs-Unisex-Womens-Classic-Rainbow/dp/B09R85W5P8/ref=sr_1_26?keywords=Crocs+Classic+Clog&amp;qid=1695124151&amp;sr=8-26", "https://www.amazon.com/Crocs-Unisex-Womens-Classic-Rainbow/dp/B09R85W5P8/ref=sr_1_26?keywords=Crocs+Classic+Clog&amp;qid=1695124151&amp;sr=8-26")</f>
        <v>https://www.amazon.com/Crocs-Unisex-Womens-Classic-Rainbow/dp/B09R85W5P8/ref=sr_1_26?keywords=Crocs+Classic+Clog&amp;qid=1695124151&amp;sr=8-26</v>
      </c>
      <c r="F839" t="s">
        <v>2791</v>
      </c>
      <c r="G839" t="e">
        <f ca="1">IMAGE("https://alssports.vtexassets.com/arquivos/ids/1222253-800-auto?v=638102875835800000&amp;width=800&amp;height=auto&amp;aspect=true")</f>
        <v>#NAME?</v>
      </c>
      <c r="H839" t="e">
        <f ca="1">IMAGE("https://m.media-amazon.com/images/I/81n9W7BCldL._AC_UL320_.jpg")</f>
        <v>#NAME?</v>
      </c>
      <c r="I839" t="s">
        <v>157</v>
      </c>
      <c r="J839">
        <v>25</v>
      </c>
      <c r="K839" s="2" t="s">
        <v>2792</v>
      </c>
      <c r="L839">
        <v>4.8</v>
      </c>
      <c r="M839">
        <v>490</v>
      </c>
      <c r="O839" t="s">
        <v>33</v>
      </c>
      <c r="P839" t="s">
        <v>26</v>
      </c>
      <c r="Q839" t="s">
        <v>1103</v>
      </c>
    </row>
    <row r="840" spans="1:17" ht="15.75" x14ac:dyDescent="0.25">
      <c r="A840" s="3" t="str">
        <f>HYPERLINK("https://www.als.com/adidas-w-slide-adilette-comfort/p?skuId=1286469", "https://www.als.com/adidas-w-slide-adilette-comfort/p?skuId=1286469")</f>
        <v>https://www.als.com/adidas-w-slide-adilette-comfort/p?skuId=1286469</v>
      </c>
      <c r="B840" s="3" t="str">
        <f>HYPERLINK("https://www.als.com/adidas-w-slide-adilette-comfort/p", "https://www.als.com/adidas-w-slide-adilette-comfort/p")</f>
        <v>https://www.als.com/adidas-w-slide-adilette-comfort/p</v>
      </c>
      <c r="C840" t="s">
        <v>441</v>
      </c>
      <c r="D840" t="s">
        <v>2793</v>
      </c>
      <c r="E840" s="3" t="str">
        <f>HYPERLINK("https://www.amazon.com/adidas-Unisex-Adilette-Comfort-Sandals/dp/B091ZFKD64/ref=sr_1_13?keywords=Adidas+Adilette+Comfort+Sandal+-+Women%27s&amp;qid=1695124352&amp;sr=8-13", "https://www.amazon.com/adidas-Unisex-Adilette-Comfort-Sandals/dp/B091ZFKD64/ref=sr_1_13?keywords=Adidas+Adilette+Comfort+Sandal+-+Women%27s&amp;qid=1695124352&amp;sr=8-13")</f>
        <v>https://www.amazon.com/adidas-Unisex-Adilette-Comfort-Sandals/dp/B091ZFKD64/ref=sr_1_13?keywords=Adidas+Adilette+Comfort+Sandal+-+Women%27s&amp;qid=1695124352&amp;sr=8-13</v>
      </c>
      <c r="F840" t="s">
        <v>2794</v>
      </c>
      <c r="G840" t="e">
        <f ca="1">IMAGE("https://alssports.vtexassets.com/arquivos/ids/1250704-800-auto?v=638128818653670000&amp;width=800&amp;height=auto&amp;aspect=true")</f>
        <v>#NAME?</v>
      </c>
      <c r="H840" t="e">
        <f ca="1">IMAGE("https://m.media-amazon.com/images/I/416XUw95g2L._AC_UL320_.jpg")</f>
        <v>#NAME?</v>
      </c>
      <c r="I840" t="s">
        <v>444</v>
      </c>
      <c r="J840">
        <v>13.99</v>
      </c>
      <c r="K840" s="2" t="s">
        <v>2795</v>
      </c>
      <c r="L840">
        <v>4.5</v>
      </c>
      <c r="M840">
        <v>2853</v>
      </c>
      <c r="O840" t="s">
        <v>33</v>
      </c>
      <c r="P840" t="s">
        <v>140</v>
      </c>
      <c r="Q840" t="s">
        <v>445</v>
      </c>
    </row>
    <row r="841" spans="1:17" ht="15.75" x14ac:dyDescent="0.25">
      <c r="A841" s="3" t="str">
        <f>HYPERLINK("https://www.als.com/smitho-goggle-skyline/p?skuId=1073396", "https://www.als.com/smitho-goggle-skyline/p?skuId=1073396")</f>
        <v>https://www.als.com/smitho-goggle-skyline/p?skuId=1073396</v>
      </c>
      <c r="B841" s="3" t="str">
        <f>HYPERLINK("https://www.als.com/smitho-goggle-skyline/p", "https://www.als.com/smitho-goggle-skyline/p")</f>
        <v>https://www.als.com/smitho-goggle-skyline/p</v>
      </c>
      <c r="C841" t="s">
        <v>186</v>
      </c>
      <c r="D841" t="s">
        <v>2796</v>
      </c>
      <c r="E841" s="3" t="str">
        <f>HYPERLINK("https://www.amazon.com/Smith-Junior-Rascal-Kids-Goggle/dp/B084S7DMK9/ref=sr_1_12?keywords=Smith+Optics+Skyline+Snow+Goggle&amp;qid=1695124362&amp;sr=8-12", "https://www.amazon.com/Smith-Junior-Rascal-Kids-Goggle/dp/B084S7DMK9/ref=sr_1_12?keywords=Smith+Optics+Skyline+Snow+Goggle&amp;qid=1695124362&amp;sr=8-12")</f>
        <v>https://www.amazon.com/Smith-Junior-Rascal-Kids-Goggle/dp/B084S7DMK9/ref=sr_1_12?keywords=Smith+Optics+Skyline+Snow+Goggle&amp;qid=1695124362&amp;sr=8-12</v>
      </c>
      <c r="F841" t="s">
        <v>2797</v>
      </c>
      <c r="G841" t="e">
        <f ca="1">IMAGE("https://alssports.vtexassets.com/arquivos/ids/1173752-800-auto?v=638042496618870000&amp;width=800&amp;height=auto&amp;aspect=true")</f>
        <v>#NAME?</v>
      </c>
      <c r="H841" t="e">
        <f ca="1">IMAGE("https://m.media-amazon.com/images/I/61ZDLowLFJL._AC_UL320_.jpg")</f>
        <v>#NAME?</v>
      </c>
      <c r="I841" t="s">
        <v>189</v>
      </c>
      <c r="J841">
        <v>30</v>
      </c>
      <c r="K841" s="2" t="s">
        <v>2798</v>
      </c>
      <c r="L841">
        <v>4.5999999999999996</v>
      </c>
      <c r="M841">
        <v>475</v>
      </c>
      <c r="O841" t="s">
        <v>33</v>
      </c>
      <c r="P841" t="s">
        <v>191</v>
      </c>
      <c r="Q841" t="s">
        <v>192</v>
      </c>
    </row>
    <row r="842" spans="1:17" ht="15.75" x14ac:dyDescent="0.25">
      <c r="A842" s="3" t="str">
        <f>HYPERLINK("https://www.als.com/reding-reel-run/p?skuId=668675", "https://www.als.com/reding-reel-run/p?skuId=668675")</f>
        <v>https://www.als.com/reding-reel-run/p?skuId=668675</v>
      </c>
      <c r="B842" s="3" t="str">
        <f>HYPERLINK("https://www.als.com/reding-reel-run/p", "https://www.als.com/reding-reel-run/p")</f>
        <v>https://www.als.com/reding-reel-run/p</v>
      </c>
      <c r="C842" t="s">
        <v>636</v>
      </c>
      <c r="D842" t="s">
        <v>2799</v>
      </c>
      <c r="E842" s="3" t="str">
        <f>HYPERLINK("https://www.amazon.com/Redington-Spare-Spool-Weight-Black/dp/B08KJJ7N22/ref=sr_1_7?keywords=Redington+Run+Fishing+Reel&amp;qid=1695124368&amp;sr=8-7", "https://www.amazon.com/Redington-Spare-Spool-Weight-Black/dp/B08KJJ7N22/ref=sr_1_7?keywords=Redington+Run+Fishing+Reel&amp;qid=1695124368&amp;sr=8-7")</f>
        <v>https://www.amazon.com/Redington-Spare-Spool-Weight-Black/dp/B08KJJ7N22/ref=sr_1_7?keywords=Redington+Run+Fishing+Reel&amp;qid=1695124368&amp;sr=8-7</v>
      </c>
      <c r="F842" t="s">
        <v>2800</v>
      </c>
      <c r="G842" t="e">
        <f ca="1">IMAGE("https://alssports.vtexassets.com/arquivos/ids/965822-800-auto?v=637738270480870000&amp;width=800&amp;height=auto&amp;aspect=true")</f>
        <v>#NAME?</v>
      </c>
      <c r="H842" t="e">
        <f ca="1">IMAGE("https://m.media-amazon.com/images/I/71sb+v-YvoL._AC_UY218_.jpg")</f>
        <v>#NAME?</v>
      </c>
      <c r="I842" t="s">
        <v>639</v>
      </c>
      <c r="J842">
        <v>59.99</v>
      </c>
      <c r="K842" s="2" t="s">
        <v>2798</v>
      </c>
      <c r="L842">
        <v>5</v>
      </c>
      <c r="M842">
        <v>1</v>
      </c>
      <c r="O842" t="s">
        <v>33</v>
      </c>
      <c r="P842" t="s">
        <v>26</v>
      </c>
      <c r="Q842" t="s">
        <v>641</v>
      </c>
    </row>
    <row r="843" spans="1:17" ht="15.75" x14ac:dyDescent="0.25">
      <c r="A843" s="3" t="str">
        <f>HYPERLINK("https://www.als.com/alps-vest-uldand-game-x/p?skuId=848855", "https://www.als.com/alps-vest-uldand-game-x/p?skuId=848855")</f>
        <v>https://www.als.com/alps-vest-uldand-game-x/p?skuId=848855</v>
      </c>
      <c r="B843" s="3" t="str">
        <f>HYPERLINK("https://www.als.com/alps-vest-uldand-game-x/p", "https://www.als.com/alps-vest-uldand-game-x/p")</f>
        <v>https://www.als.com/alps-vest-uldand-game-x/p</v>
      </c>
      <c r="C843" t="s">
        <v>2801</v>
      </c>
      <c r="D843" t="s">
        <v>2802</v>
      </c>
      <c r="E843" s="3" t="str">
        <f>HYPERLINK("https://www.amazon.com/ALPS-OutdoorZ-Upland-Game-Vest/dp/B0B2FKMW2R/ref=sr_1_2?keywords=ALPS+Outdoorz+Upland+Game+Vest+X&amp;qid=1695124124&amp;sr=8-2", "https://www.amazon.com/ALPS-OutdoorZ-Upland-Game-Vest/dp/B0B2FKMW2R/ref=sr_1_2?keywords=ALPS+Outdoorz+Upland+Game+Vest+X&amp;qid=1695124124&amp;sr=8-2")</f>
        <v>https://www.amazon.com/ALPS-OutdoorZ-Upland-Game-Vest/dp/B0B2FKMW2R/ref=sr_1_2?keywords=ALPS+Outdoorz+Upland+Game+Vest+X&amp;qid=1695124124&amp;sr=8-2</v>
      </c>
      <c r="F843" t="s">
        <v>2803</v>
      </c>
      <c r="G843" t="e">
        <f ca="1">IMAGE("https://alssports.vtexassets.com/arquivos/ids/760318-800-auto?v=637608469452200000&amp;width=800&amp;height=auto&amp;aspect=true")</f>
        <v>#NAME?</v>
      </c>
      <c r="H843" t="e">
        <f ca="1">IMAGE("https://m.media-amazon.com/images/I/71sqFLfkiOL._AC_UL320_.jpg")</f>
        <v>#NAME?</v>
      </c>
      <c r="I843" t="s">
        <v>639</v>
      </c>
      <c r="J843">
        <v>59.99</v>
      </c>
      <c r="K843" s="2" t="s">
        <v>2798</v>
      </c>
      <c r="L843">
        <v>4.4000000000000004</v>
      </c>
      <c r="M843">
        <v>61</v>
      </c>
      <c r="O843" t="s">
        <v>33</v>
      </c>
      <c r="P843" t="s">
        <v>2804</v>
      </c>
      <c r="Q843" t="s">
        <v>2805</v>
      </c>
    </row>
    <row r="844" spans="1:17" ht="15.75" x14ac:dyDescent="0.25">
      <c r="A844" s="3" t="str">
        <f>HYPERLINK("https://www.als.com/carhar-m-workwear-pocket-ss-tee/p?skuId=1200098", "https://www.als.com/carhar-m-workwear-pocket-ss-tee/p?skuId=1200098")</f>
        <v>https://www.als.com/carhar-m-workwear-pocket-ss-tee/p?skuId=1200098</v>
      </c>
      <c r="B844" s="3" t="str">
        <f>HYPERLINK("https://www.als.com/carhar-m-workwear-pocket-ss-tee/p", "https://www.als.com/carhar-m-workwear-pocket-ss-tee/p")</f>
        <v>https://www.als.com/carhar-m-workwear-pocket-ss-tee/p</v>
      </c>
      <c r="C844" t="s">
        <v>237</v>
      </c>
      <c r="D844" t="s">
        <v>2806</v>
      </c>
      <c r="E844" s="3" t="str">
        <f>HYPERLINK("https://www.amazon.com/YTD-Sleeve-Henley-T-Shirt-Fashion/dp/B09M63DCRR/ref=sr_1_39?keywords=Carhartt+Workwear+Loose+Fit+Pocket+Short-Sleeve+T-Shirt+-+Men%27s&amp;qid=1695124338&amp;sr=8-39", "https://www.amazon.com/YTD-Sleeve-Henley-T-Shirt-Fashion/dp/B09M63DCRR/ref=sr_1_39?keywords=Carhartt+Workwear+Loose+Fit+Pocket+Short-Sleeve+T-Shirt+-+Men%27s&amp;qid=1695124338&amp;sr=8-39")</f>
        <v>https://www.amazon.com/YTD-Sleeve-Henley-T-Shirt-Fashion/dp/B09M63DCRR/ref=sr_1_39?keywords=Carhartt+Workwear+Loose+Fit+Pocket+Short-Sleeve+T-Shirt+-+Men%27s&amp;qid=1695124338&amp;sr=8-39</v>
      </c>
      <c r="F844" t="s">
        <v>2807</v>
      </c>
      <c r="G844" t="e">
        <f ca="1">IMAGE("https://alssports.vtexassets.com/arquivos/ids/1430829-800-auto?v=638285166341500000&amp;width=800&amp;height=auto&amp;aspect=true")</f>
        <v>#NAME?</v>
      </c>
      <c r="H844" t="e">
        <f ca="1">IMAGE("https://m.media-amazon.com/images/I/61VYs-vYfsL._AC_UL320_.jpg")</f>
        <v>#NAME?</v>
      </c>
      <c r="I844" t="s">
        <v>240</v>
      </c>
      <c r="J844">
        <v>9.99</v>
      </c>
      <c r="K844" s="2" t="s">
        <v>2808</v>
      </c>
      <c r="L844">
        <v>4.0999999999999996</v>
      </c>
      <c r="M844">
        <v>763</v>
      </c>
      <c r="O844" t="s">
        <v>33</v>
      </c>
      <c r="P844" t="s">
        <v>26</v>
      </c>
      <c r="Q844" t="s">
        <v>241</v>
      </c>
    </row>
    <row r="845" spans="1:17" ht="15.75" x14ac:dyDescent="0.25">
      <c r="A845" s="3" t="str">
        <f>HYPERLINK("https://www.als.com/prana-womens-koen-pant/p?skuId=1105657", "https://www.als.com/prana-womens-koen-pant/p?skuId=1105657")</f>
        <v>https://www.als.com/prana-womens-koen-pant/p?skuId=1105657</v>
      </c>
      <c r="B845" s="3" t="str">
        <f>HYPERLINK("https://www.als.com/prana-womens-koen-pant/p", "https://www.als.com/prana-womens-koen-pant/p")</f>
        <v>https://www.als.com/prana-womens-koen-pant/p</v>
      </c>
      <c r="C845" t="s">
        <v>1919</v>
      </c>
      <c r="D845" t="s">
        <v>2809</v>
      </c>
      <c r="E845" s="3" t="str">
        <f>HYPERLINK("https://www.amazon.com/prAna-Womens-Standard-Hiking-Casual/dp/B0971N3NKS/ref=sr_1_22?keywords=prAna+Koen+Pant+-+Women%27s&amp;qid=1695124354&amp;sr=8-22", "https://www.amazon.com/prAna-Womens-Standard-Hiking-Casual/dp/B0971N3NKS/ref=sr_1_22?keywords=prAna+Koen+Pant+-+Women%27s&amp;qid=1695124354&amp;sr=8-22")</f>
        <v>https://www.amazon.com/prAna-Womens-Standard-Hiking-Casual/dp/B0971N3NKS/ref=sr_1_22?keywords=prAna+Koen+Pant+-+Women%27s&amp;qid=1695124354&amp;sr=8-22</v>
      </c>
      <c r="F845" t="s">
        <v>2810</v>
      </c>
      <c r="G845" t="e">
        <f ca="1">IMAGE("https://alssports.vtexassets.com/arquivos/ids/1242085-800-auto?v=638121058707700000&amp;width=800&amp;height=auto&amp;aspect=true")</f>
        <v>#NAME?</v>
      </c>
      <c r="H845" t="e">
        <f ca="1">IMAGE("https://m.media-amazon.com/images/I/81NSXjaL4eL._AC_UL320_.jpg")</f>
        <v>#NAME?</v>
      </c>
      <c r="I845" t="s">
        <v>1922</v>
      </c>
      <c r="J845">
        <v>35.53</v>
      </c>
      <c r="K845" s="2" t="s">
        <v>2811</v>
      </c>
      <c r="L845">
        <v>4.2</v>
      </c>
      <c r="M845">
        <v>25</v>
      </c>
      <c r="O845" t="s">
        <v>33</v>
      </c>
      <c r="P845" t="s">
        <v>1923</v>
      </c>
      <c r="Q845" t="s">
        <v>1924</v>
      </c>
    </row>
    <row r="846" spans="1:17" ht="15.75" x14ac:dyDescent="0.25">
      <c r="A846" s="3" t="str">
        <f>HYPERLINK("https://www.als.com/gord-rally-mitt/p?skuId=1306142", "https://www.als.com/gord-rally-mitt/p?skuId=1306142")</f>
        <v>https://www.als.com/gord-rally-mitt/p?skuId=1306142</v>
      </c>
      <c r="B846" s="3" t="str">
        <f>HYPERLINK("https://www.als.com/gord-rally-mitt/p", "https://www.als.com/gord-rally-mitt/p")</f>
        <v>https://www.als.com/gord-rally-mitt/p</v>
      </c>
      <c r="C846" t="s">
        <v>682</v>
      </c>
      <c r="D846" t="s">
        <v>2812</v>
      </c>
      <c r="E846" s="3" t="str">
        <f>HYPERLINK("https://www.amazon.com/Gordini-Rally-Mitt-Medium-Black/dp/B082BGXNWR/ref=sr_1_1?keywords=Gordini+Rally+Mitten+-+Mens&amp;qid=1695124309&amp;sr=8-1", "https://www.amazon.com/Gordini-Rally-Mitt-Medium-Black/dp/B082BGXNWR/ref=sr_1_1?keywords=Gordini+Rally+Mitten+-+Mens&amp;qid=1695124309&amp;sr=8-1")</f>
        <v>https://www.amazon.com/Gordini-Rally-Mitt-Medium-Black/dp/B082BGXNWR/ref=sr_1_1?keywords=Gordini+Rally+Mitten+-+Mens&amp;qid=1695124309&amp;sr=8-1</v>
      </c>
      <c r="F846" t="s">
        <v>2813</v>
      </c>
      <c r="G846" t="e">
        <f ca="1">IMAGE("https://alssports.vtexassets.com/arquivos/ids/1427992-800-auto?v=638283287978400000&amp;width=800&amp;height=auto&amp;aspect=true")</f>
        <v>#NAME?</v>
      </c>
      <c r="H846" t="e">
        <f ca="1">IMAGE("https://m.media-amazon.com/images/I/61GtPdWU9SL._AC_UL320_.jpg")</f>
        <v>#NAME?</v>
      </c>
      <c r="I846" t="s">
        <v>225</v>
      </c>
      <c r="J846">
        <v>34.75</v>
      </c>
      <c r="K846" s="2" t="s">
        <v>2814</v>
      </c>
      <c r="L846">
        <v>3.8</v>
      </c>
      <c r="M846">
        <v>4</v>
      </c>
      <c r="O846" t="s">
        <v>33</v>
      </c>
      <c r="P846" t="s">
        <v>26</v>
      </c>
      <c r="Q846" t="s">
        <v>686</v>
      </c>
    </row>
    <row r="847" spans="1:17" ht="15.75" x14ac:dyDescent="0.25">
      <c r="A847" s="3" t="str">
        <f>HYPERLINK("https://www.als.com/prana-lindores-shirt/p?skuId=986663", "https://www.als.com/prana-lindores-shirt/p?skuId=986663")</f>
        <v>https://www.als.com/prana-lindores-shirt/p?skuId=986663</v>
      </c>
      <c r="B847" s="3" t="str">
        <f>HYPERLINK("https://www.als.com/prana-lindores-shirt/p", "https://www.als.com/prana-lindores-shirt/p")</f>
        <v>https://www.als.com/prana-lindores-shirt/p</v>
      </c>
      <c r="C847" t="s">
        <v>586</v>
      </c>
      <c r="D847" t="s">
        <v>2815</v>
      </c>
      <c r="E847" s="3" t="str">
        <f>HYPERLINK("https://www.amazon.com/prAna-Journeyman-T-Shirt-Charcoal-Heather/dp/B07TLM67W4/ref=sr_1_24?keywords=prAna+Lindores+Shirt+-+Men%27s&amp;qid=1695124473&amp;sr=8-24", "https://www.amazon.com/prAna-Journeyman-T-Shirt-Charcoal-Heather/dp/B07TLM67W4/ref=sr_1_24?keywords=prAna+Lindores+Shirt+-+Men%27s&amp;qid=1695124473&amp;sr=8-24")</f>
        <v>https://www.amazon.com/prAna-Journeyman-T-Shirt-Charcoal-Heather/dp/B07TLM67W4/ref=sr_1_24?keywords=prAna+Lindores+Shirt+-+Men%27s&amp;qid=1695124473&amp;sr=8-24</v>
      </c>
      <c r="F847" t="s">
        <v>2816</v>
      </c>
      <c r="G847" t="e">
        <f ca="1">IMAGE("https://alssports.vtexassets.com/arquivos/ids/1012979-800-auto?v=637817020518400000&amp;width=800&amp;height=auto&amp;aspect=true")</f>
        <v>#NAME?</v>
      </c>
      <c r="H847" t="e">
        <f ca="1">IMAGE("https://m.media-amazon.com/images/I/71bKbhB51AL._AC_UL320_.jpg")</f>
        <v>#NAME?</v>
      </c>
      <c r="I847" t="s">
        <v>589</v>
      </c>
      <c r="J847">
        <v>13.64</v>
      </c>
      <c r="K847" s="2" t="s">
        <v>2817</v>
      </c>
      <c r="L847">
        <v>4.5</v>
      </c>
      <c r="M847">
        <v>31</v>
      </c>
      <c r="O847" t="s">
        <v>26</v>
      </c>
      <c r="P847" t="s">
        <v>591</v>
      </c>
      <c r="Q847" t="s">
        <v>592</v>
      </c>
    </row>
    <row r="848" spans="1:17" ht="15.75" x14ac:dyDescent="0.25">
      <c r="A848" s="3" t="str">
        <f>HYPERLINK("https://www.als.com/prana-groveland-shirt/p?skuId=1102242", "https://www.als.com/prana-groveland-shirt/p?skuId=1102242")</f>
        <v>https://www.als.com/prana-groveland-shirt/p?skuId=1102242</v>
      </c>
      <c r="B848" s="3" t="str">
        <f>HYPERLINK("https://www.als.com/prana-groveland-shirt/p", "https://www.als.com/prana-groveland-shirt/p")</f>
        <v>https://www.als.com/prana-groveland-shirt/p</v>
      </c>
      <c r="C848" t="s">
        <v>1816</v>
      </c>
      <c r="D848" t="s">
        <v>2815</v>
      </c>
      <c r="E848" s="3" t="str">
        <f>HYPERLINK("https://www.amazon.com/prAna-Journeyman-T-Shirt-Charcoal-Heather/dp/B07TLM67W4/ref=sr_1_27?keywords=prAna+Groveland+Shirt+-+Men%27s&amp;qid=1695124402&amp;sr=8-27", "https://www.amazon.com/prAna-Journeyman-T-Shirt-Charcoal-Heather/dp/B07TLM67W4/ref=sr_1_27?keywords=prAna+Groveland+Shirt+-+Men%27s&amp;qid=1695124402&amp;sr=8-27")</f>
        <v>https://www.amazon.com/prAna-Journeyman-T-Shirt-Charcoal-Heather/dp/B07TLM67W4/ref=sr_1_27?keywords=prAna+Groveland+Shirt+-+Men%27s&amp;qid=1695124402&amp;sr=8-27</v>
      </c>
      <c r="F848" t="s">
        <v>2816</v>
      </c>
      <c r="G848" t="e">
        <f ca="1">IMAGE("https://alssports.vtexassets.com/arquivos/ids/1265503-800-auto?v=638144846989530000&amp;width=800&amp;height=auto&amp;aspect=true")</f>
        <v>#NAME?</v>
      </c>
      <c r="H848" t="e">
        <f ca="1">IMAGE("https://m.media-amazon.com/images/I/71bKbhB51AL._AC_UL320_.jpg")</f>
        <v>#NAME?</v>
      </c>
      <c r="I848" t="s">
        <v>589</v>
      </c>
      <c r="J848">
        <v>13.64</v>
      </c>
      <c r="K848" s="2" t="s">
        <v>2817</v>
      </c>
      <c r="L848">
        <v>4.5</v>
      </c>
      <c r="M848">
        <v>31</v>
      </c>
      <c r="O848" t="s">
        <v>33</v>
      </c>
      <c r="P848" t="s">
        <v>591</v>
      </c>
      <c r="Q848" t="s">
        <v>1817</v>
      </c>
    </row>
    <row r="849" spans="1:17" ht="15.75" x14ac:dyDescent="0.25">
      <c r="A849" s="3" t="str">
        <f>HYPERLINK("https://www.als.com/asics-ws-shoe-gel-nimbus-24/p?skuId=1037727", "https://www.als.com/asics-ws-shoe-gel-nimbus-24/p?skuId=1037727")</f>
        <v>https://www.als.com/asics-ws-shoe-gel-nimbus-24/p?skuId=1037727</v>
      </c>
      <c r="B849" s="3" t="str">
        <f>HYPERLINK("https://www.als.com/asics-ws-shoe-gel-nimbus-24/p", "https://www.als.com/asics-ws-shoe-gel-nimbus-24/p")</f>
        <v>https://www.als.com/asics-ws-shoe-gel-nimbus-24/p</v>
      </c>
      <c r="C849" t="s">
        <v>1217</v>
      </c>
      <c r="D849" t="s">
        <v>1628</v>
      </c>
      <c r="E849" s="3" t="str">
        <f>HYPERLINK("https://www.amazon.com/ASICS-Womens-Gel-Venture-Running-Carrier/dp/B091KDJ1ZD/ref=sr_1_26?keywords=Asics+GEL-NIMBUS+24+Running+Shoe+-+Womens&amp;qid=1695124093&amp;sr=8-26", "https://www.amazon.com/ASICS-Womens-Gel-Venture-Running-Carrier/dp/B091KDJ1ZD/ref=sr_1_26?keywords=Asics+GEL-NIMBUS+24+Running+Shoe+-+Womens&amp;qid=1695124093&amp;sr=8-26")</f>
        <v>https://www.amazon.com/ASICS-Womens-Gel-Venture-Running-Carrier/dp/B091KDJ1ZD/ref=sr_1_26?keywords=Asics+GEL-NIMBUS+24+Running+Shoe+-+Womens&amp;qid=1695124093&amp;sr=8-26</v>
      </c>
      <c r="F849" t="s">
        <v>2818</v>
      </c>
      <c r="G849" t="e">
        <f ca="1">IMAGE("https://alssports.vtexassets.com/arquivos/ids/1109551-800-auto?v=637950821539330000&amp;width=800&amp;height=auto&amp;aspect=true")</f>
        <v>#NAME?</v>
      </c>
      <c r="H849" t="e">
        <f ca="1">IMAGE("https://m.media-amazon.com/images/I/61Xu3wW9AoL._AC_UL320_.jpg")</f>
        <v>#NAME?</v>
      </c>
      <c r="I849" t="s">
        <v>1220</v>
      </c>
      <c r="J849">
        <v>54.95</v>
      </c>
      <c r="K849" s="2" t="s">
        <v>2819</v>
      </c>
      <c r="L849">
        <v>4.4000000000000004</v>
      </c>
      <c r="M849">
        <v>18561</v>
      </c>
      <c r="O849" t="s">
        <v>33</v>
      </c>
      <c r="P849" t="s">
        <v>88</v>
      </c>
      <c r="Q849" t="s">
        <v>1222</v>
      </c>
    </row>
    <row r="850" spans="1:17" ht="15.75" x14ac:dyDescent="0.25">
      <c r="A850" s="3" t="str">
        <f>HYPERLINK("https://www.als.com/asics-ws-shoe-gel-nimbus-24/p?skuId=1037727", "https://www.als.com/asics-ws-shoe-gel-nimbus-24/p?skuId=1037727")</f>
        <v>https://www.als.com/asics-ws-shoe-gel-nimbus-24/p?skuId=1037727</v>
      </c>
      <c r="B850" s="3" t="str">
        <f>HYPERLINK("https://www.als.com/asics-ws-shoe-gel-nimbus-24/p", "https://www.als.com/asics-ws-shoe-gel-nimbus-24/p")</f>
        <v>https://www.als.com/asics-ws-shoe-gel-nimbus-24/p</v>
      </c>
      <c r="C850" t="s">
        <v>1217</v>
      </c>
      <c r="D850" t="s">
        <v>1353</v>
      </c>
      <c r="E850" s="3" t="str">
        <f>HYPERLINK("https://www.amazon.com/ASICS-Womens-Gel-Contend-Running-Silver/dp/B0B4PFW8WY/ref=sr_1_22?keywords=Asics+GEL-NIMBUS+24+Running+Shoe+-+Womens&amp;qid=1695124093&amp;sr=8-22", "https://www.amazon.com/ASICS-Womens-Gel-Contend-Running-Silver/dp/B0B4PFW8WY/ref=sr_1_22?keywords=Asics+GEL-NIMBUS+24+Running+Shoe+-+Womens&amp;qid=1695124093&amp;sr=8-22")</f>
        <v>https://www.amazon.com/ASICS-Womens-Gel-Contend-Running-Silver/dp/B0B4PFW8WY/ref=sr_1_22?keywords=Asics+GEL-NIMBUS+24+Running+Shoe+-+Womens&amp;qid=1695124093&amp;sr=8-22</v>
      </c>
      <c r="F850" t="s">
        <v>2820</v>
      </c>
      <c r="G850" t="e">
        <f ca="1">IMAGE("https://alssports.vtexassets.com/arquivos/ids/1109551-800-auto?v=637950821539330000&amp;width=800&amp;height=auto&amp;aspect=true")</f>
        <v>#NAME?</v>
      </c>
      <c r="H850" t="e">
        <f ca="1">IMAGE("https://m.media-amazon.com/images/I/61S90eehcjL._AC_UL320_.jpg")</f>
        <v>#NAME?</v>
      </c>
      <c r="I850" t="s">
        <v>1220</v>
      </c>
      <c r="J850">
        <v>54.95</v>
      </c>
      <c r="K850" s="2" t="s">
        <v>2819</v>
      </c>
      <c r="L850">
        <v>4.5</v>
      </c>
      <c r="M850">
        <v>638</v>
      </c>
      <c r="O850" t="s">
        <v>33</v>
      </c>
      <c r="P850" t="s">
        <v>88</v>
      </c>
      <c r="Q850" t="s">
        <v>1222</v>
      </c>
    </row>
    <row r="851" spans="1:17" ht="15.75" x14ac:dyDescent="0.25">
      <c r="A851" s="3" t="str">
        <f>HYPERLINK("https://www.als.com/vans-shoe-sk8-hi-mte-2/p?skuId=1116049", "https://www.als.com/vans-shoe-sk8-hi-mte-2/p?skuId=1116049")</f>
        <v>https://www.als.com/vans-shoe-sk8-hi-mte-2/p?skuId=1116049</v>
      </c>
      <c r="B851" s="3" t="str">
        <f>HYPERLINK("https://www.als.com/vans-shoe-sk8-hi-mte-2/p", "https://www.als.com/vans-shoe-sk8-hi-mte-2/p")</f>
        <v>https://www.als.com/vans-shoe-sk8-hi-mte-2/p</v>
      </c>
      <c r="C851" t="s">
        <v>1174</v>
      </c>
      <c r="D851" t="s">
        <v>2821</v>
      </c>
      <c r="E851" s="3" t="str">
        <f>HYPERLINK("https://www.amazon.com/Vans-Sk8-Hi-Skate-Classic-black/dp/B01N3O57BI/ref=sr_1_37?keywords=Vans+Sk8-Hi+MTE-2+Shoe&amp;qid=1695124405&amp;sr=8-37", "https://www.amazon.com/Vans-Sk8-Hi-Skate-Classic-black/dp/B01N3O57BI/ref=sr_1_37?keywords=Vans+Sk8-Hi+MTE-2+Shoe&amp;qid=1695124405&amp;sr=8-37")</f>
        <v>https://www.amazon.com/Vans-Sk8-Hi-Skate-Classic-black/dp/B01N3O57BI/ref=sr_1_37?keywords=Vans+Sk8-Hi+MTE-2+Shoe&amp;qid=1695124405&amp;sr=8-37</v>
      </c>
      <c r="F851" t="s">
        <v>2822</v>
      </c>
      <c r="G851" t="e">
        <f ca="1">IMAGE("https://alssports.vtexassets.com/arquivos/ids/1312527-800-auto?v=638193489147030000&amp;width=800&amp;height=auto&amp;aspect=true")</f>
        <v>#NAME?</v>
      </c>
      <c r="H851" t="e">
        <f ca="1">IMAGE("https://m.media-amazon.com/images/I/81Ys1LKxTTL._AC_UL320_.jpg")</f>
        <v>#NAME?</v>
      </c>
      <c r="I851" t="s">
        <v>44</v>
      </c>
      <c r="J851">
        <v>73.11</v>
      </c>
      <c r="K851" s="2" t="s">
        <v>2823</v>
      </c>
      <c r="L851">
        <v>3.6</v>
      </c>
      <c r="M851">
        <v>3</v>
      </c>
      <c r="O851" t="s">
        <v>33</v>
      </c>
      <c r="P851" t="s">
        <v>26</v>
      </c>
      <c r="Q851" t="s">
        <v>1178</v>
      </c>
    </row>
    <row r="852" spans="1:17" ht="15.75" x14ac:dyDescent="0.25">
      <c r="A852" s="3" t="str">
        <f>HYPERLINK("https://www.als.com/seasum-dry-bag-ultra-sil/p?skuId=1284260", "https://www.als.com/seasum-dry-bag-ultra-sil/p?skuId=1284260")</f>
        <v>https://www.als.com/seasum-dry-bag-ultra-sil/p?skuId=1284260</v>
      </c>
      <c r="B852" s="3" t="str">
        <f>HYPERLINK("https://www.als.com/seasum-dry-bag-ultra-sil/p", "https://www.als.com/seasum-dry-bag-ultra-sil/p")</f>
        <v>https://www.als.com/seasum-dry-bag-ultra-sil/p</v>
      </c>
      <c r="C852" t="s">
        <v>1515</v>
      </c>
      <c r="D852" t="s">
        <v>2824</v>
      </c>
      <c r="E852" s="3" t="str">
        <f>HYPERLINK("https://www.amazon.com/Sea-Summit-Lightweight-Sack-Large-13-Liter/dp/B001Q3KKG4/ref=sr_1_11?keywords=Sea+to+Summit+Ultra-Sil+Dry+Bag&amp;qid=1695124478&amp;sr=8-11", "https://www.amazon.com/Sea-Summit-Lightweight-Sack-Large-13-Liter/dp/B001Q3KKG4/ref=sr_1_11?keywords=Sea+to+Summit+Ultra-Sil+Dry+Bag&amp;qid=1695124478&amp;sr=8-11")</f>
        <v>https://www.amazon.com/Sea-Summit-Lightweight-Sack-Large-13-Liter/dp/B001Q3KKG4/ref=sr_1_11?keywords=Sea+to+Summit+Ultra-Sil+Dry+Bag&amp;qid=1695124478&amp;sr=8-11</v>
      </c>
      <c r="F852" t="s">
        <v>2825</v>
      </c>
      <c r="G852" t="e">
        <f ca="1">IMAGE("https://alssports.vtexassets.com/arquivos/ids/1257254-800-auto?v=638134633277170000&amp;width=800&amp;height=auto&amp;aspect=true")</f>
        <v>#NAME?</v>
      </c>
      <c r="H852" t="e">
        <f ca="1">IMAGE("https://m.media-amazon.com/images/I/71bVumCwKOL._AC_UL320_.jpg")</f>
        <v>#NAME?</v>
      </c>
      <c r="I852" t="s">
        <v>140</v>
      </c>
      <c r="J852">
        <v>19.46</v>
      </c>
      <c r="K852" s="2" t="s">
        <v>2826</v>
      </c>
      <c r="L852">
        <v>4.7</v>
      </c>
      <c r="M852">
        <v>1895</v>
      </c>
      <c r="O852" t="s">
        <v>26</v>
      </c>
      <c r="P852" t="s">
        <v>26</v>
      </c>
      <c r="Q852" t="s">
        <v>1519</v>
      </c>
    </row>
    <row r="853" spans="1:17" ht="15.75" x14ac:dyDescent="0.25">
      <c r="A853" s="3" t="str">
        <f>HYPERLINK("https://www.als.com/smitho-goggle-skyline/p?skuId=1073396", "https://www.als.com/smitho-goggle-skyline/p?skuId=1073396")</f>
        <v>https://www.als.com/smitho-goggle-skyline/p?skuId=1073396</v>
      </c>
      <c r="B853" s="3" t="str">
        <f>HYPERLINK("https://www.als.com/smitho-goggle-skyline/p", "https://www.als.com/smitho-goggle-skyline/p")</f>
        <v>https://www.als.com/smitho-goggle-skyline/p</v>
      </c>
      <c r="C853" t="s">
        <v>186</v>
      </c>
      <c r="D853" t="s">
        <v>2827</v>
      </c>
      <c r="E853" s="3" t="str">
        <f>HYPERLINK("https://www.amazon.com/Smith-Optics-SO-GM3-Gambler-Goggles/dp/B00LCAFLFQ/ref=sr_1_32?keywords=Smith+Optics+Skyline+Snow+Goggle&amp;qid=1695124362&amp;sr=8-32", "https://www.amazon.com/Smith-Optics-SO-GM3-Gambler-Goggles/dp/B00LCAFLFQ/ref=sr_1_32?keywords=Smith+Optics+Skyline+Snow+Goggle&amp;qid=1695124362&amp;sr=8-32")</f>
        <v>https://www.amazon.com/Smith-Optics-SO-GM3-Gambler-Goggles/dp/B00LCAFLFQ/ref=sr_1_32?keywords=Smith+Optics+Skyline+Snow+Goggle&amp;qid=1695124362&amp;sr=8-32</v>
      </c>
      <c r="F853" t="s">
        <v>2828</v>
      </c>
      <c r="G853" t="e">
        <f ca="1">IMAGE("https://alssports.vtexassets.com/arquivos/ids/1173752-800-auto?v=638042496618870000&amp;width=800&amp;height=auto&amp;aspect=true")</f>
        <v>#NAME?</v>
      </c>
      <c r="H853" t="e">
        <f ca="1">IMAGE("https://m.media-amazon.com/images/I/41mPVn7XQ-L._AC_UL320_.jpg")</f>
        <v>#NAME?</v>
      </c>
      <c r="I853" t="s">
        <v>189</v>
      </c>
      <c r="J853">
        <v>28.95</v>
      </c>
      <c r="K853" s="2" t="s">
        <v>2829</v>
      </c>
      <c r="L853">
        <v>4.5999999999999996</v>
      </c>
      <c r="M853">
        <v>3</v>
      </c>
      <c r="O853" t="s">
        <v>33</v>
      </c>
      <c r="P853" t="s">
        <v>191</v>
      </c>
      <c r="Q853" t="s">
        <v>192</v>
      </c>
    </row>
    <row r="854" spans="1:17" ht="15.75" x14ac:dyDescent="0.25">
      <c r="A854" s="3" t="str">
        <f>HYPERLINK("https://www.als.com/brooks-m-shoe-hyperion/p?skuId=1327074", "https://www.als.com/brooks-m-shoe-hyperion/p?skuId=1327074")</f>
        <v>https://www.als.com/brooks-m-shoe-hyperion/p?skuId=1327074</v>
      </c>
      <c r="B854" s="3" t="str">
        <f>HYPERLINK("https://www.als.com/brooks-m-shoe-hyperion/p", "https://www.als.com/brooks-m-shoe-hyperion/p")</f>
        <v>https://www.als.com/brooks-m-shoe-hyperion/p</v>
      </c>
      <c r="C854" t="s">
        <v>571</v>
      </c>
      <c r="D854" t="s">
        <v>2830</v>
      </c>
      <c r="E854" s="3" t="str">
        <f>HYPERLINK("https://www.amazon.com/Brooks-Revel-Titan-Peacoat-Flame/dp/B09FTPR1G7/ref=sr_1_13?keywords=Brooks+Hyperion+Running+Shoe+-+Men%27s&amp;qid=1695124104&amp;sr=8-13", "https://www.amazon.com/Brooks-Revel-Titan-Peacoat-Flame/dp/B09FTPR1G7/ref=sr_1_13?keywords=Brooks+Hyperion+Running+Shoe+-+Men%27s&amp;qid=1695124104&amp;sr=8-13")</f>
        <v>https://www.amazon.com/Brooks-Revel-Titan-Peacoat-Flame/dp/B09FTPR1G7/ref=sr_1_13?keywords=Brooks+Hyperion+Running+Shoe+-+Men%27s&amp;qid=1695124104&amp;sr=8-13</v>
      </c>
      <c r="F854" t="s">
        <v>2831</v>
      </c>
      <c r="G854" t="e">
        <f ca="1">IMAGE("https://alssports.vtexassets.com/arquivos/ids/1377944-800-auto?v=638248725248900000&amp;width=800&amp;height=auto&amp;aspect=true")</f>
        <v>#NAME?</v>
      </c>
      <c r="H854" t="e">
        <f ca="1">IMAGE("https://m.media-amazon.com/images/I/81wjHIYQbzL._AC_UL320_.jpg")</f>
        <v>#NAME?</v>
      </c>
      <c r="I854" t="s">
        <v>119</v>
      </c>
      <c r="J854">
        <v>67.180000000000007</v>
      </c>
      <c r="K854" s="2" t="s">
        <v>2832</v>
      </c>
      <c r="L854">
        <v>4.5999999999999996</v>
      </c>
      <c r="M854">
        <v>3466</v>
      </c>
      <c r="O854" t="s">
        <v>33</v>
      </c>
      <c r="P854" t="s">
        <v>26</v>
      </c>
      <c r="Q854" t="s">
        <v>575</v>
      </c>
    </row>
    <row r="855" spans="1:17" ht="15.75" x14ac:dyDescent="0.25">
      <c r="A855" s="3" t="str">
        <f>HYPERLINK("https://www.als.com/pflueg-reel-supreme-xt-spinning/p?skuId=943388", "https://www.als.com/pflueg-reel-supreme-xt-spinning/p?skuId=943388")</f>
        <v>https://www.als.com/pflueg-reel-supreme-xt-spinning/p?skuId=943388</v>
      </c>
      <c r="B855" s="3" t="str">
        <f>HYPERLINK("https://www.als.com/pflueg-reel-supreme-xt-spinning/p", "https://www.als.com/pflueg-reel-supreme-xt-spinning/p")</f>
        <v>https://www.als.com/pflueg-reel-supreme-xt-spinning/p</v>
      </c>
      <c r="C855" t="s">
        <v>1408</v>
      </c>
      <c r="D855" t="s">
        <v>2833</v>
      </c>
      <c r="E855" s="3" t="str">
        <f>HYPERLINK("https://www.amazon.com/Pflueger-PRESXTSP40X-President-Spinning-40/dp/B01IDEP3QU/ref=sr_1_14?keywords=Pflueger+Supreme+XT+Spinning+Reel&amp;qid=1695124336&amp;sr=8-14", "https://www.amazon.com/Pflueger-PRESXTSP40X-President-Spinning-40/dp/B01IDEP3QU/ref=sr_1_14?keywords=Pflueger+Supreme+XT+Spinning+Reel&amp;qid=1695124336&amp;sr=8-14")</f>
        <v>https://www.amazon.com/Pflueger-PRESXTSP40X-President-Spinning-40/dp/B01IDEP3QU/ref=sr_1_14?keywords=Pflueger+Supreme+XT+Spinning+Reel&amp;qid=1695124336&amp;sr=8-14</v>
      </c>
      <c r="F855" t="s">
        <v>2834</v>
      </c>
      <c r="G855" t="e">
        <f ca="1">IMAGE("https://alssports.vtexassets.com/arquivos/ids/1053300-800-auto?v=637867095703370000&amp;width=800&amp;height=auto&amp;aspect=true")</f>
        <v>#NAME?</v>
      </c>
      <c r="H855" t="e">
        <f ca="1">IMAGE("https://m.media-amazon.com/images/I/8133FtTEAPL._AC_UY218_.jpg")</f>
        <v>#NAME?</v>
      </c>
      <c r="I855" t="s">
        <v>562</v>
      </c>
      <c r="J855">
        <v>81.55</v>
      </c>
      <c r="K855" s="2" t="s">
        <v>2835</v>
      </c>
      <c r="L855">
        <v>4.7</v>
      </c>
      <c r="M855">
        <v>1176</v>
      </c>
      <c r="O855" t="s">
        <v>33</v>
      </c>
      <c r="P855" t="s">
        <v>26</v>
      </c>
      <c r="Q855" t="s">
        <v>1412</v>
      </c>
    </row>
    <row r="856" spans="1:17" ht="15.75" x14ac:dyDescent="0.25">
      <c r="A856" s="3" t="str">
        <f>HYPERLINK("https://www.als.com/jetboi-stove-flash/p?skuId=416626", "https://www.als.com/jetboi-stove-flash/p?skuId=416626")</f>
        <v>https://www.als.com/jetboi-stove-flash/p?skuId=416626</v>
      </c>
      <c r="B856" s="3" t="str">
        <f>HYPERLINK("https://www.als.com/jetboi-stove-flash/p", "https://www.als.com/jetboi-stove-flash/p")</f>
        <v>https://www.als.com/jetboi-stove-flash/p</v>
      </c>
      <c r="C856" t="s">
        <v>484</v>
      </c>
      <c r="D856" t="s">
        <v>2836</v>
      </c>
      <c r="E856" s="3" t="str">
        <f>HYPERLINK("https://www.amazon.com/Jetboil-FluxRing-Spare-Cup-Carbon/dp/B01N1ISCMS/ref=sr_1_4?keywords=Jetboil+Flash+Stove+Cooking+System&amp;qid=1695124341&amp;sr=8-4", "https://www.amazon.com/Jetboil-FluxRing-Spare-Cup-Carbon/dp/B01N1ISCMS/ref=sr_1_4?keywords=Jetboil+Flash+Stove+Cooking+System&amp;qid=1695124341&amp;sr=8-4")</f>
        <v>https://www.amazon.com/Jetboil-FluxRing-Spare-Cup-Carbon/dp/B01N1ISCMS/ref=sr_1_4?keywords=Jetboil+Flash+Stove+Cooking+System&amp;qid=1695124341&amp;sr=8-4</v>
      </c>
      <c r="F856" t="s">
        <v>2837</v>
      </c>
      <c r="G856" t="e">
        <f ca="1">IMAGE("https://alssports.vtexassets.com/arquivos/ids/996877-800-auto?v=637790103902500000&amp;width=800&amp;height=auto&amp;aspect=true")</f>
        <v>#NAME?</v>
      </c>
      <c r="H856" t="e">
        <f ca="1">IMAGE("https://m.media-amazon.com/images/I/61YbobyPI7L._AC_UY218_.jpg")</f>
        <v>#NAME?</v>
      </c>
      <c r="I856" t="s">
        <v>487</v>
      </c>
      <c r="J856">
        <v>59.95</v>
      </c>
      <c r="K856" s="2" t="s">
        <v>2835</v>
      </c>
      <c r="L856">
        <v>4.7</v>
      </c>
      <c r="M856">
        <v>103</v>
      </c>
      <c r="O856" t="s">
        <v>33</v>
      </c>
      <c r="P856" t="s">
        <v>26</v>
      </c>
      <c r="Q856" t="s">
        <v>489</v>
      </c>
    </row>
    <row r="857" spans="1:17" ht="15.75" x14ac:dyDescent="0.25">
      <c r="A857" s="3" t="str">
        <f>HYPERLINK("https://www.als.com/chaco-m-sandal-zcloud/p?skuId=932120", "https://www.als.com/chaco-m-sandal-zcloud/p?skuId=932120")</f>
        <v>https://www.als.com/chaco-m-sandal-zcloud/p?skuId=932120</v>
      </c>
      <c r="B857" s="3" t="str">
        <f>HYPERLINK("https://www.als.com/chaco-m-sandal-zcloud/p", "https://www.als.com/chaco-m-sandal-zcloud/p")</f>
        <v>https://www.als.com/chaco-m-sandal-zcloud/p</v>
      </c>
      <c r="C857" t="s">
        <v>694</v>
      </c>
      <c r="D857" t="s">
        <v>2838</v>
      </c>
      <c r="E857" s="3" t="str">
        <f>HYPERLINK("https://www.amazon.com/Chaco-Classic-Bluff-Hunter-13/dp/B07RRZ8TTZ/ref=sr_1_40?keywords=Chaco+Z%2FCloud+Sandal+-+Mens&amp;qid=1695124430&amp;sr=8-40", "https://www.amazon.com/Chaco-Classic-Bluff-Hunter-13/dp/B07RRZ8TTZ/ref=sr_1_40?keywords=Chaco+Z%2FCloud+Sandal+-+Mens&amp;qid=1695124430&amp;sr=8-40")</f>
        <v>https://www.amazon.com/Chaco-Classic-Bluff-Hunter-13/dp/B07RRZ8TTZ/ref=sr_1_40?keywords=Chaco+Z%2FCloud+Sandal+-+Mens&amp;qid=1695124430&amp;sr=8-40</v>
      </c>
      <c r="F857" t="s">
        <v>2839</v>
      </c>
      <c r="G857" t="e">
        <f ca="1">IMAGE("https://alssports.vtexassets.com/arquivos/ids/1082383-800-auto?v=637913737461500000&amp;width=800&amp;height=auto&amp;aspect=true")</f>
        <v>#NAME?</v>
      </c>
      <c r="H857" t="e">
        <f ca="1">IMAGE("https://m.media-amazon.com/images/I/61AWmKhcnpL._AC_UL320_.jpg")</f>
        <v>#NAME?</v>
      </c>
      <c r="I857" t="s">
        <v>269</v>
      </c>
      <c r="J857">
        <v>49.95</v>
      </c>
      <c r="K857" s="2" t="s">
        <v>2840</v>
      </c>
      <c r="L857">
        <v>4.5999999999999996</v>
      </c>
      <c r="M857">
        <v>11</v>
      </c>
      <c r="O857" t="s">
        <v>33</v>
      </c>
      <c r="P857" t="s">
        <v>26</v>
      </c>
      <c r="Q857" t="s">
        <v>697</v>
      </c>
    </row>
    <row r="858" spans="1:17" ht="15.75" x14ac:dyDescent="0.25">
      <c r="A858" s="3" t="str">
        <f>HYPERLINK("https://www.als.com/chaco-m-sandal-zcloud/p?skuId=932120", "https://www.als.com/chaco-m-sandal-zcloud/p?skuId=932120")</f>
        <v>https://www.als.com/chaco-m-sandal-zcloud/p?skuId=932120</v>
      </c>
      <c r="B858" s="3" t="str">
        <f>HYPERLINK("https://www.als.com/chaco-m-sandal-zcloud/p", "https://www.als.com/chaco-m-sandal-zcloud/p")</f>
        <v>https://www.als.com/chaco-m-sandal-zcloud/p</v>
      </c>
      <c r="C858" t="s">
        <v>694</v>
      </c>
      <c r="D858" t="s">
        <v>2841</v>
      </c>
      <c r="E858" s="3" t="str">
        <f>HYPERLINK("https://www.amazon.com/CHACO-Mens-Cloud-Solid-Black/dp/B001AUGAU8/ref=sr_1_5?keywords=Chaco+Z%2FCloud+Sandal+-+Mens&amp;qid=1695124430&amp;sr=8-5", "https://www.amazon.com/CHACO-Mens-Cloud-Solid-Black/dp/B001AUGAU8/ref=sr_1_5?keywords=Chaco+Z%2FCloud+Sandal+-+Mens&amp;qid=1695124430&amp;sr=8-5")</f>
        <v>https://www.amazon.com/CHACO-Mens-Cloud-Solid-Black/dp/B001AUGAU8/ref=sr_1_5?keywords=Chaco+Z%2FCloud+Sandal+-+Mens&amp;qid=1695124430&amp;sr=8-5</v>
      </c>
      <c r="F858" t="s">
        <v>2842</v>
      </c>
      <c r="G858" t="e">
        <f ca="1">IMAGE("https://alssports.vtexassets.com/arquivos/ids/1082383-800-auto?v=637913737461500000&amp;width=800&amp;height=auto&amp;aspect=true")</f>
        <v>#NAME?</v>
      </c>
      <c r="H858" t="e">
        <f ca="1">IMAGE("https://m.media-amazon.com/images/I/71ggGk53uFL._AC_UL320_.jpg")</f>
        <v>#NAME?</v>
      </c>
      <c r="I858" t="s">
        <v>269</v>
      </c>
      <c r="J858">
        <v>49.84</v>
      </c>
      <c r="K858" s="2" t="s">
        <v>2843</v>
      </c>
      <c r="L858">
        <v>4.3</v>
      </c>
      <c r="M858">
        <v>37</v>
      </c>
      <c r="O858" t="s">
        <v>33</v>
      </c>
      <c r="P858" t="s">
        <v>26</v>
      </c>
      <c r="Q858" t="s">
        <v>697</v>
      </c>
    </row>
    <row r="859" spans="1:17" ht="15.75" x14ac:dyDescent="0.25">
      <c r="A859" s="3" t="str">
        <f>HYPERLINK("https://www.als.com/sitka-m-pant-mountain-optifade/p?skuId=90738", "https://www.als.com/sitka-m-pant-mountain-optifade/p?skuId=90738")</f>
        <v>https://www.als.com/sitka-m-pant-mountain-optifade/p?skuId=90738</v>
      </c>
      <c r="B859" s="3" t="str">
        <f>HYPERLINK("https://www.als.com/sitka-m-pant-mountain-optifade/p", "https://www.als.com/sitka-m-pant-mountain-optifade/p")</f>
        <v>https://www.als.com/sitka-m-pant-mountain-optifade/p</v>
      </c>
      <c r="C859" t="s">
        <v>260</v>
      </c>
      <c r="D859" t="s">
        <v>2844</v>
      </c>
      <c r="E859" s="3" t="str">
        <f>HYPERLINK("https://www.amazon.com/SITKA-Mens-Territory-Pant-Regular/dp/B084G49PWL/ref=sr_1_14?keywords=Sitka+Mountain+Pant+-+Mens&amp;qid=1695124392&amp;sr=8-14", "https://www.amazon.com/SITKA-Mens-Territory-Pant-Regular/dp/B084G49PWL/ref=sr_1_14?keywords=Sitka+Mountain+Pant+-+Mens&amp;qid=1695124392&amp;sr=8-14")</f>
        <v>https://www.amazon.com/SITKA-Mens-Territory-Pant-Regular/dp/B084G49PWL/ref=sr_1_14?keywords=Sitka+Mountain+Pant+-+Mens&amp;qid=1695124392&amp;sr=8-14</v>
      </c>
      <c r="F859" t="s">
        <v>2845</v>
      </c>
      <c r="G859" t="e">
        <f ca="1">IMAGE("https://alssports.vtexassets.com/arquivos/ids/1369099-800-auto?v=638242004529500000&amp;width=800&amp;height=auto&amp;aspect=true")</f>
        <v>#NAME?</v>
      </c>
      <c r="H859" t="e">
        <f ca="1">IMAGE("https://m.media-amazon.com/images/I/51NnNJyMsjS._AC_UL320_.jpg")</f>
        <v>#NAME?</v>
      </c>
      <c r="I859" t="s">
        <v>263</v>
      </c>
      <c r="J859">
        <v>99</v>
      </c>
      <c r="K859" s="2" t="s">
        <v>2846</v>
      </c>
      <c r="L859">
        <v>4.7</v>
      </c>
      <c r="M859">
        <v>178</v>
      </c>
      <c r="O859" t="s">
        <v>33</v>
      </c>
      <c r="P859" t="s">
        <v>26</v>
      </c>
      <c r="Q859" t="s">
        <v>264</v>
      </c>
    </row>
    <row r="860" spans="1:17" ht="15.75" x14ac:dyDescent="0.25">
      <c r="A860" s="3" t="str">
        <f>HYPERLINK("https://www.als.com/altra-w-shoe-timp-4/p?skuId=929220", "https://www.als.com/altra-w-shoe-timp-4/p?skuId=929220")</f>
        <v>https://www.als.com/altra-w-shoe-timp-4/p?skuId=929220</v>
      </c>
      <c r="B860" s="3" t="str">
        <f>HYPERLINK("https://www.als.com/altra-w-shoe-timp-4/p", "https://www.als.com/altra-w-shoe-timp-4/p")</f>
        <v>https://www.als.com/altra-w-shoe-timp-4/p</v>
      </c>
      <c r="C860" t="s">
        <v>829</v>
      </c>
      <c r="D860" t="s">
        <v>2847</v>
      </c>
      <c r="E860" s="3" t="str">
        <f>HYPERLINK("https://www.amazon.com/ALTRA-Womens-AL0A5489-Rivera-Running/dp/B09PXNX9XX/ref=sr_1_19?keywords=Altra+Timp+4+Running+Shoe+-+Womens&amp;qid=1695124369&amp;sr=8-19", "https://www.amazon.com/ALTRA-Womens-AL0A5489-Rivera-Running/dp/B09PXNX9XX/ref=sr_1_19?keywords=Altra+Timp+4+Running+Shoe+-+Womens&amp;qid=1695124369&amp;sr=8-19")</f>
        <v>https://www.amazon.com/ALTRA-Womens-AL0A5489-Rivera-Running/dp/B09PXNX9XX/ref=sr_1_19?keywords=Altra+Timp+4+Running+Shoe+-+Womens&amp;qid=1695124369&amp;sr=8-19</v>
      </c>
      <c r="F860" t="s">
        <v>2848</v>
      </c>
      <c r="G860" t="e">
        <f ca="1">IMAGE("https://alssports.vtexassets.com/arquivos/ids/1112796-800-auto?v=637957454637830000&amp;width=800&amp;height=auto&amp;aspect=true")</f>
        <v>#NAME?</v>
      </c>
      <c r="H860" t="e">
        <f ca="1">IMAGE("https://m.media-amazon.com/images/I/71AtzI92qNL._AC_UL320_.jpg")</f>
        <v>#NAME?</v>
      </c>
      <c r="I860" t="s">
        <v>88</v>
      </c>
      <c r="J860">
        <v>75.459999999999994</v>
      </c>
      <c r="K860" s="2" t="s">
        <v>2849</v>
      </c>
      <c r="L860">
        <v>4.3</v>
      </c>
      <c r="M860">
        <v>357</v>
      </c>
      <c r="O860" t="s">
        <v>33</v>
      </c>
      <c r="P860" t="s">
        <v>832</v>
      </c>
      <c r="Q860" t="s">
        <v>833</v>
      </c>
    </row>
    <row r="861" spans="1:17" ht="15.75" x14ac:dyDescent="0.25">
      <c r="A861" s="3" t="str">
        <f>HYPERLINK("https://www.als.com/heydud-m-shoe-wally-braided/p?skuId=599445", "https://www.als.com/heydud-m-shoe-wally-braided/p?skuId=599445")</f>
        <v>https://www.als.com/heydud-m-shoe-wally-braided/p?skuId=599445</v>
      </c>
      <c r="B861" s="3" t="str">
        <f>HYPERLINK("https://www.als.com/heydud-m-shoe-wally-braided/p", "https://www.als.com/heydud-m-shoe-wally-braided/p")</f>
        <v>https://www.als.com/heydud-m-shoe-wally-braided/p</v>
      </c>
      <c r="C861" t="s">
        <v>506</v>
      </c>
      <c r="D861" t="s">
        <v>1462</v>
      </c>
      <c r="E861" s="3" t="str">
        <f>HYPERLINK("https://www.amazon.com/Hey-Dude-Loafers-Comfortable-Light-Weight/dp/B0B9R6DY4X/ref=sr_1_23?keywords=Hey+Dude+Wally+Braided+Shoe+-+Mens&amp;qid=1695124451&amp;sr=8-23", "https://www.amazon.com/Hey-Dude-Loafers-Comfortable-Light-Weight/dp/B0B9R6DY4X/ref=sr_1_23?keywords=Hey+Dude+Wally+Braided+Shoe+-+Mens&amp;qid=1695124451&amp;sr=8-23")</f>
        <v>https://www.amazon.com/Hey-Dude-Loafers-Comfortable-Light-Weight/dp/B0B9R6DY4X/ref=sr_1_23?keywords=Hey+Dude+Wally+Braided+Shoe+-+Mens&amp;qid=1695124451&amp;sr=8-23</v>
      </c>
      <c r="F861" t="s">
        <v>1463</v>
      </c>
      <c r="G861" t="e">
        <f ca="1">IMAGE("https://alssports.vtexassets.com/arquivos/ids/1386107-800-auto?v=638254870959300000&amp;width=800&amp;height=auto&amp;aspect=true")</f>
        <v>#NAME?</v>
      </c>
      <c r="H861" t="e">
        <f ca="1">IMAGE("https://m.media-amazon.com/images/I/51-biZKb3eL._AC_UL320_.jpg")</f>
        <v>#NAME?</v>
      </c>
      <c r="I861" t="s">
        <v>58</v>
      </c>
      <c r="J861">
        <v>30.55</v>
      </c>
      <c r="K861" s="2" t="s">
        <v>2850</v>
      </c>
      <c r="L861">
        <v>4.7</v>
      </c>
      <c r="M861">
        <v>335</v>
      </c>
      <c r="O861" t="s">
        <v>33</v>
      </c>
      <c r="P861" t="s">
        <v>26</v>
      </c>
      <c r="Q861" t="s">
        <v>507</v>
      </c>
    </row>
    <row r="862" spans="1:17" ht="15.75" x14ac:dyDescent="0.25">
      <c r="A862" s="3" t="str">
        <f>HYPERLINK("https://www.als.com/mizuno-w-wave-sky-6/p?skuId=1262559", "https://www.als.com/mizuno-w-wave-sky-6/p?skuId=1262559")</f>
        <v>https://www.als.com/mizuno-w-wave-sky-6/p?skuId=1262559</v>
      </c>
      <c r="B862" s="3" t="str">
        <f>HYPERLINK("https://www.als.com/mizuno-w-wave-sky-6/p", "https://www.als.com/mizuno-w-wave-sky-6/p")</f>
        <v>https://www.als.com/mizuno-w-wave-sky-6/p</v>
      </c>
      <c r="C862" t="s">
        <v>200</v>
      </c>
      <c r="D862" t="s">
        <v>2851</v>
      </c>
      <c r="E862" s="3" t="str">
        <f>HYPERLINK("https://www.amazon.com/Mizuno-Womens-WAVEKNIT-Running-Castlerock/dp/B07XGNPX9P/ref=sr_1_4?keywords=Mizuno+Wave+Sky+6+Running+Shoe+-+Women%27s&amp;qid=1695124449&amp;sr=8-4", "https://www.amazon.com/Mizuno-Womens-WAVEKNIT-Running-Castlerock/dp/B07XGNPX9P/ref=sr_1_4?keywords=Mizuno+Wave+Sky+6+Running+Shoe+-+Women%27s&amp;qid=1695124449&amp;sr=8-4")</f>
        <v>https://www.amazon.com/Mizuno-Womens-WAVEKNIT-Running-Castlerock/dp/B07XGNPX9P/ref=sr_1_4?keywords=Mizuno+Wave+Sky+6+Running+Shoe+-+Women%27s&amp;qid=1695124449&amp;sr=8-4</v>
      </c>
      <c r="F862" t="s">
        <v>2852</v>
      </c>
      <c r="G862" t="e">
        <f ca="1">IMAGE("https://alssports.vtexassets.com/arquivos/ids/1277387-800-auto?v=638152938174200000&amp;width=800&amp;height=auto&amp;aspect=true")</f>
        <v>#NAME?</v>
      </c>
      <c r="H862" t="e">
        <f ca="1">IMAGE("https://m.media-amazon.com/images/I/81e0bW32oiL._AC_UL320_.jpg")</f>
        <v>#NAME?</v>
      </c>
      <c r="I862" t="s">
        <v>164</v>
      </c>
      <c r="J862">
        <v>79.930000000000007</v>
      </c>
      <c r="K862" s="2" t="s">
        <v>2853</v>
      </c>
      <c r="L862">
        <v>4.4000000000000004</v>
      </c>
      <c r="M862">
        <v>372</v>
      </c>
      <c r="O862" t="s">
        <v>33</v>
      </c>
      <c r="P862" t="s">
        <v>191</v>
      </c>
      <c r="Q862" t="s">
        <v>203</v>
      </c>
    </row>
    <row r="863" spans="1:17" ht="15.75" x14ac:dyDescent="0.25">
      <c r="A863" s="3" t="str">
        <f>HYPERLINK("https://www.als.com/conti-tire-grand-prix-5000-s-tr/p?skuId=971397", "https://www.als.com/conti-tire-grand-prix-5000-s-tr/p?skuId=971397")</f>
        <v>https://www.als.com/conti-tire-grand-prix-5000-s-tr/p?skuId=971397</v>
      </c>
      <c r="B863" s="3" t="str">
        <f>HYPERLINK("https://www.als.com/conti-tire-grand-prix-5000-s-tr/p", "https://www.als.com/conti-tire-grand-prix-5000-s-tr/p")</f>
        <v>https://www.als.com/conti-tire-grand-prix-5000-s-tr/p</v>
      </c>
      <c r="C863" t="s">
        <v>718</v>
      </c>
      <c r="D863" t="s">
        <v>2854</v>
      </c>
      <c r="E863" s="3" t="str">
        <f>HYPERLINK("https://www.amazon.com/Continental-Grand-Specialty-Bicycle-Folding/dp/B002BWRPBC/ref=sr_1_56?keywords=Continental+Tires+Continental+Grand+Prix+5000+S+TR+Tire&amp;qid=1695124461&amp;sr=8-56", "https://www.amazon.com/Continental-Grand-Specialty-Bicycle-Folding/dp/B002BWRPBC/ref=sr_1_56?keywords=Continental+Tires+Continental+Grand+Prix+5000+S+TR+Tire&amp;qid=1695124461&amp;sr=8-56")</f>
        <v>https://www.amazon.com/Continental-Grand-Specialty-Bicycle-Folding/dp/B002BWRPBC/ref=sr_1_56?keywords=Continental+Tires+Continental+Grand+Prix+5000+S+TR+Tire&amp;qid=1695124461&amp;sr=8-56</v>
      </c>
      <c r="F863" t="s">
        <v>2855</v>
      </c>
      <c r="G863" t="e">
        <f ca="1">IMAGE("https://alssports.vtexassets.com/arquivos/ids/1235281-800-auto?v=638114086611970000&amp;width=800&amp;height=auto&amp;aspect=true")</f>
        <v>#NAME?</v>
      </c>
      <c r="H863" t="e">
        <f ca="1">IMAGE("https://m.media-amazon.com/images/I/71Svv7YDuYL._AC_UL320_.jpg")</f>
        <v>#NAME?</v>
      </c>
      <c r="I863" t="s">
        <v>32</v>
      </c>
      <c r="J863">
        <v>46.68</v>
      </c>
      <c r="K863" s="2" t="s">
        <v>2856</v>
      </c>
      <c r="L863">
        <v>4.4000000000000004</v>
      </c>
      <c r="M863">
        <v>25</v>
      </c>
      <c r="O863" t="s">
        <v>33</v>
      </c>
      <c r="P863" t="s">
        <v>26</v>
      </c>
      <c r="Q863" t="s">
        <v>722</v>
      </c>
    </row>
    <row r="864" spans="1:17" ht="15.75" x14ac:dyDescent="0.25">
      <c r="A864" s="3" t="str">
        <f>HYPERLINK("https://www.als.com/outgea-w-phoenix-jacket/p?skuId=1254419", "https://www.als.com/outgea-w-phoenix-jacket/p?skuId=1254419")</f>
        <v>https://www.als.com/outgea-w-phoenix-jacket/p?skuId=1254419</v>
      </c>
      <c r="B864" s="3" t="str">
        <f>HYPERLINK("https://www.als.com/outgea-w-phoenix-jacket/p", "https://www.als.com/outgea-w-phoenix-jacket/p")</f>
        <v>https://www.als.com/outgea-w-phoenix-jacket/p</v>
      </c>
      <c r="C864" t="s">
        <v>1860</v>
      </c>
      <c r="D864" t="s">
        <v>2857</v>
      </c>
      <c r="E864" s="3" t="str">
        <f>HYPERLINK("https://www.amazon.com/Boulder-Gear-Waterproof-Insulated-2790R/dp/B09HV6WJ52/ref=sr_1_7?keywords=Boulder+Gear+Phoenix+Insulated+Jacket+-+Women%27s&amp;qid=1695124450&amp;sr=8-7", "https://www.amazon.com/Boulder-Gear-Waterproof-Insulated-2790R/dp/B09HV6WJ52/ref=sr_1_7?keywords=Boulder+Gear+Phoenix+Insulated+Jacket+-+Women%27s&amp;qid=1695124450&amp;sr=8-7")</f>
        <v>https://www.amazon.com/Boulder-Gear-Waterproof-Insulated-2790R/dp/B09HV6WJ52/ref=sr_1_7?keywords=Boulder+Gear+Phoenix+Insulated+Jacket+-+Women%27s&amp;qid=1695124450&amp;sr=8-7</v>
      </c>
      <c r="F864" t="s">
        <v>2858</v>
      </c>
      <c r="G864" t="e">
        <f ca="1">IMAGE("https://alssports.vtexassets.com/arquivos/ids/1264457-800-auto?v=638143239366400000&amp;width=800&amp;height=auto&amp;aspect=true")</f>
        <v>#NAME?</v>
      </c>
      <c r="H864" t="e">
        <f ca="1">IMAGE("https://m.media-amazon.com/images/I/516p21Vr0WL._AC_UL320_.jpg")</f>
        <v>#NAME?</v>
      </c>
      <c r="I864" t="s">
        <v>1863</v>
      </c>
      <c r="J864">
        <v>79.989999999999995</v>
      </c>
      <c r="K864" s="2" t="s">
        <v>2859</v>
      </c>
      <c r="L864">
        <v>5</v>
      </c>
      <c r="M864">
        <v>3</v>
      </c>
      <c r="O864" t="s">
        <v>33</v>
      </c>
      <c r="P864" t="s">
        <v>1865</v>
      </c>
      <c r="Q864" t="s">
        <v>1866</v>
      </c>
    </row>
    <row r="865" spans="1:17" ht="15.75" x14ac:dyDescent="0.25">
      <c r="A865" s="3" t="str">
        <f>HYPERLINK("https://www.als.com/mizuno-w-wave-sky-6/p?skuId=1262559", "https://www.als.com/mizuno-w-wave-sky-6/p?skuId=1262559")</f>
        <v>https://www.als.com/mizuno-w-wave-sky-6/p?skuId=1262559</v>
      </c>
      <c r="B865" s="3" t="str">
        <f>HYPERLINK("https://www.als.com/mizuno-w-wave-sky-6/p", "https://www.als.com/mizuno-w-wave-sky-6/p")</f>
        <v>https://www.als.com/mizuno-w-wave-sky-6/p</v>
      </c>
      <c r="C865" t="s">
        <v>200</v>
      </c>
      <c r="D865" t="s">
        <v>2860</v>
      </c>
      <c r="E865" s="3" t="str">
        <f>HYPERLINK("https://www.amazon.com/Mizuno-Womens-Running-Purple-Potion-White/dp/B07HRJ394C/ref=sr_1_9?keywords=Mizuno+Wave+Sky+6+Running+Shoe+-+Women%27s&amp;qid=1695124449&amp;sr=8-9", "https://www.amazon.com/Mizuno-Womens-Running-Purple-Potion-White/dp/B07HRJ394C/ref=sr_1_9?keywords=Mizuno+Wave+Sky+6+Running+Shoe+-+Women%27s&amp;qid=1695124449&amp;sr=8-9")</f>
        <v>https://www.amazon.com/Mizuno-Womens-Running-Purple-Potion-White/dp/B07HRJ394C/ref=sr_1_9?keywords=Mizuno+Wave+Sky+6+Running+Shoe+-+Women%27s&amp;qid=1695124449&amp;sr=8-9</v>
      </c>
      <c r="F865" t="s">
        <v>2861</v>
      </c>
      <c r="G865" t="e">
        <f ca="1">IMAGE("https://alssports.vtexassets.com/arquivos/ids/1277387-800-auto?v=638152938174200000&amp;width=800&amp;height=auto&amp;aspect=true")</f>
        <v>#NAME?</v>
      </c>
      <c r="H865" t="e">
        <f ca="1">IMAGE("https://m.media-amazon.com/images/I/81mYLJTbpWL._AC_UL320_.jpg")</f>
        <v>#NAME?</v>
      </c>
      <c r="I865" t="s">
        <v>164</v>
      </c>
      <c r="J865">
        <v>77.5</v>
      </c>
      <c r="K865" s="2" t="s">
        <v>2862</v>
      </c>
      <c r="L865">
        <v>4.4000000000000004</v>
      </c>
      <c r="M865">
        <v>515</v>
      </c>
      <c r="O865" t="s">
        <v>33</v>
      </c>
      <c r="P865" t="s">
        <v>191</v>
      </c>
      <c r="Q865" t="s">
        <v>203</v>
      </c>
    </row>
    <row r="866" spans="1:17" ht="15.75" x14ac:dyDescent="0.25">
      <c r="A866" s="3" t="str">
        <f>HYPERLINK("https://www.als.com/solstc-kayak-flare-2-inflatable/p", "https://www.als.com/solstc-kayak-flare-2-inflatable/p")</f>
        <v>https://www.als.com/solstc-kayak-flare-2-inflatable/p</v>
      </c>
      <c r="B866" s="3" t="str">
        <f>HYPERLINK("https://www.als.com/solstc-kayak-flare-2-inflatable/p", "https://www.als.com/solstc-kayak-flare-2-inflatable/p")</f>
        <v>https://www.als.com/solstc-kayak-flare-2-inflatable/p</v>
      </c>
      <c r="C866" t="s">
        <v>2156</v>
      </c>
      <c r="D866" t="s">
        <v>2863</v>
      </c>
      <c r="E866" s="3" t="str">
        <f>HYPERLINK("https://www.amazon.com/Freein-Emergency-1-2-Person-Inflatable-Aluminum/dp/B08596579Q/ref=sr_1_9?keywords=Solstice+Flare+1-2+Person+Inflatable+Kayak&amp;qid=1695124327&amp;sr=8-9", "https://www.amazon.com/Freein-Emergency-1-2-Person-Inflatable-Aluminum/dp/B08596579Q/ref=sr_1_9?keywords=Solstice+Flare+1-2+Person+Inflatable+Kayak&amp;qid=1695124327&amp;sr=8-9")</f>
        <v>https://www.amazon.com/Freein-Emergency-1-2-Person-Inflatable-Aluminum/dp/B08596579Q/ref=sr_1_9?keywords=Solstice+Flare+1-2+Person+Inflatable+Kayak&amp;qid=1695124327&amp;sr=8-9</v>
      </c>
      <c r="F866" t="s">
        <v>2864</v>
      </c>
      <c r="G866" t="e">
        <f ca="1">IMAGE("https://alssports.vtexassets.com/arquivos/ids/1412193-800-auto?v=638271061065300000&amp;width=800&amp;height=auto&amp;aspect=true")</f>
        <v>#NAME?</v>
      </c>
      <c r="H866" t="e">
        <f ca="1">IMAGE("https://m.media-amazon.com/images/I/61hqsuwmKJL._AC_UY218_.jpg")</f>
        <v>#NAME?</v>
      </c>
      <c r="I866" t="s">
        <v>2159</v>
      </c>
      <c r="J866">
        <v>299.99</v>
      </c>
      <c r="K866" s="2" t="s">
        <v>2865</v>
      </c>
      <c r="L866">
        <v>3.6</v>
      </c>
      <c r="M866">
        <v>15</v>
      </c>
      <c r="O866" t="s">
        <v>33</v>
      </c>
      <c r="P866" t="s">
        <v>26</v>
      </c>
      <c r="Q866" t="s">
        <v>2161</v>
      </c>
    </row>
    <row r="867" spans="1:17" ht="15.75" x14ac:dyDescent="0.25">
      <c r="A867" s="3" t="str">
        <f>HYPERLINK("https://www.als.com/pflueg-reel-supreme-xt-spinning/p?skuId=943388", "https://www.als.com/pflueg-reel-supreme-xt-spinning/p?skuId=943388")</f>
        <v>https://www.als.com/pflueg-reel-supreme-xt-spinning/p?skuId=943388</v>
      </c>
      <c r="B867" s="3" t="str">
        <f>HYPERLINK("https://www.als.com/pflueg-reel-supreme-xt-spinning/p", "https://www.als.com/pflueg-reel-supreme-xt-spinning/p")</f>
        <v>https://www.als.com/pflueg-reel-supreme-xt-spinning/p</v>
      </c>
      <c r="C867" t="s">
        <v>1408</v>
      </c>
      <c r="D867" t="s">
        <v>2866</v>
      </c>
      <c r="E867" s="3" t="str">
        <f>HYPERLINK("https://www.amazon.com/PFLUEGER-President-Spinning-Reel-30X/dp/B07636WDVD/ref=sr_1_9?keywords=Pflueger+Supreme+XT+Spinning+Reel&amp;qid=1695124336&amp;sr=8-9", "https://www.amazon.com/PFLUEGER-President-Spinning-Reel-30X/dp/B07636WDVD/ref=sr_1_9?keywords=Pflueger+Supreme+XT+Spinning+Reel&amp;qid=1695124336&amp;sr=8-9")</f>
        <v>https://www.amazon.com/PFLUEGER-President-Spinning-Reel-30X/dp/B07636WDVD/ref=sr_1_9?keywords=Pflueger+Supreme+XT+Spinning+Reel&amp;qid=1695124336&amp;sr=8-9</v>
      </c>
      <c r="F867" t="s">
        <v>2867</v>
      </c>
      <c r="G867" t="e">
        <f ca="1">IMAGE("https://alssports.vtexassets.com/arquivos/ids/1053300-800-auto?v=637867095703370000&amp;width=800&amp;height=auto&amp;aspect=true")</f>
        <v>#NAME?</v>
      </c>
      <c r="H867" t="e">
        <f ca="1">IMAGE("https://m.media-amazon.com/images/I/71MlO7ytPoL._AC_UY218_.jpg")</f>
        <v>#NAME?</v>
      </c>
      <c r="I867" t="s">
        <v>562</v>
      </c>
      <c r="J867">
        <v>76.98</v>
      </c>
      <c r="K867" s="2" t="s">
        <v>2865</v>
      </c>
      <c r="L867">
        <v>4.5</v>
      </c>
      <c r="M867">
        <v>106</v>
      </c>
      <c r="O867" t="s">
        <v>33</v>
      </c>
      <c r="P867" t="s">
        <v>26</v>
      </c>
      <c r="Q867" t="s">
        <v>1412</v>
      </c>
    </row>
    <row r="868" spans="1:17" ht="15.75" x14ac:dyDescent="0.25">
      <c r="A868" s="3" t="str">
        <f>HYPERLINK("https://www.als.com/lifest-personal-water-filter-peak/p?skuId=929387", "https://www.als.com/lifest-personal-water-filter-peak/p?skuId=929387")</f>
        <v>https://www.als.com/lifest-personal-water-filter-peak/p?skuId=929387</v>
      </c>
      <c r="B868" s="3" t="str">
        <f>HYPERLINK("https://www.als.com/lifest-personal-water-filter-peak/p", "https://www.als.com/lifest-personal-water-filter-peak/p")</f>
        <v>https://www.als.com/lifest-personal-water-filter-peak/p</v>
      </c>
      <c r="C868" t="s">
        <v>2868</v>
      </c>
      <c r="D868" t="s">
        <v>2869</v>
      </c>
      <c r="E868" s="3" t="str">
        <f>HYPERLINK("https://www.amazon.com/Personal-Reusable-Backpacking-Replacement-Purifier/dp/B07CPGYKNJ/ref=sr_1_36?keywords=Lifestyles+USA+Personal+Water+Filter+Straw&amp;qid=1695124489&amp;sr=8-36", "https://www.amazon.com/Personal-Reusable-Backpacking-Replacement-Purifier/dp/B07CPGYKNJ/ref=sr_1_36?keywords=Lifestyles+USA+Personal+Water+Filter+Straw&amp;qid=1695124489&amp;sr=8-36")</f>
        <v>https://www.amazon.com/Personal-Reusable-Backpacking-Replacement-Purifier/dp/B07CPGYKNJ/ref=sr_1_36?keywords=Lifestyles+USA+Personal+Water+Filter+Straw&amp;qid=1695124489&amp;sr=8-36</v>
      </c>
      <c r="F868" t="s">
        <v>2870</v>
      </c>
      <c r="G868" t="e">
        <f ca="1">IMAGE("https://alssports.vtexassets.com/arquivos/ids/1037309-800-auto?v=637841867637370000&amp;width=800&amp;height=auto&amp;aspect=true")</f>
        <v>#NAME?</v>
      </c>
      <c r="H868" t="e">
        <f ca="1">IMAGE("https://m.media-amazon.com/images/I/51XvWAlLgvL._AC_UL320_.jpg")</f>
        <v>#NAME?</v>
      </c>
      <c r="I868" t="s">
        <v>810</v>
      </c>
      <c r="J868">
        <v>8.99</v>
      </c>
      <c r="K868" s="2" t="s">
        <v>2871</v>
      </c>
      <c r="L868">
        <v>3.8</v>
      </c>
      <c r="M868">
        <v>193</v>
      </c>
      <c r="O868" t="s">
        <v>33</v>
      </c>
      <c r="P868" t="s">
        <v>26</v>
      </c>
      <c r="Q868" t="s">
        <v>2872</v>
      </c>
    </row>
    <row r="869" spans="1:17" ht="15.75" x14ac:dyDescent="0.25">
      <c r="A869" s="3" t="str">
        <f>HYPERLINK("https://www.als.com/mizuno-w-wave-sky-6/p?skuId=1262559", "https://www.als.com/mizuno-w-wave-sky-6/p?skuId=1262559")</f>
        <v>https://www.als.com/mizuno-w-wave-sky-6/p?skuId=1262559</v>
      </c>
      <c r="B869" s="3" t="str">
        <f>HYPERLINK("https://www.als.com/mizuno-w-wave-sky-6/p", "https://www.als.com/mizuno-w-wave-sky-6/p")</f>
        <v>https://www.als.com/mizuno-w-wave-sky-6/p</v>
      </c>
      <c r="C869" t="s">
        <v>200</v>
      </c>
      <c r="D869" t="s">
        <v>2873</v>
      </c>
      <c r="E869" s="3" t="str">
        <f>HYPERLINK("https://www.amazon.com/Mizuno-Inspire-WAVEKNIT-Running-Medieval/dp/B07QVRTN8D/ref=sr_1_22?keywords=Mizuno+Wave+Sky+6+Running+Shoe+-+Women%27s&amp;qid=1695124449&amp;sr=8-22", "https://www.amazon.com/Mizuno-Inspire-WAVEKNIT-Running-Medieval/dp/B07QVRTN8D/ref=sr_1_22?keywords=Mizuno+Wave+Sky+6+Running+Shoe+-+Women%27s&amp;qid=1695124449&amp;sr=8-22")</f>
        <v>https://www.amazon.com/Mizuno-Inspire-WAVEKNIT-Running-Medieval/dp/B07QVRTN8D/ref=sr_1_22?keywords=Mizuno+Wave+Sky+6+Running+Shoe+-+Women%27s&amp;qid=1695124449&amp;sr=8-22</v>
      </c>
      <c r="F869" t="s">
        <v>2874</v>
      </c>
      <c r="G869" t="e">
        <f ca="1">IMAGE("https://alssports.vtexassets.com/arquivos/ids/1277387-800-auto?v=638152938174200000&amp;width=800&amp;height=auto&amp;aspect=true")</f>
        <v>#NAME?</v>
      </c>
      <c r="H869" t="e">
        <f ca="1">IMAGE("https://m.media-amazon.com/images/I/81lUlF4UVXL._AC_UL320_.jpg")</f>
        <v>#NAME?</v>
      </c>
      <c r="I869" t="s">
        <v>164</v>
      </c>
      <c r="J869">
        <v>75.91</v>
      </c>
      <c r="K869" s="2" t="s">
        <v>2875</v>
      </c>
      <c r="L869">
        <v>4.4000000000000004</v>
      </c>
      <c r="M869">
        <v>772</v>
      </c>
      <c r="O869" t="s">
        <v>33</v>
      </c>
      <c r="P869" t="s">
        <v>191</v>
      </c>
      <c r="Q869" t="s">
        <v>203</v>
      </c>
    </row>
    <row r="870" spans="1:17" ht="15.75" x14ac:dyDescent="0.25">
      <c r="A870" s="3" t="str">
        <f>HYPERLINK("https://www.als.com/asics-ws-shoe-gel-nimbus-24/p?skuId=1037727", "https://www.als.com/asics-ws-shoe-gel-nimbus-24/p?skuId=1037727")</f>
        <v>https://www.als.com/asics-ws-shoe-gel-nimbus-24/p?skuId=1037727</v>
      </c>
      <c r="B870" s="3" t="str">
        <f>HYPERLINK("https://www.als.com/asics-ws-shoe-gel-nimbus-24/p", "https://www.als.com/asics-ws-shoe-gel-nimbus-24/p")</f>
        <v>https://www.als.com/asics-ws-shoe-gel-nimbus-24/p</v>
      </c>
      <c r="C870" t="s">
        <v>1217</v>
      </c>
      <c r="D870" t="s">
        <v>2212</v>
      </c>
      <c r="E870" s="3" t="str">
        <f>HYPERLINK("https://www.amazon.com/ASICS-Gel-Contend-Running-Graphite-Digital/dp/B08PKHYY3Q/ref=sr_1_23?keywords=Asics+GEL-NIMBUS+24+Running+Shoe+-+Womens&amp;qid=1695124093&amp;sr=8-23", "https://www.amazon.com/ASICS-Gel-Contend-Running-Graphite-Digital/dp/B08PKHYY3Q/ref=sr_1_23?keywords=Asics+GEL-NIMBUS+24+Running+Shoe+-+Womens&amp;qid=1695124093&amp;sr=8-23")</f>
        <v>https://www.amazon.com/ASICS-Gel-Contend-Running-Graphite-Digital/dp/B08PKHYY3Q/ref=sr_1_23?keywords=Asics+GEL-NIMBUS+24+Running+Shoe+-+Womens&amp;qid=1695124093&amp;sr=8-23</v>
      </c>
      <c r="F870" t="s">
        <v>2876</v>
      </c>
      <c r="G870" t="e">
        <f ca="1">IMAGE("https://alssports.vtexassets.com/arquivos/ids/1109551-800-auto?v=637950821539330000&amp;width=800&amp;height=auto&amp;aspect=true")</f>
        <v>#NAME?</v>
      </c>
      <c r="H870" t="e">
        <f ca="1">IMAGE("https://m.media-amazon.com/images/I/61NMT5vbVYL._AC_UL320_.jpg")</f>
        <v>#NAME?</v>
      </c>
      <c r="I870" t="s">
        <v>1220</v>
      </c>
      <c r="J870">
        <v>49.95</v>
      </c>
      <c r="K870" s="2" t="s">
        <v>2877</v>
      </c>
      <c r="L870">
        <v>4.4000000000000004</v>
      </c>
      <c r="M870">
        <v>16653</v>
      </c>
      <c r="O870" t="s">
        <v>33</v>
      </c>
      <c r="P870" t="s">
        <v>88</v>
      </c>
      <c r="Q870" t="s">
        <v>1222</v>
      </c>
    </row>
    <row r="871" spans="1:17" ht="15.75" x14ac:dyDescent="0.25">
      <c r="A871" s="3" t="str">
        <f>HYPERLINK("https://www.als.com/asics-ws-shoe-gel-nimbus-24/p?skuId=1037727", "https://www.als.com/asics-ws-shoe-gel-nimbus-24/p?skuId=1037727")</f>
        <v>https://www.als.com/asics-ws-shoe-gel-nimbus-24/p?skuId=1037727</v>
      </c>
      <c r="B871" s="3" t="str">
        <f>HYPERLINK("https://www.als.com/asics-ws-shoe-gel-nimbus-24/p", "https://www.als.com/asics-ws-shoe-gel-nimbus-24/p")</f>
        <v>https://www.als.com/asics-ws-shoe-gel-nimbus-24/p</v>
      </c>
      <c r="C871" t="s">
        <v>1217</v>
      </c>
      <c r="D871" t="s">
        <v>2878</v>
      </c>
      <c r="E871" s="3" t="str">
        <f>HYPERLINK("https://www.amazon.com/ASICS-Gel-Nimbus-Womens-Running-Skylight/dp/B07DM2V569/ref=sr_1_11?keywords=Asics+GEL-NIMBUS+24+Running+Shoe+-+Womens&amp;qid=1695124093&amp;sr=8-11", "https://www.amazon.com/ASICS-Gel-Nimbus-Womens-Running-Skylight/dp/B07DM2V569/ref=sr_1_11?keywords=Asics+GEL-NIMBUS+24+Running+Shoe+-+Womens&amp;qid=1695124093&amp;sr=8-11")</f>
        <v>https://www.amazon.com/ASICS-Gel-Nimbus-Womens-Running-Skylight/dp/B07DM2V569/ref=sr_1_11?keywords=Asics+GEL-NIMBUS+24+Running+Shoe+-+Womens&amp;qid=1695124093&amp;sr=8-11</v>
      </c>
      <c r="F871" t="s">
        <v>2879</v>
      </c>
      <c r="G871" t="e">
        <f ca="1">IMAGE("https://alssports.vtexassets.com/arquivos/ids/1109551-800-auto?v=637950821539330000&amp;width=800&amp;height=auto&amp;aspect=true")</f>
        <v>#NAME?</v>
      </c>
      <c r="H871" t="e">
        <f ca="1">IMAGE("https://m.media-amazon.com/images/I/61f+dWmVRGL._AC_UL320_.jpg")</f>
        <v>#NAME?</v>
      </c>
      <c r="I871" t="s">
        <v>1220</v>
      </c>
      <c r="J871">
        <v>49.95</v>
      </c>
      <c r="K871" s="2" t="s">
        <v>2877</v>
      </c>
      <c r="L871">
        <v>4.0999999999999996</v>
      </c>
      <c r="M871">
        <v>34</v>
      </c>
      <c r="O871" t="s">
        <v>33</v>
      </c>
      <c r="P871" t="s">
        <v>88</v>
      </c>
      <c r="Q871" t="s">
        <v>1222</v>
      </c>
    </row>
    <row r="872" spans="1:17" ht="15.75" x14ac:dyDescent="0.25">
      <c r="A872" s="3" t="str">
        <f>HYPERLINK("https://www.als.com/bearar-bow-alaskan/p?skuId=969734", "https://www.als.com/bearar-bow-alaskan/p?skuId=969734")</f>
        <v>https://www.als.com/bearar-bow-alaskan/p?skuId=969734</v>
      </c>
      <c r="B872" s="3" t="str">
        <f>HYPERLINK("https://www.als.com/bearar-bow-alaskan/p", "https://www.als.com/bearar-bow-alaskan/p")</f>
        <v>https://www.als.com/bearar-bow-alaskan/p</v>
      </c>
      <c r="C872" t="s">
        <v>657</v>
      </c>
      <c r="D872" t="s">
        <v>2880</v>
      </c>
      <c r="E872" s="3" t="str">
        <f>HYPERLINK("https://www.amazon.com/Bear-Archery-Limitless-Dual-Compound/dp/B07KX49J43/ref=sr_1_13?keywords=Bear+Archery+Alaskan+Compound+Bow&amp;qid=1695124371&amp;sr=8-13", "https://www.amazon.com/Bear-Archery-Limitless-Dual-Compound/dp/B07KX49J43/ref=sr_1_13?keywords=Bear+Archery+Alaskan+Compound+Bow&amp;qid=1695124371&amp;sr=8-13")</f>
        <v>https://www.amazon.com/Bear-Archery-Limitless-Dual-Compound/dp/B07KX49J43/ref=sr_1_13?keywords=Bear+Archery+Alaskan+Compound+Bow&amp;qid=1695124371&amp;sr=8-13</v>
      </c>
      <c r="F872" t="s">
        <v>2881</v>
      </c>
      <c r="G872" t="e">
        <f ca="1">IMAGE("https://alssports.vtexassets.com/arquivos/ids/976192-800-auto?v=637754664177730000&amp;width=800&amp;height=auto&amp;aspect=true")</f>
        <v>#NAME?</v>
      </c>
      <c r="H872" t="e">
        <f ca="1">IMAGE("https://m.media-amazon.com/images/I/71cZk08rgNL._AC_UL320_.jpg")</f>
        <v>#NAME?</v>
      </c>
      <c r="I872" t="s">
        <v>660</v>
      </c>
      <c r="J872">
        <v>198.89</v>
      </c>
      <c r="K872" s="2" t="s">
        <v>2882</v>
      </c>
      <c r="L872">
        <v>4.5999999999999996</v>
      </c>
      <c r="M872">
        <v>196</v>
      </c>
      <c r="O872" t="s">
        <v>33</v>
      </c>
      <c r="P872" t="s">
        <v>661</v>
      </c>
      <c r="Q872" t="s">
        <v>662</v>
      </c>
    </row>
    <row r="873" spans="1:17" ht="15.75" x14ac:dyDescent="0.25">
      <c r="A873" s="3" t="str">
        <f>HYPERLINK("https://www.als.com/under-m-charged-verssert-run-shoe/p?skuId=1204906", "https://www.als.com/under-m-charged-verssert-run-shoe/p?skuId=1204906")</f>
        <v>https://www.als.com/under-m-charged-verssert-run-shoe/p?skuId=1204906</v>
      </c>
      <c r="B873" s="3" t="str">
        <f>HYPERLINK("https://www.als.com/under-m-charged-verssert-run-shoe/p", "https://www.als.com/under-m-charged-verssert-run-shoe/p")</f>
        <v>https://www.als.com/under-m-charged-verssert-run-shoe/p</v>
      </c>
      <c r="C873" t="s">
        <v>60</v>
      </c>
      <c r="D873" t="s">
        <v>2883</v>
      </c>
      <c r="E873" s="3" t="str">
        <f>HYPERLINK("https://www.amazon.com/Under-Armour-Charged-Bandit-Running/dp/B08MVCKHDR/ref=sr_1_10?keywords=Under+Armour+Charged+Verssert+Running+Shoe+-+Mens&amp;qid=1695124491&amp;sr=8-10", "https://www.amazon.com/Under-Armour-Charged-Bandit-Running/dp/B08MVCKHDR/ref=sr_1_10?keywords=Under+Armour+Charged+Verssert+Running+Shoe+-+Mens&amp;qid=1695124491&amp;sr=8-10")</f>
        <v>https://www.amazon.com/Under-Armour-Charged-Bandit-Running/dp/B08MVCKHDR/ref=sr_1_10?keywords=Under+Armour+Charged+Verssert+Running+Shoe+-+Mens&amp;qid=1695124491&amp;sr=8-10</v>
      </c>
      <c r="F873" t="s">
        <v>2884</v>
      </c>
      <c r="G873" t="e">
        <f ca="1">IMAGE("https://alssports.vtexassets.com/arquivos/ids/1282426-800-auto?v=638158001411130000&amp;width=800&amp;height=auto&amp;aspect=true")</f>
        <v>#NAME?</v>
      </c>
      <c r="H873" t="e">
        <f ca="1">IMAGE("https://m.media-amazon.com/images/I/81caaVmQdXL._AC_UL320_.jpg")</f>
        <v>#NAME?</v>
      </c>
      <c r="I873" t="s">
        <v>63</v>
      </c>
      <c r="J873">
        <v>32.630000000000003</v>
      </c>
      <c r="K873" s="2" t="s">
        <v>2885</v>
      </c>
      <c r="L873">
        <v>4.5</v>
      </c>
      <c r="M873">
        <v>1847</v>
      </c>
      <c r="O873" t="s">
        <v>33</v>
      </c>
      <c r="P873" t="s">
        <v>26</v>
      </c>
      <c r="Q873" t="s">
        <v>64</v>
      </c>
    </row>
    <row r="874" spans="1:17" ht="15.75" x14ac:dyDescent="0.25">
      <c r="A874" s="3" t="str">
        <f>HYPERLINK("https://www.als.com/seasum-dry-bag-ultra-sil/p?skuId=1284260", "https://www.als.com/seasum-dry-bag-ultra-sil/p?skuId=1284260")</f>
        <v>https://www.als.com/seasum-dry-bag-ultra-sil/p?skuId=1284260</v>
      </c>
      <c r="B874" s="3" t="str">
        <f>HYPERLINK("https://www.als.com/seasum-dry-bag-ultra-sil/p", "https://www.als.com/seasum-dry-bag-ultra-sil/p")</f>
        <v>https://www.als.com/seasum-dry-bag-ultra-sil/p</v>
      </c>
      <c r="C874" t="s">
        <v>1515</v>
      </c>
      <c r="D874" t="s">
        <v>2664</v>
      </c>
      <c r="E874" s="3" t="str">
        <f>HYPERLINK("https://www.amazon.com/Sea-Summit-View-Pacific-Liter/dp/B07NF3TTT8/ref=sr_1_19?keywords=Sea+to+Summit+Ultra-Sil+Dry+Bag&amp;qid=1695124478&amp;sr=8-19", "https://www.amazon.com/Sea-Summit-View-Pacific-Liter/dp/B07NF3TTT8/ref=sr_1_19?keywords=Sea+to+Summit+Ultra-Sil+Dry+Bag&amp;qid=1695124478&amp;sr=8-19")</f>
        <v>https://www.amazon.com/Sea-Summit-View-Pacific-Liter/dp/B07NF3TTT8/ref=sr_1_19?keywords=Sea+to+Summit+Ultra-Sil+Dry+Bag&amp;qid=1695124478&amp;sr=8-19</v>
      </c>
      <c r="F874" t="s">
        <v>2886</v>
      </c>
      <c r="G874" t="e">
        <f ca="1">IMAGE("https://alssports.vtexassets.com/arquivos/ids/1257254-800-auto?v=638134633277170000&amp;width=800&amp;height=auto&amp;aspect=true")</f>
        <v>#NAME?</v>
      </c>
      <c r="H874" t="e">
        <f ca="1">IMAGE("https://m.media-amazon.com/images/I/71gP0OtBloL._AC_UL320_.jpg")</f>
        <v>#NAME?</v>
      </c>
      <c r="I874" t="s">
        <v>140</v>
      </c>
      <c r="J874">
        <v>17.21</v>
      </c>
      <c r="K874" s="2" t="s">
        <v>2887</v>
      </c>
      <c r="L874">
        <v>4.5</v>
      </c>
      <c r="M874">
        <v>241</v>
      </c>
      <c r="O874" t="s">
        <v>26</v>
      </c>
      <c r="P874" t="s">
        <v>26</v>
      </c>
      <c r="Q874" t="s">
        <v>1519</v>
      </c>
    </row>
    <row r="875" spans="1:17" ht="15.75" x14ac:dyDescent="0.25">
      <c r="A875" s="3" t="str">
        <f>HYPERLINK("https://www.als.com/altra-w-shoe-timp-4/p?skuId=929220", "https://www.als.com/altra-w-shoe-timp-4/p?skuId=929220")</f>
        <v>https://www.als.com/altra-w-shoe-timp-4/p?skuId=929220</v>
      </c>
      <c r="B875" s="3" t="str">
        <f>HYPERLINK("https://www.als.com/altra-w-shoe-timp-4/p", "https://www.als.com/altra-w-shoe-timp-4/p")</f>
        <v>https://www.als.com/altra-w-shoe-timp-4/p</v>
      </c>
      <c r="C875" t="s">
        <v>829</v>
      </c>
      <c r="D875" t="s">
        <v>2888</v>
      </c>
      <c r="E875" s="3" t="str">
        <f>HYPERLINK("https://www.amazon.com/Altra-Womens-Superior-Running-Charcoal/dp/B01HNJSWOG/ref=sr_1_35?keywords=Altra+Timp+4+Running+Shoe+-+Womens&amp;qid=1695124369&amp;sr=8-35", "https://www.amazon.com/Altra-Womens-Superior-Running-Charcoal/dp/B01HNJSWOG/ref=sr_1_35?keywords=Altra+Timp+4+Running+Shoe+-+Womens&amp;qid=1695124369&amp;sr=8-35")</f>
        <v>https://www.amazon.com/Altra-Womens-Superior-Running-Charcoal/dp/B01HNJSWOG/ref=sr_1_35?keywords=Altra+Timp+4+Running+Shoe+-+Womens&amp;qid=1695124369&amp;sr=8-35</v>
      </c>
      <c r="F875" t="s">
        <v>2889</v>
      </c>
      <c r="G875" t="e">
        <f ca="1">IMAGE("https://alssports.vtexassets.com/arquivos/ids/1112796-800-auto?v=637957454637830000&amp;width=800&amp;height=auto&amp;aspect=true")</f>
        <v>#NAME?</v>
      </c>
      <c r="H875" t="e">
        <f ca="1">IMAGE("https://m.media-amazon.com/images/I/81ONt2oenuL._AC_UL320_.jpg")</f>
        <v>#NAME?</v>
      </c>
      <c r="I875" t="s">
        <v>88</v>
      </c>
      <c r="J875">
        <v>68.900000000000006</v>
      </c>
      <c r="K875" s="2" t="s">
        <v>2887</v>
      </c>
      <c r="L875">
        <v>4.2</v>
      </c>
      <c r="M875">
        <v>237</v>
      </c>
      <c r="O875" t="s">
        <v>33</v>
      </c>
      <c r="P875" t="s">
        <v>832</v>
      </c>
      <c r="Q875" t="s">
        <v>833</v>
      </c>
    </row>
    <row r="876" spans="1:17" ht="15.75" x14ac:dyDescent="0.25">
      <c r="A876" s="3" t="str">
        <f>HYPERLINK("https://www.als.com/altra-w-shoe-timp-4/p?skuId=929220", "https://www.als.com/altra-w-shoe-timp-4/p?skuId=929220")</f>
        <v>https://www.als.com/altra-w-shoe-timp-4/p?skuId=929220</v>
      </c>
      <c r="B876" s="3" t="str">
        <f>HYPERLINK("https://www.als.com/altra-w-shoe-timp-4/p", "https://www.als.com/altra-w-shoe-timp-4/p")</f>
        <v>https://www.als.com/altra-w-shoe-timp-4/p</v>
      </c>
      <c r="C876" t="s">
        <v>829</v>
      </c>
      <c r="D876" t="s">
        <v>1029</v>
      </c>
      <c r="E876" s="3" t="str">
        <f>HYPERLINK("https://www.amazon.com/Altra-Womens-Torin-Running-Shoe/dp/B01N6JCL5D/ref=sr_1_36?keywords=Altra+Timp+4+Running+Shoe+-+Womens&amp;qid=1695124369&amp;sr=8-36", "https://www.amazon.com/Altra-Womens-Torin-Running-Shoe/dp/B01N6JCL5D/ref=sr_1_36?keywords=Altra+Timp+4+Running+Shoe+-+Womens&amp;qid=1695124369&amp;sr=8-36")</f>
        <v>https://www.amazon.com/Altra-Womens-Torin-Running-Shoe/dp/B01N6JCL5D/ref=sr_1_36?keywords=Altra+Timp+4+Running+Shoe+-+Womens&amp;qid=1695124369&amp;sr=8-36</v>
      </c>
      <c r="F876" t="s">
        <v>1030</v>
      </c>
      <c r="G876" t="e">
        <f ca="1">IMAGE("https://alssports.vtexassets.com/arquivos/ids/1112796-800-auto?v=637957454637830000&amp;width=800&amp;height=auto&amp;aspect=true")</f>
        <v>#NAME?</v>
      </c>
      <c r="H876" t="e">
        <f ca="1">IMAGE("https://m.media-amazon.com/images/I/91eHZc52a3L._AC_UL320_.jpg")</f>
        <v>#NAME?</v>
      </c>
      <c r="I876" t="s">
        <v>88</v>
      </c>
      <c r="J876">
        <v>68.900000000000006</v>
      </c>
      <c r="K876" s="2" t="s">
        <v>2887</v>
      </c>
      <c r="L876">
        <v>4.3</v>
      </c>
      <c r="M876">
        <v>350</v>
      </c>
      <c r="O876" t="s">
        <v>33</v>
      </c>
      <c r="P876" t="s">
        <v>832</v>
      </c>
      <c r="Q876" t="s">
        <v>833</v>
      </c>
    </row>
    <row r="877" spans="1:17" ht="15.75" x14ac:dyDescent="0.25">
      <c r="A877" s="3" t="str">
        <f>HYPERLINK("https://www.als.com/altra-w-shoe-timp-4/p?skuId=929220", "https://www.als.com/altra-w-shoe-timp-4/p?skuId=929220")</f>
        <v>https://www.als.com/altra-w-shoe-timp-4/p?skuId=929220</v>
      </c>
      <c r="B877" s="3" t="str">
        <f>HYPERLINK("https://www.als.com/altra-w-shoe-timp-4/p", "https://www.als.com/altra-w-shoe-timp-4/p")</f>
        <v>https://www.als.com/altra-w-shoe-timp-4/p</v>
      </c>
      <c r="C877" t="s">
        <v>829</v>
      </c>
      <c r="D877" t="s">
        <v>2890</v>
      </c>
      <c r="E877" s="3" t="str">
        <f>HYPERLINK("https://www.amazon.com/Altra-Olympus-Womens-Trail-Running/dp/B01MT1K34Q/ref=sr_1_3?keywords=Altra+Timp+4+Running+Shoe+-+Womens&amp;qid=1695124369&amp;sr=8-3", "https://www.amazon.com/Altra-Olympus-Womens-Trail-Running/dp/B01MT1K34Q/ref=sr_1_3?keywords=Altra+Timp+4+Running+Shoe+-+Womens&amp;qid=1695124369&amp;sr=8-3")</f>
        <v>https://www.amazon.com/Altra-Olympus-Womens-Trail-Running/dp/B01MT1K34Q/ref=sr_1_3?keywords=Altra+Timp+4+Running+Shoe+-+Womens&amp;qid=1695124369&amp;sr=8-3</v>
      </c>
      <c r="F877" t="s">
        <v>2891</v>
      </c>
      <c r="G877" t="e">
        <f ca="1">IMAGE("https://alssports.vtexassets.com/arquivos/ids/1112796-800-auto?v=637957454637830000&amp;width=800&amp;height=auto&amp;aspect=true")</f>
        <v>#NAME?</v>
      </c>
      <c r="H877" t="e">
        <f ca="1">IMAGE("https://m.media-amazon.com/images/I/91g8EH6T8UL._AC_UL320_.jpg")</f>
        <v>#NAME?</v>
      </c>
      <c r="I877" t="s">
        <v>88</v>
      </c>
      <c r="J877">
        <v>68.900000000000006</v>
      </c>
      <c r="K877" s="2" t="s">
        <v>2887</v>
      </c>
      <c r="L877">
        <v>3.9</v>
      </c>
      <c r="M877">
        <v>242</v>
      </c>
      <c r="O877" t="s">
        <v>33</v>
      </c>
      <c r="P877" t="s">
        <v>832</v>
      </c>
      <c r="Q877" t="s">
        <v>833</v>
      </c>
    </row>
    <row r="878" spans="1:17" ht="15.75" x14ac:dyDescent="0.25">
      <c r="A878" s="3" t="str">
        <f>HYPERLINK("https://www.als.com/pflueg-reel-supreme-xt-spinning/p?skuId=943388", "https://www.als.com/pflueg-reel-supreme-xt-spinning/p?skuId=943388")</f>
        <v>https://www.als.com/pflueg-reel-supreme-xt-spinning/p?skuId=943388</v>
      </c>
      <c r="B878" s="3" t="str">
        <f>HYPERLINK("https://www.als.com/pflueg-reel-supreme-xt-spinning/p", "https://www.als.com/pflueg-reel-supreme-xt-spinning/p")</f>
        <v>https://www.als.com/pflueg-reel-supreme-xt-spinning/p</v>
      </c>
      <c r="C878" t="s">
        <v>1408</v>
      </c>
      <c r="D878" t="s">
        <v>2892</v>
      </c>
      <c r="E878" s="3" t="str">
        <f>HYPERLINK("https://www.amazon.com/Pflueger-5-2-Retrieve-President-Spinning/dp/B01IDEOZKA/ref=sr_1_5?keywords=Pflueger+Supreme+XT+Spinning+Reel&amp;qid=1695124336&amp;sr=8-5", "https://www.amazon.com/Pflueger-5-2-Retrieve-President-Spinning/dp/B01IDEOZKA/ref=sr_1_5?keywords=Pflueger+Supreme+XT+Spinning+Reel&amp;qid=1695124336&amp;sr=8-5")</f>
        <v>https://www.amazon.com/Pflueger-5-2-Retrieve-President-Spinning/dp/B01IDEOZKA/ref=sr_1_5?keywords=Pflueger+Supreme+XT+Spinning+Reel&amp;qid=1695124336&amp;sr=8-5</v>
      </c>
      <c r="F878" t="s">
        <v>2893</v>
      </c>
      <c r="G878" t="e">
        <f ca="1">IMAGE("https://alssports.vtexassets.com/arquivos/ids/1053300-800-auto?v=637867095703370000&amp;width=800&amp;height=auto&amp;aspect=true")</f>
        <v>#NAME?</v>
      </c>
      <c r="H878" t="e">
        <f ca="1">IMAGE("https://m.media-amazon.com/images/I/8133FtTEAPL._AC_UY218_.jpg")</f>
        <v>#NAME?</v>
      </c>
      <c r="I878" t="s">
        <v>562</v>
      </c>
      <c r="J878">
        <v>72.69</v>
      </c>
      <c r="K878" s="2" t="s">
        <v>2894</v>
      </c>
      <c r="L878">
        <v>4.7</v>
      </c>
      <c r="M878">
        <v>1176</v>
      </c>
      <c r="O878" t="s">
        <v>33</v>
      </c>
      <c r="P878" t="s">
        <v>26</v>
      </c>
      <c r="Q878" t="s">
        <v>1412</v>
      </c>
    </row>
    <row r="879" spans="1:17" ht="15.75" x14ac:dyDescent="0.25">
      <c r="A879" s="3" t="str">
        <f>HYPERLINK("https://www.als.com/chaco-m-sandal-zcloud/p?skuId=932120", "https://www.als.com/chaco-m-sandal-zcloud/p?skuId=932120")</f>
        <v>https://www.als.com/chaco-m-sandal-zcloud/p?skuId=932120</v>
      </c>
      <c r="B879" s="3" t="str">
        <f>HYPERLINK("https://www.als.com/chaco-m-sandal-zcloud/p", "https://www.als.com/chaco-m-sandal-zcloud/p")</f>
        <v>https://www.als.com/chaco-m-sandal-zcloud/p</v>
      </c>
      <c r="C879" t="s">
        <v>694</v>
      </c>
      <c r="D879" t="s">
        <v>2895</v>
      </c>
      <c r="E879" s="3" t="str">
        <f>HYPERLINK("https://www.amazon.com/Chaco-Cloud-Men-Solid-Black/dp/B07RV44VB7/ref=sr_1_6?keywords=Chaco+Z%2FCloud+Sandal+-+Mens&amp;qid=1695124430&amp;sr=8-6", "https://www.amazon.com/Chaco-Cloud-Men-Solid-Black/dp/B07RV44VB7/ref=sr_1_6?keywords=Chaco+Z%2FCloud+Sandal+-+Mens&amp;qid=1695124430&amp;sr=8-6")</f>
        <v>https://www.amazon.com/Chaco-Cloud-Men-Solid-Black/dp/B07RV44VB7/ref=sr_1_6?keywords=Chaco+Z%2FCloud+Sandal+-+Mens&amp;qid=1695124430&amp;sr=8-6</v>
      </c>
      <c r="F879" t="s">
        <v>2896</v>
      </c>
      <c r="G879" t="e">
        <f ca="1">IMAGE("https://alssports.vtexassets.com/arquivos/ids/1082383-800-auto?v=637913737461500000&amp;width=800&amp;height=auto&amp;aspect=true")</f>
        <v>#NAME?</v>
      </c>
      <c r="H879" t="e">
        <f ca="1">IMAGE("https://m.media-amazon.com/images/I/71ggGk53uFL._AC_UL320_.jpg")</f>
        <v>#NAME?</v>
      </c>
      <c r="I879" t="s">
        <v>269</v>
      </c>
      <c r="J879">
        <v>44.86</v>
      </c>
      <c r="K879" s="2" t="s">
        <v>2897</v>
      </c>
      <c r="L879">
        <v>4.5999999999999996</v>
      </c>
      <c r="M879">
        <v>909</v>
      </c>
      <c r="O879" t="s">
        <v>33</v>
      </c>
      <c r="P879" t="s">
        <v>26</v>
      </c>
      <c r="Q879" t="s">
        <v>697</v>
      </c>
    </row>
    <row r="880" spans="1:17" ht="15.75" x14ac:dyDescent="0.25">
      <c r="A880" s="3" t="str">
        <f>HYPERLINK("https://www.als.com/quiksh-canopy-shade-tech-100/p?skuId=898263", "https://www.als.com/quiksh-canopy-shade-tech-100/p?skuId=898263")</f>
        <v>https://www.als.com/quiksh-canopy-shade-tech-100/p?skuId=898263</v>
      </c>
      <c r="B880" s="3" t="str">
        <f>HYPERLINK("https://www.als.com/quiksh-canopy-shade-tech-100/p", "https://www.als.com/quiksh-canopy-shade-tech-100/p")</f>
        <v>https://www.als.com/quiksh-canopy-shade-tech-100/p</v>
      </c>
      <c r="C880" t="s">
        <v>784</v>
      </c>
      <c r="D880" t="s">
        <v>2898</v>
      </c>
      <c r="E880" s="3" t="str">
        <f>HYPERLINK("https://www.amazon.com/Replacement-Canopy-Pop-Up-Cover-Straight/dp/B0BXP5144B/ref=sr_1_19?keywords=Quik+Shade+Straight+Leg+10+X+10+canopy&amp;qid=1695124378&amp;sr=8-19", "https://www.amazon.com/Replacement-Canopy-Pop-Up-Cover-Straight/dp/B0BXP5144B/ref=sr_1_19?keywords=Quik+Shade+Straight+Leg+10+X+10+canopy&amp;qid=1695124378&amp;sr=8-19")</f>
        <v>https://www.amazon.com/Replacement-Canopy-Pop-Up-Cover-Straight/dp/B0BXP5144B/ref=sr_1_19?keywords=Quik+Shade+Straight+Leg+10+X+10+canopy&amp;qid=1695124378&amp;sr=8-19</v>
      </c>
      <c r="F880" t="s">
        <v>2899</v>
      </c>
      <c r="G880" t="e">
        <f ca="1">IMAGE("https://alssports.vtexassets.com/arquivos/ids/1099798-800-auto?v=637939423737200000&amp;width=800&amp;height=auto&amp;aspect=true")</f>
        <v>#NAME?</v>
      </c>
      <c r="H880" t="e">
        <f ca="1">IMAGE("https://m.media-amazon.com/images/I/41qdTcb38DL._AC_UL320_.jpg")</f>
        <v>#NAME?</v>
      </c>
      <c r="I880" t="s">
        <v>787</v>
      </c>
      <c r="J880">
        <v>42.42</v>
      </c>
      <c r="K880" s="2" t="s">
        <v>2900</v>
      </c>
      <c r="L880">
        <v>4.3</v>
      </c>
      <c r="M880">
        <v>61</v>
      </c>
      <c r="O880" t="s">
        <v>33</v>
      </c>
      <c r="P880" t="s">
        <v>164</v>
      </c>
      <c r="Q880" t="s">
        <v>789</v>
      </c>
    </row>
    <row r="881" spans="1:17" ht="15.75" x14ac:dyDescent="0.25">
      <c r="A881" s="3" t="str">
        <f>HYPERLINK("https://www.als.com/owala-bottle-free-sip-32-oz/p?skuId=1326138", "https://www.als.com/owala-bottle-free-sip-32-oz/p?skuId=1326138")</f>
        <v>https://www.als.com/owala-bottle-free-sip-32-oz/p?skuId=1326138</v>
      </c>
      <c r="B881" s="3" t="str">
        <f>HYPERLINK("https://www.als.com/owala-bottle-free-sip-32-oz/p", "https://www.als.com/owala-bottle-free-sip-32-oz/p")</f>
        <v>https://www.als.com/owala-bottle-free-sip-32-oz/p</v>
      </c>
      <c r="C881" t="s">
        <v>459</v>
      </c>
      <c r="D881" t="s">
        <v>2901</v>
      </c>
      <c r="E881" s="3" t="str">
        <f>HYPERLINK("https://www.amazon.com/Opard-Insulated-Stainless-Reusable-Dual-Use/dp/B09SNNJZ71/ref=sr_1_30?keywords=Owala+FreeSip+Stainless+Steel+Water+Bottle+-+32oz&amp;qid=1695124104&amp;sr=8-30", "https://www.amazon.com/Opard-Insulated-Stainless-Reusable-Dual-Use/dp/B09SNNJZ71/ref=sr_1_30?keywords=Owala+FreeSip+Stainless+Steel+Water+Bottle+-+32oz&amp;qid=1695124104&amp;sr=8-30")</f>
        <v>https://www.amazon.com/Opard-Insulated-Stainless-Reusable-Dual-Use/dp/B09SNNJZ71/ref=sr_1_30?keywords=Owala+FreeSip+Stainless+Steel+Water+Bottle+-+32oz&amp;qid=1695124104&amp;sr=8-30</v>
      </c>
      <c r="F881" t="s">
        <v>2902</v>
      </c>
      <c r="G881" t="e">
        <f ca="1">IMAGE("https://alssports.vtexassets.com/arquivos/ids/1355955-800-auto?v=638230513195900000&amp;width=800&amp;height=auto&amp;aspect=true")</f>
        <v>#NAME?</v>
      </c>
      <c r="H881" t="e">
        <f ca="1">IMAGE("https://m.media-amazon.com/images/I/61DdYUqo+2L._AC_UL320_.jpg")</f>
        <v>#NAME?</v>
      </c>
      <c r="I881" t="s">
        <v>462</v>
      </c>
      <c r="J881">
        <v>13.99</v>
      </c>
      <c r="K881" s="2" t="s">
        <v>2903</v>
      </c>
      <c r="L881">
        <v>4.4000000000000004</v>
      </c>
      <c r="M881">
        <v>1293</v>
      </c>
      <c r="O881" t="s">
        <v>33</v>
      </c>
      <c r="P881" t="s">
        <v>26</v>
      </c>
      <c r="Q881" t="s">
        <v>464</v>
      </c>
    </row>
    <row r="882" spans="1:17" ht="15.75" x14ac:dyDescent="0.25">
      <c r="A882" s="3" t="str">
        <f>HYPERLINK("https://www.als.com/sram-chain-pc-x01-eagle/p?skuId=536002", "https://www.als.com/sram-chain-pc-x01-eagle/p?skuId=536002")</f>
        <v>https://www.als.com/sram-chain-pc-x01-eagle/p?skuId=536002</v>
      </c>
      <c r="B882" s="3" t="str">
        <f>HYPERLINK("https://www.als.com/sram-chain-pc-x01-eagle/p", "https://www.als.com/sram-chain-pc-x01-eagle/p")</f>
        <v>https://www.als.com/sram-chain-pc-x01-eagle/p</v>
      </c>
      <c r="C882" t="s">
        <v>1104</v>
      </c>
      <c r="D882" t="s">
        <v>2904</v>
      </c>
      <c r="E882" s="3" t="str">
        <f>HYPERLINK("https://www.amazon.com/SRAM-Eagle-12-Speed-Chain-Links/dp/B07DQTLDJ5/ref=sr_1_6?keywords=SRAM+X01+Eagle+12-Speed+Chain&amp;qid=1695124143&amp;sr=8-6", "https://www.amazon.com/SRAM-Eagle-12-Speed-Chain-Links/dp/B07DQTLDJ5/ref=sr_1_6?keywords=SRAM+X01+Eagle+12-Speed+Chain&amp;qid=1695124143&amp;sr=8-6")</f>
        <v>https://www.amazon.com/SRAM-Eagle-12-Speed-Chain-Links/dp/B07DQTLDJ5/ref=sr_1_6?keywords=SRAM+X01+Eagle+12-Speed+Chain&amp;qid=1695124143&amp;sr=8-6</v>
      </c>
      <c r="F882" t="s">
        <v>2905</v>
      </c>
      <c r="G882" t="e">
        <f ca="1">IMAGE("https://alssports.vtexassets.com/arquivos/ids/1117391-800-auto?v=637964367650530000&amp;width=800&amp;height=auto&amp;aspect=true")</f>
        <v>#NAME?</v>
      </c>
      <c r="H882" t="e">
        <f ca="1">IMAGE("https://m.media-amazon.com/images/I/41Z7VafWXVL._AC_UL320_.jpg")</f>
        <v>#NAME?</v>
      </c>
      <c r="I882" t="s">
        <v>1107</v>
      </c>
      <c r="J882">
        <v>26.98</v>
      </c>
      <c r="K882" s="2" t="s">
        <v>2906</v>
      </c>
      <c r="L882">
        <v>4.7</v>
      </c>
      <c r="M882">
        <v>854</v>
      </c>
      <c r="O882" t="s">
        <v>33</v>
      </c>
      <c r="P882" t="s">
        <v>26</v>
      </c>
      <c r="Q882" t="s">
        <v>1109</v>
      </c>
    </row>
    <row r="883" spans="1:17" ht="15.75" x14ac:dyDescent="0.25">
      <c r="A883" s="3" t="str">
        <f>HYPERLINK("https://www.als.com/columbia-powder-lite-novelty-hooded-jacket-girls-125482/p?skuId=1139868", "https://www.als.com/columbia-powder-lite-novelty-hooded-jacket-girls-125482/p?skuId=1139868")</f>
        <v>https://www.als.com/columbia-powder-lite-novelty-hooded-jacket-girls-125482/p?skuId=1139868</v>
      </c>
      <c r="B883" s="3" t="str">
        <f>HYPERLINK("https://www.als.com/columbia-powder-lite-novelty-hooded-jacket-girls-125482/p", "https://www.als.com/columbia-powder-lite-novelty-hooded-jacket-girls-125482/p")</f>
        <v>https://www.als.com/columbia-powder-lite-novelty-hooded-jacket-girls-125482/p</v>
      </c>
      <c r="C883" t="s">
        <v>974</v>
      </c>
      <c r="D883" t="s">
        <v>1429</v>
      </c>
      <c r="E883" s="3" t="str">
        <f>HYPERLINK("https://www.amazon.com/Columbia-Powder-Novelty-Sapphire-Nocturnal/dp/B09KMPNPYL/ref=sr_1_2?keywords=Columbia+Powder+Lite+Novelty+Hooded+Jacket+-+Girls&amp;qid=1695124483&amp;sr=8-2", "https://www.amazon.com/Columbia-Powder-Novelty-Sapphire-Nocturnal/dp/B09KMPNPYL/ref=sr_1_2?keywords=Columbia+Powder+Lite+Novelty+Hooded+Jacket+-+Girls&amp;qid=1695124483&amp;sr=8-2")</f>
        <v>https://www.amazon.com/Columbia-Powder-Novelty-Sapphire-Nocturnal/dp/B09KMPNPYL/ref=sr_1_2?keywords=Columbia+Powder+Lite+Novelty+Hooded+Jacket+-+Girls&amp;qid=1695124483&amp;sr=8-2</v>
      </c>
      <c r="F883" t="s">
        <v>2907</v>
      </c>
      <c r="G883" t="e">
        <f ca="1">IMAGE("https://alssports.vtexassets.com/arquivos/ids/1180419-800-auto?v=638050834194370000&amp;width=800&amp;height=auto&amp;aspect=true")</f>
        <v>#NAME?</v>
      </c>
      <c r="H883" t="e">
        <f ca="1">IMAGE("https://m.media-amazon.com/images/I/71LcCH3H++L._AC_UL320_.jpg")</f>
        <v>#NAME?</v>
      </c>
      <c r="I883" t="s">
        <v>977</v>
      </c>
      <c r="J883">
        <v>34.69</v>
      </c>
      <c r="K883" s="2" t="s">
        <v>2908</v>
      </c>
      <c r="L883">
        <v>5</v>
      </c>
      <c r="M883">
        <v>9</v>
      </c>
      <c r="O883" t="s">
        <v>33</v>
      </c>
      <c r="P883" t="s">
        <v>978</v>
      </c>
      <c r="Q883" t="s">
        <v>979</v>
      </c>
    </row>
    <row r="884" spans="1:17" ht="15.75" x14ac:dyDescent="0.25">
      <c r="A884" s="3" t="str">
        <f>HYPERLINK("https://www.als.com/chaco-m-sandal-zcloud/p?skuId=932120", "https://www.als.com/chaco-m-sandal-zcloud/p?skuId=932120")</f>
        <v>https://www.als.com/chaco-m-sandal-zcloud/p?skuId=932120</v>
      </c>
      <c r="B884" s="3" t="str">
        <f>HYPERLINK("https://www.als.com/chaco-m-sandal-zcloud/p", "https://www.als.com/chaco-m-sandal-zcloud/p")</f>
        <v>https://www.als.com/chaco-m-sandal-zcloud/p</v>
      </c>
      <c r="C884" t="s">
        <v>694</v>
      </c>
      <c r="D884" t="s">
        <v>2909</v>
      </c>
      <c r="E884" s="3" t="str">
        <f>HYPERLINK("https://www.amazon.com/Chaco-Banded-Zcloud-Sandal-Solid/dp/B07M6G18JV/ref=sr_1_4?keywords=Chaco+Z%2FCloud+Sandal+-+Mens&amp;qid=1695124430&amp;sr=8-4", "https://www.amazon.com/Chaco-Banded-Zcloud-Sandal-Solid/dp/B07M6G18JV/ref=sr_1_4?keywords=Chaco+Z%2FCloud+Sandal+-+Mens&amp;qid=1695124430&amp;sr=8-4")</f>
        <v>https://www.amazon.com/Chaco-Banded-Zcloud-Sandal-Solid/dp/B07M6G18JV/ref=sr_1_4?keywords=Chaco+Z%2FCloud+Sandal+-+Mens&amp;qid=1695124430&amp;sr=8-4</v>
      </c>
      <c r="F884" t="s">
        <v>2910</v>
      </c>
      <c r="G884" t="e">
        <f ca="1">IMAGE("https://alssports.vtexassets.com/arquivos/ids/1082383-800-auto?v=637913737461500000&amp;width=800&amp;height=auto&amp;aspect=true")</f>
        <v>#NAME?</v>
      </c>
      <c r="H884" t="e">
        <f ca="1">IMAGE("https://m.media-amazon.com/images/I/71AfqYXcb2L._AC_UL320_.jpg")</f>
        <v>#NAME?</v>
      </c>
      <c r="I884" t="s">
        <v>269</v>
      </c>
      <c r="J884">
        <v>43</v>
      </c>
      <c r="K884" s="2" t="s">
        <v>2911</v>
      </c>
      <c r="L884">
        <v>4.5</v>
      </c>
      <c r="M884">
        <v>687</v>
      </c>
      <c r="O884" t="s">
        <v>33</v>
      </c>
      <c r="P884" t="s">
        <v>26</v>
      </c>
      <c r="Q884" t="s">
        <v>697</v>
      </c>
    </row>
    <row r="885" spans="1:17" ht="15.75" x14ac:dyDescent="0.25">
      <c r="A885" s="3" t="str">
        <f>HYPERLINK("https://www.als.com/columbia-horizon-ride-ii-jacket-toddler-167467/p?skuId=1246516", "https://www.als.com/columbia-horizon-ride-ii-jacket-toddler-167467/p?skuId=1246516")</f>
        <v>https://www.als.com/columbia-horizon-ride-ii-jacket-toddler-167467/p?skuId=1246516</v>
      </c>
      <c r="B885" s="3" t="str">
        <f>HYPERLINK("https://www.als.com/columbia-horizon-ride-ii-jacket-toddler-167467/p", "https://www.als.com/columbia-horizon-ride-ii-jacket-toddler-167467/p")</f>
        <v>https://www.als.com/columbia-horizon-ride-ii-jacket-toddler-167467/p</v>
      </c>
      <c r="C885" t="s">
        <v>1112</v>
      </c>
      <c r="D885" t="s">
        <v>2912</v>
      </c>
      <c r="E885" s="3" t="str">
        <f>HYPERLINK("https://www.amazon.com/Columbia-Girls-Toddler-Switchback-Jacket/dp/B0814BN1M8/ref=sr_1_9?keywords=Columbia+Horizon+Ride+II+Jacket+-+Toddler&amp;qid=1695124315&amp;sr=8-9", "https://www.amazon.com/Columbia-Girls-Toddler-Switchback-Jacket/dp/B0814BN1M8/ref=sr_1_9?keywords=Columbia+Horizon+Ride+II+Jacket+-+Toddler&amp;qid=1695124315&amp;sr=8-9")</f>
        <v>https://www.amazon.com/Columbia-Girls-Toddler-Switchback-Jacket/dp/B0814BN1M8/ref=sr_1_9?keywords=Columbia+Horizon+Ride+II+Jacket+-+Toddler&amp;qid=1695124315&amp;sr=8-9</v>
      </c>
      <c r="F885" t="s">
        <v>2913</v>
      </c>
      <c r="G885" t="e">
        <f ca="1">IMAGE("https://alssports.vtexassets.com/arquivos/ids/1183350-800-auto?v=638053388488500000&amp;width=800&amp;height=auto&amp;aspect=true")</f>
        <v>#NAME?</v>
      </c>
      <c r="H885" t="e">
        <f ca="1">IMAGE("https://m.media-amazon.com/images/I/61PHDFH6F5S._AC_UL320_.jpg")</f>
        <v>#NAME?</v>
      </c>
      <c r="I885" t="s">
        <v>1115</v>
      </c>
      <c r="J885">
        <v>29.99</v>
      </c>
      <c r="K885" s="2" t="s">
        <v>2914</v>
      </c>
      <c r="L885">
        <v>4.5</v>
      </c>
      <c r="M885">
        <v>13</v>
      </c>
      <c r="O885" t="s">
        <v>33</v>
      </c>
      <c r="P885" t="s">
        <v>1117</v>
      </c>
      <c r="Q885" t="s">
        <v>1118</v>
      </c>
    </row>
    <row r="886" spans="1:17" ht="15.75" x14ac:dyDescent="0.25">
      <c r="A886" s="3" t="str">
        <f>HYPERLINK("https://www.als.com/chaco-m-sandal-zcloud/p?skuId=932120", "https://www.als.com/chaco-m-sandal-zcloud/p?skuId=932120")</f>
        <v>https://www.als.com/chaco-m-sandal-zcloud/p?skuId=932120</v>
      </c>
      <c r="B886" s="3" t="str">
        <f>HYPERLINK("https://www.als.com/chaco-m-sandal-zcloud/p", "https://www.als.com/chaco-m-sandal-zcloud/p")</f>
        <v>https://www.als.com/chaco-m-sandal-zcloud/p</v>
      </c>
      <c r="C886" t="s">
        <v>694</v>
      </c>
      <c r="D886" t="s">
        <v>2915</v>
      </c>
      <c r="E886" s="3" t="str">
        <f>HYPERLINK("https://www.amazon.com/Chaco-Zcloud-Sport-Sandal-Solid/dp/B000ZIJS5K/ref=sr_1_7?keywords=Chaco+Z%2FCloud+Sandal+-+Mens&amp;qid=1695124430&amp;sr=8-7", "https://www.amazon.com/Chaco-Zcloud-Sport-Sandal-Solid/dp/B000ZIJS5K/ref=sr_1_7?keywords=Chaco+Z%2FCloud+Sandal+-+Mens&amp;qid=1695124430&amp;sr=8-7")</f>
        <v>https://www.amazon.com/Chaco-Zcloud-Sport-Sandal-Solid/dp/B000ZIJS5K/ref=sr_1_7?keywords=Chaco+Z%2FCloud+Sandal+-+Mens&amp;qid=1695124430&amp;sr=8-7</v>
      </c>
      <c r="F886" t="s">
        <v>2916</v>
      </c>
      <c r="G886" t="e">
        <f ca="1">IMAGE("https://alssports.vtexassets.com/arquivos/ids/1082383-800-auto?v=637913737461500000&amp;width=800&amp;height=auto&amp;aspect=true")</f>
        <v>#NAME?</v>
      </c>
      <c r="H886" t="e">
        <f ca="1">IMAGE("https://m.media-amazon.com/images/I/61Yz9l-b7HL._AC_UL320_.jpg")</f>
        <v>#NAME?</v>
      </c>
      <c r="I886" t="s">
        <v>269</v>
      </c>
      <c r="J886">
        <v>42.82</v>
      </c>
      <c r="K886" s="2" t="s">
        <v>2914</v>
      </c>
      <c r="L886">
        <v>4.5</v>
      </c>
      <c r="M886">
        <v>1299</v>
      </c>
      <c r="O886" t="s">
        <v>33</v>
      </c>
      <c r="P886" t="s">
        <v>26</v>
      </c>
      <c r="Q886" t="s">
        <v>697</v>
      </c>
    </row>
    <row r="887" spans="1:17" ht="15.75" x14ac:dyDescent="0.25">
      <c r="A887" s="3" t="str">
        <f>HYPERLINK("https://www.als.com/altra-w-shoe-timp-4/p?skuId=929220", "https://www.als.com/altra-w-shoe-timp-4/p?skuId=929220")</f>
        <v>https://www.als.com/altra-w-shoe-timp-4/p?skuId=929220</v>
      </c>
      <c r="B887" s="3" t="str">
        <f>HYPERLINK("https://www.als.com/altra-w-shoe-timp-4/p", "https://www.als.com/altra-w-shoe-timp-4/p")</f>
        <v>https://www.als.com/altra-w-shoe-timp-4/p</v>
      </c>
      <c r="C887" t="s">
        <v>829</v>
      </c>
      <c r="D887" t="s">
        <v>2917</v>
      </c>
      <c r="E887" s="3" t="str">
        <f>HYPERLINK("https://www.amazon.com/ALTRA-Womens-AL0A5483-Superior-Running/dp/B092VJQD8D/ref=sr_1_10?keywords=Altra+Timp+4+Running+Shoe+-+Womens&amp;qid=1695124369&amp;sr=8-10", "https://www.amazon.com/ALTRA-Womens-AL0A5483-Superior-Running/dp/B092VJQD8D/ref=sr_1_10?keywords=Altra+Timp+4+Running+Shoe+-+Womens&amp;qid=1695124369&amp;sr=8-10")</f>
        <v>https://www.amazon.com/ALTRA-Womens-AL0A5483-Superior-Running/dp/B092VJQD8D/ref=sr_1_10?keywords=Altra+Timp+4+Running+Shoe+-+Womens&amp;qid=1695124369&amp;sr=8-10</v>
      </c>
      <c r="F887" t="s">
        <v>2918</v>
      </c>
      <c r="G887" t="e">
        <f ca="1">IMAGE("https://alssports.vtexassets.com/arquivos/ids/1112796-800-auto?v=637957454637830000&amp;width=800&amp;height=auto&amp;aspect=true")</f>
        <v>#NAME?</v>
      </c>
      <c r="H887" t="e">
        <f ca="1">IMAGE("https://m.media-amazon.com/images/I/71be7j+6akL._AC_UL320_.jpg")</f>
        <v>#NAME?</v>
      </c>
      <c r="I887" t="s">
        <v>88</v>
      </c>
      <c r="J887">
        <v>65</v>
      </c>
      <c r="K887" s="2" t="s">
        <v>2919</v>
      </c>
      <c r="L887">
        <v>4.4000000000000004</v>
      </c>
      <c r="M887">
        <v>860</v>
      </c>
      <c r="O887" t="s">
        <v>33</v>
      </c>
      <c r="P887" t="s">
        <v>832</v>
      </c>
      <c r="Q887" t="s">
        <v>833</v>
      </c>
    </row>
    <row r="888" spans="1:17" ht="15.75" x14ac:dyDescent="0.25">
      <c r="A888" s="3" t="str">
        <f>HYPERLINK("https://www.als.com/stanley-the-iceflow-flip-straw-tumbler-30oz-103553/p?skuId=825655", "https://www.als.com/stanley-the-iceflow-flip-straw-tumbler-30oz-103553/p?skuId=825655")</f>
        <v>https://www.als.com/stanley-the-iceflow-flip-straw-tumbler-30oz-103553/p?skuId=825655</v>
      </c>
      <c r="B888" s="3" t="str">
        <f>HYPERLINK("https://www.als.com/stanley-the-iceflow-flip-straw-tumbler-30oz-103553/p", "https://www.als.com/stanley-the-iceflow-flip-straw-tumbler-30oz-103553/p")</f>
        <v>https://www.als.com/stanley-the-iceflow-flip-straw-tumbler-30oz-103553/p</v>
      </c>
      <c r="C888" t="s">
        <v>1371</v>
      </c>
      <c r="D888" t="s">
        <v>2920</v>
      </c>
      <c r="E888" s="3" t="str">
        <f>HYPERLINK("https://www.amazon.com/MLKSI-Tumbler-Accessories-Including-Replacement/dp/B0C2VRVY7L/ref=sr_1_9?keywords=Stanley+The+IceFlow+Flip+Straw+Tumbler+-+30oz&amp;qid=1695124318&amp;sr=8-9", "https://www.amazon.com/MLKSI-Tumbler-Accessories-Including-Replacement/dp/B0C2VRVY7L/ref=sr_1_9?keywords=Stanley+The+IceFlow+Flip+Straw+Tumbler+-+30oz&amp;qid=1695124318&amp;sr=8-9")</f>
        <v>https://www.amazon.com/MLKSI-Tumbler-Accessories-Including-Replacement/dp/B0C2VRVY7L/ref=sr_1_9?keywords=Stanley+The+IceFlow+Flip+Straw+Tumbler+-+30oz&amp;qid=1695124318&amp;sr=8-9</v>
      </c>
      <c r="F888" t="s">
        <v>2921</v>
      </c>
      <c r="G888" t="e">
        <f ca="1">IMAGE("https://alssports.vtexassets.com/arquivos/ids/969718-800-auto?v=637744962130300000&amp;width=800&amp;height=auto&amp;aspect=true")</f>
        <v>#NAME?</v>
      </c>
      <c r="H888" t="e">
        <f ca="1">IMAGE("https://m.media-amazon.com/images/I/51iSqHDbOIL._AC_UL320_.jpg")</f>
        <v>#NAME?</v>
      </c>
      <c r="I888" t="s">
        <v>233</v>
      </c>
      <c r="J888">
        <v>13.99</v>
      </c>
      <c r="K888" s="2" t="s">
        <v>2922</v>
      </c>
      <c r="L888">
        <v>2.2999999999999998</v>
      </c>
      <c r="M888">
        <v>9</v>
      </c>
      <c r="O888" t="s">
        <v>33</v>
      </c>
      <c r="P888" t="s">
        <v>26</v>
      </c>
      <c r="Q888" t="s">
        <v>1375</v>
      </c>
    </row>
    <row r="889" spans="1:17" ht="15.75" x14ac:dyDescent="0.25">
      <c r="A889" s="3" t="str">
        <f>HYPERLINK("https://www.als.com/hydrof-bottle-standard-mouth-21/p?skuId=255000", "https://www.als.com/hydrof-bottle-standard-mouth-21/p?skuId=255000")</f>
        <v>https://www.als.com/hydrof-bottle-standard-mouth-21/p?skuId=255000</v>
      </c>
      <c r="B889" s="3" t="str">
        <f>HYPERLINK("https://www.als.com/hydrof-bottle-standard-mouth-21/p", "https://www.als.com/hydrof-bottle-standard-mouth-21/p")</f>
        <v>https://www.als.com/hydrof-bottle-standard-mouth-21/p</v>
      </c>
      <c r="C889" t="s">
        <v>525</v>
      </c>
      <c r="D889" t="s">
        <v>2923</v>
      </c>
      <c r="E889" s="3" t="str">
        <f>HYPERLINK("https://www.amazon.com/FLAKBOTLE-Straw-Hydro-Flask-Black/dp/B09CLXPJQ3/ref=sr_1_35?keywords=Hydro+Flask+Standard+Mouth+Insulated+Bottle+-+21oz&amp;qid=1695124388&amp;sr=8-35", "https://www.amazon.com/FLAKBOTLE-Straw-Hydro-Flask-Black/dp/B09CLXPJQ3/ref=sr_1_35?keywords=Hydro+Flask+Standard+Mouth+Insulated+Bottle+-+21oz&amp;qid=1695124388&amp;sr=8-35")</f>
        <v>https://www.amazon.com/FLAKBOTLE-Straw-Hydro-Flask-Black/dp/B09CLXPJQ3/ref=sr_1_35?keywords=Hydro+Flask+Standard+Mouth+Insulated+Bottle+-+21oz&amp;qid=1695124388&amp;sr=8-35</v>
      </c>
      <c r="F889" t="s">
        <v>2924</v>
      </c>
      <c r="G889" t="e">
        <f ca="1">IMAGE("https://alssports.vtexassets.com/arquivos/ids/1173834-800-auto?v=638042939420000000&amp;width=800&amp;height=auto&amp;aspect=true")</f>
        <v>#NAME?</v>
      </c>
      <c r="H889" t="e">
        <f ca="1">IMAGE("https://m.media-amazon.com/images/I/618IQwrdWBL._AC_UL320_.jpg")</f>
        <v>#NAME?</v>
      </c>
      <c r="I889" t="s">
        <v>528</v>
      </c>
      <c r="J889">
        <v>13.95</v>
      </c>
      <c r="K889" s="2" t="s">
        <v>2925</v>
      </c>
      <c r="L889">
        <v>4.5999999999999996</v>
      </c>
      <c r="M889">
        <v>296</v>
      </c>
      <c r="O889" t="s">
        <v>33</v>
      </c>
      <c r="P889" t="s">
        <v>26</v>
      </c>
      <c r="Q889" t="s">
        <v>530</v>
      </c>
    </row>
    <row r="890" spans="1:17" ht="15.75" x14ac:dyDescent="0.25">
      <c r="A890" s="3" t="str">
        <f>HYPERLINK("https://www.als.com/mizuno-m-wave-sky-6/p?skuId=1249127", "https://www.als.com/mizuno-m-wave-sky-6/p?skuId=1249127")</f>
        <v>https://www.als.com/mizuno-m-wave-sky-6/p?skuId=1249127</v>
      </c>
      <c r="B890" s="3" t="str">
        <f>HYPERLINK("https://www.als.com/mizuno-m-wave-sky-6/p", "https://www.als.com/mizuno-m-wave-sky-6/p")</f>
        <v>https://www.als.com/mizuno-m-wave-sky-6/p</v>
      </c>
      <c r="C890" t="s">
        <v>204</v>
      </c>
      <c r="D890" t="s">
        <v>2926</v>
      </c>
      <c r="E890" s="3" t="str">
        <f>HYPERLINK("https://www.amazon.com/Mizuno-Mens-Wave-Running-Flintstone-Vapor/dp/B07HRCY8M8/ref=sr_1_3?keywords=Mizuno+Wave+Sky+6+Wide+Running+Shoe+-+Mens&amp;qid=1695124408&amp;sr=8-3", "https://www.amazon.com/Mizuno-Mens-Wave-Running-Flintstone-Vapor/dp/B07HRCY8M8/ref=sr_1_3?keywords=Mizuno+Wave+Sky+6+Wide+Running+Shoe+-+Mens&amp;qid=1695124408&amp;sr=8-3")</f>
        <v>https://www.amazon.com/Mizuno-Mens-Wave-Running-Flintstone-Vapor/dp/B07HRCY8M8/ref=sr_1_3?keywords=Mizuno+Wave+Sky+6+Wide+Running+Shoe+-+Mens&amp;qid=1695124408&amp;sr=8-3</v>
      </c>
      <c r="F890" t="s">
        <v>2927</v>
      </c>
      <c r="G890" t="e">
        <f ca="1">IMAGE("https://alssports.vtexassets.com/arquivos/ids/1277484-800-auto?v=638152954723900000&amp;width=800&amp;height=auto&amp;aspect=true")</f>
        <v>#NAME?</v>
      </c>
      <c r="H890" t="e">
        <f ca="1">IMAGE("https://m.media-amazon.com/images/I/81Ya3Yf3S8L._AC_UL320_.jpg")</f>
        <v>#NAME?</v>
      </c>
      <c r="I890" t="s">
        <v>164</v>
      </c>
      <c r="J890">
        <v>67.650000000000006</v>
      </c>
      <c r="K890" s="2" t="s">
        <v>2928</v>
      </c>
      <c r="L890">
        <v>4.7</v>
      </c>
      <c r="M890">
        <v>725</v>
      </c>
      <c r="O890" t="s">
        <v>33</v>
      </c>
      <c r="P890" t="s">
        <v>164</v>
      </c>
      <c r="Q890" t="s">
        <v>207</v>
      </c>
    </row>
    <row r="891" spans="1:17" ht="15.75" x14ac:dyDescent="0.25">
      <c r="A891" s="3" t="str">
        <f>HYPERLINK("https://www.als.com/chaco-m-sandal-zcloud/p?skuId=932120", "https://www.als.com/chaco-m-sandal-zcloud/p?skuId=932120")</f>
        <v>https://www.als.com/chaco-m-sandal-zcloud/p?skuId=932120</v>
      </c>
      <c r="B891" s="3" t="str">
        <f>HYPERLINK("https://www.als.com/chaco-m-sandal-zcloud/p", "https://www.als.com/chaco-m-sandal-zcloud/p")</f>
        <v>https://www.als.com/chaco-m-sandal-zcloud/p</v>
      </c>
      <c r="C891" t="s">
        <v>694</v>
      </c>
      <c r="D891" t="s">
        <v>495</v>
      </c>
      <c r="E891" s="3" t="str">
        <f>HYPERLINK("https://www.amazon.com/Chaco-ZCLOUD-Womens-Sandals-Oculi/dp/B08C2L7BXK/ref=sr_1_21?keywords=Chaco+Z%2FCloud+Sandal+-+Mens&amp;qid=1695124430&amp;sr=8-21", "https://www.amazon.com/Chaco-ZCLOUD-Womens-Sandals-Oculi/dp/B08C2L7BXK/ref=sr_1_21?keywords=Chaco+Z%2FCloud+Sandal+-+Mens&amp;qid=1695124430&amp;sr=8-21")</f>
        <v>https://www.amazon.com/Chaco-ZCLOUD-Womens-Sandals-Oculi/dp/B08C2L7BXK/ref=sr_1_21?keywords=Chaco+Z%2FCloud+Sandal+-+Mens&amp;qid=1695124430&amp;sr=8-21</v>
      </c>
      <c r="F891" t="s">
        <v>496</v>
      </c>
      <c r="G891" t="e">
        <f ca="1">IMAGE("https://alssports.vtexassets.com/arquivos/ids/1082383-800-auto?v=637913737461500000&amp;width=800&amp;height=auto&amp;aspect=true")</f>
        <v>#NAME?</v>
      </c>
      <c r="H891" t="e">
        <f ca="1">IMAGE("https://m.media-amazon.com/images/I/71OS28EHelL._AC_UL320_.jpg")</f>
        <v>#NAME?</v>
      </c>
      <c r="I891" t="s">
        <v>269</v>
      </c>
      <c r="J891">
        <v>41.1</v>
      </c>
      <c r="K891" s="2" t="s">
        <v>2929</v>
      </c>
      <c r="L891">
        <v>4.5</v>
      </c>
      <c r="M891">
        <v>643</v>
      </c>
      <c r="O891" t="s">
        <v>33</v>
      </c>
      <c r="P891" t="s">
        <v>26</v>
      </c>
      <c r="Q891" t="s">
        <v>697</v>
      </c>
    </row>
    <row r="892" spans="1:17" ht="15.75" x14ac:dyDescent="0.25">
      <c r="A892" s="3" t="str">
        <f>HYPERLINK("https://www.als.com/chaco-m-sandal-zcloud/p?skuId=932120", "https://www.als.com/chaco-m-sandal-zcloud/p?skuId=932120")</f>
        <v>https://www.als.com/chaco-m-sandal-zcloud/p?skuId=932120</v>
      </c>
      <c r="B892" s="3" t="str">
        <f>HYPERLINK("https://www.als.com/chaco-m-sandal-zcloud/p", "https://www.als.com/chaco-m-sandal-zcloud/p")</f>
        <v>https://www.als.com/chaco-m-sandal-zcloud/p</v>
      </c>
      <c r="C892" t="s">
        <v>694</v>
      </c>
      <c r="D892" t="s">
        <v>508</v>
      </c>
      <c r="E892" s="3" t="str">
        <f>HYPERLINK("https://www.amazon.com/Chaco-12366106-Classic-Men-11/dp/B071K9C5HD/ref=sr_1_16?keywords=Chaco+Z%2FCloud+Sandal+-+Mens&amp;qid=1695124430&amp;sr=8-16", "https://www.amazon.com/Chaco-12366106-Classic-Men-11/dp/B071K9C5HD/ref=sr_1_16?keywords=Chaco+Z%2FCloud+Sandal+-+Mens&amp;qid=1695124430&amp;sr=8-16")</f>
        <v>https://www.amazon.com/Chaco-12366106-Classic-Men-11/dp/B071K9C5HD/ref=sr_1_16?keywords=Chaco+Z%2FCloud+Sandal+-+Mens&amp;qid=1695124430&amp;sr=8-16</v>
      </c>
      <c r="F892" t="s">
        <v>509</v>
      </c>
      <c r="G892" t="e">
        <f ca="1">IMAGE("https://alssports.vtexassets.com/arquivos/ids/1082383-800-auto?v=637913737461500000&amp;width=800&amp;height=auto&amp;aspect=true")</f>
        <v>#NAME?</v>
      </c>
      <c r="H892" t="e">
        <f ca="1">IMAGE("https://m.media-amazon.com/images/I/71IAWRAbpcL._AC_UL320_.jpg")</f>
        <v>#NAME?</v>
      </c>
      <c r="I892" t="s">
        <v>269</v>
      </c>
      <c r="J892">
        <v>41</v>
      </c>
      <c r="K892" s="2" t="s">
        <v>2930</v>
      </c>
      <c r="L892">
        <v>4.4000000000000004</v>
      </c>
      <c r="M892">
        <v>3136</v>
      </c>
      <c r="O892" t="s">
        <v>33</v>
      </c>
      <c r="P892" t="s">
        <v>26</v>
      </c>
      <c r="Q892" t="s">
        <v>697</v>
      </c>
    </row>
    <row r="893" spans="1:17" ht="15.75" x14ac:dyDescent="0.25">
      <c r="A893" s="3" t="str">
        <f>HYPERLINK("https://www.als.com/crocs-classic-clog/p?skuId=1196935", "https://www.als.com/crocs-classic-clog/p?skuId=1196935")</f>
        <v>https://www.als.com/crocs-classic-clog/p?skuId=1196935</v>
      </c>
      <c r="B893" s="3" t="str">
        <f>HYPERLINK("https://www.als.com/crocs-classic-clog/p", "https://www.als.com/crocs-classic-clog/p")</f>
        <v>https://www.als.com/crocs-classic-clog/p</v>
      </c>
      <c r="C893" t="s">
        <v>1100</v>
      </c>
      <c r="D893" t="s">
        <v>2000</v>
      </c>
      <c r="E893" s="3" t="str">
        <f>HYPERLINK("https://www.amazon.com/Crocs-Unisex-Classic-Realtree-Atmosphere/dp/B0BLMRMSXM/ref=sr_1_4?keywords=Crocs+Classic+Clog&amp;qid=1695124151&amp;sr=8-4", "https://www.amazon.com/Crocs-Unisex-Classic-Realtree-Atmosphere/dp/B0BLMRMSXM/ref=sr_1_4?keywords=Crocs+Classic+Clog&amp;qid=1695124151&amp;sr=8-4")</f>
        <v>https://www.amazon.com/Crocs-Unisex-Classic-Realtree-Atmosphere/dp/B0BLMRMSXM/ref=sr_1_4?keywords=Crocs+Classic+Clog&amp;qid=1695124151&amp;sr=8-4</v>
      </c>
      <c r="F893" t="s">
        <v>2931</v>
      </c>
      <c r="G893" t="e">
        <f ca="1">IMAGE("https://alssports.vtexassets.com/arquivos/ids/1222253-800-auto?v=638102875835800000&amp;width=800&amp;height=auto&amp;aspect=true")</f>
        <v>#NAME?</v>
      </c>
      <c r="H893" t="e">
        <f ca="1">IMAGE("https://m.media-amazon.com/images/I/81NAoUPdKwL._AC_UL320_.jpg")</f>
        <v>#NAME?</v>
      </c>
      <c r="I893" t="s">
        <v>157</v>
      </c>
      <c r="J893">
        <v>19.420000000000002</v>
      </c>
      <c r="K893" s="2" t="s">
        <v>2932</v>
      </c>
      <c r="L893">
        <v>4.8</v>
      </c>
      <c r="M893">
        <v>57327</v>
      </c>
      <c r="O893" t="s">
        <v>33</v>
      </c>
      <c r="P893" t="s">
        <v>26</v>
      </c>
      <c r="Q893" t="s">
        <v>1103</v>
      </c>
    </row>
    <row r="894" spans="1:17" ht="15.75" x14ac:dyDescent="0.25">
      <c r="A894" s="3" t="str">
        <f>HYPERLINK("https://www.als.com/simms-ws-freestone-boot---felt/p?skuId=617264", "https://www.als.com/simms-ws-freestone-boot---felt/p?skuId=617264")</f>
        <v>https://www.als.com/simms-ws-freestone-boot---felt/p?skuId=617264</v>
      </c>
      <c r="B894" s="3" t="str">
        <f>HYPERLINK("https://www.als.com/simms-ws-freestone-boot---felt/p", "https://www.als.com/simms-ws-freestone-boot---felt/p")</f>
        <v>https://www.als.com/simms-ws-freestone-boot---felt/p</v>
      </c>
      <c r="C894" t="s">
        <v>2933</v>
      </c>
      <c r="D894" t="s">
        <v>2934</v>
      </c>
      <c r="E894" s="3" t="str">
        <f>HYPERLINK("https://www.amazon.com/Simms-Hardbite-Boot-Studs-Felt/dp/B001DS3X6Q/ref=sr_1_6?keywords=Simms+Freestone+Felt+Wading+Boot+-+Women%27s&amp;qid=1695124400&amp;sr=8-6", "https://www.amazon.com/Simms-Hardbite-Boot-Studs-Felt/dp/B001DS3X6Q/ref=sr_1_6?keywords=Simms+Freestone+Felt+Wading+Boot+-+Women%27s&amp;qid=1695124400&amp;sr=8-6")</f>
        <v>https://www.amazon.com/Simms-Hardbite-Boot-Studs-Felt/dp/B001DS3X6Q/ref=sr_1_6?keywords=Simms+Freestone+Felt+Wading+Boot+-+Women%27s&amp;qid=1695124400&amp;sr=8-6</v>
      </c>
      <c r="F894" t="s">
        <v>2935</v>
      </c>
      <c r="G894" t="e">
        <f ca="1">IMAGE("https://alssports.vtexassets.com/arquivos/ids/456880-800-auto?v=637382267517600000&amp;width=800&amp;height=auto&amp;aspect=true")</f>
        <v>#NAME?</v>
      </c>
      <c r="H894" t="e">
        <f ca="1">IMAGE("https://m.media-amazon.com/images/I/41yKssRcVQL._AC_UL320_.jpg")</f>
        <v>#NAME?</v>
      </c>
      <c r="I894" t="s">
        <v>2936</v>
      </c>
      <c r="J894">
        <v>34.950000000000003</v>
      </c>
      <c r="K894" s="2" t="s">
        <v>2937</v>
      </c>
      <c r="L894">
        <v>4.0999999999999996</v>
      </c>
      <c r="M894">
        <v>24</v>
      </c>
      <c r="O894" t="s">
        <v>33</v>
      </c>
      <c r="P894" t="s">
        <v>2938</v>
      </c>
      <c r="Q894" t="s">
        <v>2939</v>
      </c>
    </row>
    <row r="895" spans="1:17" ht="15.75" x14ac:dyDescent="0.25">
      <c r="A895" s="3" t="str">
        <f>HYPERLINK("https://www.als.com/sram-chain-pc-x01-eagle/p?skuId=536002", "https://www.als.com/sram-chain-pc-x01-eagle/p?skuId=536002")</f>
        <v>https://www.als.com/sram-chain-pc-x01-eagle/p?skuId=536002</v>
      </c>
      <c r="B895" s="3" t="str">
        <f>HYPERLINK("https://www.als.com/sram-chain-pc-x01-eagle/p", "https://www.als.com/sram-chain-pc-x01-eagle/p")</f>
        <v>https://www.als.com/sram-chain-pc-x01-eagle/p</v>
      </c>
      <c r="C895" t="s">
        <v>1104</v>
      </c>
      <c r="D895" t="s">
        <v>2940</v>
      </c>
      <c r="E895" s="3" t="str">
        <f>HYPERLINK("https://www.amazon.com/Sram-Powerlock-Connector-Chain-Chains/dp/B06VVMZN1W/ref=sr_1_30?keywords=SRAM+X01+Eagle+12-Speed+Chain&amp;qid=1695124143&amp;sr=8-30", "https://www.amazon.com/Sram-Powerlock-Connector-Chain-Chains/dp/B06VVMZN1W/ref=sr_1_30?keywords=SRAM+X01+Eagle+12-Speed+Chain&amp;qid=1695124143&amp;sr=8-30")</f>
        <v>https://www.amazon.com/Sram-Powerlock-Connector-Chain-Chains/dp/B06VVMZN1W/ref=sr_1_30?keywords=SRAM+X01+Eagle+12-Speed+Chain&amp;qid=1695124143&amp;sr=8-30</v>
      </c>
      <c r="F895" t="s">
        <v>2941</v>
      </c>
      <c r="G895" t="e">
        <f ca="1">IMAGE("https://alssports.vtexassets.com/arquivos/ids/1117391-800-auto?v=637964367650530000&amp;width=800&amp;height=auto&amp;aspect=true")</f>
        <v>#NAME?</v>
      </c>
      <c r="H895" t="e">
        <f ca="1">IMAGE("https://m.media-amazon.com/images/I/613TmMW3XNL._AC_UL320_.jpg")</f>
        <v>#NAME?</v>
      </c>
      <c r="I895" t="s">
        <v>1107</v>
      </c>
      <c r="J895">
        <v>23.99</v>
      </c>
      <c r="K895" s="2" t="s">
        <v>2942</v>
      </c>
      <c r="L895">
        <v>4.8</v>
      </c>
      <c r="M895">
        <v>148</v>
      </c>
      <c r="O895" t="s">
        <v>33</v>
      </c>
      <c r="P895" t="s">
        <v>26</v>
      </c>
      <c r="Q895" t="s">
        <v>1109</v>
      </c>
    </row>
    <row r="896" spans="1:17" ht="15.75" x14ac:dyDescent="0.25">
      <c r="A896" s="3" t="str">
        <f>HYPERLINK("https://www.als.com/hydrof-bottle-standard-mouth-21/p?skuId=255000", "https://www.als.com/hydrof-bottle-standard-mouth-21/p?skuId=255000")</f>
        <v>https://www.als.com/hydrof-bottle-standard-mouth-21/p?skuId=255000</v>
      </c>
      <c r="B896" s="3" t="str">
        <f>HYPERLINK("https://www.als.com/hydrof-bottle-standard-mouth-21/p", "https://www.als.com/hydrof-bottle-standard-mouth-21/p")</f>
        <v>https://www.als.com/hydrof-bottle-standard-mouth-21/p</v>
      </c>
      <c r="C896" t="s">
        <v>525</v>
      </c>
      <c r="D896" t="s">
        <v>2943</v>
      </c>
      <c r="E896" s="3" t="str">
        <f>HYPERLINK("https://www.amazon.com/NuRich-Standard-Replacement-Hydroflask-Bottles/dp/B07PRHWT4W/ref=sr_1_37?keywords=Hydro+Flask+Standard+Mouth+Insulated+Bottle+-+21oz&amp;qid=1695124388&amp;sr=8-37", "https://www.amazon.com/NuRich-Standard-Replacement-Hydroflask-Bottles/dp/B07PRHWT4W/ref=sr_1_37?keywords=Hydro+Flask+Standard+Mouth+Insulated+Bottle+-+21oz&amp;qid=1695124388&amp;sr=8-37")</f>
        <v>https://www.amazon.com/NuRich-Standard-Replacement-Hydroflask-Bottles/dp/B07PRHWT4W/ref=sr_1_37?keywords=Hydro+Flask+Standard+Mouth+Insulated+Bottle+-+21oz&amp;qid=1695124388&amp;sr=8-37</v>
      </c>
      <c r="F896" t="s">
        <v>2944</v>
      </c>
      <c r="G896" t="e">
        <f ca="1">IMAGE("https://alssports.vtexassets.com/arquivos/ids/1173834-800-auto?v=638042939420000000&amp;width=800&amp;height=auto&amp;aspect=true")</f>
        <v>#NAME?</v>
      </c>
      <c r="H896" t="e">
        <f ca="1">IMAGE("https://m.media-amazon.com/images/I/51JdTBCvnTL._AC_UL320_.jpg")</f>
        <v>#NAME?</v>
      </c>
      <c r="I896" t="s">
        <v>528</v>
      </c>
      <c r="J896">
        <v>12.99</v>
      </c>
      <c r="K896" s="2" t="s">
        <v>2945</v>
      </c>
      <c r="L896">
        <v>4.5</v>
      </c>
      <c r="M896">
        <v>33</v>
      </c>
      <c r="O896" t="s">
        <v>33</v>
      </c>
      <c r="P896" t="s">
        <v>26</v>
      </c>
      <c r="Q896" t="s">
        <v>530</v>
      </c>
    </row>
    <row r="897" spans="1:17" ht="15.75" x14ac:dyDescent="0.25">
      <c r="A897" s="3" t="str">
        <f>HYPERLINK("https://www.als.com/hydrof-bottle-standard-mouth-21/p?skuId=255000", "https://www.als.com/hydrof-bottle-standard-mouth-21/p?skuId=255000")</f>
        <v>https://www.als.com/hydrof-bottle-standard-mouth-21/p?skuId=255000</v>
      </c>
      <c r="B897" s="3" t="str">
        <f>HYPERLINK("https://www.als.com/hydrof-bottle-standard-mouth-21/p", "https://www.als.com/hydrof-bottle-standard-mouth-21/p")</f>
        <v>https://www.als.com/hydrof-bottle-standard-mouth-21/p</v>
      </c>
      <c r="C897" t="s">
        <v>525</v>
      </c>
      <c r="D897" t="s">
        <v>2946</v>
      </c>
      <c r="E897" s="3" t="str">
        <f>HYPERLINK("https://www.amazon.com/Mass-Mouth-Silicone-Sports-Bottle/dp/B08597W6N4/ref=sr_1_38?keywords=Hydro+Flask+Standard+Mouth+Insulated+Bottle+-+21oz&amp;qid=1695124388&amp;sr=8-38", "https://www.amazon.com/Mass-Mouth-Silicone-Sports-Bottle/dp/B08597W6N4/ref=sr_1_38?keywords=Hydro+Flask+Standard+Mouth+Insulated+Bottle+-+21oz&amp;qid=1695124388&amp;sr=8-38")</f>
        <v>https://www.amazon.com/Mass-Mouth-Silicone-Sports-Bottle/dp/B08597W6N4/ref=sr_1_38?keywords=Hydro+Flask+Standard+Mouth+Insulated+Bottle+-+21oz&amp;qid=1695124388&amp;sr=8-38</v>
      </c>
      <c r="F897" t="s">
        <v>2947</v>
      </c>
      <c r="G897" t="e">
        <f ca="1">IMAGE("https://alssports.vtexassets.com/arquivos/ids/1173834-800-auto?v=638042939420000000&amp;width=800&amp;height=auto&amp;aspect=true")</f>
        <v>#NAME?</v>
      </c>
      <c r="H897" t="e">
        <f ca="1">IMAGE("https://m.media-amazon.com/images/I/51tOr58B0kL._AC_UL320_.jpg")</f>
        <v>#NAME?</v>
      </c>
      <c r="I897" t="s">
        <v>528</v>
      </c>
      <c r="J897">
        <v>12.99</v>
      </c>
      <c r="K897" s="2" t="s">
        <v>2945</v>
      </c>
      <c r="L897">
        <v>4.5999999999999996</v>
      </c>
      <c r="M897">
        <v>6013</v>
      </c>
      <c r="O897" t="s">
        <v>33</v>
      </c>
      <c r="P897" t="s">
        <v>26</v>
      </c>
      <c r="Q897" t="s">
        <v>530</v>
      </c>
    </row>
    <row r="898" spans="1:17" ht="15.75" x14ac:dyDescent="0.25">
      <c r="A898" s="3" t="str">
        <f>HYPERLINK("https://www.als.com/hydrof-bottle-standard-mouth-21/p?skuId=255000", "https://www.als.com/hydrof-bottle-standard-mouth-21/p?skuId=255000")</f>
        <v>https://www.als.com/hydrof-bottle-standard-mouth-21/p?skuId=255000</v>
      </c>
      <c r="B898" s="3" t="str">
        <f>HYPERLINK("https://www.als.com/hydrof-bottle-standard-mouth-21/p", "https://www.als.com/hydrof-bottle-standard-mouth-21/p")</f>
        <v>https://www.als.com/hydrof-bottle-standard-mouth-21/p</v>
      </c>
      <c r="C898" t="s">
        <v>525</v>
      </c>
      <c r="D898" t="s">
        <v>2948</v>
      </c>
      <c r="E898" s="3" t="str">
        <f>HYPERLINK("https://www.amazon.com/IRON-%C2%B0FLASK-Standard-Insulated-Cleaning/dp/B083HFJYJ5/ref=sr_1_41?keywords=Hydro+Flask+Standard+Mouth+Insulated+Bottle+-+21oz&amp;qid=1695124388&amp;sr=8-41", "https://www.amazon.com/IRON-%C2%B0FLASK-Standard-Insulated-Cleaning/dp/B083HFJYJ5/ref=sr_1_41?keywords=Hydro+Flask+Standard+Mouth+Insulated+Bottle+-+21oz&amp;qid=1695124388&amp;sr=8-41")</f>
        <v>https://www.amazon.com/IRON-%C2%B0FLASK-Standard-Insulated-Cleaning/dp/B083HFJYJ5/ref=sr_1_41?keywords=Hydro+Flask+Standard+Mouth+Insulated+Bottle+-+21oz&amp;qid=1695124388&amp;sr=8-41</v>
      </c>
      <c r="F898" t="s">
        <v>2949</v>
      </c>
      <c r="G898" t="e">
        <f ca="1">IMAGE("https://alssports.vtexassets.com/arquivos/ids/1173834-800-auto?v=638042939420000000&amp;width=800&amp;height=auto&amp;aspect=true")</f>
        <v>#NAME?</v>
      </c>
      <c r="H898" t="e">
        <f ca="1">IMAGE("https://m.media-amazon.com/images/I/71QK-D1l5AL._AC_UL320_.jpg")</f>
        <v>#NAME?</v>
      </c>
      <c r="I898" t="s">
        <v>528</v>
      </c>
      <c r="J898">
        <v>12.95</v>
      </c>
      <c r="K898" s="2" t="s">
        <v>2950</v>
      </c>
      <c r="L898">
        <v>4.7</v>
      </c>
      <c r="M898">
        <v>2129</v>
      </c>
      <c r="O898" t="s">
        <v>33</v>
      </c>
      <c r="P898" t="s">
        <v>26</v>
      </c>
      <c r="Q898" t="s">
        <v>530</v>
      </c>
    </row>
    <row r="899" spans="1:17" ht="15.75" x14ac:dyDescent="0.25">
      <c r="A899" s="3" t="str">
        <f>HYPERLINK("https://www.als.com/crocs-classic-clog/p?skuId=1196935", "https://www.als.com/crocs-classic-clog/p?skuId=1196935")</f>
        <v>https://www.als.com/crocs-classic-clog/p?skuId=1196935</v>
      </c>
      <c r="B899" s="3" t="str">
        <f>HYPERLINK("https://www.als.com/crocs-classic-clog/p", "https://www.als.com/crocs-classic-clog/p")</f>
        <v>https://www.als.com/crocs-classic-clog/p</v>
      </c>
      <c r="C899" t="s">
        <v>1100</v>
      </c>
      <c r="D899" t="s">
        <v>2951</v>
      </c>
      <c r="E899" s="3" t="str">
        <f>HYPERLINK("https://www.amazon.com/Crocs-Womens-Classic-Slippers-Bleached/dp/B08PVZV2B1/ref=sr_1_10?keywords=Crocs+Classic+Clog&amp;qid=1695124151&amp;sr=8-10", "https://www.amazon.com/Crocs-Womens-Classic-Slippers-Bleached/dp/B08PVZV2B1/ref=sr_1_10?keywords=Crocs+Classic+Clog&amp;qid=1695124151&amp;sr=8-10")</f>
        <v>https://www.amazon.com/Crocs-Womens-Classic-Slippers-Bleached/dp/B08PVZV2B1/ref=sr_1_10?keywords=Crocs+Classic+Clog&amp;qid=1695124151&amp;sr=8-10</v>
      </c>
      <c r="F899" t="s">
        <v>2952</v>
      </c>
      <c r="G899" t="e">
        <f ca="1">IMAGE("https://alssports.vtexassets.com/arquivos/ids/1222253-800-auto?v=638102875835800000&amp;width=800&amp;height=auto&amp;aspect=true")</f>
        <v>#NAME?</v>
      </c>
      <c r="H899" t="e">
        <f ca="1">IMAGE("https://m.media-amazon.com/images/I/7123l1n1zeL._AC_UL320_.jpg")</f>
        <v>#NAME?</v>
      </c>
      <c r="I899" t="s">
        <v>157</v>
      </c>
      <c r="J899">
        <v>18.41</v>
      </c>
      <c r="K899" s="2" t="s">
        <v>2953</v>
      </c>
      <c r="L899">
        <v>4.8</v>
      </c>
      <c r="M899">
        <v>17872</v>
      </c>
      <c r="O899" t="s">
        <v>33</v>
      </c>
      <c r="P899" t="s">
        <v>26</v>
      </c>
      <c r="Q899" t="s">
        <v>1103</v>
      </c>
    </row>
    <row r="900" spans="1:17" ht="15.75" x14ac:dyDescent="0.25">
      <c r="A900" s="3" t="str">
        <f>HYPERLINK("https://www.als.com/hydrof-bottle-standard-mouth-21/p?skuId=255000", "https://www.als.com/hydrof-bottle-standard-mouth-21/p?skuId=255000")</f>
        <v>https://www.als.com/hydrof-bottle-standard-mouth-21/p?skuId=255000</v>
      </c>
      <c r="B900" s="3" t="str">
        <f>HYPERLINK("https://www.als.com/hydrof-bottle-standard-mouth-21/p", "https://www.als.com/hydrof-bottle-standard-mouth-21/p")</f>
        <v>https://www.als.com/hydrof-bottle-standard-mouth-21/p</v>
      </c>
      <c r="C900" t="s">
        <v>525</v>
      </c>
      <c r="D900" t="s">
        <v>2954</v>
      </c>
      <c r="E900" s="3" t="str">
        <f>HYPERLINK("https://www.amazon.com/Standard-Hydroflask-Accessories-Replacement-Patented/dp/B0B14ZF4BW/ref=sr_1_30?keywords=Hydro+Flask+Standard+Mouth+Insulated+Bottle+-+21oz&amp;qid=1695124388&amp;sr=8-30", "https://www.amazon.com/Standard-Hydroflask-Accessories-Replacement-Patented/dp/B0B14ZF4BW/ref=sr_1_30?keywords=Hydro+Flask+Standard+Mouth+Insulated+Bottle+-+21oz&amp;qid=1695124388&amp;sr=8-30")</f>
        <v>https://www.amazon.com/Standard-Hydroflask-Accessories-Replacement-Patented/dp/B0B14ZF4BW/ref=sr_1_30?keywords=Hydro+Flask+Standard+Mouth+Insulated+Bottle+-+21oz&amp;qid=1695124388&amp;sr=8-30</v>
      </c>
      <c r="F900" t="s">
        <v>2955</v>
      </c>
      <c r="G900" t="e">
        <f ca="1">IMAGE("https://alssports.vtexassets.com/arquivos/ids/1173834-800-auto?v=638042939420000000&amp;width=800&amp;height=auto&amp;aspect=true")</f>
        <v>#NAME?</v>
      </c>
      <c r="H900" t="e">
        <f ca="1">IMAGE("https://m.media-amazon.com/images/I/61iHjFFvEML._AC_UL320_.jpg")</f>
        <v>#NAME?</v>
      </c>
      <c r="I900" t="s">
        <v>528</v>
      </c>
      <c r="J900">
        <v>12.55</v>
      </c>
      <c r="K900" s="2" t="s">
        <v>2956</v>
      </c>
      <c r="L900">
        <v>4.4000000000000004</v>
      </c>
      <c r="M900">
        <v>509</v>
      </c>
      <c r="O900" t="s">
        <v>33</v>
      </c>
      <c r="P900" t="s">
        <v>26</v>
      </c>
      <c r="Q900" t="s">
        <v>530</v>
      </c>
    </row>
    <row r="901" spans="1:17" ht="15.75" x14ac:dyDescent="0.25">
      <c r="A901" s="3" t="str">
        <f>HYPERLINK("https://www.als.com/sitka-m-hoody-traverse/p?skuId=990723", "https://www.als.com/sitka-m-hoody-traverse/p?skuId=990723")</f>
        <v>https://www.als.com/sitka-m-hoody-traverse/p?skuId=990723</v>
      </c>
      <c r="B901" s="3" t="str">
        <f>HYPERLINK("https://www.als.com/sitka-m-hoody-traverse/p", "https://www.als.com/sitka-m-hoody-traverse/p")</f>
        <v>https://www.als.com/sitka-m-hoody-traverse/p</v>
      </c>
      <c r="C901" t="s">
        <v>2957</v>
      </c>
      <c r="D901" t="s">
        <v>2958</v>
      </c>
      <c r="E901" s="3" t="str">
        <f>HYPERLINK("https://www.amazon.com/SITKA-Gear-Unisex-Traverse-Waterfowl/dp/B0BJ6XP892/ref=sr_1_15?keywords=Sitka+Traverse+Hoodie+-+Mens&amp;qid=1695124314&amp;sr=8-15", "https://www.amazon.com/SITKA-Gear-Unisex-Traverse-Waterfowl/dp/B0BJ6XP892/ref=sr_1_15?keywords=Sitka+Traverse+Hoodie+-+Mens&amp;qid=1695124314&amp;sr=8-15")</f>
        <v>https://www.amazon.com/SITKA-Gear-Unisex-Traverse-Waterfowl/dp/B0BJ6XP892/ref=sr_1_15?keywords=Sitka+Traverse+Hoodie+-+Mens&amp;qid=1695124314&amp;sr=8-15</v>
      </c>
      <c r="F901" t="s">
        <v>2959</v>
      </c>
      <c r="G901" t="e">
        <f ca="1">IMAGE("https://alssports.vtexassets.com/arquivos/ids/1391071-800-auto?v=638258161010130000&amp;width=800&amp;height=auto&amp;aspect=true")</f>
        <v>#NAME?</v>
      </c>
      <c r="H901" t="e">
        <f ca="1">IMAGE("https://m.media-amazon.com/images/I/71Zxn-tbDvL._AC_UL320_.jpg")</f>
        <v>#NAME?</v>
      </c>
      <c r="I901" t="s">
        <v>174</v>
      </c>
      <c r="J901">
        <v>28.46</v>
      </c>
      <c r="K901" s="2" t="s">
        <v>2960</v>
      </c>
      <c r="L901">
        <v>4.3</v>
      </c>
      <c r="M901">
        <v>22</v>
      </c>
      <c r="O901" t="s">
        <v>33</v>
      </c>
      <c r="P901" t="s">
        <v>196</v>
      </c>
      <c r="Q901" t="s">
        <v>2961</v>
      </c>
    </row>
    <row r="902" spans="1:17" ht="15.75" x14ac:dyDescent="0.25">
      <c r="A902" s="3" t="str">
        <f>HYPERLINK("https://www.als.com/hydrof-bottle-standard-mouth-21/p?skuId=255000", "https://www.als.com/hydrof-bottle-standard-mouth-21/p?skuId=255000")</f>
        <v>https://www.als.com/hydrof-bottle-standard-mouth-21/p?skuId=255000</v>
      </c>
      <c r="B902" s="3" t="str">
        <f>HYPERLINK("https://www.als.com/hydrof-bottle-standard-mouth-21/p", "https://www.als.com/hydrof-bottle-standard-mouth-21/p")</f>
        <v>https://www.als.com/hydrof-bottle-standard-mouth-21/p</v>
      </c>
      <c r="C902" t="s">
        <v>525</v>
      </c>
      <c r="D902" t="s">
        <v>2962</v>
      </c>
      <c r="E902" s="3" t="str">
        <f>HYPERLINK("https://www.amazon.com/HEYSKAY-Straw-Silicone-Insulated-Bottle/dp/B0C1CCZ9JK/ref=sr_1_21?keywords=Hydro+Flask+Standard+Mouth+Insulated+Bottle+-+21oz&amp;qid=1695124388&amp;sr=8-21", "https://www.amazon.com/HEYSKAY-Straw-Silicone-Insulated-Bottle/dp/B0C1CCZ9JK/ref=sr_1_21?keywords=Hydro+Flask+Standard+Mouth+Insulated+Bottle+-+21oz&amp;qid=1695124388&amp;sr=8-21")</f>
        <v>https://www.amazon.com/HEYSKAY-Straw-Silicone-Insulated-Bottle/dp/B0C1CCZ9JK/ref=sr_1_21?keywords=Hydro+Flask+Standard+Mouth+Insulated+Bottle+-+21oz&amp;qid=1695124388&amp;sr=8-21</v>
      </c>
      <c r="F902" t="s">
        <v>2963</v>
      </c>
      <c r="G902" t="e">
        <f ca="1">IMAGE("https://alssports.vtexassets.com/arquivos/ids/1173834-800-auto?v=638042939420000000&amp;width=800&amp;height=auto&amp;aspect=true")</f>
        <v>#NAME?</v>
      </c>
      <c r="H902" t="e">
        <f ca="1">IMAGE("https://m.media-amazon.com/images/I/7161tVZk-mL._AC_UL320_.jpg")</f>
        <v>#NAME?</v>
      </c>
      <c r="I902" t="s">
        <v>528</v>
      </c>
      <c r="J902">
        <v>11.99</v>
      </c>
      <c r="K902" s="2" t="s">
        <v>2964</v>
      </c>
      <c r="L902">
        <v>5</v>
      </c>
      <c r="M902">
        <v>2</v>
      </c>
      <c r="O902" t="s">
        <v>33</v>
      </c>
      <c r="P902" t="s">
        <v>26</v>
      </c>
      <c r="Q902" t="s">
        <v>530</v>
      </c>
    </row>
    <row r="903" spans="1:17" ht="15.75" x14ac:dyDescent="0.25">
      <c r="A903" s="3" t="str">
        <f>HYPERLINK("https://www.als.com/altra-w-shoe-timp-4/p?skuId=929220", "https://www.als.com/altra-w-shoe-timp-4/p?skuId=929220")</f>
        <v>https://www.als.com/altra-w-shoe-timp-4/p?skuId=929220</v>
      </c>
      <c r="B903" s="3" t="str">
        <f>HYPERLINK("https://www.als.com/altra-w-shoe-timp-4/p", "https://www.als.com/altra-w-shoe-timp-4/p")</f>
        <v>https://www.als.com/altra-w-shoe-timp-4/p</v>
      </c>
      <c r="C903" t="s">
        <v>829</v>
      </c>
      <c r="D903" t="s">
        <v>2965</v>
      </c>
      <c r="E903" s="3" t="str">
        <f>HYPERLINK("https://www.amazon.com/ALTRA-Womens-AL0A7R78-Torin-Running/dp/B09QH4LMPT/ref=sr_1_8?keywords=Altra+Timp+4+Running+Shoe+-+Womens&amp;qid=1695124369&amp;sr=8-8", "https://www.amazon.com/ALTRA-Womens-AL0A7R78-Torin-Running/dp/B09QH4LMPT/ref=sr_1_8?keywords=Altra+Timp+4+Running+Shoe+-+Womens&amp;qid=1695124369&amp;sr=8-8")</f>
        <v>https://www.amazon.com/ALTRA-Womens-AL0A7R78-Torin-Running/dp/B09QH4LMPT/ref=sr_1_8?keywords=Altra+Timp+4+Running+Shoe+-+Womens&amp;qid=1695124369&amp;sr=8-8</v>
      </c>
      <c r="F903" t="s">
        <v>2966</v>
      </c>
      <c r="G903" t="e">
        <f ca="1">IMAGE("https://alssports.vtexassets.com/arquivos/ids/1112796-800-auto?v=637957454637830000&amp;width=800&amp;height=auto&amp;aspect=true")</f>
        <v>#NAME?</v>
      </c>
      <c r="H903" t="e">
        <f ca="1">IMAGE("https://m.media-amazon.com/images/I/615EaB0PmeL._AC_UL320_.jpg")</f>
        <v>#NAME?</v>
      </c>
      <c r="I903" t="s">
        <v>88</v>
      </c>
      <c r="J903">
        <v>54.87</v>
      </c>
      <c r="K903" s="2" t="s">
        <v>2967</v>
      </c>
      <c r="L903">
        <v>4.2</v>
      </c>
      <c r="M903">
        <v>425</v>
      </c>
      <c r="O903" t="s">
        <v>33</v>
      </c>
      <c r="P903" t="s">
        <v>832</v>
      </c>
      <c r="Q903" t="s">
        <v>833</v>
      </c>
    </row>
    <row r="904" spans="1:17" ht="15.75" x14ac:dyDescent="0.25">
      <c r="A904" s="3" t="str">
        <f>HYPERLINK("https://www.als.com/sram-chain-pc-x01-eagle/p?skuId=536002", "https://www.als.com/sram-chain-pc-x01-eagle/p?skuId=536002")</f>
        <v>https://www.als.com/sram-chain-pc-x01-eagle/p?skuId=536002</v>
      </c>
      <c r="B904" s="3" t="str">
        <f>HYPERLINK("https://www.als.com/sram-chain-pc-x01-eagle/p", "https://www.als.com/sram-chain-pc-x01-eagle/p")</f>
        <v>https://www.als.com/sram-chain-pc-x01-eagle/p</v>
      </c>
      <c r="C904" t="s">
        <v>1104</v>
      </c>
      <c r="D904" t="s">
        <v>2968</v>
      </c>
      <c r="E904" s="3" t="str">
        <f>HYPERLINK("https://www.amazon.com/SRAM-Powerlock-Connector-Chain-Chains/dp/B07PNCH2PK/ref=sr_1_28?keywords=SRAM+X01+Eagle+12-Speed+Chain&amp;qid=1695124143&amp;sr=8-28", "https://www.amazon.com/SRAM-Powerlock-Connector-Chain-Chains/dp/B07PNCH2PK/ref=sr_1_28?keywords=SRAM+X01+Eagle+12-Speed+Chain&amp;qid=1695124143&amp;sr=8-28")</f>
        <v>https://www.amazon.com/SRAM-Powerlock-Connector-Chain-Chains/dp/B07PNCH2PK/ref=sr_1_28?keywords=SRAM+X01+Eagle+12-Speed+Chain&amp;qid=1695124143&amp;sr=8-28</v>
      </c>
      <c r="F904" t="s">
        <v>2969</v>
      </c>
      <c r="G904" t="e">
        <f ca="1">IMAGE("https://alssports.vtexassets.com/arquivos/ids/1117391-800-auto?v=637964367650530000&amp;width=800&amp;height=auto&amp;aspect=true")</f>
        <v>#NAME?</v>
      </c>
      <c r="H904" t="e">
        <f ca="1">IMAGE("https://m.media-amazon.com/images/I/8153OhX2eHL._AC_UL320_.jpg")</f>
        <v>#NAME?</v>
      </c>
      <c r="I904" t="s">
        <v>1107</v>
      </c>
      <c r="J904">
        <v>21.95</v>
      </c>
      <c r="K904" s="2" t="s">
        <v>2967</v>
      </c>
      <c r="L904">
        <v>4.3</v>
      </c>
      <c r="M904">
        <v>23</v>
      </c>
      <c r="O904" t="s">
        <v>33</v>
      </c>
      <c r="P904" t="s">
        <v>26</v>
      </c>
      <c r="Q904" t="s">
        <v>1109</v>
      </c>
    </row>
    <row r="905" spans="1:17" ht="15.75" x14ac:dyDescent="0.25">
      <c r="A905" s="3" t="str">
        <f>HYPERLINK("https://www.als.com/badlan-bino-harness-bino-x/p?skuId=1282139", "https://www.als.com/badlan-bino-harness-bino-x/p?skuId=1282139")</f>
        <v>https://www.als.com/badlan-bino-harness-bino-x/p?skuId=1282139</v>
      </c>
      <c r="B905" s="3" t="str">
        <f>HYPERLINK("https://www.als.com/badlan-bino-harness-bino-x/p", "https://www.als.com/badlan-bino-harness-bino-x/p")</f>
        <v>https://www.als.com/badlan-bino-harness-bino-x/p</v>
      </c>
      <c r="C905" t="s">
        <v>2970</v>
      </c>
      <c r="D905" t="s">
        <v>2971</v>
      </c>
      <c r="E905" s="3" t="str">
        <f>HYPERLINK("https://www.amazon.com/LTGEM-Hard-Nikon-Monarch-Binocular/dp/B0B11MFVWL/ref=sr_1_13?keywords=Badlands+Bino+X+Binocular+Bag&amp;qid=1695124152&amp;sr=8-13", "https://www.amazon.com/LTGEM-Hard-Nikon-Monarch-Binocular/dp/B0B11MFVWL/ref=sr_1_13?keywords=Badlands+Bino+X+Binocular+Bag&amp;qid=1695124152&amp;sr=8-13")</f>
        <v>https://www.amazon.com/LTGEM-Hard-Nikon-Monarch-Binocular/dp/B0B11MFVWL/ref=sr_1_13?keywords=Badlands+Bino+X+Binocular+Bag&amp;qid=1695124152&amp;sr=8-13</v>
      </c>
      <c r="F905" t="s">
        <v>2972</v>
      </c>
      <c r="G905" t="e">
        <f ca="1">IMAGE("https://alssports.vtexassets.com/arquivos/ids/1174224-800-auto?v=638043318997000000&amp;width=800&amp;height=auto&amp;aspect=true")</f>
        <v>#NAME?</v>
      </c>
      <c r="H905" t="e">
        <f ca="1">IMAGE("https://m.media-amazon.com/images/I/714HqsExfyL._AC_UY218_.jpg")</f>
        <v>#NAME?</v>
      </c>
      <c r="I905" t="s">
        <v>1610</v>
      </c>
      <c r="J905">
        <v>16.989999999999998</v>
      </c>
      <c r="K905" s="2" t="s">
        <v>2973</v>
      </c>
      <c r="L905">
        <v>4.5999999999999996</v>
      </c>
      <c r="M905">
        <v>8</v>
      </c>
      <c r="O905" t="s">
        <v>33</v>
      </c>
      <c r="P905" t="s">
        <v>1064</v>
      </c>
      <c r="Q905" t="s">
        <v>2974</v>
      </c>
    </row>
    <row r="906" spans="1:17" ht="15.75" x14ac:dyDescent="0.25">
      <c r="A906" s="3" t="str">
        <f>HYPERLINK("https://www.als.com/reding-reel-run/p?skuId=668675", "https://www.als.com/reding-reel-run/p?skuId=668675")</f>
        <v>https://www.als.com/reding-reel-run/p?skuId=668675</v>
      </c>
      <c r="B906" s="3" t="str">
        <f>HYPERLINK("https://www.als.com/reding-reel-run/p", "https://www.als.com/reding-reel-run/p")</f>
        <v>https://www.als.com/reding-reel-run/p</v>
      </c>
      <c r="C906" t="s">
        <v>636</v>
      </c>
      <c r="D906" t="s">
        <v>2975</v>
      </c>
      <c r="E906" s="3" t="str">
        <f>HYPERLINK("https://www.amazon.com/Redington-Crosswater-Fly-Reel-Black/dp/B074KMMHD2/ref=sr_1_16?keywords=Redington+Run+Fishing+Reel&amp;qid=1695124368&amp;sr=8-16", "https://www.amazon.com/Redington-Crosswater-Fly-Reel-Black/dp/B074KMMHD2/ref=sr_1_16?keywords=Redington+Run+Fishing+Reel&amp;qid=1695124368&amp;sr=8-16")</f>
        <v>https://www.amazon.com/Redington-Crosswater-Fly-Reel-Black/dp/B074KMMHD2/ref=sr_1_16?keywords=Redington+Run+Fishing+Reel&amp;qid=1695124368&amp;sr=8-16</v>
      </c>
      <c r="F906" t="s">
        <v>2976</v>
      </c>
      <c r="G906" t="e">
        <f ca="1">IMAGE("https://alssports.vtexassets.com/arquivos/ids/965822-800-auto?v=637738270480870000&amp;width=800&amp;height=auto&amp;aspect=true")</f>
        <v>#NAME?</v>
      </c>
      <c r="H906" t="e">
        <f ca="1">IMAGE("https://m.media-amazon.com/images/I/613cZWK26hL._AC_UY218_.jpg")</f>
        <v>#NAME?</v>
      </c>
      <c r="I906" t="s">
        <v>639</v>
      </c>
      <c r="J906">
        <v>39.99</v>
      </c>
      <c r="K906" s="2" t="s">
        <v>2977</v>
      </c>
      <c r="L906">
        <v>4.5</v>
      </c>
      <c r="M906">
        <v>196</v>
      </c>
      <c r="O906" t="s">
        <v>33</v>
      </c>
      <c r="P906" t="s">
        <v>26</v>
      </c>
      <c r="Q906" t="s">
        <v>641</v>
      </c>
    </row>
    <row r="907" spans="1:17" ht="15.75" x14ac:dyDescent="0.25">
      <c r="A907" s="3" t="str">
        <f>HYPERLINK("https://www.als.com/solstc-kayak-flare-2-inflatable/p", "https://www.als.com/solstc-kayak-flare-2-inflatable/p")</f>
        <v>https://www.als.com/solstc-kayak-flare-2-inflatable/p</v>
      </c>
      <c r="B907" s="3" t="str">
        <f>HYPERLINK("https://www.als.com/solstc-kayak-flare-2-inflatable/p", "https://www.als.com/solstc-kayak-flare-2-inflatable/p")</f>
        <v>https://www.als.com/solstc-kayak-flare-2-inflatable/p</v>
      </c>
      <c r="C907" t="s">
        <v>2156</v>
      </c>
      <c r="D907" t="s">
        <v>2978</v>
      </c>
      <c r="E907" s="3" t="str">
        <f>HYPERLINK("https://www.amazon.com/Intex-68310VM-2-Person-Heavy-Duty-Inflatable/dp/B085S877YV/ref=sr_1_5?keywords=Solstice+Flare+1-2+Person+Inflatable+Kayak&amp;qid=1695124327&amp;sr=8-5", "https://www.amazon.com/Intex-68310VM-2-Person-Heavy-Duty-Inflatable/dp/B085S877YV/ref=sr_1_5?keywords=Solstice+Flare+1-2+Person+Inflatable+Kayak&amp;qid=1695124327&amp;sr=8-5")</f>
        <v>https://www.amazon.com/Intex-68310VM-2-Person-Heavy-Duty-Inflatable/dp/B085S877YV/ref=sr_1_5?keywords=Solstice+Flare+1-2+Person+Inflatable+Kayak&amp;qid=1695124327&amp;sr=8-5</v>
      </c>
      <c r="F907" t="s">
        <v>2979</v>
      </c>
      <c r="G907" t="e">
        <f ca="1">IMAGE("https://alssports.vtexassets.com/arquivos/ids/1412193-800-auto?v=638271061065300000&amp;width=800&amp;height=auto&amp;aspect=true")</f>
        <v>#NAME?</v>
      </c>
      <c r="H907" t="e">
        <f ca="1">IMAGE("https://m.media-amazon.com/images/I/61iAlMbrztL._AC_UY218_.jpg")</f>
        <v>#NAME?</v>
      </c>
      <c r="I907" t="s">
        <v>2159</v>
      </c>
      <c r="J907">
        <v>219.99</v>
      </c>
      <c r="K907" s="2" t="s">
        <v>2980</v>
      </c>
      <c r="L907">
        <v>4.4000000000000004</v>
      </c>
      <c r="M907">
        <v>1162</v>
      </c>
      <c r="O907" t="s">
        <v>33</v>
      </c>
      <c r="P907" t="s">
        <v>26</v>
      </c>
      <c r="Q907" t="s">
        <v>2161</v>
      </c>
    </row>
    <row r="908" spans="1:17" ht="15.75" x14ac:dyDescent="0.25">
      <c r="A908" s="3" t="str">
        <f>HYPERLINK("https://www.als.com/shimab-pedal-pd-m9100-spd-cleat-pack/p?skuId=500218", "https://www.als.com/shimab-pedal-pd-m9100-spd-cleat-pack/p?skuId=500218")</f>
        <v>https://www.als.com/shimab-pedal-pd-m9100-spd-cleat-pack/p?skuId=500218</v>
      </c>
      <c r="B908" s="3" t="str">
        <f>HYPERLINK("https://www.als.com/shimab-pedal-pd-m9100-spd-cleat-pack/p", "https://www.als.com/shimab-pedal-pd-m9100-spd-cleat-pack/p")</f>
        <v>https://www.als.com/shimab-pedal-pd-m9100-spd-cleat-pack/p</v>
      </c>
      <c r="C908" t="s">
        <v>541</v>
      </c>
      <c r="D908" t="s">
        <v>2981</v>
      </c>
      <c r="E908" s="3" t="str">
        <f>HYPERLINK("https://www.amazon.com/SHIMANO-PD-M9100-Pedal-Assembly-20T-P-I/dp/B07LGGT2R9/ref=sr_1_4?keywords=Shimano+TR+PD-M9100+Pedal&amp;qid=1695124455&amp;sr=8-4", "https://www.amazon.com/SHIMANO-PD-M9100-Pedal-Assembly-20T-P-I/dp/B07LGGT2R9/ref=sr_1_4?keywords=Shimano+TR+PD-M9100+Pedal&amp;qid=1695124455&amp;sr=8-4")</f>
        <v>https://www.amazon.com/SHIMANO-PD-M9100-Pedal-Assembly-20T-P-I/dp/B07LGGT2R9/ref=sr_1_4?keywords=Shimano+TR+PD-M9100+Pedal&amp;qid=1695124455&amp;sr=8-4</v>
      </c>
      <c r="F908" t="s">
        <v>2982</v>
      </c>
      <c r="G908" t="e">
        <f ca="1">IMAGE("https://alssports.vtexassets.com/arquivos/ids/1120618-800-auto?v=637969747990030000&amp;width=800&amp;height=auto&amp;aspect=true")</f>
        <v>#NAME?</v>
      </c>
      <c r="H908" t="e">
        <f ca="1">IMAGE("https://m.media-amazon.com/images/I/51YnYA4H-zL._AC_UL320_.jpg")</f>
        <v>#NAME?</v>
      </c>
      <c r="I908" t="s">
        <v>544</v>
      </c>
      <c r="J908">
        <v>57.96</v>
      </c>
      <c r="K908" s="2" t="s">
        <v>2983</v>
      </c>
      <c r="L908">
        <v>5</v>
      </c>
      <c r="M908">
        <v>1</v>
      </c>
      <c r="O908" t="s">
        <v>33</v>
      </c>
      <c r="P908" t="s">
        <v>26</v>
      </c>
      <c r="Q908" t="s">
        <v>546</v>
      </c>
    </row>
    <row r="909" spans="1:17" ht="15.75" x14ac:dyDescent="0.25">
      <c r="A909" s="3" t="str">
        <f>HYPERLINK("https://www.als.com/gord-rally-mitt/p?skuId=1306142", "https://www.als.com/gord-rally-mitt/p?skuId=1306142")</f>
        <v>https://www.als.com/gord-rally-mitt/p?skuId=1306142</v>
      </c>
      <c r="B909" s="3" t="str">
        <f>HYPERLINK("https://www.als.com/gord-rally-mitt/p", "https://www.als.com/gord-rally-mitt/p")</f>
        <v>https://www.als.com/gord-rally-mitt/p</v>
      </c>
      <c r="C909" t="s">
        <v>682</v>
      </c>
      <c r="D909" t="s">
        <v>2984</v>
      </c>
      <c r="E909" s="3" t="str">
        <f>HYPERLINK("https://www.amazon.com/Gordini-Ultra-Dri-Max-Gauntlet-Medium/dp/B00A78HL8E/ref=sr_1_34?keywords=Gordini+Rally+Mitten+-+Mens&amp;qid=1695124309&amp;sr=8-34", "https://www.amazon.com/Gordini-Ultra-Dri-Max-Gauntlet-Medium/dp/B00A78HL8E/ref=sr_1_34?keywords=Gordini+Rally+Mitten+-+Mens&amp;qid=1695124309&amp;sr=8-34")</f>
        <v>https://www.amazon.com/Gordini-Ultra-Dri-Max-Gauntlet-Medium/dp/B00A78HL8E/ref=sr_1_34?keywords=Gordini+Rally+Mitten+-+Mens&amp;qid=1695124309&amp;sr=8-34</v>
      </c>
      <c r="F909" t="s">
        <v>2985</v>
      </c>
      <c r="G909" t="e">
        <f ca="1">IMAGE("https://alssports.vtexassets.com/arquivos/ids/1427992-800-auto?v=638283287978400000&amp;width=800&amp;height=auto&amp;aspect=true")</f>
        <v>#NAME?</v>
      </c>
      <c r="H909" t="e">
        <f ca="1">IMAGE("https://m.media-amazon.com/images/I/A17ZuJfLgmL._AC_UL320_.jpg")</f>
        <v>#NAME?</v>
      </c>
      <c r="I909" t="s">
        <v>225</v>
      </c>
      <c r="J909">
        <v>22.32</v>
      </c>
      <c r="K909" s="2" t="s">
        <v>2986</v>
      </c>
      <c r="L909">
        <v>4.5999999999999996</v>
      </c>
      <c r="M909">
        <v>34</v>
      </c>
      <c r="O909" t="s">
        <v>33</v>
      </c>
      <c r="P909" t="s">
        <v>26</v>
      </c>
      <c r="Q909" t="s">
        <v>686</v>
      </c>
    </row>
    <row r="910" spans="1:17" ht="15.75" x14ac:dyDescent="0.25">
      <c r="A910" s="3" t="str">
        <f>HYPERLINK("https://www.als.com/pennf-battle-iii-spinning-reel/p?skuId=801488", "https://www.als.com/pennf-battle-iii-spinning-reel/p?skuId=801488")</f>
        <v>https://www.als.com/pennf-battle-iii-spinning-reel/p?skuId=801488</v>
      </c>
      <c r="B910" s="3" t="str">
        <f>HYPERLINK("https://www.als.com/pennf-battle-iii-spinning-reel/p", "https://www.als.com/pennf-battle-iii-spinning-reel/p")</f>
        <v>https://www.als.com/pennf-battle-iii-spinning-reel/p</v>
      </c>
      <c r="C910" t="s">
        <v>1971</v>
      </c>
      <c r="D910" t="s">
        <v>2987</v>
      </c>
      <c r="E910" s="3" t="str">
        <f>HYPERLINK("https://www.amazon.com/GOMEXUS-Handle-1000-4000-Spinning-Replacement/dp/B0B12JMQ5L/ref=sr_1_15?keywords=Penn+Battle+III+Spinning+Reel&amp;qid=1695124356&amp;sr=8-15", "https://www.amazon.com/GOMEXUS-Handle-1000-4000-Spinning-Replacement/dp/B0B12JMQ5L/ref=sr_1_15?keywords=Penn+Battle+III+Spinning+Reel&amp;qid=1695124356&amp;sr=8-15")</f>
        <v>https://www.amazon.com/GOMEXUS-Handle-1000-4000-Spinning-Replacement/dp/B0B12JMQ5L/ref=sr_1_15?keywords=Penn+Battle+III+Spinning+Reel&amp;qid=1695124356&amp;sr=8-15</v>
      </c>
      <c r="F910" t="s">
        <v>2988</v>
      </c>
      <c r="G910" t="e">
        <f ca="1">IMAGE("https://alssports.vtexassets.com/arquivos/ids/970583-800-auto?v=637798562331900000&amp;width=800&amp;height=auto&amp;aspect=true")</f>
        <v>#NAME?</v>
      </c>
      <c r="H910" t="e">
        <f ca="1">IMAGE("https://m.media-amazon.com/images/I/61PC7uxk-NL._AC_UY218_.jpg")</f>
        <v>#NAME?</v>
      </c>
      <c r="I910" t="s">
        <v>1220</v>
      </c>
      <c r="J910">
        <v>34.950000000000003</v>
      </c>
      <c r="K910" s="2" t="s">
        <v>2989</v>
      </c>
      <c r="L910">
        <v>4.5999999999999996</v>
      </c>
      <c r="M910">
        <v>252</v>
      </c>
      <c r="O910" t="s">
        <v>33</v>
      </c>
      <c r="P910" t="s">
        <v>832</v>
      </c>
      <c r="Q910" t="s">
        <v>1975</v>
      </c>
    </row>
    <row r="911" spans="1:17" ht="15.75" x14ac:dyDescent="0.25">
      <c r="A911" s="3" t="str">
        <f>HYPERLINK("https://www.als.com/outgea-w-phoenix-jacket/p?skuId=1254419", "https://www.als.com/outgea-w-phoenix-jacket/p?skuId=1254419")</f>
        <v>https://www.als.com/outgea-w-phoenix-jacket/p?skuId=1254419</v>
      </c>
      <c r="B911" s="3" t="str">
        <f>HYPERLINK("https://www.als.com/outgea-w-phoenix-jacket/p", "https://www.als.com/outgea-w-phoenix-jacket/p")</f>
        <v>https://www.als.com/outgea-w-phoenix-jacket/p</v>
      </c>
      <c r="C911" t="s">
        <v>1860</v>
      </c>
      <c r="D911" t="s">
        <v>2990</v>
      </c>
      <c r="E911" s="3" t="str">
        <f>HYPERLINK("https://www.amazon.com/Boulder-Gear-Womens-D-Lite-Puffer/dp/B07YNTRJGB/ref=sr_1_20?keywords=Boulder+Gear+Phoenix+Insulated+Jacket+-+Women%27s&amp;qid=1695124450&amp;sr=8-20", "https://www.amazon.com/Boulder-Gear-Womens-D-Lite-Puffer/dp/B07YNTRJGB/ref=sr_1_20?keywords=Boulder+Gear+Phoenix+Insulated+Jacket+-+Women%27s&amp;qid=1695124450&amp;sr=8-20")</f>
        <v>https://www.amazon.com/Boulder-Gear-Womens-D-Lite-Puffer/dp/B07YNTRJGB/ref=sr_1_20?keywords=Boulder+Gear+Phoenix+Insulated+Jacket+-+Women%27s&amp;qid=1695124450&amp;sr=8-20</v>
      </c>
      <c r="F911" t="s">
        <v>2991</v>
      </c>
      <c r="G911" t="e">
        <f ca="1">IMAGE("https://alssports.vtexassets.com/arquivos/ids/1264457-800-auto?v=638143239366400000&amp;width=800&amp;height=auto&amp;aspect=true")</f>
        <v>#NAME?</v>
      </c>
      <c r="H911" t="e">
        <f ca="1">IMAGE("https://m.media-amazon.com/images/I/61tUnIImV5L._AC_UL320_.jpg")</f>
        <v>#NAME?</v>
      </c>
      <c r="I911" t="s">
        <v>1863</v>
      </c>
      <c r="J911">
        <v>52.5</v>
      </c>
      <c r="K911" s="2" t="s">
        <v>2992</v>
      </c>
      <c r="L911">
        <v>5</v>
      </c>
      <c r="M911">
        <v>2</v>
      </c>
      <c r="O911" t="s">
        <v>33</v>
      </c>
      <c r="P911" t="s">
        <v>1865</v>
      </c>
      <c r="Q911" t="s">
        <v>1866</v>
      </c>
    </row>
    <row r="912" spans="1:17" ht="15.75" x14ac:dyDescent="0.25">
      <c r="A912" s="3" t="str">
        <f>HYPERLINK("https://www.als.com/owala-ss-32oz-freesip-h2o-bottle/p?skuId=1195209", "https://www.als.com/owala-ss-32oz-freesip-h2o-bottle/p?skuId=1195209")</f>
        <v>https://www.als.com/owala-ss-32oz-freesip-h2o-bottle/p?skuId=1195209</v>
      </c>
      <c r="B912" s="3" t="str">
        <f>HYPERLINK("https://www.als.com/owala-ss-32oz-freesip-h2o-bottle/p", "https://www.als.com/owala-ss-32oz-freesip-h2o-bottle/p")</f>
        <v>https://www.als.com/owala-ss-32oz-freesip-h2o-bottle/p</v>
      </c>
      <c r="C912" t="s">
        <v>465</v>
      </c>
      <c r="D912" t="s">
        <v>2993</v>
      </c>
      <c r="E912" s="3" t="str">
        <f>HYPERLINK("https://www.amazon.com/Replacement-Stopper-Compatible-Cleaning-Accessories/dp/B0CF43ZWH7/ref=sr_1_23?keywords=Owala+Free+Sip+Stainless+Steel+Water+Bottle+-+32oz&amp;qid=1695124108&amp;sr=8-23", "https://www.amazon.com/Replacement-Stopper-Compatible-Cleaning-Accessories/dp/B0CF43ZWH7/ref=sr_1_23?keywords=Owala+Free+Sip+Stainless+Steel+Water+Bottle+-+32oz&amp;qid=1695124108&amp;sr=8-23")</f>
        <v>https://www.amazon.com/Replacement-Stopper-Compatible-Cleaning-Accessories/dp/B0CF43ZWH7/ref=sr_1_23?keywords=Owala+Free+Sip+Stainless+Steel+Water+Bottle+-+32oz&amp;qid=1695124108&amp;sr=8-23</v>
      </c>
      <c r="F912" t="s">
        <v>2994</v>
      </c>
      <c r="G912" t="e">
        <f ca="1">IMAGE("https://alssports.vtexassets.com/arquivos/ids/1363762-800-auto?v=638236670706530000&amp;width=800&amp;height=auto&amp;aspect=true")</f>
        <v>#NAME?</v>
      </c>
      <c r="H912" t="e">
        <f ca="1">IMAGE("https://m.media-amazon.com/images/I/61Cuqh4POyL._AC_UL320_.jpg")</f>
        <v>#NAME?</v>
      </c>
      <c r="I912" t="s">
        <v>462</v>
      </c>
      <c r="J912">
        <v>9.99</v>
      </c>
      <c r="K912" s="2" t="s">
        <v>2995</v>
      </c>
      <c r="L912">
        <v>5</v>
      </c>
      <c r="M912">
        <v>1</v>
      </c>
      <c r="O912" t="s">
        <v>33</v>
      </c>
      <c r="P912" t="s">
        <v>26</v>
      </c>
      <c r="Q912" t="s">
        <v>466</v>
      </c>
    </row>
    <row r="913" spans="1:17" ht="15.75" x14ac:dyDescent="0.25">
      <c r="A913" s="3" t="str">
        <f>HYPERLINK("https://www.als.com/owala-bottle-free-sip-32-oz/p?skuId=1326138", "https://www.als.com/owala-bottle-free-sip-32-oz/p?skuId=1326138")</f>
        <v>https://www.als.com/owala-bottle-free-sip-32-oz/p?skuId=1326138</v>
      </c>
      <c r="B913" s="3" t="str">
        <f>HYPERLINK("https://www.als.com/owala-bottle-free-sip-32-oz/p", "https://www.als.com/owala-bottle-free-sip-32-oz/p")</f>
        <v>https://www.als.com/owala-bottle-free-sip-32-oz/p</v>
      </c>
      <c r="C913" t="s">
        <v>459</v>
      </c>
      <c r="D913" t="s">
        <v>2993</v>
      </c>
      <c r="E913" s="3" t="str">
        <f>HYPERLINK("https://www.amazon.com/Replacement-Stopper-Compatible-Cleaning-Accessories/dp/B0CF43ZWH7/ref=sr_1_20?keywords=Owala+FreeSip+Stainless+Steel+Water+Bottle+-+32oz&amp;qid=1695124104&amp;sr=8-20", "https://www.amazon.com/Replacement-Stopper-Compatible-Cleaning-Accessories/dp/B0CF43ZWH7/ref=sr_1_20?keywords=Owala+FreeSip+Stainless+Steel+Water+Bottle+-+32oz&amp;qid=1695124104&amp;sr=8-20")</f>
        <v>https://www.amazon.com/Replacement-Stopper-Compatible-Cleaning-Accessories/dp/B0CF43ZWH7/ref=sr_1_20?keywords=Owala+FreeSip+Stainless+Steel+Water+Bottle+-+32oz&amp;qid=1695124104&amp;sr=8-20</v>
      </c>
      <c r="F913" t="s">
        <v>2994</v>
      </c>
      <c r="G913" t="e">
        <f ca="1">IMAGE("https://alssports.vtexassets.com/arquivos/ids/1355955-800-auto?v=638230513195900000&amp;width=800&amp;height=auto&amp;aspect=true")</f>
        <v>#NAME?</v>
      </c>
      <c r="H913" t="e">
        <f ca="1">IMAGE("https://m.media-amazon.com/images/I/61Cuqh4POyL._AC_UL320_.jpg")</f>
        <v>#NAME?</v>
      </c>
      <c r="I913" t="s">
        <v>462</v>
      </c>
      <c r="J913">
        <v>9.99</v>
      </c>
      <c r="K913" s="2" t="s">
        <v>2995</v>
      </c>
      <c r="L913">
        <v>5</v>
      </c>
      <c r="M913">
        <v>1</v>
      </c>
      <c r="O913" t="s">
        <v>33</v>
      </c>
      <c r="P913" t="s">
        <v>26</v>
      </c>
      <c r="Q913" t="s">
        <v>464</v>
      </c>
    </row>
    <row r="914" spans="1:17" ht="15.75" x14ac:dyDescent="0.25">
      <c r="A914" s="3" t="str">
        <f>HYPERLINK("https://www.als.com/mizuno-w-wave-sky-6/p?skuId=1262559", "https://www.als.com/mizuno-w-wave-sky-6/p?skuId=1262559")</f>
        <v>https://www.als.com/mizuno-w-wave-sky-6/p?skuId=1262559</v>
      </c>
      <c r="B914" s="3" t="str">
        <f>HYPERLINK("https://www.als.com/mizuno-w-wave-sky-6/p", "https://www.als.com/mizuno-w-wave-sky-6/p")</f>
        <v>https://www.als.com/mizuno-w-wave-sky-6/p</v>
      </c>
      <c r="C914" t="s">
        <v>200</v>
      </c>
      <c r="D914" t="s">
        <v>2996</v>
      </c>
      <c r="E914" s="3" t="str">
        <f>HYPERLINK("https://www.amazon.com/Mizuno-Womens-Inspire-Running-Blue-Silver/dp/B07QSCC1P5/ref=sr_1_21?keywords=Mizuno+Wave+Sky+6+Running+Shoe+-+Women%27s&amp;qid=1695124449&amp;sr=8-21", "https://www.amazon.com/Mizuno-Womens-Inspire-Running-Blue-Silver/dp/B07QSCC1P5/ref=sr_1_21?keywords=Mizuno+Wave+Sky+6+Running+Shoe+-+Women%27s&amp;qid=1695124449&amp;sr=8-21")</f>
        <v>https://www.amazon.com/Mizuno-Womens-Inspire-Running-Blue-Silver/dp/B07QSCC1P5/ref=sr_1_21?keywords=Mizuno+Wave+Sky+6+Running+Shoe+-+Women%27s&amp;qid=1695124449&amp;sr=8-21</v>
      </c>
      <c r="F914" t="s">
        <v>2997</v>
      </c>
      <c r="G914" t="e">
        <f ca="1">IMAGE("https://alssports.vtexassets.com/arquivos/ids/1277387-800-auto?v=638152938174200000&amp;width=800&amp;height=auto&amp;aspect=true")</f>
        <v>#NAME?</v>
      </c>
      <c r="H914" t="e">
        <f ca="1">IMAGE("https://m.media-amazon.com/images/I/81yo0HQx4VL._AC_UL320_.jpg")</f>
        <v>#NAME?</v>
      </c>
      <c r="I914" t="s">
        <v>164</v>
      </c>
      <c r="J914">
        <v>49.97</v>
      </c>
      <c r="K914" s="2" t="s">
        <v>2998</v>
      </c>
      <c r="L914">
        <v>4.4000000000000004</v>
      </c>
      <c r="M914">
        <v>1107</v>
      </c>
      <c r="O914" t="s">
        <v>33</v>
      </c>
      <c r="P914" t="s">
        <v>191</v>
      </c>
      <c r="Q914" t="s">
        <v>203</v>
      </c>
    </row>
    <row r="915" spans="1:17" ht="15.75" x14ac:dyDescent="0.25">
      <c r="A915" s="3" t="str">
        <f>HYPERLINK("https://www.als.com/black-diamond-spot-400-headlamp-101632/p?skuId=931481", "https://www.als.com/black-diamond-spot-400-headlamp-101632/p?skuId=931481")</f>
        <v>https://www.als.com/black-diamond-spot-400-headlamp-101632/p?skuId=931481</v>
      </c>
      <c r="B915" s="3" t="str">
        <f>HYPERLINK("https://www.als.com/black-diamond-spot-400-headlamp-101632/p", "https://www.als.com/black-diamond-spot-400-headlamp-101632/p")</f>
        <v>https://www.als.com/black-diamond-spot-400-headlamp-101632/p</v>
      </c>
      <c r="C915" t="s">
        <v>154</v>
      </c>
      <c r="D915" t="s">
        <v>2999</v>
      </c>
      <c r="E915" s="3" t="str">
        <f>HYPERLINK("https://www.amazon.com/Black-Diamond-Spot-Headlamp-Aluminum/dp/B08BHXH3YP/ref=sr_1_33?keywords=Black+Diamond+Spot+400+Headlamp&amp;qid=1695124486&amp;sr=8-33", "https://www.amazon.com/Black-Diamond-Spot-Headlamp-Aluminum/dp/B08BHXH3YP/ref=sr_1_33?keywords=Black+Diamond+Spot+400+Headlamp&amp;qid=1695124486&amp;sr=8-33")</f>
        <v>https://www.amazon.com/Black-Diamond-Spot-Headlamp-Aluminum/dp/B08BHXH3YP/ref=sr_1_33?keywords=Black+Diamond+Spot+400+Headlamp&amp;qid=1695124486&amp;sr=8-33</v>
      </c>
      <c r="F915" t="s">
        <v>3000</v>
      </c>
      <c r="G915" t="e">
        <f ca="1">IMAGE("https://alssports.vtexassets.com/arquivos/ids/1053612-800-auto?v=637867784637730000&amp;width=800&amp;height=auto&amp;aspect=true")</f>
        <v>#NAME?</v>
      </c>
      <c r="H915" t="e">
        <f ca="1">IMAGE("https://m.media-amazon.com/images/I/71QNBDTl79L._AC_UL320_.jpg")</f>
        <v>#NAME?</v>
      </c>
      <c r="I915" t="s">
        <v>157</v>
      </c>
      <c r="J915">
        <v>14.49</v>
      </c>
      <c r="K915" s="2" t="s">
        <v>3001</v>
      </c>
      <c r="L915">
        <v>4.5</v>
      </c>
      <c r="M915">
        <v>24</v>
      </c>
      <c r="O915" t="s">
        <v>33</v>
      </c>
      <c r="P915" t="s">
        <v>26</v>
      </c>
      <c r="Q915" t="s">
        <v>158</v>
      </c>
    </row>
    <row r="916" spans="1:17" ht="15.75" x14ac:dyDescent="0.25">
      <c r="A916" s="3" t="str">
        <f>HYPERLINK("https://www.als.com/stanley-the-iceflow-flip-straw-tumbler-30oz-103553/p?skuId=825655", "https://www.als.com/stanley-the-iceflow-flip-straw-tumbler-30oz-103553/p?skuId=825655")</f>
        <v>https://www.als.com/stanley-the-iceflow-flip-straw-tumbler-30oz-103553/p?skuId=825655</v>
      </c>
      <c r="B916" s="3" t="str">
        <f>HYPERLINK("https://www.als.com/stanley-the-iceflow-flip-straw-tumbler-30oz-103553/p", "https://www.als.com/stanley-the-iceflow-flip-straw-tumbler-30oz-103553/p")</f>
        <v>https://www.als.com/stanley-the-iceflow-flip-straw-tumbler-30oz-103553/p</v>
      </c>
      <c r="C916" t="s">
        <v>1371</v>
      </c>
      <c r="D916" t="s">
        <v>3002</v>
      </c>
      <c r="E916" s="3" t="str">
        <f>HYPERLINK("https://www.amazon.com/Replacement-Stainless-Reusable-Cleaning-Compatible/dp/B0BWMMQ7HY/ref=sr_1_2?keywords=Stanley+The+IceFlow+Flip+Straw+Tumbler+-+30oz&amp;qid=1695124318&amp;sr=8-2", "https://www.amazon.com/Replacement-Stainless-Reusable-Cleaning-Compatible/dp/B0BWMMQ7HY/ref=sr_1_2?keywords=Stanley+The+IceFlow+Flip+Straw+Tumbler+-+30oz&amp;qid=1695124318&amp;sr=8-2")</f>
        <v>https://www.amazon.com/Replacement-Stainless-Reusable-Cleaning-Compatible/dp/B0BWMMQ7HY/ref=sr_1_2?keywords=Stanley+The+IceFlow+Flip+Straw+Tumbler+-+30oz&amp;qid=1695124318&amp;sr=8-2</v>
      </c>
      <c r="F916" t="s">
        <v>3003</v>
      </c>
      <c r="G916" t="e">
        <f ca="1">IMAGE("https://alssports.vtexassets.com/arquivos/ids/969718-800-auto?v=637744962130300000&amp;width=800&amp;height=auto&amp;aspect=true")</f>
        <v>#NAME?</v>
      </c>
      <c r="H916" t="e">
        <f ca="1">IMAGE("https://m.media-amazon.com/images/I/61trQeaeFFL._AC_UL320_.jpg")</f>
        <v>#NAME?</v>
      </c>
      <c r="I916" t="s">
        <v>233</v>
      </c>
      <c r="J916">
        <v>9.99</v>
      </c>
      <c r="K916" s="2" t="s">
        <v>3004</v>
      </c>
      <c r="L916">
        <v>4.7</v>
      </c>
      <c r="M916">
        <v>1089</v>
      </c>
      <c r="O916" t="s">
        <v>33</v>
      </c>
      <c r="P916" t="s">
        <v>26</v>
      </c>
      <c r="Q916" t="s">
        <v>1375</v>
      </c>
    </row>
    <row r="917" spans="1:17" ht="15.75" x14ac:dyDescent="0.25">
      <c r="A917" s="3" t="str">
        <f>HYPERLINK("https://www.als.com/stanley-the-iceflow-flip-straw-tumbler-30oz-103553/p?skuId=825655", "https://www.als.com/stanley-the-iceflow-flip-straw-tumbler-30oz-103553/p?skuId=825655")</f>
        <v>https://www.als.com/stanley-the-iceflow-flip-straw-tumbler-30oz-103553/p?skuId=825655</v>
      </c>
      <c r="B917" s="3" t="str">
        <f>HYPERLINK("https://www.als.com/stanley-the-iceflow-flip-straw-tumbler-30oz-103553/p", "https://www.als.com/stanley-the-iceflow-flip-straw-tumbler-30oz-103553/p")</f>
        <v>https://www.als.com/stanley-the-iceflow-flip-straw-tumbler-30oz-103553/p</v>
      </c>
      <c r="C917" t="s">
        <v>1371</v>
      </c>
      <c r="D917" t="s">
        <v>3005</v>
      </c>
      <c r="E917" s="3" t="str">
        <f>HYPERLINK("https://www.amazon.com/Abnaok-Silicone-Adventure-Dust-Proof-Protector/dp/B0C2YNYLQC/ref=sr_1_17?keywords=Stanley+The+IceFlow+Flip+Straw+Tumbler+-+30oz&amp;qid=1695124318&amp;sr=8-17", "https://www.amazon.com/Abnaok-Silicone-Adventure-Dust-Proof-Protector/dp/B0C2YNYLQC/ref=sr_1_17?keywords=Stanley+The+IceFlow+Flip+Straw+Tumbler+-+30oz&amp;qid=1695124318&amp;sr=8-17")</f>
        <v>https://www.amazon.com/Abnaok-Silicone-Adventure-Dust-Proof-Protector/dp/B0C2YNYLQC/ref=sr_1_17?keywords=Stanley+The+IceFlow+Flip+Straw+Tumbler+-+30oz&amp;qid=1695124318&amp;sr=8-17</v>
      </c>
      <c r="F917" t="s">
        <v>3006</v>
      </c>
      <c r="G917" t="e">
        <f ca="1">IMAGE("https://alssports.vtexassets.com/arquivos/ids/969718-800-auto?v=637744962130300000&amp;width=800&amp;height=auto&amp;aspect=true")</f>
        <v>#NAME?</v>
      </c>
      <c r="H917" t="e">
        <f ca="1">IMAGE("https://m.media-amazon.com/images/I/51Zu1a1zN+L._AC_UL320_.jpg")</f>
        <v>#NAME?</v>
      </c>
      <c r="I917" t="s">
        <v>233</v>
      </c>
      <c r="J917">
        <v>9.99</v>
      </c>
      <c r="K917" s="2" t="s">
        <v>3004</v>
      </c>
      <c r="L917">
        <v>3</v>
      </c>
      <c r="M917">
        <v>4</v>
      </c>
      <c r="O917" t="s">
        <v>33</v>
      </c>
      <c r="P917" t="s">
        <v>26</v>
      </c>
      <c r="Q917" t="s">
        <v>1375</v>
      </c>
    </row>
    <row r="918" spans="1:17" ht="15.75" x14ac:dyDescent="0.25">
      <c r="A918" s="3" t="str">
        <f>HYPERLINK("https://www.als.com/hydrof-bottle-standard-mouth-21/p?skuId=255000", "https://www.als.com/hydrof-bottle-standard-mouth-21/p?skuId=255000")</f>
        <v>https://www.als.com/hydrof-bottle-standard-mouth-21/p?skuId=255000</v>
      </c>
      <c r="B918" s="3" t="str">
        <f>HYPERLINK("https://www.als.com/hydrof-bottle-standard-mouth-21/p", "https://www.als.com/hydrof-bottle-standard-mouth-21/p")</f>
        <v>https://www.als.com/hydrof-bottle-standard-mouth-21/p</v>
      </c>
      <c r="C918" t="s">
        <v>525</v>
      </c>
      <c r="D918" t="s">
        <v>3007</v>
      </c>
      <c r="E918" s="3" t="str">
        <f>HYPERLINK("https://www.amazon.com/Standard-Hydroflask-Bottles-Replacement-Accessories/dp/B0C2YN96CY/ref=sr_1_23?keywords=Hydro+Flask+Standard+Mouth+Insulated+Bottle+-+21oz&amp;qid=1695124388&amp;sr=8-23", "https://www.amazon.com/Standard-Hydroflask-Bottles-Replacement-Accessories/dp/B0C2YN96CY/ref=sr_1_23?keywords=Hydro+Flask+Standard+Mouth+Insulated+Bottle+-+21oz&amp;qid=1695124388&amp;sr=8-23")</f>
        <v>https://www.amazon.com/Standard-Hydroflask-Bottles-Replacement-Accessories/dp/B0C2YN96CY/ref=sr_1_23?keywords=Hydro+Flask+Standard+Mouth+Insulated+Bottle+-+21oz&amp;qid=1695124388&amp;sr=8-23</v>
      </c>
      <c r="F918" t="s">
        <v>3008</v>
      </c>
      <c r="G918" t="e">
        <f ca="1">IMAGE("https://alssports.vtexassets.com/arquivos/ids/1173834-800-auto?v=638042939420000000&amp;width=800&amp;height=auto&amp;aspect=true")</f>
        <v>#NAME?</v>
      </c>
      <c r="H918" t="e">
        <f ca="1">IMAGE("https://m.media-amazon.com/images/I/61Ut7Jgu5vL._AC_UL320_.jpg")</f>
        <v>#NAME?</v>
      </c>
      <c r="I918" t="s">
        <v>528</v>
      </c>
      <c r="J918">
        <v>9.9499999999999993</v>
      </c>
      <c r="K918" s="2" t="s">
        <v>3009</v>
      </c>
      <c r="L918">
        <v>3.8</v>
      </c>
      <c r="M918">
        <v>6</v>
      </c>
      <c r="O918" t="s">
        <v>33</v>
      </c>
      <c r="P918" t="s">
        <v>26</v>
      </c>
      <c r="Q918" t="s">
        <v>530</v>
      </c>
    </row>
    <row r="919" spans="1:17" ht="15.75" x14ac:dyDescent="0.25">
      <c r="A919" s="3" t="str">
        <f>HYPERLINK("https://www.als.com/stanley-the-iceflow-flip-straw-tumbler-30oz-103553/p?skuId=825655", "https://www.als.com/stanley-the-iceflow-flip-straw-tumbler-30oz-103553/p?skuId=825655")</f>
        <v>https://www.als.com/stanley-the-iceflow-flip-straw-tumbler-30oz-103553/p?skuId=825655</v>
      </c>
      <c r="B919" s="3" t="str">
        <f>HYPERLINK("https://www.als.com/stanley-the-iceflow-flip-straw-tumbler-30oz-103553/p", "https://www.als.com/stanley-the-iceflow-flip-straw-tumbler-30oz-103553/p")</f>
        <v>https://www.als.com/stanley-the-iceflow-flip-straw-tumbler-30oz-103553/p</v>
      </c>
      <c r="C919" t="s">
        <v>1371</v>
      </c>
      <c r="D919" t="s">
        <v>3010</v>
      </c>
      <c r="E919" s="3" t="str">
        <f>HYPERLINK("https://www.amazon.com/Replacement-20oz-30oz-Tumbler-Straw/dp/B0C5XHVB85/ref=sr_1_6?keywords=Stanley+The+IceFlow+Flip+Straw+Tumbler+-+30oz&amp;qid=1695124318&amp;sr=8-6", "https://www.amazon.com/Replacement-20oz-30oz-Tumbler-Straw/dp/B0C5XHVB85/ref=sr_1_6?keywords=Stanley+The+IceFlow+Flip+Straw+Tumbler+-+30oz&amp;qid=1695124318&amp;sr=8-6")</f>
        <v>https://www.amazon.com/Replacement-20oz-30oz-Tumbler-Straw/dp/B0C5XHVB85/ref=sr_1_6?keywords=Stanley+The+IceFlow+Flip+Straw+Tumbler+-+30oz&amp;qid=1695124318&amp;sr=8-6</v>
      </c>
      <c r="F919" t="s">
        <v>3011</v>
      </c>
      <c r="G919" t="e">
        <f ca="1">IMAGE("https://alssports.vtexassets.com/arquivos/ids/969718-800-auto?v=637744962130300000&amp;width=800&amp;height=auto&amp;aspect=true")</f>
        <v>#NAME?</v>
      </c>
      <c r="H919" t="e">
        <f ca="1">IMAGE("https://m.media-amazon.com/images/I/61nxxJtR+aL._AC_UL320_.jpg")</f>
        <v>#NAME?</v>
      </c>
      <c r="I919" t="s">
        <v>233</v>
      </c>
      <c r="J919">
        <v>9.9</v>
      </c>
      <c r="K919" s="2" t="s">
        <v>3012</v>
      </c>
      <c r="L919">
        <v>3.3</v>
      </c>
      <c r="M919">
        <v>35</v>
      </c>
      <c r="O919" t="s">
        <v>33</v>
      </c>
      <c r="P919" t="s">
        <v>26</v>
      </c>
      <c r="Q919" t="s">
        <v>1375</v>
      </c>
    </row>
    <row r="920" spans="1:17" ht="15.75" x14ac:dyDescent="0.25">
      <c r="A920" s="3" t="str">
        <f>HYPERLINK("https://www.als.com/hydrof-bottle-standard-mouth-21/p?skuId=255000", "https://www.als.com/hydrof-bottle-standard-mouth-21/p?skuId=255000")</f>
        <v>https://www.als.com/hydrof-bottle-standard-mouth-21/p?skuId=255000</v>
      </c>
      <c r="B920" s="3" t="str">
        <f>HYPERLINK("https://www.als.com/hydrof-bottle-standard-mouth-21/p", "https://www.als.com/hydrof-bottle-standard-mouth-21/p")</f>
        <v>https://www.als.com/hydrof-bottle-standard-mouth-21/p</v>
      </c>
      <c r="C920" t="s">
        <v>525</v>
      </c>
      <c r="D920" t="s">
        <v>3013</v>
      </c>
      <c r="E920" s="3" t="str">
        <f>HYPERLINK("https://www.amazon.com/Standard-Straws-Hydroflask-Accessories-Replacement/dp/B096RVZ9XM/ref=sr_1_27?keywords=Hydro+Flask+Standard+Mouth+Insulated+Bottle+-+21oz&amp;qid=1695124388&amp;sr=8-27", "https://www.amazon.com/Standard-Straws-Hydroflask-Accessories-Replacement/dp/B096RVZ9XM/ref=sr_1_27?keywords=Hydro+Flask+Standard+Mouth+Insulated+Bottle+-+21oz&amp;qid=1695124388&amp;sr=8-27")</f>
        <v>https://www.amazon.com/Standard-Straws-Hydroflask-Accessories-Replacement/dp/B096RVZ9XM/ref=sr_1_27?keywords=Hydro+Flask+Standard+Mouth+Insulated+Bottle+-+21oz&amp;qid=1695124388&amp;sr=8-27</v>
      </c>
      <c r="F920" t="s">
        <v>3014</v>
      </c>
      <c r="G920" t="e">
        <f ca="1">IMAGE("https://alssports.vtexassets.com/arquivos/ids/1173834-800-auto?v=638042939420000000&amp;width=800&amp;height=auto&amp;aspect=true")</f>
        <v>#NAME?</v>
      </c>
      <c r="H920" t="e">
        <f ca="1">IMAGE("https://m.media-amazon.com/images/I/71lxfj6jNxL._AC_UL320_.jpg")</f>
        <v>#NAME?</v>
      </c>
      <c r="I920" t="s">
        <v>528</v>
      </c>
      <c r="J920">
        <v>9.8800000000000008</v>
      </c>
      <c r="K920" s="2" t="s">
        <v>3015</v>
      </c>
      <c r="L920">
        <v>4.5999999999999996</v>
      </c>
      <c r="M920">
        <v>2031</v>
      </c>
      <c r="O920" t="s">
        <v>33</v>
      </c>
      <c r="P920" t="s">
        <v>26</v>
      </c>
      <c r="Q920" t="s">
        <v>530</v>
      </c>
    </row>
    <row r="921" spans="1:17" ht="15.75" x14ac:dyDescent="0.25">
      <c r="A921" s="3" t="str">
        <f>HYPERLINK("https://www.als.com/sram-chain-pc-x01-eagle/p?skuId=536002", "https://www.als.com/sram-chain-pc-x01-eagle/p?skuId=536002")</f>
        <v>https://www.als.com/sram-chain-pc-x01-eagle/p?skuId=536002</v>
      </c>
      <c r="B921" s="3" t="str">
        <f>HYPERLINK("https://www.als.com/sram-chain-pc-x01-eagle/p", "https://www.als.com/sram-chain-pc-x01-eagle/p")</f>
        <v>https://www.als.com/sram-chain-pc-x01-eagle/p</v>
      </c>
      <c r="C921" t="s">
        <v>1104</v>
      </c>
      <c r="D921" t="s">
        <v>3016</v>
      </c>
      <c r="E921" s="3" t="str">
        <f>HYPERLINK("https://www.amazon.com/SRAM-Eagle-PowerLock-Connector-12-speed/dp/B077CYKWDV/ref=sr_1_9?keywords=SRAM+X01+Eagle+12-Speed+Chain&amp;qid=1695124143&amp;sr=8-9", "https://www.amazon.com/SRAM-Eagle-PowerLock-Connector-12-speed/dp/B077CYKWDV/ref=sr_1_9?keywords=SRAM+X01+Eagle+12-Speed+Chain&amp;qid=1695124143&amp;sr=8-9")</f>
        <v>https://www.amazon.com/SRAM-Eagle-PowerLock-Connector-12-speed/dp/B077CYKWDV/ref=sr_1_9?keywords=SRAM+X01+Eagle+12-Speed+Chain&amp;qid=1695124143&amp;sr=8-9</v>
      </c>
      <c r="F921" t="s">
        <v>3017</v>
      </c>
      <c r="G921" t="e">
        <f ca="1">IMAGE("https://alssports.vtexassets.com/arquivos/ids/1117391-800-auto?v=637964367650530000&amp;width=800&amp;height=auto&amp;aspect=true")</f>
        <v>#NAME?</v>
      </c>
      <c r="H921" t="e">
        <f ca="1">IMAGE("https://m.media-amazon.com/images/I/71sUqBPsa2L._AC_UL320_.jpg")</f>
        <v>#NAME?</v>
      </c>
      <c r="I921" t="s">
        <v>1107</v>
      </c>
      <c r="J921">
        <v>18</v>
      </c>
      <c r="K921" s="2" t="s">
        <v>3018</v>
      </c>
      <c r="L921">
        <v>4.8</v>
      </c>
      <c r="M921">
        <v>497</v>
      </c>
      <c r="O921" t="s">
        <v>33</v>
      </c>
      <c r="P921" t="s">
        <v>26</v>
      </c>
      <c r="Q921" t="s">
        <v>1109</v>
      </c>
    </row>
    <row r="922" spans="1:17" ht="15.75" x14ac:dyDescent="0.25">
      <c r="A922" s="3" t="str">
        <f>HYPERLINK("https://www.als.com/hydrof-bottle-standard-mouth-21/p?skuId=255000", "https://www.als.com/hydrof-bottle-standard-mouth-21/p?skuId=255000")</f>
        <v>https://www.als.com/hydrof-bottle-standard-mouth-21/p?skuId=255000</v>
      </c>
      <c r="B922" s="3" t="str">
        <f>HYPERLINK("https://www.als.com/hydrof-bottle-standard-mouth-21/p", "https://www.als.com/hydrof-bottle-standard-mouth-21/p")</f>
        <v>https://www.als.com/hydrof-bottle-standard-mouth-21/p</v>
      </c>
      <c r="C922" t="s">
        <v>525</v>
      </c>
      <c r="D922" t="s">
        <v>3019</v>
      </c>
      <c r="E922" s="3" t="str">
        <f>HYPERLINK("https://www.amazon.com/Spout-Narrow-Mouth-Midnight-Black/dp/B091HXGYFH/ref=sr_1_44?keywords=Hydro+Flask+Standard+Mouth+Insulated+Bottle+-+21oz&amp;qid=1695124388&amp;sr=8-44", "https://www.amazon.com/Spout-Narrow-Mouth-Midnight-Black/dp/B091HXGYFH/ref=sr_1_44?keywords=Hydro+Flask+Standard+Mouth+Insulated+Bottle+-+21oz&amp;qid=1695124388&amp;sr=8-44")</f>
        <v>https://www.amazon.com/Spout-Narrow-Mouth-Midnight-Black/dp/B091HXGYFH/ref=sr_1_44?keywords=Hydro+Flask+Standard+Mouth+Insulated+Bottle+-+21oz&amp;qid=1695124388&amp;sr=8-44</v>
      </c>
      <c r="F922" t="s">
        <v>3020</v>
      </c>
      <c r="G922" t="e">
        <f ca="1">IMAGE("https://alssports.vtexassets.com/arquivos/ids/1173834-800-auto?v=638042939420000000&amp;width=800&amp;height=auto&amp;aspect=true")</f>
        <v>#NAME?</v>
      </c>
      <c r="H922" t="e">
        <f ca="1">IMAGE("https://m.media-amazon.com/images/I/71Jszhuz3EL._AC_UL320_.jpg")</f>
        <v>#NAME?</v>
      </c>
      <c r="I922" t="s">
        <v>528</v>
      </c>
      <c r="J922">
        <v>9.5500000000000007</v>
      </c>
      <c r="K922" s="2" t="s">
        <v>3021</v>
      </c>
      <c r="L922">
        <v>4.5</v>
      </c>
      <c r="M922">
        <v>180</v>
      </c>
      <c r="O922" t="s">
        <v>33</v>
      </c>
      <c r="P922" t="s">
        <v>26</v>
      </c>
      <c r="Q922" t="s">
        <v>530</v>
      </c>
    </row>
    <row r="923" spans="1:17" ht="15.75" x14ac:dyDescent="0.25">
      <c r="A923" s="3" t="str">
        <f>HYPERLINK("https://www.als.com/hydrof-bottle-standard-mouth-21/p?skuId=255000", "https://www.als.com/hydrof-bottle-standard-mouth-21/p?skuId=255000")</f>
        <v>https://www.als.com/hydrof-bottle-standard-mouth-21/p?skuId=255000</v>
      </c>
      <c r="B923" s="3" t="str">
        <f>HYPERLINK("https://www.als.com/hydrof-bottle-standard-mouth-21/p", "https://www.als.com/hydrof-bottle-standard-mouth-21/p")</f>
        <v>https://www.als.com/hydrof-bottle-standard-mouth-21/p</v>
      </c>
      <c r="C923" t="s">
        <v>525</v>
      </c>
      <c r="D923" t="s">
        <v>3022</v>
      </c>
      <c r="E923" s="3" t="str">
        <f>HYPERLINK("https://www.amazon.com/IRON-%C2%B0FLASK-Insulated-Bottles-Standard/dp/B083HFMW3Y/ref=sr_1_11?keywords=Hydro+Flask+Standard+Mouth+Insulated+Bottle+-+21oz&amp;qid=1695124388&amp;sr=8-11", "https://www.amazon.com/IRON-%C2%B0FLASK-Insulated-Bottles-Standard/dp/B083HFMW3Y/ref=sr_1_11?keywords=Hydro+Flask+Standard+Mouth+Insulated+Bottle+-+21oz&amp;qid=1695124388&amp;sr=8-11")</f>
        <v>https://www.amazon.com/IRON-%C2%B0FLASK-Insulated-Bottles-Standard/dp/B083HFMW3Y/ref=sr_1_11?keywords=Hydro+Flask+Standard+Mouth+Insulated+Bottle+-+21oz&amp;qid=1695124388&amp;sr=8-11</v>
      </c>
      <c r="F923" t="s">
        <v>3023</v>
      </c>
      <c r="G923" t="e">
        <f ca="1">IMAGE("https://alssports.vtexassets.com/arquivos/ids/1173834-800-auto?v=638042939420000000&amp;width=800&amp;height=auto&amp;aspect=true")</f>
        <v>#NAME?</v>
      </c>
      <c r="H923" t="e">
        <f ca="1">IMAGE("https://m.media-amazon.com/images/I/71pkuNKj6rL._AC_UL320_.jpg")</f>
        <v>#NAME?</v>
      </c>
      <c r="I923" t="s">
        <v>528</v>
      </c>
      <c r="J923">
        <v>9.5500000000000007</v>
      </c>
      <c r="K923" s="2" t="s">
        <v>3021</v>
      </c>
      <c r="L923">
        <v>4.5</v>
      </c>
      <c r="M923">
        <v>476</v>
      </c>
      <c r="O923" t="s">
        <v>33</v>
      </c>
      <c r="P923" t="s">
        <v>26</v>
      </c>
      <c r="Q923" t="s">
        <v>530</v>
      </c>
    </row>
    <row r="924" spans="1:17" ht="15.75" x14ac:dyDescent="0.25">
      <c r="A924" s="3" t="str">
        <f>HYPERLINK("https://www.als.com/owala-ss-32oz-freesip-h2o-bottle/p?skuId=1195209", "https://www.als.com/owala-ss-32oz-freesip-h2o-bottle/p?skuId=1195209")</f>
        <v>https://www.als.com/owala-ss-32oz-freesip-h2o-bottle/p?skuId=1195209</v>
      </c>
      <c r="B924" s="3" t="str">
        <f>HYPERLINK("https://www.als.com/owala-ss-32oz-freesip-h2o-bottle/p", "https://www.als.com/owala-ss-32oz-freesip-h2o-bottle/p")</f>
        <v>https://www.als.com/owala-ss-32oz-freesip-h2o-bottle/p</v>
      </c>
      <c r="C924" t="s">
        <v>465</v>
      </c>
      <c r="D924" t="s">
        <v>3024</v>
      </c>
      <c r="E924" s="3" t="str">
        <f>HYPERLINK("https://www.amazon.com/Replacement-Gasket-Compatible-Silicone-Stainless/dp/B0C3CV9TW8/ref=sr_1_8?keywords=Owala+Free+Sip+Stainless+Steel+Water+Bottle+-+32oz&amp;qid=1695124108&amp;sr=8-8", "https://www.amazon.com/Replacement-Gasket-Compatible-Silicone-Stainless/dp/B0C3CV9TW8/ref=sr_1_8?keywords=Owala+Free+Sip+Stainless+Steel+Water+Bottle+-+32oz&amp;qid=1695124108&amp;sr=8-8")</f>
        <v>https://www.amazon.com/Replacement-Gasket-Compatible-Silicone-Stainless/dp/B0C3CV9TW8/ref=sr_1_8?keywords=Owala+Free+Sip+Stainless+Steel+Water+Bottle+-+32oz&amp;qid=1695124108&amp;sr=8-8</v>
      </c>
      <c r="F924" t="s">
        <v>3025</v>
      </c>
      <c r="G924" t="e">
        <f ca="1">IMAGE("https://alssports.vtexassets.com/arquivos/ids/1363762-800-auto?v=638236670706530000&amp;width=800&amp;height=auto&amp;aspect=true")</f>
        <v>#NAME?</v>
      </c>
      <c r="H924" t="e">
        <f ca="1">IMAGE("https://m.media-amazon.com/images/I/61DKrV8MD-L._AC_UL320_.jpg")</f>
        <v>#NAME?</v>
      </c>
      <c r="I924" t="s">
        <v>462</v>
      </c>
      <c r="J924">
        <v>8.99</v>
      </c>
      <c r="K924" s="2" t="s">
        <v>3026</v>
      </c>
      <c r="L924">
        <v>5</v>
      </c>
      <c r="M924">
        <v>5</v>
      </c>
      <c r="O924" t="s">
        <v>33</v>
      </c>
      <c r="P924" t="s">
        <v>26</v>
      </c>
      <c r="Q924" t="s">
        <v>466</v>
      </c>
    </row>
    <row r="925" spans="1:17" ht="15.75" x14ac:dyDescent="0.25">
      <c r="A925" s="3" t="str">
        <f>HYPERLINK("https://www.als.com/owala-bottle-free-sip-32-oz/p?skuId=1326138", "https://www.als.com/owala-bottle-free-sip-32-oz/p?skuId=1326138")</f>
        <v>https://www.als.com/owala-bottle-free-sip-32-oz/p?skuId=1326138</v>
      </c>
      <c r="B925" s="3" t="str">
        <f>HYPERLINK("https://www.als.com/owala-bottle-free-sip-32-oz/p", "https://www.als.com/owala-bottle-free-sip-32-oz/p")</f>
        <v>https://www.als.com/owala-bottle-free-sip-32-oz/p</v>
      </c>
      <c r="C925" t="s">
        <v>459</v>
      </c>
      <c r="D925" t="s">
        <v>3024</v>
      </c>
      <c r="E925" s="3" t="str">
        <f>HYPERLINK("https://www.amazon.com/Replacement-Gasket-Compatible-Silicone-Stainless/dp/B0C3CV9TW8/ref=sr_1_12?keywords=Owala+FreeSip+Stainless+Steel+Water+Bottle+-+32oz&amp;qid=1695124104&amp;sr=8-12", "https://www.amazon.com/Replacement-Gasket-Compatible-Silicone-Stainless/dp/B0C3CV9TW8/ref=sr_1_12?keywords=Owala+FreeSip+Stainless+Steel+Water+Bottle+-+32oz&amp;qid=1695124104&amp;sr=8-12")</f>
        <v>https://www.amazon.com/Replacement-Gasket-Compatible-Silicone-Stainless/dp/B0C3CV9TW8/ref=sr_1_12?keywords=Owala+FreeSip+Stainless+Steel+Water+Bottle+-+32oz&amp;qid=1695124104&amp;sr=8-12</v>
      </c>
      <c r="F925" t="s">
        <v>3025</v>
      </c>
      <c r="G925" t="e">
        <f ca="1">IMAGE("https://alssports.vtexassets.com/arquivos/ids/1355955-800-auto?v=638230513195900000&amp;width=800&amp;height=auto&amp;aspect=true")</f>
        <v>#NAME?</v>
      </c>
      <c r="H925" t="e">
        <f ca="1">IMAGE("https://m.media-amazon.com/images/I/61DKrV8MD-L._AC_UL320_.jpg")</f>
        <v>#NAME?</v>
      </c>
      <c r="I925" t="s">
        <v>462</v>
      </c>
      <c r="J925">
        <v>8.99</v>
      </c>
      <c r="K925" s="2" t="s">
        <v>3026</v>
      </c>
      <c r="L925">
        <v>5</v>
      </c>
      <c r="M925">
        <v>5</v>
      </c>
      <c r="O925" t="s">
        <v>33</v>
      </c>
      <c r="P925" t="s">
        <v>26</v>
      </c>
      <c r="Q925" t="s">
        <v>464</v>
      </c>
    </row>
    <row r="926" spans="1:17" ht="15.75" x14ac:dyDescent="0.25">
      <c r="A926" s="3" t="str">
        <f>HYPERLINK("https://www.als.com/sram-derailleur-gx-eagle-lunar/p?skuId=847487", "https://www.als.com/sram-derailleur-gx-eagle-lunar/p?skuId=847487")</f>
        <v>https://www.als.com/sram-derailleur-gx-eagle-lunar/p?skuId=847487</v>
      </c>
      <c r="B926" s="3" t="str">
        <f>HYPERLINK("https://www.als.com/sram-derailleur-gx-eagle-lunar/p", "https://www.als.com/sram-derailleur-gx-eagle-lunar/p")</f>
        <v>https://www.als.com/sram-derailleur-gx-eagle-lunar/p</v>
      </c>
      <c r="C926" t="s">
        <v>1954</v>
      </c>
      <c r="D926" t="s">
        <v>3027</v>
      </c>
      <c r="E926" s="3" t="str">
        <f>HYPERLINK("https://www.amazon.com/SRAM-Eagle-Derailleur-X-Sync-Pulleys/dp/B0773K3FV8/ref=sr_1_10?keywords=Sram+Gx+Eagle+12+Sp+Rear+Derailleur+-+Max+52t+Lunar+%7C+Rear+Derailleur&amp;qid=1695124343&amp;sr=8-10", "https://www.amazon.com/SRAM-Eagle-Derailleur-X-Sync-Pulleys/dp/B0773K3FV8/ref=sr_1_10?keywords=Sram+Gx+Eagle+12+Sp+Rear+Derailleur+-+Max+52t+Lunar+%7C+Rear+Derailleur&amp;qid=1695124343&amp;sr=8-10")</f>
        <v>https://www.amazon.com/SRAM-Eagle-Derailleur-X-Sync-Pulleys/dp/B0773K3FV8/ref=sr_1_10?keywords=Sram+Gx+Eagle+12+Sp+Rear+Derailleur+-+Max+52t+Lunar+%7C+Rear+Derailleur&amp;qid=1695124343&amp;sr=8-10</v>
      </c>
      <c r="F926" t="s">
        <v>3028</v>
      </c>
      <c r="G926" t="e">
        <f ca="1">IMAGE("https://alssports.vtexassets.com/arquivos/ids/684018-800-auto?v=637569776148200000&amp;width=800&amp;height=auto&amp;aspect=true")</f>
        <v>#NAME?</v>
      </c>
      <c r="H926" t="e">
        <f ca="1">IMAGE("https://m.media-amazon.com/images/I/41pCWTx7REL._AC_UL320_.jpg")</f>
        <v>#NAME?</v>
      </c>
      <c r="I926" t="s">
        <v>449</v>
      </c>
      <c r="J926">
        <v>33.119999999999997</v>
      </c>
      <c r="K926" s="2" t="s">
        <v>3029</v>
      </c>
      <c r="L926">
        <v>4.7</v>
      </c>
      <c r="M926">
        <v>265</v>
      </c>
      <c r="O926" t="s">
        <v>33</v>
      </c>
      <c r="P926" t="s">
        <v>26</v>
      </c>
      <c r="Q926" t="s">
        <v>1958</v>
      </c>
    </row>
    <row r="927" spans="1:17" ht="15.75" x14ac:dyDescent="0.25">
      <c r="A927" s="3" t="str">
        <f>HYPERLINK("https://www.als.com/owala-bottle-free-sip-32-oz/p?skuId=1326138", "https://www.als.com/owala-bottle-free-sip-32-oz/p?skuId=1326138")</f>
        <v>https://www.als.com/owala-bottle-free-sip-32-oz/p?skuId=1326138</v>
      </c>
      <c r="B927" s="3" t="str">
        <f>HYPERLINK("https://www.als.com/owala-bottle-free-sip-32-oz/p", "https://www.als.com/owala-bottle-free-sip-32-oz/p")</f>
        <v>https://www.als.com/owala-bottle-free-sip-32-oz/p</v>
      </c>
      <c r="C927" t="s">
        <v>459</v>
      </c>
      <c r="D927" t="s">
        <v>3030</v>
      </c>
      <c r="E927" s="3" t="str">
        <f>HYPERLINK("https://www.amazon.com/Owala-Silicone-Anti-Slip-Protective-Stainless/dp/B0C6NPM6K4/ref=sr_1_2?keywords=Owala+FreeSip+Stainless+Steel+Water+Bottle+-+32oz&amp;qid=1695124104&amp;sr=8-2", "https://www.amazon.com/Owala-Silicone-Anti-Slip-Protective-Stainless/dp/B0C6NPM6K4/ref=sr_1_2?keywords=Owala+FreeSip+Stainless+Steel+Water+Bottle+-+32oz&amp;qid=1695124104&amp;sr=8-2")</f>
        <v>https://www.amazon.com/Owala-Silicone-Anti-Slip-Protective-Stainless/dp/B0C6NPM6K4/ref=sr_1_2?keywords=Owala+FreeSip+Stainless+Steel+Water+Bottle+-+32oz&amp;qid=1695124104&amp;sr=8-2</v>
      </c>
      <c r="F927" t="s">
        <v>3031</v>
      </c>
      <c r="G927" t="e">
        <f ca="1">IMAGE("https://alssports.vtexassets.com/arquivos/ids/1355955-800-auto?v=638230513195900000&amp;width=800&amp;height=auto&amp;aspect=true")</f>
        <v>#NAME?</v>
      </c>
      <c r="H927" t="e">
        <f ca="1">IMAGE("https://m.media-amazon.com/images/I/41A-z7SqFpL._AC_UL320_.jpg")</f>
        <v>#NAME?</v>
      </c>
      <c r="I927" t="s">
        <v>462</v>
      </c>
      <c r="J927">
        <v>7.99</v>
      </c>
      <c r="K927" s="2" t="s">
        <v>3032</v>
      </c>
      <c r="L927">
        <v>4.8</v>
      </c>
      <c r="M927">
        <v>1523</v>
      </c>
      <c r="O927" t="s">
        <v>33</v>
      </c>
      <c r="P927" t="s">
        <v>26</v>
      </c>
      <c r="Q927" t="s">
        <v>464</v>
      </c>
    </row>
    <row r="928" spans="1:17" ht="15.75" x14ac:dyDescent="0.25">
      <c r="A928" s="3" t="str">
        <f>HYPERLINK("https://www.als.com/stanley-the-iceflow-flip-straw-tumbler-30oz-103553/p?skuId=825655", "https://www.als.com/stanley-the-iceflow-flip-straw-tumbler-30oz-103553/p?skuId=825655")</f>
        <v>https://www.als.com/stanley-the-iceflow-flip-straw-tumbler-30oz-103553/p?skuId=825655</v>
      </c>
      <c r="B928" s="3" t="str">
        <f>HYPERLINK("https://www.als.com/stanley-the-iceflow-flip-straw-tumbler-30oz-103553/p", "https://www.als.com/stanley-the-iceflow-flip-straw-tumbler-30oz-103553/p")</f>
        <v>https://www.als.com/stanley-the-iceflow-flip-straw-tumbler-30oz-103553/p</v>
      </c>
      <c r="C928" t="s">
        <v>1371</v>
      </c>
      <c r="D928" t="s">
        <v>3033</v>
      </c>
      <c r="E928" s="3" t="str">
        <f>HYPERLINK("https://www.amazon.com/Replacement-Stainless-Reusable-Cleaning-Compatible/dp/B0BZTV7LZP/ref=sr_1_3?keywords=Stanley+The+IceFlow+Flip+Straw+Tumbler+-+30oz&amp;qid=1695124318&amp;sr=8-3", "https://www.amazon.com/Replacement-Stainless-Reusable-Cleaning-Compatible/dp/B0BZTV7LZP/ref=sr_1_3?keywords=Stanley+The+IceFlow+Flip+Straw+Tumbler+-+30oz&amp;qid=1695124318&amp;sr=8-3")</f>
        <v>https://www.amazon.com/Replacement-Stainless-Reusable-Cleaning-Compatible/dp/B0BZTV7LZP/ref=sr_1_3?keywords=Stanley+The+IceFlow+Flip+Straw+Tumbler+-+30oz&amp;qid=1695124318&amp;sr=8-3</v>
      </c>
      <c r="F928" t="s">
        <v>3034</v>
      </c>
      <c r="G928" t="e">
        <f ca="1">IMAGE("https://alssports.vtexassets.com/arquivos/ids/969718-800-auto?v=637744962130300000&amp;width=800&amp;height=auto&amp;aspect=true")</f>
        <v>#NAME?</v>
      </c>
      <c r="H928" t="e">
        <f ca="1">IMAGE("https://m.media-amazon.com/images/I/61s2HUnqHTL._AC_UL320_.jpg")</f>
        <v>#NAME?</v>
      </c>
      <c r="I928" t="s">
        <v>233</v>
      </c>
      <c r="J928">
        <v>8.25</v>
      </c>
      <c r="K928" s="2" t="s">
        <v>3035</v>
      </c>
      <c r="L928">
        <v>4.4000000000000004</v>
      </c>
      <c r="M928">
        <v>24</v>
      </c>
      <c r="O928" t="s">
        <v>33</v>
      </c>
      <c r="P928" t="s">
        <v>26</v>
      </c>
      <c r="Q928" t="s">
        <v>1375</v>
      </c>
    </row>
    <row r="929" spans="1:17" ht="15.75" x14ac:dyDescent="0.25">
      <c r="A929" s="3" t="str">
        <f>HYPERLINK("https://www.als.com/bigag-rapide-sl-insulated/p?skuId=981028", "https://www.als.com/bigag-rapide-sl-insulated/p?skuId=981028")</f>
        <v>https://www.als.com/bigag-rapide-sl-insulated/p?skuId=981028</v>
      </c>
      <c r="B929" s="3" t="str">
        <f>HYPERLINK("https://www.als.com/bigag-rapide-sl-insulated/p", "https://www.als.com/bigag-rapide-sl-insulated/p")</f>
        <v>https://www.als.com/bigag-rapide-sl-insulated/p</v>
      </c>
      <c r="C929" t="s">
        <v>42</v>
      </c>
      <c r="D929" t="s">
        <v>3036</v>
      </c>
      <c r="E929" s="3" t="str">
        <f>HYPERLINK("https://www.amazon.com/Big-Agnes-Pumphouse-Multi-Use-Sleeping/dp/B01MYU6XQT/ref=sr_1_18?keywords=Big+Agnes+Rapide+SL+Insulated+Sleeping+Pad&amp;qid=1695124305&amp;sr=8-18", "https://www.amazon.com/Big-Agnes-Pumphouse-Multi-Use-Sleeping/dp/B01MYU6XQT/ref=sr_1_18?keywords=Big+Agnes+Rapide+SL+Insulated+Sleeping+Pad&amp;qid=1695124305&amp;sr=8-18")</f>
        <v>https://www.amazon.com/Big-Agnes-Pumphouse-Multi-Use-Sleeping/dp/B01MYU6XQT/ref=sr_1_18?keywords=Big+Agnes+Rapide+SL+Insulated+Sleeping+Pad&amp;qid=1695124305&amp;sr=8-18</v>
      </c>
      <c r="F929" t="s">
        <v>3037</v>
      </c>
      <c r="G929" t="e">
        <f ca="1">IMAGE("https://alssports.vtexassets.com/arquivos/ids/1257749-800-auto?v=638134857129500000&amp;width=800&amp;height=auto&amp;aspect=true")</f>
        <v>#NAME?</v>
      </c>
      <c r="H929" t="e">
        <f ca="1">IMAGE("https://m.media-amazon.com/images/I/71pb69s4IgL._AC_UL320_.jpg")</f>
        <v>#NAME?</v>
      </c>
      <c r="I929" t="s">
        <v>44</v>
      </c>
      <c r="J929">
        <v>34.99</v>
      </c>
      <c r="K929" s="2" t="s">
        <v>3038</v>
      </c>
      <c r="L929">
        <v>4.5999999999999996</v>
      </c>
      <c r="M929">
        <v>374</v>
      </c>
      <c r="O929" t="s">
        <v>33</v>
      </c>
      <c r="P929" t="s">
        <v>26</v>
      </c>
      <c r="Q929" t="s">
        <v>45</v>
      </c>
    </row>
    <row r="930" spans="1:17" ht="15.75" x14ac:dyDescent="0.25">
      <c r="A930" s="3" t="str">
        <f>HYPERLINK("https://www.als.com/hydrof-bottle-standard-mouth-21/p?skuId=255000", "https://www.als.com/hydrof-bottle-standard-mouth-21/p?skuId=255000")</f>
        <v>https://www.als.com/hydrof-bottle-standard-mouth-21/p?skuId=255000</v>
      </c>
      <c r="B930" s="3" t="str">
        <f>HYPERLINK("https://www.als.com/hydrof-bottle-standard-mouth-21/p", "https://www.als.com/hydrof-bottle-standard-mouth-21/p")</f>
        <v>https://www.als.com/hydrof-bottle-standard-mouth-21/p</v>
      </c>
      <c r="C930" t="s">
        <v>525</v>
      </c>
      <c r="D930" t="s">
        <v>3039</v>
      </c>
      <c r="E930" s="3" t="str">
        <f>HYPERLINK("https://www.amazon.com/DBIW-Standard-Compatible-Hydroflask-Bottle/dp/B0979JJDRX/ref=sr_1_39?keywords=Hydro+Flask+Standard+Mouth+Insulated+Bottle+-+21oz&amp;qid=1695124388&amp;sr=8-39", "https://www.amazon.com/DBIW-Standard-Compatible-Hydroflask-Bottle/dp/B0979JJDRX/ref=sr_1_39?keywords=Hydro+Flask+Standard+Mouth+Insulated+Bottle+-+21oz&amp;qid=1695124388&amp;sr=8-39")</f>
        <v>https://www.amazon.com/DBIW-Standard-Compatible-Hydroflask-Bottle/dp/B0979JJDRX/ref=sr_1_39?keywords=Hydro+Flask+Standard+Mouth+Insulated+Bottle+-+21oz&amp;qid=1695124388&amp;sr=8-39</v>
      </c>
      <c r="F930" t="s">
        <v>3040</v>
      </c>
      <c r="G930" t="e">
        <f ca="1">IMAGE("https://alssports.vtexassets.com/arquivos/ids/1173834-800-auto?v=638042939420000000&amp;width=800&amp;height=auto&amp;aspect=true")</f>
        <v>#NAME?</v>
      </c>
      <c r="H930" t="e">
        <f ca="1">IMAGE("https://m.media-amazon.com/images/I/71jnwwX3oQS._AC_UL320_.jpg")</f>
        <v>#NAME?</v>
      </c>
      <c r="I930" t="s">
        <v>528</v>
      </c>
      <c r="J930">
        <v>8.09</v>
      </c>
      <c r="K930" s="2" t="s">
        <v>3041</v>
      </c>
      <c r="L930">
        <v>4.5</v>
      </c>
      <c r="M930">
        <v>254</v>
      </c>
      <c r="O930" t="s">
        <v>33</v>
      </c>
      <c r="P930" t="s">
        <v>26</v>
      </c>
      <c r="Q930" t="s">
        <v>530</v>
      </c>
    </row>
    <row r="931" spans="1:17" ht="15.75" x14ac:dyDescent="0.25">
      <c r="A931" s="3" t="str">
        <f>HYPERLINK("https://www.als.com/hydrof-bottle-standard-mouth-21/p?skuId=255000", "https://www.als.com/hydrof-bottle-standard-mouth-21/p?skuId=255000")</f>
        <v>https://www.als.com/hydrof-bottle-standard-mouth-21/p?skuId=255000</v>
      </c>
      <c r="B931" s="3" t="str">
        <f>HYPERLINK("https://www.als.com/hydrof-bottle-standard-mouth-21/p", "https://www.als.com/hydrof-bottle-standard-mouth-21/p")</f>
        <v>https://www.als.com/hydrof-bottle-standard-mouth-21/p</v>
      </c>
      <c r="C931" t="s">
        <v>525</v>
      </c>
      <c r="D931" t="s">
        <v>3042</v>
      </c>
      <c r="E931" s="3" t="str">
        <f>HYPERLINK("https://www.amazon.com/IRON-%C2%B0FLASK-Insulated-Bottles-Standard/dp/B08NDT93RH/ref=sr_1_28?keywords=Hydro+Flask+Standard+Mouth+Insulated+Bottle+-+21oz&amp;qid=1695124388&amp;sr=8-28", "https://www.amazon.com/IRON-%C2%B0FLASK-Insulated-Bottles-Standard/dp/B08NDT93RH/ref=sr_1_28?keywords=Hydro+Flask+Standard+Mouth+Insulated+Bottle+-+21oz&amp;qid=1695124388&amp;sr=8-28")</f>
        <v>https://www.amazon.com/IRON-%C2%B0FLASK-Insulated-Bottles-Standard/dp/B08NDT93RH/ref=sr_1_28?keywords=Hydro+Flask+Standard+Mouth+Insulated+Bottle+-+21oz&amp;qid=1695124388&amp;sr=8-28</v>
      </c>
      <c r="F931" t="s">
        <v>3043</v>
      </c>
      <c r="G931" t="e">
        <f ca="1">IMAGE("https://alssports.vtexassets.com/arquivos/ids/1173834-800-auto?v=638042939420000000&amp;width=800&amp;height=auto&amp;aspect=true")</f>
        <v>#NAME?</v>
      </c>
      <c r="H931" t="e">
        <f ca="1">IMAGE("https://m.media-amazon.com/images/I/61PXvMPjPwL._AC_UL320_.jpg")</f>
        <v>#NAME?</v>
      </c>
      <c r="I931" t="s">
        <v>528</v>
      </c>
      <c r="J931">
        <v>7.99</v>
      </c>
      <c r="K931" s="2" t="s">
        <v>3044</v>
      </c>
      <c r="L931">
        <v>4.5</v>
      </c>
      <c r="M931">
        <v>154</v>
      </c>
      <c r="O931" t="s">
        <v>33</v>
      </c>
      <c r="P931" t="s">
        <v>26</v>
      </c>
      <c r="Q931" t="s">
        <v>530</v>
      </c>
    </row>
    <row r="932" spans="1:17" ht="15.75" x14ac:dyDescent="0.25">
      <c r="A932" s="3" t="str">
        <f>HYPERLINK("https://www.als.com/hydrof-bottle-standard-mouth-21/p?skuId=255000", "https://www.als.com/hydrof-bottle-standard-mouth-21/p?skuId=255000")</f>
        <v>https://www.als.com/hydrof-bottle-standard-mouth-21/p?skuId=255000</v>
      </c>
      <c r="B932" s="3" t="str">
        <f>HYPERLINK("https://www.als.com/hydrof-bottle-standard-mouth-21/p", "https://www.als.com/hydrof-bottle-standard-mouth-21/p")</f>
        <v>https://www.als.com/hydrof-bottle-standard-mouth-21/p</v>
      </c>
      <c r="C932" t="s">
        <v>525</v>
      </c>
      <c r="D932" t="s">
        <v>3045</v>
      </c>
      <c r="E932" s="3" t="str">
        <f>HYPERLINK("https://www.amazon.com/Replacement-Standard-Insulated-Bottle-Double/dp/B07FK46W9X/ref=sr_1_25?keywords=Hydro+Flask+Standard+Mouth+Insulated+Bottle+-+21oz&amp;qid=1695124388&amp;sr=8-25", "https://www.amazon.com/Replacement-Standard-Insulated-Bottle-Double/dp/B07FK46W9X/ref=sr_1_25?keywords=Hydro+Flask+Standard+Mouth+Insulated+Bottle+-+21oz&amp;qid=1695124388&amp;sr=8-25")</f>
        <v>https://www.amazon.com/Replacement-Standard-Insulated-Bottle-Double/dp/B07FK46W9X/ref=sr_1_25?keywords=Hydro+Flask+Standard+Mouth+Insulated+Bottle+-+21oz&amp;qid=1695124388&amp;sr=8-25</v>
      </c>
      <c r="F932" t="s">
        <v>3046</v>
      </c>
      <c r="G932" t="e">
        <f ca="1">IMAGE("https://alssports.vtexassets.com/arquivos/ids/1173834-800-auto?v=638042939420000000&amp;width=800&amp;height=auto&amp;aspect=true")</f>
        <v>#NAME?</v>
      </c>
      <c r="H932" t="e">
        <f ca="1">IMAGE("https://m.media-amazon.com/images/I/618zGXcmZ6L._AC_UL320_.jpg")</f>
        <v>#NAME?</v>
      </c>
      <c r="I932" t="s">
        <v>528</v>
      </c>
      <c r="J932">
        <v>7.99</v>
      </c>
      <c r="K932" s="2" t="s">
        <v>3044</v>
      </c>
      <c r="L932">
        <v>3.8</v>
      </c>
      <c r="M932">
        <v>676</v>
      </c>
      <c r="O932" t="s">
        <v>33</v>
      </c>
      <c r="P932" t="s">
        <v>26</v>
      </c>
      <c r="Q932" t="s">
        <v>530</v>
      </c>
    </row>
    <row r="933" spans="1:17" ht="15.75" x14ac:dyDescent="0.25">
      <c r="A933" s="3" t="str">
        <f>HYPERLINK("https://www.als.com/petzl-belay-grigri-assisted-braking/p?skuId=572368", "https://www.als.com/petzl-belay-grigri-assisted-braking/p?skuId=572368")</f>
        <v>https://www.als.com/petzl-belay-grigri-assisted-braking/p?skuId=572368</v>
      </c>
      <c r="B933" s="3" t="str">
        <f>HYPERLINK("https://www.als.com/petzl-belay-grigri-assisted-braking/p", "https://www.als.com/petzl-belay-grigri-assisted-braking/p")</f>
        <v>https://www.als.com/petzl-belay-grigri-assisted-braking/p</v>
      </c>
      <c r="C933" t="s">
        <v>631</v>
      </c>
      <c r="D933" t="s">
        <v>3047</v>
      </c>
      <c r="E933" s="3" t="str">
        <f>HYPERLINK("https://www.amazon.com/PETZL-Verso-Lightweight-Rappel-Device/dp/B07NCN6R3V/ref=sr_1_7?keywords=Petzl+GriGri+Belay+Device&amp;qid=1695124323&amp;sr=8-7", "https://www.amazon.com/PETZL-Verso-Lightweight-Rappel-Device/dp/B07NCN6R3V/ref=sr_1_7?keywords=Petzl+GriGri+Belay+Device&amp;qid=1695124323&amp;sr=8-7")</f>
        <v>https://www.amazon.com/PETZL-Verso-Lightweight-Rappel-Device/dp/B07NCN6R3V/ref=sr_1_7?keywords=Petzl+GriGri+Belay+Device&amp;qid=1695124323&amp;sr=8-7</v>
      </c>
      <c r="F933" t="s">
        <v>3048</v>
      </c>
      <c r="G933" t="e">
        <f ca="1">IMAGE("https://alssports.vtexassets.com/arquivos/ids/1023632-800-auto?v=637823067748170000&amp;width=800&amp;height=auto&amp;aspect=true")</f>
        <v>#NAME?</v>
      </c>
      <c r="H933" t="e">
        <f ca="1">IMAGE("https://m.media-amazon.com/images/I/61jxhBiB-GL._AC_UY218_.jpg")</f>
        <v>#NAME?</v>
      </c>
      <c r="I933" t="s">
        <v>150</v>
      </c>
      <c r="J933">
        <v>24.95</v>
      </c>
      <c r="K933" s="2" t="s">
        <v>3049</v>
      </c>
      <c r="L933">
        <v>4.9000000000000004</v>
      </c>
      <c r="M933">
        <v>172</v>
      </c>
      <c r="O933" t="s">
        <v>33</v>
      </c>
      <c r="P933" t="s">
        <v>26</v>
      </c>
      <c r="Q933" t="s">
        <v>635</v>
      </c>
    </row>
    <row r="934" spans="1:17" ht="15.75" x14ac:dyDescent="0.25">
      <c r="A934" s="3" t="str">
        <f>HYPERLINK("https://www.als.com/owala-ss-32oz-freesip-h2o-bottle/p?skuId=1195209", "https://www.als.com/owala-ss-32oz-freesip-h2o-bottle/p?skuId=1195209")</f>
        <v>https://www.als.com/owala-ss-32oz-freesip-h2o-bottle/p?skuId=1195209</v>
      </c>
      <c r="B934" s="3" t="str">
        <f>HYPERLINK("https://www.als.com/owala-ss-32oz-freesip-h2o-bottle/p", "https://www.als.com/owala-ss-32oz-freesip-h2o-bottle/p")</f>
        <v>https://www.als.com/owala-ss-32oz-freesip-h2o-bottle/p</v>
      </c>
      <c r="C934" t="s">
        <v>465</v>
      </c>
      <c r="D934" t="s">
        <v>3050</v>
      </c>
      <c r="E934" s="3" t="str">
        <f>HYPERLINK("https://www.amazon.com/Owala-Silicone-Anti-Slip-Protective-Stainless/dp/B0C6NL4SHX/ref=sr_1_7?keywords=Owala+Free+Sip+Stainless+Steel+Water+Bottle+-+32oz&amp;qid=1695124108&amp;sr=8-7", "https://www.amazon.com/Owala-Silicone-Anti-Slip-Protective-Stainless/dp/B0C6NL4SHX/ref=sr_1_7?keywords=Owala+Free+Sip+Stainless+Steel+Water+Bottle+-+32oz&amp;qid=1695124108&amp;sr=8-7")</f>
        <v>https://www.amazon.com/Owala-Silicone-Anti-Slip-Protective-Stainless/dp/B0C6NL4SHX/ref=sr_1_7?keywords=Owala+Free+Sip+Stainless+Steel+Water+Bottle+-+32oz&amp;qid=1695124108&amp;sr=8-7</v>
      </c>
      <c r="F934" t="s">
        <v>3051</v>
      </c>
      <c r="G934" t="e">
        <f ca="1">IMAGE("https://alssports.vtexassets.com/arquivos/ids/1363762-800-auto?v=638236670706530000&amp;width=800&amp;height=auto&amp;aspect=true")</f>
        <v>#NAME?</v>
      </c>
      <c r="H934" t="e">
        <f ca="1">IMAGE("https://m.media-amazon.com/images/I/41mxYM4T7HL._AC_UL320_.jpg")</f>
        <v>#NAME?</v>
      </c>
      <c r="I934" t="s">
        <v>462</v>
      </c>
      <c r="J934">
        <v>6.99</v>
      </c>
      <c r="K934" s="2" t="s">
        <v>3052</v>
      </c>
      <c r="L934">
        <v>4.8</v>
      </c>
      <c r="M934">
        <v>1523</v>
      </c>
      <c r="O934" t="s">
        <v>33</v>
      </c>
      <c r="P934" t="s">
        <v>26</v>
      </c>
      <c r="Q934" t="s">
        <v>466</v>
      </c>
    </row>
    <row r="935" spans="1:17" ht="15.75" x14ac:dyDescent="0.25">
      <c r="A935" s="3" t="str">
        <f>HYPERLINK("https://www.als.com/fox-helmet-proframe-rs/p?skuId=599903", "https://www.als.com/fox-helmet-proframe-rs/p?skuId=599903")</f>
        <v>https://www.als.com/fox-helmet-proframe-rs/p?skuId=599903</v>
      </c>
      <c r="B935" s="3" t="str">
        <f>HYPERLINK("https://www.als.com/fox-helmet-proframe-rs/p", "https://www.als.com/fox-helmet-proframe-rs/p")</f>
        <v>https://www.als.com/fox-helmet-proframe-rs/p</v>
      </c>
      <c r="C935" t="s">
        <v>2026</v>
      </c>
      <c r="D935" t="s">
        <v>3053</v>
      </c>
      <c r="E935" s="3" t="str">
        <f>HYPERLINK("https://www.amazon.com/RACING-SPEEDFRAME-Helmet-Multiple-Protection/dp/B08SGP9MXP/ref=sr_1_48?keywords=Fox+Racing+Proframe+RS+Helmet&amp;qid=1695124415&amp;sr=8-48", "https://www.amazon.com/RACING-SPEEDFRAME-Helmet-Multiple-Protection/dp/B08SGP9MXP/ref=sr_1_48?keywords=Fox+Racing+Proframe+RS+Helmet&amp;qid=1695124415&amp;sr=8-48")</f>
        <v>https://www.amazon.com/RACING-SPEEDFRAME-Helmet-Multiple-Protection/dp/B08SGP9MXP/ref=sr_1_48?keywords=Fox+Racing+Proframe+RS+Helmet&amp;qid=1695124415&amp;sr=8-48</v>
      </c>
      <c r="F935" t="s">
        <v>3054</v>
      </c>
      <c r="G935" t="e">
        <f ca="1">IMAGE("https://alssports.vtexassets.com/arquivos/ids/1279583-800-auto?v=638156298149200000&amp;width=800&amp;height=auto&amp;aspect=true")</f>
        <v>#NAME?</v>
      </c>
      <c r="H935" t="e">
        <f ca="1">IMAGE("https://m.media-amazon.com/images/I/6159+KHqmFL._AC_UL320_.jpg")</f>
        <v>#NAME?</v>
      </c>
      <c r="I935" t="s">
        <v>2029</v>
      </c>
      <c r="J935">
        <v>74.069999999999993</v>
      </c>
      <c r="K935" s="2" t="s">
        <v>3055</v>
      </c>
      <c r="L935">
        <v>4.5999999999999996</v>
      </c>
      <c r="M935">
        <v>104</v>
      </c>
      <c r="O935" t="s">
        <v>33</v>
      </c>
      <c r="P935" t="s">
        <v>26</v>
      </c>
      <c r="Q935" t="s">
        <v>2031</v>
      </c>
    </row>
    <row r="936" spans="1:17" ht="15.75" x14ac:dyDescent="0.25">
      <c r="A936" s="3" t="str">
        <f>HYPERLINK("https://www.als.com/sitka-m-pant-mountain-optifade/p?skuId=90738", "https://www.als.com/sitka-m-pant-mountain-optifade/p?skuId=90738")</f>
        <v>https://www.als.com/sitka-m-pant-mountain-optifade/p?skuId=90738</v>
      </c>
      <c r="B936" s="3" t="str">
        <f>HYPERLINK("https://www.als.com/sitka-m-pant-mountain-optifade/p", "https://www.als.com/sitka-m-pant-mountain-optifade/p")</f>
        <v>https://www.als.com/sitka-m-pant-mountain-optifade/p</v>
      </c>
      <c r="C936" t="s">
        <v>260</v>
      </c>
      <c r="D936" t="s">
        <v>3056</v>
      </c>
      <c r="E936" s="3" t="str">
        <f>HYPERLINK("https://www.amazon.com/TBMPOY-Belted-Waterproof-Softshell-Fleece/dp/B06Y2Y1JGB/ref=sr_1_42?keywords=Sitka+Mountain+Pant+-+Mens&amp;qid=1695124392&amp;sr=8-42", "https://www.amazon.com/TBMPOY-Belted-Waterproof-Softshell-Fleece/dp/B06Y2Y1JGB/ref=sr_1_42?keywords=Sitka+Mountain+Pant+-+Mens&amp;qid=1695124392&amp;sr=8-42")</f>
        <v>https://www.amazon.com/TBMPOY-Belted-Waterproof-Softshell-Fleece/dp/B06Y2Y1JGB/ref=sr_1_42?keywords=Sitka+Mountain+Pant+-+Mens&amp;qid=1695124392&amp;sr=8-42</v>
      </c>
      <c r="F936" t="s">
        <v>3057</v>
      </c>
      <c r="G936" t="e">
        <f ca="1">IMAGE("https://alssports.vtexassets.com/arquivos/ids/1369099-800-auto?v=638242004529500000&amp;width=800&amp;height=auto&amp;aspect=true")</f>
        <v>#NAME?</v>
      </c>
      <c r="H936" t="e">
        <f ca="1">IMAGE("https://m.media-amazon.com/images/I/61H3xMbGDKL._AC_UL320_.jpg")</f>
        <v>#NAME?</v>
      </c>
      <c r="I936" t="s">
        <v>263</v>
      </c>
      <c r="J936">
        <v>42.99</v>
      </c>
      <c r="K936" s="2" t="s">
        <v>3058</v>
      </c>
      <c r="L936">
        <v>4.5</v>
      </c>
      <c r="M936">
        <v>5966</v>
      </c>
      <c r="O936" t="s">
        <v>33</v>
      </c>
      <c r="P936" t="s">
        <v>26</v>
      </c>
      <c r="Q936" t="s">
        <v>264</v>
      </c>
    </row>
    <row r="937" spans="1:17" ht="15.75" x14ac:dyDescent="0.25">
      <c r="A937" s="3" t="str">
        <f>HYPERLINK("https://www.als.com/hydrof-bottle-standard-mouth-21/p?skuId=255000", "https://www.als.com/hydrof-bottle-standard-mouth-21/p?skuId=255000")</f>
        <v>https://www.als.com/hydrof-bottle-standard-mouth-21/p?skuId=255000</v>
      </c>
      <c r="B937" s="3" t="str">
        <f>HYPERLINK("https://www.als.com/hydrof-bottle-standard-mouth-21/p", "https://www.als.com/hydrof-bottle-standard-mouth-21/p")</f>
        <v>https://www.als.com/hydrof-bottle-standard-mouth-21/p</v>
      </c>
      <c r="C937" t="s">
        <v>525</v>
      </c>
      <c r="D937" t="s">
        <v>3059</v>
      </c>
      <c r="E937" s="3" t="str">
        <f>HYPERLINK("https://www.amazon.com/Prurex-Standard-Replacement-Narrow-Bottles/dp/B0C5MD1SVY/ref=sr_1_34?keywords=Hydro+Flask+Standard+Mouth+Insulated+Bottle+-+21oz&amp;qid=1695124388&amp;sr=8-34", "https://www.amazon.com/Prurex-Standard-Replacement-Narrow-Bottles/dp/B0C5MD1SVY/ref=sr_1_34?keywords=Hydro+Flask+Standard+Mouth+Insulated+Bottle+-+21oz&amp;qid=1695124388&amp;sr=8-34")</f>
        <v>https://www.amazon.com/Prurex-Standard-Replacement-Narrow-Bottles/dp/B0C5MD1SVY/ref=sr_1_34?keywords=Hydro+Flask+Standard+Mouth+Insulated+Bottle+-+21oz&amp;qid=1695124388&amp;sr=8-34</v>
      </c>
      <c r="F937" t="s">
        <v>3060</v>
      </c>
      <c r="G937" t="e">
        <f ca="1">IMAGE("https://alssports.vtexassets.com/arquivos/ids/1173834-800-auto?v=638042939420000000&amp;width=800&amp;height=auto&amp;aspect=true")</f>
        <v>#NAME?</v>
      </c>
      <c r="H937" t="e">
        <f ca="1">IMAGE("https://m.media-amazon.com/images/I/61Fv+3BmdZL._AC_UL320_.jpg")</f>
        <v>#NAME?</v>
      </c>
      <c r="I937" t="s">
        <v>528</v>
      </c>
      <c r="J937">
        <v>6.99</v>
      </c>
      <c r="K937" s="2" t="s">
        <v>3061</v>
      </c>
      <c r="L937">
        <v>5</v>
      </c>
      <c r="M937">
        <v>1</v>
      </c>
      <c r="O937" t="s">
        <v>33</v>
      </c>
      <c r="P937" t="s">
        <v>26</v>
      </c>
      <c r="Q937" t="s">
        <v>530</v>
      </c>
    </row>
    <row r="938" spans="1:17" ht="15.75" x14ac:dyDescent="0.25">
      <c r="A938" s="3" t="str">
        <f>HYPERLINK("https://www.als.com/hydrof-bottle-standard-mouth-21/p?skuId=255000", "https://www.als.com/hydrof-bottle-standard-mouth-21/p?skuId=255000")</f>
        <v>https://www.als.com/hydrof-bottle-standard-mouth-21/p?skuId=255000</v>
      </c>
      <c r="B938" s="3" t="str">
        <f>HYPERLINK("https://www.als.com/hydrof-bottle-standard-mouth-21/p", "https://www.als.com/hydrof-bottle-standard-mouth-21/p")</f>
        <v>https://www.als.com/hydrof-bottle-standard-mouth-21/p</v>
      </c>
      <c r="C938" t="s">
        <v>525</v>
      </c>
      <c r="D938" t="s">
        <v>3062</v>
      </c>
      <c r="E938" s="3" t="str">
        <f>HYPERLINK("https://www.amazon.com/Prurex-Standard-Replacement-Insulated-Bottles/dp/B0C5MBQB5R/ref=sr_1_3?keywords=Hydro+Flask+Standard+Mouth+Insulated+Bottle+-+21oz&amp;qid=1695124388&amp;sr=8-3", "https://www.amazon.com/Prurex-Standard-Replacement-Insulated-Bottles/dp/B0C5MBQB5R/ref=sr_1_3?keywords=Hydro+Flask+Standard+Mouth+Insulated+Bottle+-+21oz&amp;qid=1695124388&amp;sr=8-3")</f>
        <v>https://www.amazon.com/Prurex-Standard-Replacement-Insulated-Bottles/dp/B0C5MBQB5R/ref=sr_1_3?keywords=Hydro+Flask+Standard+Mouth+Insulated+Bottle+-+21oz&amp;qid=1695124388&amp;sr=8-3</v>
      </c>
      <c r="F938" t="s">
        <v>3063</v>
      </c>
      <c r="G938" t="e">
        <f ca="1">IMAGE("https://alssports.vtexassets.com/arquivos/ids/1173834-800-auto?v=638042939420000000&amp;width=800&amp;height=auto&amp;aspect=true")</f>
        <v>#NAME?</v>
      </c>
      <c r="H938" t="e">
        <f ca="1">IMAGE("https://m.media-amazon.com/images/I/71YcylqkNlL._AC_UL320_.jpg")</f>
        <v>#NAME?</v>
      </c>
      <c r="I938" t="s">
        <v>528</v>
      </c>
      <c r="J938">
        <v>6.99</v>
      </c>
      <c r="K938" s="2" t="s">
        <v>3061</v>
      </c>
      <c r="L938">
        <v>5</v>
      </c>
      <c r="M938">
        <v>1</v>
      </c>
      <c r="O938" t="s">
        <v>33</v>
      </c>
      <c r="P938" t="s">
        <v>26</v>
      </c>
      <c r="Q938" t="s">
        <v>530</v>
      </c>
    </row>
    <row r="939" spans="1:17" ht="15.75" x14ac:dyDescent="0.25">
      <c r="A939" s="3" t="str">
        <f>HYPERLINK("https://www.als.com/hydrof-bottle-standard-mouth-21/p?skuId=255000", "https://www.als.com/hydrof-bottle-standard-mouth-21/p?skuId=255000")</f>
        <v>https://www.als.com/hydrof-bottle-standard-mouth-21/p?skuId=255000</v>
      </c>
      <c r="B939" s="3" t="str">
        <f>HYPERLINK("https://www.als.com/hydrof-bottle-standard-mouth-21/p", "https://www.als.com/hydrof-bottle-standard-mouth-21/p")</f>
        <v>https://www.als.com/hydrof-bottle-standard-mouth-21/p</v>
      </c>
      <c r="C939" t="s">
        <v>525</v>
      </c>
      <c r="D939" t="s">
        <v>3064</v>
      </c>
      <c r="E939" s="3" t="str">
        <f>HYPERLINK("https://www.amazon.com/Coldest-Water-Insulated-Standard-Mouth/dp/B07R54HX8B/ref=sr_1_14?keywords=Hydro+Flask+Standard+Mouth+Insulated+Bottle+-+21oz&amp;qid=1695124388&amp;sr=8-14", "https://www.amazon.com/Coldest-Water-Insulated-Standard-Mouth/dp/B07R54HX8B/ref=sr_1_14?keywords=Hydro+Flask+Standard+Mouth+Insulated+Bottle+-+21oz&amp;qid=1695124388&amp;sr=8-14")</f>
        <v>https://www.amazon.com/Coldest-Water-Insulated-Standard-Mouth/dp/B07R54HX8B/ref=sr_1_14?keywords=Hydro+Flask+Standard+Mouth+Insulated+Bottle+-+21oz&amp;qid=1695124388&amp;sr=8-14</v>
      </c>
      <c r="F939" t="s">
        <v>3065</v>
      </c>
      <c r="G939" t="e">
        <f ca="1">IMAGE("https://alssports.vtexassets.com/arquivos/ids/1173834-800-auto?v=638042939420000000&amp;width=800&amp;height=auto&amp;aspect=true")</f>
        <v>#NAME?</v>
      </c>
      <c r="H939" t="e">
        <f ca="1">IMAGE("https://m.media-amazon.com/images/I/71gGBJUzYkL._AC_UL320_.jpg")</f>
        <v>#NAME?</v>
      </c>
      <c r="I939" t="s">
        <v>528</v>
      </c>
      <c r="J939">
        <v>6.99</v>
      </c>
      <c r="K939" s="2" t="s">
        <v>3061</v>
      </c>
      <c r="L939">
        <v>4.3</v>
      </c>
      <c r="M939">
        <v>511</v>
      </c>
      <c r="O939" t="s">
        <v>33</v>
      </c>
      <c r="P939" t="s">
        <v>26</v>
      </c>
      <c r="Q939" t="s">
        <v>530</v>
      </c>
    </row>
    <row r="940" spans="1:17" ht="15.75" x14ac:dyDescent="0.25">
      <c r="A940" s="3" t="str">
        <f>HYPERLINK("https://www.als.com/hydrof-bottle-standard-mouth-21/p?skuId=255000", "https://www.als.com/hydrof-bottle-standard-mouth-21/p?skuId=255000")</f>
        <v>https://www.als.com/hydrof-bottle-standard-mouth-21/p?skuId=255000</v>
      </c>
      <c r="B940" s="3" t="str">
        <f>HYPERLINK("https://www.als.com/hydrof-bottle-standard-mouth-21/p", "https://www.als.com/hydrof-bottle-standard-mouth-21/p")</f>
        <v>https://www.als.com/hydrof-bottle-standard-mouth-21/p</v>
      </c>
      <c r="C940" t="s">
        <v>525</v>
      </c>
      <c r="D940" t="s">
        <v>3066</v>
      </c>
      <c r="E940" s="3" t="str">
        <f>HYPERLINK("https://www.amazon.com/Standard-Simple-12-64oz-Bottles-Accessories/dp/B0795DGCY6/ref=sr_1_24?keywords=Hydro+Flask+Standard+Mouth+Insulated+Bottle+-+21oz&amp;qid=1695124388&amp;sr=8-24", "https://www.amazon.com/Standard-Simple-12-64oz-Bottles-Accessories/dp/B0795DGCY6/ref=sr_1_24?keywords=Hydro+Flask+Standard+Mouth+Insulated+Bottle+-+21oz&amp;qid=1695124388&amp;sr=8-24")</f>
        <v>https://www.amazon.com/Standard-Simple-12-64oz-Bottles-Accessories/dp/B0795DGCY6/ref=sr_1_24?keywords=Hydro+Flask+Standard+Mouth+Insulated+Bottle+-+21oz&amp;qid=1695124388&amp;sr=8-24</v>
      </c>
      <c r="F940" t="s">
        <v>3067</v>
      </c>
      <c r="G940" t="e">
        <f ca="1">IMAGE("https://alssports.vtexassets.com/arquivos/ids/1173834-800-auto?v=638042939420000000&amp;width=800&amp;height=auto&amp;aspect=true")</f>
        <v>#NAME?</v>
      </c>
      <c r="H940" t="e">
        <f ca="1">IMAGE("https://m.media-amazon.com/images/I/71K+c83DAiL._AC_UL320_.jpg")</f>
        <v>#NAME?</v>
      </c>
      <c r="I940" t="s">
        <v>528</v>
      </c>
      <c r="J940">
        <v>6.99</v>
      </c>
      <c r="K940" s="2" t="s">
        <v>3061</v>
      </c>
      <c r="L940">
        <v>4.3</v>
      </c>
      <c r="M940">
        <v>4332</v>
      </c>
      <c r="O940" t="s">
        <v>33</v>
      </c>
      <c r="P940" t="s">
        <v>26</v>
      </c>
      <c r="Q940" t="s">
        <v>530</v>
      </c>
    </row>
    <row r="941" spans="1:17" ht="15.75" x14ac:dyDescent="0.25">
      <c r="A941" s="3" t="str">
        <f>HYPERLINK("https://www.als.com/stanley-the-iceflow-flip-straw-tumbler-30oz-103553/p?skuId=825655", "https://www.als.com/stanley-the-iceflow-flip-straw-tumbler-30oz-103553/p?skuId=825655")</f>
        <v>https://www.als.com/stanley-the-iceflow-flip-straw-tumbler-30oz-103553/p?skuId=825655</v>
      </c>
      <c r="B941" s="3" t="str">
        <f>HYPERLINK("https://www.als.com/stanley-the-iceflow-flip-straw-tumbler-30oz-103553/p", "https://www.als.com/stanley-the-iceflow-flip-straw-tumbler-30oz-103553/p")</f>
        <v>https://www.als.com/stanley-the-iceflow-flip-straw-tumbler-30oz-103553/p</v>
      </c>
      <c r="C941" t="s">
        <v>1371</v>
      </c>
      <c r="D941" t="s">
        <v>3068</v>
      </c>
      <c r="E941" s="3" t="str">
        <f>HYPERLINK("https://www.amazon.com/Silicone-Quencher-Tumblers-Protective-Accessories/dp/B0C4TGRBDR/ref=sr_1_12?keywords=Stanley+The+IceFlow+Flip+Straw+Tumbler+-+30oz&amp;qid=1695124318&amp;sr=8-12", "https://www.amazon.com/Silicone-Quencher-Tumblers-Protective-Accessories/dp/B0C4TGRBDR/ref=sr_1_12?keywords=Stanley+The+IceFlow+Flip+Straw+Tumbler+-+30oz&amp;qid=1695124318&amp;sr=8-12")</f>
        <v>https://www.amazon.com/Silicone-Quencher-Tumblers-Protective-Accessories/dp/B0C4TGRBDR/ref=sr_1_12?keywords=Stanley+The+IceFlow+Flip+Straw+Tumbler+-+30oz&amp;qid=1695124318&amp;sr=8-12</v>
      </c>
      <c r="F941" t="s">
        <v>3069</v>
      </c>
      <c r="G941" t="e">
        <f ca="1">IMAGE("https://alssports.vtexassets.com/arquivos/ids/969718-800-auto?v=637744962130300000&amp;width=800&amp;height=auto&amp;aspect=true")</f>
        <v>#NAME?</v>
      </c>
      <c r="H941" t="e">
        <f ca="1">IMAGE("https://m.media-amazon.com/images/I/51zAvIH-cQL._AC_UL320_.jpg")</f>
        <v>#NAME?</v>
      </c>
      <c r="I941" t="s">
        <v>233</v>
      </c>
      <c r="J941">
        <v>6.99</v>
      </c>
      <c r="K941" s="2" t="s">
        <v>3070</v>
      </c>
      <c r="L941">
        <v>4.5999999999999996</v>
      </c>
      <c r="M941">
        <v>42</v>
      </c>
      <c r="O941" t="s">
        <v>33</v>
      </c>
      <c r="P941" t="s">
        <v>26</v>
      </c>
      <c r="Q941" t="s">
        <v>1375</v>
      </c>
    </row>
    <row r="942" spans="1:17" ht="15.75" x14ac:dyDescent="0.25">
      <c r="A942" s="3" t="str">
        <f>HYPERLINK("https://www.als.com/sram-chain-pc-x01-eagle/p?skuId=536002", "https://www.als.com/sram-chain-pc-x01-eagle/p?skuId=536002")</f>
        <v>https://www.als.com/sram-chain-pc-x01-eagle/p?skuId=536002</v>
      </c>
      <c r="B942" s="3" t="str">
        <f>HYPERLINK("https://www.als.com/sram-chain-pc-x01-eagle/p", "https://www.als.com/sram-chain-pc-x01-eagle/p")</f>
        <v>https://www.als.com/sram-chain-pc-x01-eagle/p</v>
      </c>
      <c r="C942" t="s">
        <v>1104</v>
      </c>
      <c r="D942" t="s">
        <v>3071</v>
      </c>
      <c r="E942" s="3" t="str">
        <f>HYPERLINK("https://www.amazon.com/SRAM-Eagle-PowerLock-Connector-12-speed/dp/B077D1BGF6/ref=sr_1_5?keywords=SRAM+X01+Eagle+12-Speed+Chain&amp;qid=1695124143&amp;sr=8-5", "https://www.amazon.com/SRAM-Eagle-PowerLock-Connector-12-speed/dp/B077D1BGF6/ref=sr_1_5?keywords=SRAM+X01+Eagle+12-Speed+Chain&amp;qid=1695124143&amp;sr=8-5")</f>
        <v>https://www.amazon.com/SRAM-Eagle-PowerLock-Connector-12-speed/dp/B077D1BGF6/ref=sr_1_5?keywords=SRAM+X01+Eagle+12-Speed+Chain&amp;qid=1695124143&amp;sr=8-5</v>
      </c>
      <c r="F942" t="s">
        <v>3072</v>
      </c>
      <c r="G942" t="e">
        <f ca="1">IMAGE("https://alssports.vtexassets.com/arquivos/ids/1117391-800-auto?v=637964367650530000&amp;width=800&amp;height=auto&amp;aspect=true")</f>
        <v>#NAME?</v>
      </c>
      <c r="H942" t="e">
        <f ca="1">IMAGE("https://m.media-amazon.com/images/I/617nMA7CTwL._AC_UL320_.jpg")</f>
        <v>#NAME?</v>
      </c>
      <c r="I942" t="s">
        <v>1107</v>
      </c>
      <c r="J942">
        <v>12.78</v>
      </c>
      <c r="K942" s="2" t="s">
        <v>3070</v>
      </c>
      <c r="L942">
        <v>4.8</v>
      </c>
      <c r="M942">
        <v>336</v>
      </c>
      <c r="O942" t="s">
        <v>33</v>
      </c>
      <c r="P942" t="s">
        <v>26</v>
      </c>
      <c r="Q942" t="s">
        <v>1109</v>
      </c>
    </row>
    <row r="943" spans="1:17" ht="15.75" x14ac:dyDescent="0.25">
      <c r="A943" s="3" t="str">
        <f>HYPERLINK("https://www.als.com/sram-chain-pc-x01-eagle/p?skuId=536002", "https://www.als.com/sram-chain-pc-x01-eagle/p?skuId=536002")</f>
        <v>https://www.als.com/sram-chain-pc-x01-eagle/p?skuId=536002</v>
      </c>
      <c r="B943" s="3" t="str">
        <f>HYPERLINK("https://www.als.com/sram-chain-pc-x01-eagle/p", "https://www.als.com/sram-chain-pc-x01-eagle/p")</f>
        <v>https://www.als.com/sram-chain-pc-x01-eagle/p</v>
      </c>
      <c r="C943" t="s">
        <v>1104</v>
      </c>
      <c r="D943" t="s">
        <v>3073</v>
      </c>
      <c r="E943" s="3" t="str">
        <f>HYPERLINK("https://www.amazon.com/SRAM-Eagle-12-Speed-PowerLock-Connector/dp/B08C5LQM1Q/ref=sr_1_21?keywords=SRAM+X01+Eagle+12-Speed+Chain&amp;qid=1695124143&amp;sr=8-21", "https://www.amazon.com/SRAM-Eagle-12-Speed-PowerLock-Connector/dp/B08C5LQM1Q/ref=sr_1_21?keywords=SRAM+X01+Eagle+12-Speed+Chain&amp;qid=1695124143&amp;sr=8-21")</f>
        <v>https://www.amazon.com/SRAM-Eagle-12-Speed-PowerLock-Connector/dp/B08C5LQM1Q/ref=sr_1_21?keywords=SRAM+X01+Eagle+12-Speed+Chain&amp;qid=1695124143&amp;sr=8-21</v>
      </c>
      <c r="F943" t="s">
        <v>3074</v>
      </c>
      <c r="G943" t="e">
        <f ca="1">IMAGE("https://alssports.vtexassets.com/arquivos/ids/1117391-800-auto?v=637964367650530000&amp;width=800&amp;height=auto&amp;aspect=true")</f>
        <v>#NAME?</v>
      </c>
      <c r="H943" t="e">
        <f ca="1">IMAGE("https://m.media-amazon.com/images/I/61XKau5V5-L._AC_UL320_.jpg")</f>
        <v>#NAME?</v>
      </c>
      <c r="I943" t="s">
        <v>1107</v>
      </c>
      <c r="J943">
        <v>12.75</v>
      </c>
      <c r="K943" s="2" t="s">
        <v>3075</v>
      </c>
      <c r="L943">
        <v>4.9000000000000004</v>
      </c>
      <c r="M943">
        <v>60</v>
      </c>
      <c r="O943" t="s">
        <v>33</v>
      </c>
      <c r="P943" t="s">
        <v>26</v>
      </c>
      <c r="Q943" t="s">
        <v>1109</v>
      </c>
    </row>
    <row r="944" spans="1:17" ht="15.75" x14ac:dyDescent="0.25">
      <c r="A944" s="3" t="str">
        <f>HYPERLINK("https://www.als.com/solstc-kayak-flare-2-inflatable/p", "https://www.als.com/solstc-kayak-flare-2-inflatable/p")</f>
        <v>https://www.als.com/solstc-kayak-flare-2-inflatable/p</v>
      </c>
      <c r="B944" s="3" t="str">
        <f>HYPERLINK("https://www.als.com/solstc-kayak-flare-2-inflatable/p", "https://www.als.com/solstc-kayak-flare-2-inflatable/p")</f>
        <v>https://www.als.com/solstc-kayak-flare-2-inflatable/p</v>
      </c>
      <c r="C944" t="s">
        <v>2156</v>
      </c>
      <c r="D944" t="s">
        <v>3076</v>
      </c>
      <c r="E944" s="3" t="str">
        <f>HYPERLINK("https://www.amazon.com/Sunlite-Sports-2-Person-Inflatable-Aluminum/dp/B0CCBYXTL3/ref=sr_1_3?keywords=Solstice+Flare+1-2+Person+Inflatable+Kayak&amp;qid=1695124327&amp;sr=8-3", "https://www.amazon.com/Sunlite-Sports-2-Person-Inflatable-Aluminum/dp/B0CCBYXTL3/ref=sr_1_3?keywords=Solstice+Flare+1-2+Person+Inflatable+Kayak&amp;qid=1695124327&amp;sr=8-3")</f>
        <v>https://www.amazon.com/Sunlite-Sports-2-Person-Inflatable-Aluminum/dp/B0CCBYXTL3/ref=sr_1_3?keywords=Solstice+Flare+1-2+Person+Inflatable+Kayak&amp;qid=1695124327&amp;sr=8-3</v>
      </c>
      <c r="F944" t="s">
        <v>3077</v>
      </c>
      <c r="G944" t="e">
        <f ca="1">IMAGE("https://alssports.vtexassets.com/arquivos/ids/1412193-800-auto?v=638271061065300000&amp;width=800&amp;height=auto&amp;aspect=true")</f>
        <v>#NAME?</v>
      </c>
      <c r="H944" t="e">
        <f ca="1">IMAGE("https://m.media-amazon.com/images/I/71v3-jCBepL._AC_UY218_.jpg")</f>
        <v>#NAME?</v>
      </c>
      <c r="I944" t="s">
        <v>2159</v>
      </c>
      <c r="J944">
        <v>129.99</v>
      </c>
      <c r="K944" s="2" t="s">
        <v>3078</v>
      </c>
      <c r="L944">
        <v>4.5999999999999996</v>
      </c>
      <c r="M944">
        <v>26</v>
      </c>
      <c r="O944" t="s">
        <v>33</v>
      </c>
      <c r="P944" t="s">
        <v>26</v>
      </c>
      <c r="Q944" t="s">
        <v>2161</v>
      </c>
    </row>
    <row r="945" spans="1:17" ht="15.75" x14ac:dyDescent="0.25">
      <c r="A945" s="3" t="str">
        <f>HYPERLINK("https://www.als.com/stanley-the-iceflow-flip-straw-tumbler-30oz-103553/p?skuId=825655", "https://www.als.com/stanley-the-iceflow-flip-straw-tumbler-30oz-103553/p?skuId=825655")</f>
        <v>https://www.als.com/stanley-the-iceflow-flip-straw-tumbler-30oz-103553/p?skuId=825655</v>
      </c>
      <c r="B945" s="3" t="str">
        <f>HYPERLINK("https://www.als.com/stanley-the-iceflow-flip-straw-tumbler-30oz-103553/p", "https://www.als.com/stanley-the-iceflow-flip-straw-tumbler-30oz-103553/p")</f>
        <v>https://www.als.com/stanley-the-iceflow-flip-straw-tumbler-30oz-103553/p</v>
      </c>
      <c r="C945" t="s">
        <v>1371</v>
      </c>
      <c r="D945" t="s">
        <v>3079</v>
      </c>
      <c r="E945" s="3" t="str">
        <f>HYPERLINK("https://www.amazon.com/Quencher-Silicone-Tumblers-Protector-Accessories/dp/B0C4TJ2Q4Y/ref=sr_1_36?keywords=Stanley+The+IceFlow+Flip+Straw+Tumbler+-+30oz&amp;qid=1695124318&amp;sr=8-36", "https://www.amazon.com/Quencher-Silicone-Tumblers-Protector-Accessories/dp/B0C4TJ2Q4Y/ref=sr_1_36?keywords=Stanley+The+IceFlow+Flip+Straw+Tumbler+-+30oz&amp;qid=1695124318&amp;sr=8-36")</f>
        <v>https://www.amazon.com/Quencher-Silicone-Tumblers-Protector-Accessories/dp/B0C4TJ2Q4Y/ref=sr_1_36?keywords=Stanley+The+IceFlow+Flip+Straw+Tumbler+-+30oz&amp;qid=1695124318&amp;sr=8-36</v>
      </c>
      <c r="F945" t="s">
        <v>3080</v>
      </c>
      <c r="G945" t="e">
        <f ca="1">IMAGE("https://alssports.vtexassets.com/arquivos/ids/969718-800-auto?v=637744962130300000&amp;width=800&amp;height=auto&amp;aspect=true")</f>
        <v>#NAME?</v>
      </c>
      <c r="H945" t="e">
        <f ca="1">IMAGE("https://m.media-amazon.com/images/I/61uImT3eqNL._AC_UL320_.jpg")</f>
        <v>#NAME?</v>
      </c>
      <c r="I945" t="s">
        <v>233</v>
      </c>
      <c r="J945">
        <v>6.29</v>
      </c>
      <c r="K945" s="2" t="s">
        <v>3081</v>
      </c>
      <c r="L945">
        <v>4.7</v>
      </c>
      <c r="M945">
        <v>9</v>
      </c>
      <c r="O945" t="s">
        <v>33</v>
      </c>
      <c r="P945" t="s">
        <v>26</v>
      </c>
      <c r="Q945" t="s">
        <v>1375</v>
      </c>
    </row>
    <row r="946" spans="1:17" ht="15.75" x14ac:dyDescent="0.25">
      <c r="A946" s="3" t="str">
        <f>HYPERLINK("https://www.als.com/hydrof-bottle-standard-mouth-21/p?skuId=255000", "https://www.als.com/hydrof-bottle-standard-mouth-21/p?skuId=255000")</f>
        <v>https://www.als.com/hydrof-bottle-standard-mouth-21/p?skuId=255000</v>
      </c>
      <c r="B946" s="3" t="str">
        <f>HYPERLINK("https://www.als.com/hydrof-bottle-standard-mouth-21/p", "https://www.als.com/hydrof-bottle-standard-mouth-21/p")</f>
        <v>https://www.als.com/hydrof-bottle-standard-mouth-21/p</v>
      </c>
      <c r="C946" t="s">
        <v>525</v>
      </c>
      <c r="D946" t="s">
        <v>2560</v>
      </c>
      <c r="E946" s="3" t="str">
        <f>HYPERLINK("https://www.amazon.com/Standard-Bottle-Improved-Replacement-Insulated/dp/B07KYZ3CYG/ref=sr_1_2?keywords=Hydro+Flask+Standard+Mouth+Insulated+Bottle+-+21oz&amp;qid=1695124388&amp;sr=8-2", "https://www.amazon.com/Standard-Bottle-Improved-Replacement-Insulated/dp/B07KYZ3CYG/ref=sr_1_2?keywords=Hydro+Flask+Standard+Mouth+Insulated+Bottle+-+21oz&amp;qid=1695124388&amp;sr=8-2")</f>
        <v>https://www.amazon.com/Standard-Bottle-Improved-Replacement-Insulated/dp/B07KYZ3CYG/ref=sr_1_2?keywords=Hydro+Flask+Standard+Mouth+Insulated+Bottle+-+21oz&amp;qid=1695124388&amp;sr=8-2</v>
      </c>
      <c r="F946" t="s">
        <v>2561</v>
      </c>
      <c r="G946" t="e">
        <f ca="1">IMAGE("https://alssports.vtexassets.com/arquivos/ids/1173834-800-auto?v=638042939420000000&amp;width=800&amp;height=auto&amp;aspect=true")</f>
        <v>#NAME?</v>
      </c>
      <c r="H946" t="e">
        <f ca="1">IMAGE("https://m.media-amazon.com/images/I/71CCKpDmtFL._AC_UL320_.jpg")</f>
        <v>#NAME?</v>
      </c>
      <c r="I946" t="s">
        <v>528</v>
      </c>
      <c r="J946">
        <v>5.99</v>
      </c>
      <c r="K946" s="2" t="s">
        <v>3082</v>
      </c>
      <c r="L946">
        <v>4.5</v>
      </c>
      <c r="M946">
        <v>5050</v>
      </c>
      <c r="O946" t="s">
        <v>33</v>
      </c>
      <c r="P946" t="s">
        <v>26</v>
      </c>
      <c r="Q946" t="s">
        <v>530</v>
      </c>
    </row>
    <row r="947" spans="1:17" ht="15.75" x14ac:dyDescent="0.25">
      <c r="A947" s="3" t="str">
        <f>HYPERLINK("https://www.als.com/sitka-m-pant-mountain-optifade/p?skuId=90738", "https://www.als.com/sitka-m-pant-mountain-optifade/p?skuId=90738")</f>
        <v>https://www.als.com/sitka-m-pant-mountain-optifade/p?skuId=90738</v>
      </c>
      <c r="B947" s="3" t="str">
        <f>HYPERLINK("https://www.als.com/sitka-m-pant-mountain-optifade/p", "https://www.als.com/sitka-m-pant-mountain-optifade/p")</f>
        <v>https://www.als.com/sitka-m-pant-mountain-optifade/p</v>
      </c>
      <c r="C947" t="s">
        <v>260</v>
      </c>
      <c r="D947" t="s">
        <v>3083</v>
      </c>
      <c r="E947" s="3" t="str">
        <f>HYPERLINK("https://www.amazon.com/Lightweight-Waterproof-Outdoor-Mountain-Fishing/dp/B07RN7D6F8/ref=sr_1_16?keywords=Sitka+Mountain+Pant+-+Mens&amp;qid=1695124392&amp;sr=8-16", "https://www.amazon.com/Lightweight-Waterproof-Outdoor-Mountain-Fishing/dp/B07RN7D6F8/ref=sr_1_16?keywords=Sitka+Mountain+Pant+-+Mens&amp;qid=1695124392&amp;sr=8-16")</f>
        <v>https://www.amazon.com/Lightweight-Waterproof-Outdoor-Mountain-Fishing/dp/B07RN7D6F8/ref=sr_1_16?keywords=Sitka+Mountain+Pant+-+Mens&amp;qid=1695124392&amp;sr=8-16</v>
      </c>
      <c r="F947" t="s">
        <v>3084</v>
      </c>
      <c r="G947" t="e">
        <f ca="1">IMAGE("https://alssports.vtexassets.com/arquivos/ids/1369099-800-auto?v=638242004529500000&amp;width=800&amp;height=auto&amp;aspect=true")</f>
        <v>#NAME?</v>
      </c>
      <c r="H947" t="e">
        <f ca="1">IMAGE("https://m.media-amazon.com/images/I/618uGQXt0tL._AC_UL320_.jpg")</f>
        <v>#NAME?</v>
      </c>
      <c r="I947" t="s">
        <v>263</v>
      </c>
      <c r="J947">
        <v>33.99</v>
      </c>
      <c r="K947" s="2" t="s">
        <v>3085</v>
      </c>
      <c r="L947">
        <v>4.0999999999999996</v>
      </c>
      <c r="M947">
        <v>2151</v>
      </c>
      <c r="O947" t="s">
        <v>33</v>
      </c>
      <c r="P947" t="s">
        <v>26</v>
      </c>
      <c r="Q947" t="s">
        <v>264</v>
      </c>
    </row>
    <row r="948" spans="1:17" ht="15.75" x14ac:dyDescent="0.25">
      <c r="A948" s="3" t="str">
        <f>HYPERLINK("https://www.als.com/sitka-m-pant-mountain-optifade/p?skuId=90738", "https://www.als.com/sitka-m-pant-mountain-optifade/p?skuId=90738")</f>
        <v>https://www.als.com/sitka-m-pant-mountain-optifade/p?skuId=90738</v>
      </c>
      <c r="B948" s="3" t="str">
        <f>HYPERLINK("https://www.als.com/sitka-m-pant-mountain-optifade/p", "https://www.als.com/sitka-m-pant-mountain-optifade/p")</f>
        <v>https://www.als.com/sitka-m-pant-mountain-optifade/p</v>
      </c>
      <c r="C948" t="s">
        <v>260</v>
      </c>
      <c r="D948" t="s">
        <v>3086</v>
      </c>
      <c r="E948" s="3" t="str">
        <f>HYPERLINK("https://www.amazon.com/KELOIFUT-Quick-Dry-Resistant-Lightweight-Breathable/dp/B0B18SVGM1/ref=sr_1_22?keywords=Sitka+Mountain+Pant+-+Mens&amp;qid=1695124392&amp;sr=8-22", "https://www.amazon.com/KELOIFUT-Quick-Dry-Resistant-Lightweight-Breathable/dp/B0B18SVGM1/ref=sr_1_22?keywords=Sitka+Mountain+Pant+-+Mens&amp;qid=1695124392&amp;sr=8-22")</f>
        <v>https://www.amazon.com/KELOIFUT-Quick-Dry-Resistant-Lightweight-Breathable/dp/B0B18SVGM1/ref=sr_1_22?keywords=Sitka+Mountain+Pant+-+Mens&amp;qid=1695124392&amp;sr=8-22</v>
      </c>
      <c r="F948" t="s">
        <v>3087</v>
      </c>
      <c r="G948" t="e">
        <f ca="1">IMAGE("https://alssports.vtexassets.com/arquivos/ids/1369099-800-auto?v=638242004529500000&amp;width=800&amp;height=auto&amp;aspect=true")</f>
        <v>#NAME?</v>
      </c>
      <c r="H948" t="e">
        <f ca="1">IMAGE("https://m.media-amazon.com/images/I/61NKgx5cLUL._AC_UL320_.jpg")</f>
        <v>#NAME?</v>
      </c>
      <c r="I948" t="s">
        <v>263</v>
      </c>
      <c r="J948">
        <v>32.99</v>
      </c>
      <c r="K948" s="2" t="s">
        <v>3088</v>
      </c>
      <c r="L948">
        <v>4.0999999999999996</v>
      </c>
      <c r="M948">
        <v>490</v>
      </c>
      <c r="O948" t="s">
        <v>33</v>
      </c>
      <c r="P948" t="s">
        <v>26</v>
      </c>
      <c r="Q948" t="s">
        <v>264</v>
      </c>
    </row>
    <row r="949" spans="1:17" ht="15.75" x14ac:dyDescent="0.25">
      <c r="A949" s="3" t="str">
        <f>HYPERLINK("https://www.als.com/sram-chain-pc-x01-eagle/p?skuId=536002", "https://www.als.com/sram-chain-pc-x01-eagle/p?skuId=536002")</f>
        <v>https://www.als.com/sram-chain-pc-x01-eagle/p?skuId=536002</v>
      </c>
      <c r="B949" s="3" t="str">
        <f>HYPERLINK("https://www.als.com/sram-chain-pc-x01-eagle/p", "https://www.als.com/sram-chain-pc-x01-eagle/p")</f>
        <v>https://www.als.com/sram-chain-pc-x01-eagle/p</v>
      </c>
      <c r="C949" t="s">
        <v>1104</v>
      </c>
      <c r="D949" t="s">
        <v>3089</v>
      </c>
      <c r="E949" s="3" t="str">
        <f>HYPERLINK("https://www.amazon.com/Sram-Unisexs-Eagle-Speed-Connector/dp/B072XJ3CD6/ref=sr_1_3?keywords=SRAM+X01+Eagle+12-Speed+Chain&amp;qid=1695124143&amp;sr=8-3", "https://www.amazon.com/Sram-Unisexs-Eagle-Speed-Connector/dp/B072XJ3CD6/ref=sr_1_3?keywords=SRAM+X01+Eagle+12-Speed+Chain&amp;qid=1695124143&amp;sr=8-3")</f>
        <v>https://www.amazon.com/Sram-Unisexs-Eagle-Speed-Connector/dp/B072XJ3CD6/ref=sr_1_3?keywords=SRAM+X01+Eagle+12-Speed+Chain&amp;qid=1695124143&amp;sr=8-3</v>
      </c>
      <c r="F949" t="s">
        <v>3090</v>
      </c>
      <c r="G949" t="e">
        <f ca="1">IMAGE("https://alssports.vtexassets.com/arquivos/ids/1117391-800-auto?v=637964367650530000&amp;width=800&amp;height=auto&amp;aspect=true")</f>
        <v>#NAME?</v>
      </c>
      <c r="H949" t="e">
        <f ca="1">IMAGE("https://m.media-amazon.com/images/I/41ZS+l7RmML._AC_UL320_.jpg")</f>
        <v>#NAME?</v>
      </c>
      <c r="I949" t="s">
        <v>1107</v>
      </c>
      <c r="J949">
        <v>9.9499999999999993</v>
      </c>
      <c r="K949" s="2" t="s">
        <v>3091</v>
      </c>
      <c r="L949">
        <v>4.8</v>
      </c>
      <c r="M949">
        <v>525</v>
      </c>
      <c r="O949" t="s">
        <v>33</v>
      </c>
      <c r="P949" t="s">
        <v>26</v>
      </c>
      <c r="Q949" t="s">
        <v>1109</v>
      </c>
    </row>
    <row r="950" spans="1:17" ht="15.75" x14ac:dyDescent="0.25">
      <c r="A950" s="3" t="str">
        <f>HYPERLINK("https://www.als.com/solstc-kayak-flare-2-inflatable/p", "https://www.als.com/solstc-kayak-flare-2-inflatable/p")</f>
        <v>https://www.als.com/solstc-kayak-flare-2-inflatable/p</v>
      </c>
      <c r="B950" s="3" t="str">
        <f>HYPERLINK("https://www.als.com/solstc-kayak-flare-2-inflatable/p", "https://www.als.com/solstc-kayak-flare-2-inflatable/p")</f>
        <v>https://www.als.com/solstc-kayak-flare-2-inflatable/p</v>
      </c>
      <c r="C950" t="s">
        <v>2156</v>
      </c>
      <c r="D950" t="s">
        <v>3092</v>
      </c>
      <c r="E950" s="3" t="str">
        <f>HYPERLINK("https://www.amazon.com/HotMax-Inflatable-Beginners-Professional-Independent/dp/B0B2JSB3KG/ref=sr_1_7?keywords=Solstice+Flare+1-2+Person+Inflatable+Kayak&amp;qid=1695124327&amp;sr=8-7", "https://www.amazon.com/HotMax-Inflatable-Beginners-Professional-Independent/dp/B0B2JSB3KG/ref=sr_1_7?keywords=Solstice+Flare+1-2+Person+Inflatable+Kayak&amp;qid=1695124327&amp;sr=8-7")</f>
        <v>https://www.amazon.com/HotMax-Inflatable-Beginners-Professional-Independent/dp/B0B2JSB3KG/ref=sr_1_7?keywords=Solstice+Flare+1-2+Person+Inflatable+Kayak&amp;qid=1695124327&amp;sr=8-7</v>
      </c>
      <c r="F950" t="s">
        <v>3093</v>
      </c>
      <c r="G950" t="e">
        <f ca="1">IMAGE("https://alssports.vtexassets.com/arquivos/ids/1412193-800-auto?v=638271061065300000&amp;width=800&amp;height=auto&amp;aspect=true")</f>
        <v>#NAME?</v>
      </c>
      <c r="H950" t="e">
        <f ca="1">IMAGE("https://m.media-amazon.com/images/I/71GQ9-0cwRL._AC_UY218_.jpg")</f>
        <v>#NAME?</v>
      </c>
      <c r="I950" t="s">
        <v>2159</v>
      </c>
      <c r="J950">
        <v>77.989999999999995</v>
      </c>
      <c r="K950" s="2" t="s">
        <v>3094</v>
      </c>
      <c r="L950">
        <v>3.5</v>
      </c>
      <c r="M950">
        <v>10</v>
      </c>
      <c r="O950" t="s">
        <v>33</v>
      </c>
      <c r="P950" t="s">
        <v>26</v>
      </c>
      <c r="Q950" t="s">
        <v>2161</v>
      </c>
    </row>
    <row r="951" spans="1:17" ht="15.75" x14ac:dyDescent="0.25">
      <c r="A951" s="3" t="str">
        <f>HYPERLINK("https://www.als.com/fox-helmet-proframe-rs/p?skuId=599903", "https://www.als.com/fox-helmet-proframe-rs/p?skuId=599903")</f>
        <v>https://www.als.com/fox-helmet-proframe-rs/p?skuId=599903</v>
      </c>
      <c r="B951" s="3" t="str">
        <f>HYPERLINK("https://www.als.com/fox-helmet-proframe-rs/p", "https://www.als.com/fox-helmet-proframe-rs/p")</f>
        <v>https://www.als.com/fox-helmet-proframe-rs/p</v>
      </c>
      <c r="C951" t="s">
        <v>2026</v>
      </c>
      <c r="D951" t="s">
        <v>3095</v>
      </c>
      <c r="E951" s="3" t="str">
        <f>HYPERLINK("https://www.amazon.com/Fox-Racing-29223-119-Helmet-Visor/dp/B0964DL9GT/ref=sr_1_57?keywords=Fox+Racing+Proframe+RS+Helmet&amp;qid=1695124415&amp;sr=8-57", "https://www.amazon.com/Fox-Racing-29223-119-Helmet-Visor/dp/B0964DL9GT/ref=sr_1_57?keywords=Fox+Racing+Proframe+RS+Helmet&amp;qid=1695124415&amp;sr=8-57")</f>
        <v>https://www.amazon.com/Fox-Racing-29223-119-Helmet-Visor/dp/B0964DL9GT/ref=sr_1_57?keywords=Fox+Racing+Proframe+RS+Helmet&amp;qid=1695124415&amp;sr=8-57</v>
      </c>
      <c r="F951" t="s">
        <v>3096</v>
      </c>
      <c r="G951" t="e">
        <f ca="1">IMAGE("https://alssports.vtexassets.com/arquivos/ids/1279583-800-auto?v=638156298149200000&amp;width=800&amp;height=auto&amp;aspect=true")</f>
        <v>#NAME?</v>
      </c>
      <c r="H951" t="e">
        <f ca="1">IMAGE("https://m.media-amazon.com/images/I/51u08WgM8pL._AC_UL320_.jpg")</f>
        <v>#NAME?</v>
      </c>
      <c r="I951" t="s">
        <v>2029</v>
      </c>
      <c r="J951">
        <v>39.950000000000003</v>
      </c>
      <c r="K951" s="2" t="s">
        <v>3097</v>
      </c>
      <c r="L951">
        <v>1</v>
      </c>
      <c r="M951">
        <v>1</v>
      </c>
      <c r="O951" t="s">
        <v>33</v>
      </c>
      <c r="P951" t="s">
        <v>26</v>
      </c>
      <c r="Q951" t="s">
        <v>2031</v>
      </c>
    </row>
    <row r="952" spans="1:17" ht="15.75" x14ac:dyDescent="0.25">
      <c r="A952" s="3" t="str">
        <f>HYPERLINK("https://www.als.com/sram-derailleur-gx-eagle-lunar/p?skuId=847487", "https://www.als.com/sram-derailleur-gx-eagle-lunar/p?skuId=847487")</f>
        <v>https://www.als.com/sram-derailleur-gx-eagle-lunar/p?skuId=847487</v>
      </c>
      <c r="B952" s="3" t="str">
        <f>HYPERLINK("https://www.als.com/sram-derailleur-gx-eagle-lunar/p", "https://www.als.com/sram-derailleur-gx-eagle-lunar/p")</f>
        <v>https://www.als.com/sram-derailleur-gx-eagle-lunar/p</v>
      </c>
      <c r="C952" t="s">
        <v>1954</v>
      </c>
      <c r="D952" t="s">
        <v>3098</v>
      </c>
      <c r="E952" s="3" t="str">
        <f>HYPERLINK("https://www.amazon.com/SRAM-Eagle-B-Bolt-Limit-Screw/dp/B075MRQ3JD/ref=sr_1_34?keywords=Sram+Gx+Eagle+12+Sp+Rear+Derailleur+-+Max+52t+Lunar+%7C+Rear+Derailleur&amp;qid=1695124343&amp;sr=8-34", "https://www.amazon.com/SRAM-Eagle-B-Bolt-Limit-Screw/dp/B075MRQ3JD/ref=sr_1_34?keywords=Sram+Gx+Eagle+12+Sp+Rear+Derailleur+-+Max+52t+Lunar+%7C+Rear+Derailleur&amp;qid=1695124343&amp;sr=8-34")</f>
        <v>https://www.amazon.com/SRAM-Eagle-B-Bolt-Limit-Screw/dp/B075MRQ3JD/ref=sr_1_34?keywords=Sram+Gx+Eagle+12+Sp+Rear+Derailleur+-+Max+52t+Lunar+%7C+Rear+Derailleur&amp;qid=1695124343&amp;sr=8-34</v>
      </c>
      <c r="F952" t="s">
        <v>3099</v>
      </c>
      <c r="G952" t="e">
        <f ca="1">IMAGE("https://alssports.vtexassets.com/arquivos/ids/684018-800-auto?v=637569776148200000&amp;width=800&amp;height=auto&amp;aspect=true")</f>
        <v>#NAME?</v>
      </c>
      <c r="H952" t="e">
        <f ca="1">IMAGE("https://m.media-amazon.com/images/I/51rqacv0TSL._AC_UL320_.jpg")</f>
        <v>#NAME?</v>
      </c>
      <c r="I952" t="s">
        <v>449</v>
      </c>
      <c r="J952">
        <v>11.19</v>
      </c>
      <c r="K952" s="2" t="s">
        <v>3100</v>
      </c>
      <c r="L952">
        <v>3.7</v>
      </c>
      <c r="M952">
        <v>12</v>
      </c>
      <c r="O952" t="s">
        <v>33</v>
      </c>
      <c r="P952" t="s">
        <v>26</v>
      </c>
      <c r="Q952" t="s">
        <v>1958</v>
      </c>
    </row>
    <row r="953" spans="1:17" ht="15.75" x14ac:dyDescent="0.25">
      <c r="A953" s="3" t="str">
        <f>HYPERLINK("https://www.als.com/fox-helmet-proframe-rs/p?skuId=599903", "https://www.als.com/fox-helmet-proframe-rs/p?skuId=599903")</f>
        <v>https://www.als.com/fox-helmet-proframe-rs/p?skuId=599903</v>
      </c>
      <c r="B953" s="3" t="str">
        <f>HYPERLINK("https://www.als.com/fox-helmet-proframe-rs/p", "https://www.als.com/fox-helmet-proframe-rs/p")</f>
        <v>https://www.als.com/fox-helmet-proframe-rs/p</v>
      </c>
      <c r="C953" t="s">
        <v>2026</v>
      </c>
      <c r="D953" t="s">
        <v>3101</v>
      </c>
      <c r="E953" s="3" t="str">
        <f>HYPERLINK("https://www.amazon.com/Fox-Racing-Dropframe-Visor-24516/dp/B07SPW9GT6/ref=sr_1_55?keywords=Fox+Racing+Proframe+RS+Helmet&amp;qid=1695124415&amp;sr=8-55", "https://www.amazon.com/Fox-Racing-Dropframe-Visor-24516/dp/B07SPW9GT6/ref=sr_1_55?keywords=Fox+Racing+Proframe+RS+Helmet&amp;qid=1695124415&amp;sr=8-55")</f>
        <v>https://www.amazon.com/Fox-Racing-Dropframe-Visor-24516/dp/B07SPW9GT6/ref=sr_1_55?keywords=Fox+Racing+Proframe+RS+Helmet&amp;qid=1695124415&amp;sr=8-55</v>
      </c>
      <c r="F953" t="s">
        <v>3102</v>
      </c>
      <c r="G953" t="e">
        <f ca="1">IMAGE("https://alssports.vtexassets.com/arquivos/ids/1279583-800-auto?v=638156298149200000&amp;width=800&amp;height=auto&amp;aspect=true")</f>
        <v>#NAME?</v>
      </c>
      <c r="H953" t="e">
        <f ca="1">IMAGE("https://m.media-amazon.com/images/I/513uW1IgCdL._AC_UL320_.jpg")</f>
        <v>#NAME?</v>
      </c>
      <c r="I953" t="s">
        <v>2029</v>
      </c>
      <c r="J953">
        <v>27.95</v>
      </c>
      <c r="K953" s="2" t="s">
        <v>3103</v>
      </c>
      <c r="L953">
        <v>5</v>
      </c>
      <c r="M953">
        <v>2</v>
      </c>
      <c r="O953" t="s">
        <v>33</v>
      </c>
      <c r="P953" t="s">
        <v>26</v>
      </c>
      <c r="Q953" t="s">
        <v>2031</v>
      </c>
    </row>
    <row r="954" spans="1:17" ht="15.75" x14ac:dyDescent="0.25">
      <c r="A954" s="3" t="str">
        <f>HYPERLINK("https://www.als.com/sram-derailleur-gx-eagle-lunar/p?skuId=847487", "https://www.als.com/sram-derailleur-gx-eagle-lunar/p?skuId=847487")</f>
        <v>https://www.als.com/sram-derailleur-gx-eagle-lunar/p?skuId=847487</v>
      </c>
      <c r="B954" s="3" t="str">
        <f>HYPERLINK("https://www.als.com/sram-derailleur-gx-eagle-lunar/p", "https://www.als.com/sram-derailleur-gx-eagle-lunar/p")</f>
        <v>https://www.als.com/sram-derailleur-gx-eagle-lunar/p</v>
      </c>
      <c r="C954" t="s">
        <v>1954</v>
      </c>
      <c r="D954" t="s">
        <v>3104</v>
      </c>
      <c r="E954" s="3" t="str">
        <f>HYPERLINK("https://www.amazon.com/Derailleur-Adjuster-Adjustment-Mountain-Bicycles/dp/B08J3MZ8R1/ref=sr_1_26?keywords=Sram+Gx+Eagle+12+Sp+Rear+Derailleur+-+Max+52t+Lunar+%7C+Rear+Derailleur&amp;qid=1695124343&amp;sr=8-26", "https://www.amazon.com/Derailleur-Adjuster-Adjustment-Mountain-Bicycles/dp/B08J3MZ8R1/ref=sr_1_26?keywords=Sram+Gx+Eagle+12+Sp+Rear+Derailleur+-+Max+52t+Lunar+%7C+Rear+Derailleur&amp;qid=1695124343&amp;sr=8-26")</f>
        <v>https://www.amazon.com/Derailleur-Adjuster-Adjustment-Mountain-Bicycles/dp/B08J3MZ8R1/ref=sr_1_26?keywords=Sram+Gx+Eagle+12+Sp+Rear+Derailleur+-+Max+52t+Lunar+%7C+Rear+Derailleur&amp;qid=1695124343&amp;sr=8-26</v>
      </c>
      <c r="F954" t="s">
        <v>3105</v>
      </c>
      <c r="G954" t="e">
        <f ca="1">IMAGE("https://alssports.vtexassets.com/arquivos/ids/684018-800-auto?v=637569776148200000&amp;width=800&amp;height=auto&amp;aspect=true")</f>
        <v>#NAME?</v>
      </c>
      <c r="H954" t="e">
        <f ca="1">IMAGE("https://m.media-amazon.com/images/I/315tl8jnz+L._AC_UL320_.jpg")</f>
        <v>#NAME?</v>
      </c>
      <c r="I954" t="s">
        <v>449</v>
      </c>
      <c r="J954">
        <v>9.84</v>
      </c>
      <c r="K954" s="2" t="s">
        <v>3106</v>
      </c>
      <c r="L954">
        <v>4.5</v>
      </c>
      <c r="M954">
        <v>179</v>
      </c>
      <c r="O954" t="s">
        <v>33</v>
      </c>
      <c r="P954" t="s">
        <v>26</v>
      </c>
      <c r="Q954" t="s">
        <v>1958</v>
      </c>
    </row>
    <row r="955" spans="1:17" ht="15.75" x14ac:dyDescent="0.25">
      <c r="A955" s="3" t="str">
        <f>HYPERLINK("https://www.als.com/sram-derailleur-gx-eagle-lunar/p?skuId=847487", "https://www.als.com/sram-derailleur-gx-eagle-lunar/p?skuId=847487")</f>
        <v>https://www.als.com/sram-derailleur-gx-eagle-lunar/p?skuId=847487</v>
      </c>
      <c r="B955" s="3" t="str">
        <f>HYPERLINK("https://www.als.com/sram-derailleur-gx-eagle-lunar/p", "https://www.als.com/sram-derailleur-gx-eagle-lunar/p")</f>
        <v>https://www.als.com/sram-derailleur-gx-eagle-lunar/p</v>
      </c>
      <c r="C955" t="s">
        <v>1954</v>
      </c>
      <c r="D955" t="s">
        <v>3107</v>
      </c>
      <c r="E955" s="3" t="str">
        <f>HYPERLINK("https://www.amazon.com/KAYBOBEZK-Chain-Gaps-Adjustment-Gauge/dp/B09Z341656/ref=sr_1_23?keywords=Sram+Gx+Eagle+12+Sp+Rear+Derailleur+-+Max+52t+Lunar+%7C+Rear+Derailleur&amp;qid=1695124343&amp;sr=8-23", "https://www.amazon.com/KAYBOBEZK-Chain-Gaps-Adjustment-Gauge/dp/B09Z341656/ref=sr_1_23?keywords=Sram+Gx+Eagle+12+Sp+Rear+Derailleur+-+Max+52t+Lunar+%7C+Rear+Derailleur&amp;qid=1695124343&amp;sr=8-23")</f>
        <v>https://www.amazon.com/KAYBOBEZK-Chain-Gaps-Adjustment-Gauge/dp/B09Z341656/ref=sr_1_23?keywords=Sram+Gx+Eagle+12+Sp+Rear+Derailleur+-+Max+52t+Lunar+%7C+Rear+Derailleur&amp;qid=1695124343&amp;sr=8-23</v>
      </c>
      <c r="F955" t="s">
        <v>3108</v>
      </c>
      <c r="G955" t="e">
        <f ca="1">IMAGE("https://alssports.vtexassets.com/arquivos/ids/684018-800-auto?v=637569776148200000&amp;width=800&amp;height=auto&amp;aspect=true")</f>
        <v>#NAME?</v>
      </c>
      <c r="H955" t="e">
        <f ca="1">IMAGE("https://m.media-amazon.com/images/I/61SVqDY2NoS._AC_UL320_.jpg")</f>
        <v>#NAME?</v>
      </c>
      <c r="I955" t="s">
        <v>449</v>
      </c>
      <c r="J955">
        <v>8.99</v>
      </c>
      <c r="K955" s="2" t="s">
        <v>3109</v>
      </c>
      <c r="L955">
        <v>3.8</v>
      </c>
      <c r="M955">
        <v>5</v>
      </c>
      <c r="O955" t="s">
        <v>33</v>
      </c>
      <c r="P955" t="s">
        <v>26</v>
      </c>
      <c r="Q955" t="s">
        <v>1958</v>
      </c>
    </row>
    <row r="956" spans="1:17" ht="15.75" x14ac:dyDescent="0.25">
      <c r="A956" s="3" t="str">
        <f>HYPERLINK("https://www.als.com/sram-derailleur-gx-eagle-lunar/p?skuId=847487", "https://www.als.com/sram-derailleur-gx-eagle-lunar/p?skuId=847487")</f>
        <v>https://www.als.com/sram-derailleur-gx-eagle-lunar/p?skuId=847487</v>
      </c>
      <c r="B956" s="3" t="str">
        <f>HYPERLINK("https://www.als.com/sram-derailleur-gx-eagle-lunar/p", "https://www.als.com/sram-derailleur-gx-eagle-lunar/p")</f>
        <v>https://www.als.com/sram-derailleur-gx-eagle-lunar/p</v>
      </c>
      <c r="C956" t="s">
        <v>1954</v>
      </c>
      <c r="D956" t="s">
        <v>3110</v>
      </c>
      <c r="E956" s="3" t="str">
        <f>HYPERLINK("https://www.amazon.com/Maxmoral-Derailleur-Adjuster-Adjustment-Mountain/dp/B0C2Q4MZ94/ref=sr_1_33?keywords=Sram+Gx+Eagle+12+Sp+Rear+Derailleur+-+Max+52t+Lunar+%7C+Rear+Derailleur&amp;qid=1695124343&amp;sr=8-33", "https://www.amazon.com/Maxmoral-Derailleur-Adjuster-Adjustment-Mountain/dp/B0C2Q4MZ94/ref=sr_1_33?keywords=Sram+Gx+Eagle+12+Sp+Rear+Derailleur+-+Max+52t+Lunar+%7C+Rear+Derailleur&amp;qid=1695124343&amp;sr=8-33")</f>
        <v>https://www.amazon.com/Maxmoral-Derailleur-Adjuster-Adjustment-Mountain/dp/B0C2Q4MZ94/ref=sr_1_33?keywords=Sram+Gx+Eagle+12+Sp+Rear+Derailleur+-+Max+52t+Lunar+%7C+Rear+Derailleur&amp;qid=1695124343&amp;sr=8-33</v>
      </c>
      <c r="F956" t="s">
        <v>3111</v>
      </c>
      <c r="G956" t="e">
        <f ca="1">IMAGE("https://alssports.vtexassets.com/arquivos/ids/684018-800-auto?v=637569776148200000&amp;width=800&amp;height=auto&amp;aspect=true")</f>
        <v>#NAME?</v>
      </c>
      <c r="H956" t="e">
        <f ca="1">IMAGE("https://m.media-amazon.com/images/I/41jeZ2j0X4L._AC_UL320_.jpg")</f>
        <v>#NAME?</v>
      </c>
      <c r="I956" t="s">
        <v>449</v>
      </c>
      <c r="J956">
        <v>8.99</v>
      </c>
      <c r="K956" s="2" t="s">
        <v>3109</v>
      </c>
      <c r="L956">
        <v>4.5</v>
      </c>
      <c r="M956">
        <v>2</v>
      </c>
      <c r="O956" t="s">
        <v>33</v>
      </c>
      <c r="P956" t="s">
        <v>26</v>
      </c>
      <c r="Q956" t="s">
        <v>1958</v>
      </c>
    </row>
    <row r="957" spans="1:17" ht="15.75" x14ac:dyDescent="0.25">
      <c r="A957" s="3" t="str">
        <f>HYPERLINK("https://www.als.com/sram-derailleur-gx-eagle-lunar/p?skuId=847487", "https://www.als.com/sram-derailleur-gx-eagle-lunar/p?skuId=847487")</f>
        <v>https://www.als.com/sram-derailleur-gx-eagle-lunar/p?skuId=847487</v>
      </c>
      <c r="B957" s="3" t="str">
        <f>HYPERLINK("https://www.als.com/sram-derailleur-gx-eagle-lunar/p", "https://www.als.com/sram-derailleur-gx-eagle-lunar/p")</f>
        <v>https://www.als.com/sram-derailleur-gx-eagle-lunar/p</v>
      </c>
      <c r="C957" t="s">
        <v>1954</v>
      </c>
      <c r="D957" t="s">
        <v>3112</v>
      </c>
      <c r="E957" s="3" t="str">
        <f>HYPERLINK("https://www.amazon.com/MEETOOT-Derailleur-Adjuster-Adjustment-Transmission/dp/B0BRXVHMV3/ref=sr_1_44?keywords=Sram+Gx+Eagle+12+Sp+Rear+Derailleur+-+Max+52t+Lunar+%7C+Rear+Derailleur&amp;qid=1695124343&amp;sr=8-44", "https://www.amazon.com/MEETOOT-Derailleur-Adjuster-Adjustment-Transmission/dp/B0BRXVHMV3/ref=sr_1_44?keywords=Sram+Gx+Eagle+12+Sp+Rear+Derailleur+-+Max+52t+Lunar+%7C+Rear+Derailleur&amp;qid=1695124343&amp;sr=8-44")</f>
        <v>https://www.amazon.com/MEETOOT-Derailleur-Adjuster-Adjustment-Transmission/dp/B0BRXVHMV3/ref=sr_1_44?keywords=Sram+Gx+Eagle+12+Sp+Rear+Derailleur+-+Max+52t+Lunar+%7C+Rear+Derailleur&amp;qid=1695124343&amp;sr=8-44</v>
      </c>
      <c r="F957" t="s">
        <v>3113</v>
      </c>
      <c r="G957" t="e">
        <f ca="1">IMAGE("https://alssports.vtexassets.com/arquivos/ids/684018-800-auto?v=637569776148200000&amp;width=800&amp;height=auto&amp;aspect=true")</f>
        <v>#NAME?</v>
      </c>
      <c r="H957" t="e">
        <f ca="1">IMAGE("https://m.media-amazon.com/images/I/51hy8ecSmEL._AC_UL320_.jpg")</f>
        <v>#NAME?</v>
      </c>
      <c r="I957" t="s">
        <v>449</v>
      </c>
      <c r="J957">
        <v>8.59</v>
      </c>
      <c r="K957" s="2" t="s">
        <v>3114</v>
      </c>
      <c r="L957">
        <v>5</v>
      </c>
      <c r="M957">
        <v>1</v>
      </c>
      <c r="O957" t="s">
        <v>33</v>
      </c>
      <c r="P957" t="s">
        <v>26</v>
      </c>
      <c r="Q957" t="s">
        <v>1958</v>
      </c>
    </row>
    <row r="958" spans="1:17" ht="15.75" x14ac:dyDescent="0.25">
      <c r="A958" s="3" t="str">
        <f>HYPERLINK("https://www.als.com/sram-derailleur-gx-eagle-lunar/p?skuId=847487", "https://www.als.com/sram-derailleur-gx-eagle-lunar/p?skuId=847487")</f>
        <v>https://www.als.com/sram-derailleur-gx-eagle-lunar/p?skuId=847487</v>
      </c>
      <c r="B958" s="3" t="str">
        <f>HYPERLINK("https://www.als.com/sram-derailleur-gx-eagle-lunar/p", "https://www.als.com/sram-derailleur-gx-eagle-lunar/p")</f>
        <v>https://www.als.com/sram-derailleur-gx-eagle-lunar/p</v>
      </c>
      <c r="C958" t="s">
        <v>1954</v>
      </c>
      <c r="D958" t="s">
        <v>3115</v>
      </c>
      <c r="E958" s="3" t="str">
        <f>HYPERLINK("https://www.amazon.com/Adjustment-Eagle-Chaingap-Derailleur-Cassettes/dp/B0B8X8QRXD/ref=sr_1_8?keywords=Sram+Gx+Eagle+12+Sp+Rear+Derailleur+-+Max+52t+Lunar+%7C+Rear+Derailleur&amp;qid=1695124343&amp;sr=8-8", "https://www.amazon.com/Adjustment-Eagle-Chaingap-Derailleur-Cassettes/dp/B0B8X8QRXD/ref=sr_1_8?keywords=Sram+Gx+Eagle+12+Sp+Rear+Derailleur+-+Max+52t+Lunar+%7C+Rear+Derailleur&amp;qid=1695124343&amp;sr=8-8")</f>
        <v>https://www.amazon.com/Adjustment-Eagle-Chaingap-Derailleur-Cassettes/dp/B0B8X8QRXD/ref=sr_1_8?keywords=Sram+Gx+Eagle+12+Sp+Rear+Derailleur+-+Max+52t+Lunar+%7C+Rear+Derailleur&amp;qid=1695124343&amp;sr=8-8</v>
      </c>
      <c r="F958" t="s">
        <v>3116</v>
      </c>
      <c r="G958" t="e">
        <f ca="1">IMAGE("https://alssports.vtexassets.com/arquivos/ids/684018-800-auto?v=637569776148200000&amp;width=800&amp;height=auto&amp;aspect=true")</f>
        <v>#NAME?</v>
      </c>
      <c r="H958" t="e">
        <f ca="1">IMAGE("https://m.media-amazon.com/images/I/61UvbOVCwGL._AC_UL320_.jpg")</f>
        <v>#NAME?</v>
      </c>
      <c r="I958" t="s">
        <v>449</v>
      </c>
      <c r="J958">
        <v>8.49</v>
      </c>
      <c r="K958" s="2" t="s">
        <v>3117</v>
      </c>
      <c r="L958">
        <v>4.5999999999999996</v>
      </c>
      <c r="M958">
        <v>120</v>
      </c>
      <c r="O958" t="s">
        <v>33</v>
      </c>
      <c r="P958" t="s">
        <v>26</v>
      </c>
      <c r="Q958" t="s">
        <v>1958</v>
      </c>
    </row>
    <row r="959" spans="1:17" ht="15.75" x14ac:dyDescent="0.25">
      <c r="A959" s="3" t="str">
        <f>HYPERLINK("https://www.als.com/qad-rest-integrate-r2/p?skuId=1015218", "https://www.als.com/qad-rest-integrate-r2/p?skuId=1015218")</f>
        <v>https://www.als.com/qad-rest-integrate-r2/p?skuId=1015218</v>
      </c>
      <c r="B959" s="3" t="str">
        <f>HYPERLINK("https://www.als.com/qad-rest-integrate-r2/p", "https://www.als.com/qad-rest-integrate-r2/p")</f>
        <v>https://www.als.com/qad-rest-integrate-r2/p</v>
      </c>
      <c r="C959" t="s">
        <v>3118</v>
      </c>
      <c r="D959" t="s">
        <v>3119</v>
      </c>
      <c r="E959" s="3" t="str">
        <f>HYPERLINK("https://www.amazon.com/Sticker-Archery-Compound-Shooting-Accessory/dp/B07DW96TDT/ref=sr_1_2?keywords=QAD+Integrate+R2+Arrow+Rest&amp;qid=1695124480&amp;sr=8-2", "https://www.amazon.com/Sticker-Archery-Compound-Shooting-Accessory/dp/B07DW96TDT/ref=sr_1_2?keywords=QAD+Integrate+R2+Arrow+Rest&amp;qid=1695124480&amp;sr=8-2")</f>
        <v>https://www.amazon.com/Sticker-Archery-Compound-Shooting-Accessory/dp/B07DW96TDT/ref=sr_1_2?keywords=QAD+Integrate+R2+Arrow+Rest&amp;qid=1695124480&amp;sr=8-2</v>
      </c>
      <c r="F959" t="s">
        <v>3120</v>
      </c>
      <c r="G959" t="e">
        <f ca="1">IMAGE("https://alssports.vtexassets.com/arquivos/ids/1053406-800-auto?v=637867617995970000&amp;width=800&amp;height=auto&amp;aspect=true")</f>
        <v>#NAME?</v>
      </c>
      <c r="H959" t="e">
        <f ca="1">IMAGE("https://m.media-amazon.com/images/I/51p-16KAtxL._AC_UL320_.jpg")</f>
        <v>#NAME?</v>
      </c>
      <c r="I959" t="s">
        <v>3121</v>
      </c>
      <c r="J959">
        <v>9.99</v>
      </c>
      <c r="K959" s="2" t="s">
        <v>3122</v>
      </c>
      <c r="L959">
        <v>4.2</v>
      </c>
      <c r="M959">
        <v>29</v>
      </c>
      <c r="O959" t="s">
        <v>33</v>
      </c>
      <c r="P959" t="s">
        <v>2804</v>
      </c>
      <c r="Q959" t="s">
        <v>3123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Towett</cp:lastModifiedBy>
  <dcterms:created xsi:type="dcterms:W3CDTF">2023-09-19T11:55:11Z</dcterms:created>
  <dcterms:modified xsi:type="dcterms:W3CDTF">2023-09-20T10:26:20Z</dcterms:modified>
</cp:coreProperties>
</file>