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'Sheet'!$A$1:$W$522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0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91BF4D"/>
        <bgColor rgb="FF91BF4D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pivotButton="0" quotePrefix="0" xfId="0"/>
    <xf numFmtId="0" fontId="2" fillId="0" borderId="0" pivotButton="0" quotePrefix="0" xfId="1"/>
    <xf numFmtId="0" fontId="0" fillId="2" borderId="0" pivotButton="0" quotePrefix="0" xfId="0"/>
    <xf numFmtId="0" fontId="1" fillId="3" borderId="0" pivotButton="0" quotePrefix="0" xfId="0"/>
    <xf numFmtId="0" fontId="0" fillId="3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522"/>
  <sheetViews>
    <sheetView tabSelected="1" workbookViewId="0">
      <pane ySplit="1" topLeftCell="A521" activePane="bottomLeft" state="frozen"/>
      <selection pane="bottomLeft" activeCell="B365" sqref="B365"/>
    </sheetView>
  </sheetViews>
  <sheetFormatPr baseColWidth="8" defaultRowHeight="75" customHeight="1"/>
  <cols>
    <col width="4.28515625" customWidth="1" min="1" max="1"/>
    <col width="11.140625" customWidth="1" min="2" max="2"/>
    <col width="23.5703125" customWidth="1" min="3" max="3"/>
    <col width="27.7109375" customWidth="1" min="4" max="4"/>
    <col width="30.7109375" customWidth="1" min="7" max="8"/>
  </cols>
  <sheetData>
    <row r="1" ht="21.75" customFormat="1" customHeight="1" s="4">
      <c r="A1" s="3" t="inlineStr">
        <is>
          <t>url</t>
        </is>
      </c>
      <c r="B1" s="3" t="inlineStr">
        <is>
          <t>canonicalUrl</t>
        </is>
      </c>
      <c r="C1" s="3" t="inlineStr">
        <is>
          <t>name</t>
        </is>
      </c>
      <c r="D1" s="3" t="inlineStr">
        <is>
          <t>Amazon Product Title</t>
        </is>
      </c>
      <c r="E1" s="3" t="inlineStr">
        <is>
          <t>Amazon Product URL</t>
        </is>
      </c>
      <c r="F1" s="3" t="inlineStr">
        <is>
          <t>ASIN</t>
        </is>
      </c>
      <c r="G1" s="3" t="inlineStr">
        <is>
          <t>Source Image</t>
        </is>
      </c>
      <c r="H1" s="3" t="inlineStr">
        <is>
          <t>Amazon Image</t>
        </is>
      </c>
      <c r="I1" s="3" t="inlineStr">
        <is>
          <t>Qualified?</t>
        </is>
      </c>
      <c r="J1" s="3" t="inlineStr">
        <is>
          <t>Notes</t>
        </is>
      </c>
      <c r="K1" s="3" t="inlineStr">
        <is>
          <t>offers/0/price</t>
        </is>
      </c>
      <c r="L1" s="3" t="inlineStr">
        <is>
          <t>Amazon Price</t>
        </is>
      </c>
      <c r="M1" s="3" t="inlineStr">
        <is>
          <t>ROI</t>
        </is>
      </c>
      <c r="N1" s="3" t="inlineStr">
        <is>
          <t>Rating</t>
        </is>
      </c>
      <c r="O1" s="3" t="inlineStr">
        <is>
          <t>ReviewCount</t>
        </is>
      </c>
      <c r="P1" s="3" t="inlineStr">
        <is>
          <t>offerCount</t>
        </is>
      </c>
      <c r="Q1" s="3" t="inlineStr">
        <is>
          <t>offers/0/availability</t>
        </is>
      </c>
      <c r="R1" s="3" t="inlineStr">
        <is>
          <t>offers/0/regularPrice</t>
        </is>
      </c>
      <c r="S1" s="3" t="inlineStr">
        <is>
          <t>sku</t>
        </is>
      </c>
      <c r="T1" s="3" t="inlineStr">
        <is>
          <t>Match?</t>
        </is>
      </c>
      <c r="U1" s="3" t="inlineStr">
        <is>
          <t>Qualified?</t>
        </is>
      </c>
      <c r="V1" s="3" t="inlineStr">
        <is>
          <t>Approved</t>
        </is>
      </c>
      <c r="W1" s="3" t="inlineStr">
        <is>
          <t>Notes</t>
        </is>
      </c>
    </row>
    <row r="2" ht="75" customHeight="1">
      <c r="A2" s="1">
        <f>HYPERLINK("https://www.testequipmentdepot.com/general-tools-jaws-f161r-replacement-jaws-for-the-161r-and-164-tap-wrenches.html", "https://www.testequipmentdepot.com/general-tools-jaws-f161r-replacement-jaws-for-the-161r-and-164-tap-wrenches.html")</f>
        <v/>
      </c>
      <c r="B2" s="1">
        <f>HYPERLINK("https://www.testequipmentdepot.com/general-tools-jaws-f161r-replacement-jaws-for-the-161r-and-164-tap-wrenches.html", "https://www.testequipmentdepot.com/general-tools-jaws-f161r-replacement-jaws-for-the-161r-and-164-tap-wrenches.html")</f>
        <v/>
      </c>
      <c r="C2" t="inlineStr">
        <is>
          <t>General Tools JAWS F/161R</t>
        </is>
      </c>
      <c r="D2" t="inlineStr">
        <is>
          <t>General Tools JAWS F/160R Replacement Jaws for 160 and 163</t>
        </is>
      </c>
      <c r="E2" s="1">
        <f>HYPERLINK("https://www.amazon.com/General-Tools-JAWS-160R-Replacement-Jaws/dp/B01ESUMP64/ref=sr_1_4?keywords=General+Tools+JAWS+F%2F161R&amp;qid=1695342987&amp;sr=8-4", "https://www.amazon.com/General-Tools-JAWS-160R-Replacement-Jaws/dp/B01ESUMP64/ref=sr_1_4?keywords=General+Tools+JAWS+F%2F161R&amp;qid=1695342987&amp;sr=8-4")</f>
        <v/>
      </c>
      <c r="F2" t="inlineStr">
        <is>
          <t>B01ESUMP64</t>
        </is>
      </c>
      <c r="G2">
        <f>_xlfn.IMAGE("https://www.testequipmentdepot.com/media/catalog/product/j/a/jawsf161r_f704.jpg?optimize=high&amp;bg-color=255,255,255&amp;fit=bounds&amp;height=700&amp;width=700&amp;canvas=700:700")</f>
        <v/>
      </c>
      <c r="H2">
        <f>_xlfn.IMAGE("https://m.media-amazon.com/images/I/619LRLAQTmL._AC_UL320_.jpg")</f>
        <v/>
      </c>
      <c r="K2" t="inlineStr">
        <is>
          <t>3.28</t>
        </is>
      </c>
      <c r="L2" t="n">
        <v>15.56</v>
      </c>
      <c r="M2" s="2" t="inlineStr">
        <is>
          <t>374.39%</t>
        </is>
      </c>
      <c r="N2" t="n">
        <v>4.7</v>
      </c>
      <c r="O2" t="n">
        <v>2</v>
      </c>
      <c r="Q2" t="inlineStr">
        <is>
          <t>InStock</t>
        </is>
      </c>
      <c r="R2" t="inlineStr">
        <is>
          <t>5.14</t>
        </is>
      </c>
      <c r="S2" t="inlineStr">
        <is>
          <t>f161r</t>
        </is>
      </c>
    </row>
    <row r="3" ht="75" customHeight="1">
      <c r="A3" s="1">
        <f>HYPERLINK("https://www.testequipmentdepot.com/pomona-5169-0-banana-plug-for-18-20-awg-wire-black.html", "https://www.testequipmentdepot.com/pomona-5169-0-banana-plug-for-18-20-awg-wire-black.html")</f>
        <v/>
      </c>
      <c r="B3" s="1">
        <f>HYPERLINK("https://www.testequipmentdepot.com/pomona-5169-0-banana-plug-for-18-20-awg-wire-black.html", "https://www.testequipmentdepot.com/pomona-5169-0-banana-plug-for-18-20-awg-wire-black.html")</f>
        <v/>
      </c>
      <c r="C3" t="inlineStr">
        <is>
          <t>Banana Plug For 18 - 20 AWG Wire, Black</t>
        </is>
      </c>
      <c r="D3" t="inlineStr">
        <is>
          <t>12 Pairs-Banana Plugs for Speaker Wire,24K Gold Plated Connectors,PVC Insulated,Support 12 AWG to 20 AWG Wires</t>
        </is>
      </c>
      <c r="E3" s="1">
        <f>HYPERLINK("https://www.amazon.com/Pairs-Banana-Speaker-Connectors-Insulated-Support/dp/B0BXNDXPCW/ref=sr_1_6?keywords=Banana+Plug+For+18+-+20+AWG+Wire%2C+Black&amp;qid=1695342994&amp;sr=8-6", "https://www.amazon.com/Pairs-Banana-Speaker-Connectors-Insulated-Support/dp/B0BXNDXPCW/ref=sr_1_6?keywords=Banana+Plug+For+18+-+20+AWG+Wire%2C+Black&amp;qid=1695342994&amp;sr=8-6")</f>
        <v/>
      </c>
      <c r="F3" t="inlineStr">
        <is>
          <t>B0BXNDXPCW</t>
        </is>
      </c>
      <c r="G3">
        <f>_xlfn.IMAGE("https://www.testequipmentdepot.com/media/catalog/product/5/1/5169_0_ef49.jpg?optimize=high&amp;bg-color=255,255,255&amp;fit=bounds&amp;height=700&amp;width=700&amp;canvas=700:700")</f>
        <v/>
      </c>
      <c r="H3">
        <f>_xlfn.IMAGE("https://m.media-amazon.com/images/I/71CPZ2qW86L._AC_UY218_.jpg")</f>
        <v/>
      </c>
      <c r="K3" t="inlineStr">
        <is>
          <t>3.37</t>
        </is>
      </c>
      <c r="L3" t="n">
        <v>16.99</v>
      </c>
      <c r="M3" s="2" t="inlineStr">
        <is>
          <t>404.15%</t>
        </is>
      </c>
      <c r="N3" t="n">
        <v>3.8</v>
      </c>
      <c r="O3" t="n">
        <v>32</v>
      </c>
      <c r="Q3" t="inlineStr">
        <is>
          <t>InStock</t>
        </is>
      </c>
      <c r="R3" t="inlineStr">
        <is>
          <t>3.99</t>
        </is>
      </c>
      <c r="S3" t="inlineStr">
        <is>
          <t>1659571</t>
        </is>
      </c>
    </row>
    <row r="4" ht="75" customHeight="1">
      <c r="A4" s="1">
        <f>HYPERLINK("https://www.testequipmentdepot.com/pomona-b-36-8-stacking-banana-plug-patch-cord-gray-36-in.html", "https://www.testequipmentdepot.com/pomona-b-36-8-stacking-banana-plug-patch-cord-gray-36-in.html")</f>
        <v/>
      </c>
      <c r="B4" s="1">
        <f>HYPERLINK("https://www.testequipmentdepot.com/pomona-b-36-8-stacking-banana-plug-patch-cord-gray-36-in.html", "https://www.testequipmentdepot.com/pomona-b-36-8-stacking-banana-plug-patch-cord-gray-36-in.html")</f>
        <v/>
      </c>
      <c r="C4" t="inlineStr">
        <is>
          <t>Pomona B-36-8</t>
        </is>
      </c>
      <c r="D4" t="inlineStr">
        <is>
          <t>Grizzly Tarps by B-Air 9' x 12' Large Multi-Purpose Waterproof Heavy Duty Poly Tarp with Grommets Every 36", 8x8 Weave, 5 Mil Thick, for Home, Boats, Cars, Camping, Protective Cover, Blue</t>
        </is>
      </c>
      <c r="E4" s="1">
        <f>HYPERLINK("https://www.amazon.com/B-Air-Grizzly-Tarps-Multi-Purpose-Waterproof/dp/B0053QY0B6/ref=sr_1_fkmr1_1?keywords=Pomona+B-36-8&amp;qid=1695342995&amp;sr=8-1-fkmr1", "https://www.amazon.com/B-Air-Grizzly-Tarps-Multi-Purpose-Waterproof/dp/B0053QY0B6/ref=sr_1_fkmr1_1?keywords=Pomona+B-36-8&amp;qid=1695342995&amp;sr=8-1-fkmr1")</f>
        <v/>
      </c>
      <c r="F4" t="inlineStr">
        <is>
          <t>B0053QY0B6</t>
        </is>
      </c>
      <c r="G4">
        <f>_xlfn.IMAGE("https://www.testequipmentdepot.com/media/catalog/product/b/_/b_36_8_72fe.jpg?optimize=high&amp;bg-color=255,255,255&amp;fit=bounds&amp;height=700&amp;width=700&amp;canvas=700:700")</f>
        <v/>
      </c>
      <c r="H4">
        <f>_xlfn.IMAGE("https://m.media-amazon.com/images/I/61xDmIeKlmL._AC_UY218_.jpg")</f>
        <v/>
      </c>
      <c r="K4" t="inlineStr">
        <is>
          <t>6.31</t>
        </is>
      </c>
      <c r="L4" t="n">
        <v>15.99</v>
      </c>
      <c r="M4" s="2" t="inlineStr">
        <is>
          <t>153.41%</t>
        </is>
      </c>
      <c r="N4" t="n">
        <v>4.5</v>
      </c>
      <c r="O4" t="n">
        <v>1904</v>
      </c>
      <c r="Q4" t="inlineStr">
        <is>
          <t>InStock</t>
        </is>
      </c>
      <c r="R4" t="inlineStr">
        <is>
          <t>7.69</t>
        </is>
      </c>
      <c r="S4" t="inlineStr">
        <is>
          <t>1894887</t>
        </is>
      </c>
    </row>
    <row r="5" ht="75" customHeight="1">
      <c r="A5" s="1">
        <f>HYPERLINK("https://www.testequipmentdepot.com/scs-sv-cb1-vacuum-brush-crevice-cleaning-tool.html", "https://www.testequipmentdepot.com/scs-sv-cb1-vacuum-brush-crevice-cleaning-tool.html")</f>
        <v/>
      </c>
      <c r="B5" s="1">
        <f>HYPERLINK("https://www.testequipmentdepot.com/scs-sv-cb1-vacuum-brush-crevice-cleaning-tool.html", "https://www.testequipmentdepot.com/scs-sv-cb1-vacuum-brush-crevice-cleaning-tool.html")</f>
        <v/>
      </c>
      <c r="C5" t="inlineStr">
        <is>
          <t>Vacuum Brush Crevice Cleaning Tool</t>
        </is>
      </c>
      <c r="D5" t="inlineStr">
        <is>
          <t>Household Cleaning Kit Attachments Vacuum Cleaner Accessories Universal Vacuum Hose Adapters Flexible Crevice Tool for Dryer Lint Vent Trap Cleaner</t>
        </is>
      </c>
      <c r="E5" s="1">
        <f>HYPERLINK("https://www.amazon.com/Household-Cleaning-Attachments-Accessories-Universal/dp/B08PQH6V19/ref=sr_1_8?keywords=Vacuum+Brush+Crevice+Cleaning+Tool&amp;qid=1695342989&amp;sr=8-8", "https://www.amazon.com/Household-Cleaning-Attachments-Accessories-Universal/dp/B08PQH6V19/ref=sr_1_8?keywords=Vacuum+Brush+Crevice+Cleaning+Tool&amp;qid=1695342989&amp;sr=8-8")</f>
        <v/>
      </c>
      <c r="F5" t="inlineStr">
        <is>
          <t>B08PQH6V19</t>
        </is>
      </c>
      <c r="G5">
        <f>_xlfn.IMAGE("https://www.testequipmentdepot.com/media/catalog/product/s/v/svcb1_d16b.jpg?optimize=high&amp;bg-color=255,255,255&amp;fit=bounds&amp;height=700&amp;width=700&amp;canvas=700:700")</f>
        <v/>
      </c>
      <c r="H5">
        <f>_xlfn.IMAGE("https://m.media-amazon.com/images/I/61ggz0PF7vL._AC_UL320_.jpg")</f>
        <v/>
      </c>
      <c r="K5" t="inlineStr">
        <is>
          <t>5.37</t>
        </is>
      </c>
      <c r="L5" t="n">
        <v>16.99</v>
      </c>
      <c r="M5" s="2" t="inlineStr">
        <is>
          <t>216.39%</t>
        </is>
      </c>
      <c r="N5" t="n">
        <v>4.2</v>
      </c>
      <c r="O5" t="n">
        <v>2053</v>
      </c>
      <c r="Q5" t="inlineStr">
        <is>
          <t>InStock</t>
        </is>
      </c>
      <c r="R5" t="inlineStr">
        <is>
          <t>8.16</t>
        </is>
      </c>
      <c r="S5" t="inlineStr">
        <is>
          <t>cb1</t>
        </is>
      </c>
    </row>
    <row r="6" ht="75" customHeight="1">
      <c r="A6" s="1">
        <f>HYPERLINK("https://www.testequipmentdepot.com/scs-sv-cb1-vacuum-brush-crevice-cleaning-tool.html", "https://www.testequipmentdepot.com/scs-sv-cb1-vacuum-brush-crevice-cleaning-tool.html")</f>
        <v/>
      </c>
      <c r="B6" s="1">
        <f>HYPERLINK("https://www.testequipmentdepot.com/scs-sv-cb1-vacuum-brush-crevice-cleaning-tool.html", "https://www.testequipmentdepot.com/scs-sv-cb1-vacuum-brush-crevice-cleaning-tool.html")</f>
        <v/>
      </c>
      <c r="C6" t="inlineStr">
        <is>
          <t>Vacuum Brush Crevice Cleaning Tool</t>
        </is>
      </c>
      <c r="D6" t="inlineStr">
        <is>
          <t>PowerSmith PAAC302 Ash Vacuum Deep Cleaning Kit with Crevice Tool, Brush Nozzle, Pellet Stove Hose, Adapter, and Storage Bag,Black</t>
        </is>
      </c>
      <c r="E6" s="1">
        <f>HYPERLINK("https://www.amazon.com/PowerSmith-PAAC302-Ash-Vacuum-Cleaning/dp/B00F8C9J8O/ref=sr_1_1?keywords=Vacuum+Brush+Crevice+Cleaning+Tool&amp;qid=1695342989&amp;sr=8-1", "https://www.amazon.com/PowerSmith-PAAC302-Ash-Vacuum-Cleaning/dp/B00F8C9J8O/ref=sr_1_1?keywords=Vacuum+Brush+Crevice+Cleaning+Tool&amp;qid=1695342989&amp;sr=8-1")</f>
        <v/>
      </c>
      <c r="F6" t="inlineStr">
        <is>
          <t>B00F8C9J8O</t>
        </is>
      </c>
      <c r="G6">
        <f>_xlfn.IMAGE("https://www.testequipmentdepot.com/media/catalog/product/s/v/svcb1_d16b.jpg?optimize=high&amp;bg-color=255,255,255&amp;fit=bounds&amp;height=700&amp;width=700&amp;canvas=700:700")</f>
        <v/>
      </c>
      <c r="H6">
        <f>_xlfn.IMAGE("https://m.media-amazon.com/images/I/71XgEbyYtEL._AC_UL320_.jpg")</f>
        <v/>
      </c>
      <c r="K6" t="inlineStr">
        <is>
          <t>5.37</t>
        </is>
      </c>
      <c r="L6" t="n">
        <v>16.42</v>
      </c>
      <c r="M6" s="2" t="inlineStr">
        <is>
          <t>205.77%</t>
        </is>
      </c>
      <c r="N6" t="n">
        <v>4.4</v>
      </c>
      <c r="O6" t="n">
        <v>1316</v>
      </c>
      <c r="Q6" t="inlineStr">
        <is>
          <t>InStock</t>
        </is>
      </c>
      <c r="R6" t="inlineStr">
        <is>
          <t>8.16</t>
        </is>
      </c>
      <c r="S6" t="inlineStr">
        <is>
          <t>cb1</t>
        </is>
      </c>
    </row>
    <row r="7" ht="75" customHeight="1">
      <c r="A7" s="1">
        <f>HYPERLINK("https://www.theoutnet.com/en-us/shop/product/31-phillip-lim/boots/ankle-boots/alexa-suede-ankle-boots/1647597325772803", "https://www.theoutnet.com/en-us/shop/product/31-phillip-lim/boots/ankle-boots/alexa-suede-ankle-boots/1647597325772803")</f>
        <v/>
      </c>
      <c r="B7" s="1">
        <f>HYPERLINK("https://www.theoutnet.com/en-us/shop/product/31-phillip-lim/boots/ankle-boots/alexa-suede-ankle-boots/1647597325772803", "https://www.theoutnet.com/en-us/shop/product/31-phillip-lim/boots/ankle-boots/alexa-suede-ankle-boots/1647597325772803")</f>
        <v/>
      </c>
      <c r="C7" t="inlineStr">
        <is>
          <t>3.1 PHILLIP LIM</t>
        </is>
      </c>
      <c r="D7" t="inlineStr">
        <is>
          <t>3.1 Phillip Lim Women's Alexa 40mm Boots</t>
        </is>
      </c>
      <c r="E7" s="1">
        <f>HYPERLINK("https://www.amazon.com/3-1-Phillip-Lim-Womens-Medium/dp/B07VKFN4HB/ref=sr_1_2?keywords=3.1+PHILLIP+LIM&amp;qid=1695343767&amp;sr=8-2", "https://www.amazon.com/3-1-Phillip-Lim-Womens-Medium/dp/B07VKFN4HB/ref=sr_1_2?keywords=3.1+PHILLIP+LIM&amp;qid=1695343767&amp;sr=8-2")</f>
        <v/>
      </c>
      <c r="F7" t="inlineStr">
        <is>
          <t>B07VKFN4HB</t>
        </is>
      </c>
      <c r="G7">
        <f>_xlfn.IMAGE("https://www.theoutnet.com/variants/images/1647597325772803/F/w1020_q80.jpg")</f>
        <v/>
      </c>
      <c r="H7">
        <f>_xlfn.IMAGE("https://m.media-amazon.com/images/I/81p7CKQjmpL._AC_UL320_.jpg")</f>
        <v/>
      </c>
      <c r="K7" t="inlineStr">
        <is>
          <t>237.0</t>
        </is>
      </c>
      <c r="L7" t="n">
        <v>525</v>
      </c>
      <c r="M7" s="2" t="inlineStr">
        <is>
          <t>121.52%</t>
        </is>
      </c>
      <c r="N7" t="n">
        <v>4.8</v>
      </c>
      <c r="O7" t="n">
        <v>6</v>
      </c>
      <c r="Q7" t="inlineStr">
        <is>
          <t>InStock</t>
        </is>
      </c>
      <c r="R7" t="inlineStr">
        <is>
          <t>525.0</t>
        </is>
      </c>
      <c r="S7" t="inlineStr">
        <is>
          <t>1</t>
        </is>
      </c>
    </row>
    <row r="8" ht="75" customHeight="1">
      <c r="A8" s="1">
        <f>HYPERLINK("https://www.theoutnet.com/en-us/shop/product/31-phillip-lim/boots/ankle-boots/alexa-suede-ankle-boots/1647597325772803", "https://www.theoutnet.com/en-us/shop/product/31-phillip-lim/boots/ankle-boots/alexa-suede-ankle-boots/1647597325772803")</f>
        <v/>
      </c>
      <c r="B8" s="1">
        <f>HYPERLINK("https://www.theoutnet.com/en-us/shop/product/31-phillip-lim/boots/ankle-boots/alexa-suede-ankle-boots/1647597325772803", "https://www.theoutnet.com/en-us/shop/product/31-phillip-lim/boots/ankle-boots/alexa-suede-ankle-boots/1647597325772803")</f>
        <v/>
      </c>
      <c r="C8" t="inlineStr">
        <is>
          <t>3.1 PHILLIP LIM</t>
        </is>
      </c>
      <c r="D8" t="inlineStr">
        <is>
          <t>3.1 Phillip Lim Women's Pashli Mini Satchel</t>
        </is>
      </c>
      <c r="E8" s="1">
        <f>HYPERLINK("https://www.amazon.com/3-1-Phillip-Lim-Pashli-Satchel/dp/B01N6MXMXO/ref=sr_1_1?keywords=3.1+PHILLIP+LIM&amp;qid=1695343767&amp;sr=8-1", "https://www.amazon.com/3-1-Phillip-Lim-Pashli-Satchel/dp/B01N6MXMXO/ref=sr_1_1?keywords=3.1+PHILLIP+LIM&amp;qid=1695343767&amp;sr=8-1")</f>
        <v/>
      </c>
      <c r="F8" t="inlineStr">
        <is>
          <t>B01N6MXMXO</t>
        </is>
      </c>
      <c r="G8">
        <f>_xlfn.IMAGE("https://www.theoutnet.com/variants/images/1647597325772803/F/w1020_q80.jpg")</f>
        <v/>
      </c>
      <c r="H8">
        <f>_xlfn.IMAGE("https://m.media-amazon.com/images/I/91GMvxwc7PL._AC_UL320_.jpg")</f>
        <v/>
      </c>
      <c r="K8" t="inlineStr">
        <is>
          <t>237.0</t>
        </is>
      </c>
      <c r="L8" t="n">
        <v>488.85</v>
      </c>
      <c r="M8" s="2" t="inlineStr">
        <is>
          <t>106.27%</t>
        </is>
      </c>
      <c r="N8" t="n">
        <v>4.6</v>
      </c>
      <c r="O8" t="n">
        <v>13</v>
      </c>
      <c r="Q8" t="inlineStr">
        <is>
          <t>InStock</t>
        </is>
      </c>
      <c r="R8" t="inlineStr">
        <is>
          <t>525.0</t>
        </is>
      </c>
      <c r="S8" t="inlineStr">
        <is>
          <t>1</t>
        </is>
      </c>
    </row>
    <row r="9" ht="75" customHeight="1">
      <c r="A9" s="1">
        <f>HYPERLINK("https://www.theoutnet.com/en-us/shop/product/31-phillip-lim/boots/ankle-boots/lela-zip-detailed-leather-ankle-boots/46353151654779777", "https://www.theoutnet.com/en-us/shop/product/31-phillip-lim/boots/ankle-boots/lela-zip-detailed-leather-ankle-boots/46353151654779777")</f>
        <v/>
      </c>
      <c r="B9" s="1">
        <f>HYPERLINK("https://www.theoutnet.com/en-us/shop/product/31-phillip-lim/boots/ankle-boots/lela-zip-detailed-leather-ankle-boots/46353151654779777", "https://www.theoutnet.com/en-us/shop/product/31-phillip-lim/boots/ankle-boots/lela-zip-detailed-leather-ankle-boots/46353151654779777")</f>
        <v/>
      </c>
      <c r="C9" t="inlineStr">
        <is>
          <t>3.1 PHILLIP LIM</t>
        </is>
      </c>
      <c r="D9" t="inlineStr">
        <is>
          <t>3.1 Phillip Lim Women's Alexa 40mm Boots</t>
        </is>
      </c>
      <c r="E9" s="1">
        <f>HYPERLINK("https://www.amazon.com/3-1-Phillip-Lim-Womens-Medium/dp/B07VKFN4HB/ref=sr_1_2?keywords=3.1+PHILLIP+LIM&amp;qid=1695343790&amp;sr=8-2", "https://www.amazon.com/3-1-Phillip-Lim-Womens-Medium/dp/B07VKFN4HB/ref=sr_1_2?keywords=3.1+PHILLIP+LIM&amp;qid=1695343790&amp;sr=8-2")</f>
        <v/>
      </c>
      <c r="F9" t="inlineStr">
        <is>
          <t>B07VKFN4HB</t>
        </is>
      </c>
      <c r="G9">
        <f>_xlfn.IMAGE("https://www.theoutnet.com/variants/images/46353151654779777/F/w1020_q80.jpg")</f>
        <v/>
      </c>
      <c r="H9">
        <f>_xlfn.IMAGE("https://m.media-amazon.com/images/I/81p7CKQjmpL._AC_UL320_.jpg")</f>
        <v/>
      </c>
      <c r="K9" t="inlineStr">
        <is>
          <t>247.0</t>
        </is>
      </c>
      <c r="L9" t="n">
        <v>525</v>
      </c>
      <c r="M9" s="2" t="inlineStr">
        <is>
          <t>112.55%</t>
        </is>
      </c>
      <c r="N9" t="n">
        <v>4.8</v>
      </c>
      <c r="O9" t="n">
        <v>6</v>
      </c>
      <c r="Q9" t="inlineStr">
        <is>
          <t>InStock</t>
        </is>
      </c>
      <c r="R9" t="inlineStr">
        <is>
          <t>550.0</t>
        </is>
      </c>
      <c r="S9" t="inlineStr">
        <is>
          <t>46353151654779777</t>
        </is>
      </c>
    </row>
    <row r="10" ht="75" customHeight="1">
      <c r="A10" s="1">
        <f>HYPERLINK("https://www.theoutnet.com/en-us/shop/product/31-phillip-lim/boots/ankle-boots/lela-zip-detailed-leather-ankle-boots/46353151654779777", "https://www.theoutnet.com/en-us/shop/product/31-phillip-lim/boots/ankle-boots/lela-zip-detailed-leather-ankle-boots/46353151654779777")</f>
        <v/>
      </c>
      <c r="B10" s="1">
        <f>HYPERLINK("https://www.theoutnet.com/en-us/shop/product/31-phillip-lim/boots/ankle-boots/lela-zip-detailed-leather-ankle-boots/46353151654779777", "https://www.theoutnet.com/en-us/shop/product/31-phillip-lim/boots/ankle-boots/lela-zip-detailed-leather-ankle-boots/46353151654779777")</f>
        <v/>
      </c>
      <c r="C10" t="inlineStr">
        <is>
          <t>3.1 PHILLIP LIM</t>
        </is>
      </c>
      <c r="D10" t="inlineStr">
        <is>
          <t>3.1 Phillip Lim Women's Pashli Mini Satchel</t>
        </is>
      </c>
      <c r="E10" s="1">
        <f>HYPERLINK("https://www.amazon.com/3-1-Phillip-Lim-Pashli-Satchel/dp/B01N6MXMXO/ref=sr_1_1?keywords=3.1+PHILLIP+LIM&amp;qid=1695343790&amp;sr=8-1", "https://www.amazon.com/3-1-Phillip-Lim-Pashli-Satchel/dp/B01N6MXMXO/ref=sr_1_1?keywords=3.1+PHILLIP+LIM&amp;qid=1695343790&amp;sr=8-1")</f>
        <v/>
      </c>
      <c r="F10" t="inlineStr">
        <is>
          <t>B01N6MXMXO</t>
        </is>
      </c>
      <c r="G10">
        <f>_xlfn.IMAGE("https://www.theoutnet.com/variants/images/46353151654779777/F/w1020_q80.jpg")</f>
        <v/>
      </c>
      <c r="H10">
        <f>_xlfn.IMAGE("https://m.media-amazon.com/images/I/91GMvxwc7PL._AC_UL320_.jpg")</f>
        <v/>
      </c>
      <c r="K10" t="inlineStr">
        <is>
          <t>247.0</t>
        </is>
      </c>
      <c r="L10" t="n">
        <v>488.85</v>
      </c>
      <c r="M10" s="2" t="inlineStr">
        <is>
          <t>97.91%</t>
        </is>
      </c>
      <c r="N10" t="n">
        <v>4.6</v>
      </c>
      <c r="O10" t="n">
        <v>13</v>
      </c>
      <c r="Q10" t="inlineStr">
        <is>
          <t>InStock</t>
        </is>
      </c>
      <c r="R10" t="inlineStr">
        <is>
          <t>550.0</t>
        </is>
      </c>
      <c r="S10" t="inlineStr">
        <is>
          <t>46353151654779777</t>
        </is>
      </c>
    </row>
    <row r="11" ht="75" customHeight="1">
      <c r="A11" s="1">
        <f>HYPERLINK("https://www.theoutnet.com/en-us/shop/product/31-phillip-lim/boots/ankle-boots/suede-ankle-boots/1647597326909740", "https://www.theoutnet.com/en-us/shop/product/31-phillip-lim/boots/ankle-boots/suede-ankle-boots/1647597326909740")</f>
        <v/>
      </c>
      <c r="B11" s="1">
        <f>HYPERLINK("https://www.theoutnet.com/en-us/shop/product/31-phillip-lim/boots/ankle-boots/suede-ankle-boots/1647597326909740", "https://www.theoutnet.com/en-us/shop/product/31-phillip-lim/boots/ankle-boots/suede-ankle-boots/1647597326909740")</f>
        <v/>
      </c>
      <c r="C11" t="inlineStr">
        <is>
          <t>3.1 PHILLIP LIM</t>
        </is>
      </c>
      <c r="D11" t="inlineStr">
        <is>
          <t>3.1 Phillip Lim Women's Alexa 40mm Boots</t>
        </is>
      </c>
      <c r="E11" s="1">
        <f>HYPERLINK("https://www.amazon.com/3-1-Phillip-Lim-Womens-Medium/dp/B07VKFN4HB/ref=sr_1_2?keywords=3.1+PHILLIP+LIM&amp;qid=1695343601&amp;sr=8-2", "https://www.amazon.com/3-1-Phillip-Lim-Womens-Medium/dp/B07VKFN4HB/ref=sr_1_2?keywords=3.1+PHILLIP+LIM&amp;qid=1695343601&amp;sr=8-2")</f>
        <v/>
      </c>
      <c r="F11" t="inlineStr">
        <is>
          <t>B07VKFN4HB</t>
        </is>
      </c>
      <c r="G11">
        <f>_xlfn.IMAGE("https://www.theoutnet.com/variants/images/1647597326909740/F/w1020_q80.jpg")</f>
        <v/>
      </c>
      <c r="H11">
        <f>_xlfn.IMAGE("https://m.media-amazon.com/images/I/81p7CKQjmpL._AC_UL320_.jpg")</f>
        <v/>
      </c>
      <c r="K11" t="inlineStr">
        <is>
          <t>133.0</t>
        </is>
      </c>
      <c r="L11" t="n">
        <v>525</v>
      </c>
      <c r="M11" s="2" t="inlineStr">
        <is>
          <t>294.74%</t>
        </is>
      </c>
      <c r="N11" t="n">
        <v>4.8</v>
      </c>
      <c r="O11" t="n">
        <v>6</v>
      </c>
      <c r="Q11" t="inlineStr">
        <is>
          <t>InStock</t>
        </is>
      </c>
      <c r="R11" t="inlineStr">
        <is>
          <t>295.0</t>
        </is>
      </c>
      <c r="S11" t="inlineStr">
        <is>
          <t>1647597326909740</t>
        </is>
      </c>
    </row>
    <row r="12" ht="75" customHeight="1">
      <c r="A12" s="1">
        <f>HYPERLINK("https://www.theoutnet.com/en-us/shop/product/31-phillip-lim/boots/ankle-boots/suede-ankle-boots/1647597326909740", "https://www.theoutnet.com/en-us/shop/product/31-phillip-lim/boots/ankle-boots/suede-ankle-boots/1647597326909740")</f>
        <v/>
      </c>
      <c r="B12" s="1">
        <f>HYPERLINK("https://www.theoutnet.com/en-us/shop/product/31-phillip-lim/boots/ankle-boots/suede-ankle-boots/1647597326909740", "https://www.theoutnet.com/en-us/shop/product/31-phillip-lim/boots/ankle-boots/suede-ankle-boots/1647597326909740")</f>
        <v/>
      </c>
      <c r="C12" t="inlineStr">
        <is>
          <t>3.1 PHILLIP LIM</t>
        </is>
      </c>
      <c r="D12" t="inlineStr">
        <is>
          <t>3.1 Phillip Lim Women's Pashli Mini Satchel</t>
        </is>
      </c>
      <c r="E12" s="1">
        <f>HYPERLINK("https://www.amazon.com/3-1-Phillip-Lim-Pashli-Satchel/dp/B01N6MXMXO/ref=sr_1_1?keywords=3.1+PHILLIP+LIM&amp;qid=1695343601&amp;sr=8-1", "https://www.amazon.com/3-1-Phillip-Lim-Pashli-Satchel/dp/B01N6MXMXO/ref=sr_1_1?keywords=3.1+PHILLIP+LIM&amp;qid=1695343601&amp;sr=8-1")</f>
        <v/>
      </c>
      <c r="F12" t="inlineStr">
        <is>
          <t>B01N6MXMXO</t>
        </is>
      </c>
      <c r="G12">
        <f>_xlfn.IMAGE("https://www.theoutnet.com/variants/images/1647597326909740/F/w1020_q80.jpg")</f>
        <v/>
      </c>
      <c r="H12">
        <f>_xlfn.IMAGE("https://m.media-amazon.com/images/I/91GMvxwc7PL._AC_UL320_.jpg")</f>
        <v/>
      </c>
      <c r="K12" t="inlineStr">
        <is>
          <t>133.0</t>
        </is>
      </c>
      <c r="L12" t="n">
        <v>488.85</v>
      </c>
      <c r="M12" s="2" t="inlineStr">
        <is>
          <t>267.56%</t>
        </is>
      </c>
      <c r="N12" t="n">
        <v>4.6</v>
      </c>
      <c r="O12" t="n">
        <v>13</v>
      </c>
      <c r="Q12" t="inlineStr">
        <is>
          <t>InStock</t>
        </is>
      </c>
      <c r="R12" t="inlineStr">
        <is>
          <t>295.0</t>
        </is>
      </c>
      <c r="S12" t="inlineStr">
        <is>
          <t>1647597326909740</t>
        </is>
      </c>
    </row>
    <row r="13" ht="75" customHeight="1">
      <c r="A13" s="1">
        <f>HYPERLINK("https://www.theoutnet.com/en-us/shop/product/31-phillip-lim/boots/ankle-boots/suede-ankle-boots/1647597326909740", "https://www.theoutnet.com/en-us/shop/product/31-phillip-lim/boots/ankle-boots/suede-ankle-boots/1647597326909740")</f>
        <v/>
      </c>
      <c r="B13" s="1">
        <f>HYPERLINK("https://www.theoutnet.com/en-us/shop/product/31-phillip-lim/boots/ankle-boots/suede-ankle-boots/1647597326909740", "https://www.theoutnet.com/en-us/shop/product/31-phillip-lim/boots/ankle-boots/suede-ankle-boots/1647597326909740")</f>
        <v/>
      </c>
      <c r="C13" t="inlineStr">
        <is>
          <t>3.1 PHILLIP LIM</t>
        </is>
      </c>
      <c r="D13" t="inlineStr">
        <is>
          <t>3.1 Phillip Lim Pashli Saddle</t>
        </is>
      </c>
      <c r="E13" s="1">
        <f>HYPERLINK("https://www.amazon.com/3-1-Phillip-Lim-Saddle-Bag/dp/B07VHJB9Q3/ref=sr_1_6?keywords=3.1+PHILLIP+LIM&amp;qid=1695343601&amp;sr=8-6", "https://www.amazon.com/3-1-Phillip-Lim-Saddle-Bag/dp/B07VHJB9Q3/ref=sr_1_6?keywords=3.1+PHILLIP+LIM&amp;qid=1695343601&amp;sr=8-6")</f>
        <v/>
      </c>
      <c r="F13" t="inlineStr">
        <is>
          <t>B07VHJB9Q3</t>
        </is>
      </c>
      <c r="G13">
        <f>_xlfn.IMAGE("https://www.theoutnet.com/variants/images/1647597326909740/F/w1020_q80.jpg")</f>
        <v/>
      </c>
      <c r="H13">
        <f>_xlfn.IMAGE("https://m.media-amazon.com/images/I/71iTkkxv-XL._AC_UL320_.jpg")</f>
        <v/>
      </c>
      <c r="K13" t="inlineStr">
        <is>
          <t>133.0</t>
        </is>
      </c>
      <c r="L13" t="n">
        <v>360.34</v>
      </c>
      <c r="M13" s="2" t="inlineStr">
        <is>
          <t>170.93%</t>
        </is>
      </c>
      <c r="N13" t="n">
        <v>5</v>
      </c>
      <c r="O13" t="n">
        <v>3</v>
      </c>
      <c r="Q13" t="inlineStr">
        <is>
          <t>InStock</t>
        </is>
      </c>
      <c r="R13" t="inlineStr">
        <is>
          <t>295.0</t>
        </is>
      </c>
      <c r="S13" t="inlineStr">
        <is>
          <t>1647597326909740</t>
        </is>
      </c>
    </row>
    <row r="14" ht="75" customHeight="1">
      <c r="A14" s="1">
        <f>HYPERLINK("https://www.theoutnet.com/en-us/shop/product/31-phillip-lim/sandals/flat-sandals/gathered-satin-sandals/1647597318785557", "https://www.theoutnet.com/en-us/shop/product/31-phillip-lim/sandals/flat-sandals/gathered-satin-sandals/1647597318785557")</f>
        <v/>
      </c>
      <c r="B14" s="1">
        <f>HYPERLINK("https://www.theoutnet.com/en-us/shop/product/31-phillip-lim/sandals/flat-sandals/gathered-satin-sandals/1647597318785557", "https://www.theoutnet.com/en-us/shop/product/31-phillip-lim/sandals/flat-sandals/gathered-satin-sandals/1647597318785557")</f>
        <v/>
      </c>
      <c r="C14" t="inlineStr">
        <is>
          <t>3.1 PHILLIP LIM</t>
        </is>
      </c>
      <c r="D14" t="inlineStr">
        <is>
          <t>3.1 Phillip Lim Pashli Medium Satchel</t>
        </is>
      </c>
      <c r="E14" s="1">
        <f>HYPERLINK("https://www.amazon.com/3-1-Phillip-Lim-Womens-Satchel/dp/B00CVUHLAO/ref=sr_1_7?keywords=3.1+PHILLIP+LIM&amp;qid=1695343716&amp;sr=8-7", "https://www.amazon.com/3-1-Phillip-Lim-Womens-Satchel/dp/B00CVUHLAO/ref=sr_1_7?keywords=3.1+PHILLIP+LIM&amp;qid=1695343716&amp;sr=8-7")</f>
        <v/>
      </c>
      <c r="F14" t="inlineStr">
        <is>
          <t>B00CVUHLAO</t>
        </is>
      </c>
      <c r="G14">
        <f>_xlfn.IMAGE("https://www.theoutnet.com/variants/images/1647597318785557/F/w1020_q80.jpg")</f>
        <v/>
      </c>
      <c r="H14">
        <f>_xlfn.IMAGE("https://m.media-amazon.com/images/I/710XFnuMbNL._AC_UL320_.jpg")</f>
        <v/>
      </c>
      <c r="K14" t="inlineStr">
        <is>
          <t>203.0</t>
        </is>
      </c>
      <c r="L14" t="n">
        <v>504.86</v>
      </c>
      <c r="M14" s="2" t="inlineStr">
        <is>
          <t>148.70%</t>
        </is>
      </c>
      <c r="N14" t="n">
        <v>4.2</v>
      </c>
      <c r="O14" t="n">
        <v>6</v>
      </c>
      <c r="Q14" t="inlineStr">
        <is>
          <t>InStock</t>
        </is>
      </c>
      <c r="R14" t="inlineStr">
        <is>
          <t>450.0</t>
        </is>
      </c>
      <c r="S14" t="inlineStr">
        <is>
          <t>1</t>
        </is>
      </c>
    </row>
    <row r="15" ht="75" customHeight="1">
      <c r="A15" s="1">
        <f>HYPERLINK("https://www.theoutnet.com/en-us/shop/product/31-phillip-lim/sandals/flat-sandals/gathered-satin-sandals/1647597318785557", "https://www.theoutnet.com/en-us/shop/product/31-phillip-lim/sandals/flat-sandals/gathered-satin-sandals/1647597318785557")</f>
        <v/>
      </c>
      <c r="B15" s="1">
        <f>HYPERLINK("https://www.theoutnet.com/en-us/shop/product/31-phillip-lim/sandals/flat-sandals/gathered-satin-sandals/1647597318785557", "https://www.theoutnet.com/en-us/shop/product/31-phillip-lim/sandals/flat-sandals/gathered-satin-sandals/1647597318785557")</f>
        <v/>
      </c>
      <c r="C15" t="inlineStr">
        <is>
          <t>3.1 PHILLIP LIM</t>
        </is>
      </c>
      <c r="D15" t="inlineStr">
        <is>
          <t>3.1 Phillip Lim Women's Pashli Mini Satchel</t>
        </is>
      </c>
      <c r="E15" s="1">
        <f>HYPERLINK("https://www.amazon.com/3-1-Phillip-Lim-Pashli-Satchel/dp/B01N6MXMXO/ref=sr_1_1?keywords=3.1+PHILLIP+LIM&amp;qid=1695343716&amp;sr=8-1", "https://www.amazon.com/3-1-Phillip-Lim-Pashli-Satchel/dp/B01N6MXMXO/ref=sr_1_1?keywords=3.1+PHILLIP+LIM&amp;qid=1695343716&amp;sr=8-1")</f>
        <v/>
      </c>
      <c r="F15" t="inlineStr">
        <is>
          <t>B01N6MXMXO</t>
        </is>
      </c>
      <c r="G15">
        <f>_xlfn.IMAGE("https://www.theoutnet.com/variants/images/1647597318785557/F/w1020_q80.jpg")</f>
        <v/>
      </c>
      <c r="H15">
        <f>_xlfn.IMAGE("https://m.media-amazon.com/images/I/91GMvxwc7PL._AC_UL320_.jpg")</f>
        <v/>
      </c>
      <c r="K15" t="inlineStr">
        <is>
          <t>203.0</t>
        </is>
      </c>
      <c r="L15" t="n">
        <v>488.85</v>
      </c>
      <c r="M15" s="2" t="inlineStr">
        <is>
          <t>140.81%</t>
        </is>
      </c>
      <c r="N15" t="n">
        <v>4.6</v>
      </c>
      <c r="O15" t="n">
        <v>13</v>
      </c>
      <c r="Q15" t="inlineStr">
        <is>
          <t>InStock</t>
        </is>
      </c>
      <c r="R15" t="inlineStr">
        <is>
          <t>450.0</t>
        </is>
      </c>
      <c r="S15" t="inlineStr">
        <is>
          <t>1</t>
        </is>
      </c>
    </row>
    <row r="16" ht="75" customHeight="1">
      <c r="A16" s="1">
        <f>HYPERLINK("https://www.theoutnet.com/en-us/shop/product/31-phillip-lim/sandals/flat-sandals/gathered-satin-sandals/1647597318785557", "https://www.theoutnet.com/en-us/shop/product/31-phillip-lim/sandals/flat-sandals/gathered-satin-sandals/1647597318785557")</f>
        <v/>
      </c>
      <c r="B16" s="1">
        <f>HYPERLINK("https://www.theoutnet.com/en-us/shop/product/31-phillip-lim/sandals/flat-sandals/gathered-satin-sandals/1647597318785557", "https://www.theoutnet.com/en-us/shop/product/31-phillip-lim/sandals/flat-sandals/gathered-satin-sandals/1647597318785557")</f>
        <v/>
      </c>
      <c r="C16" t="inlineStr">
        <is>
          <t>3.1 PHILLIP LIM</t>
        </is>
      </c>
      <c r="D16" t="inlineStr">
        <is>
          <t>3.1 Phillip Lim Pashli Saddle</t>
        </is>
      </c>
      <c r="E16" s="1">
        <f>HYPERLINK("https://www.amazon.com/3-1-Phillip-Lim-Saddle-Bag/dp/B07VHJB9Q3/ref=sr_1_2?keywords=3.1+PHILLIP+LIM&amp;qid=1695343716&amp;sr=8-2", "https://www.amazon.com/3-1-Phillip-Lim-Saddle-Bag/dp/B07VHJB9Q3/ref=sr_1_2?keywords=3.1+PHILLIP+LIM&amp;qid=1695343716&amp;sr=8-2")</f>
        <v/>
      </c>
      <c r="F16" t="inlineStr">
        <is>
          <t>B07VHJB9Q3</t>
        </is>
      </c>
      <c r="G16">
        <f>_xlfn.IMAGE("https://www.theoutnet.com/variants/images/1647597318785557/F/w1020_q80.jpg")</f>
        <v/>
      </c>
      <c r="H16">
        <f>_xlfn.IMAGE("https://m.media-amazon.com/images/I/71iTkkxv-XL._AC_UL320_.jpg")</f>
        <v/>
      </c>
      <c r="K16" t="inlineStr">
        <is>
          <t>203.0</t>
        </is>
      </c>
      <c r="L16" t="n">
        <v>360.34</v>
      </c>
      <c r="M16" s="2" t="inlineStr">
        <is>
          <t>77.51%</t>
        </is>
      </c>
      <c r="N16" t="n">
        <v>5</v>
      </c>
      <c r="O16" t="n">
        <v>3</v>
      </c>
      <c r="Q16" t="inlineStr">
        <is>
          <t>InStock</t>
        </is>
      </c>
      <c r="R16" t="inlineStr">
        <is>
          <t>450.0</t>
        </is>
      </c>
      <c r="S16" t="inlineStr">
        <is>
          <t>1</t>
        </is>
      </c>
    </row>
    <row r="17" ht="75" customHeight="1">
      <c r="A17" s="1">
        <f>HYPERLINK("https://www.theoutnet.com/en-us/shop/product/31-phillip-lim/sandals/flat-sandals/twisted-leather-sandals/1647597286969941", "https://www.theoutnet.com/en-us/shop/product/31-phillip-lim/sandals/flat-sandals/twisted-leather-sandals/1647597286969941")</f>
        <v/>
      </c>
      <c r="B17" s="1">
        <f>HYPERLINK("https://www.theoutnet.com/en-us/shop/product/31-phillip-lim/sandals/flat-sandals/twisted-leather-sandals/1647597286969941", "https://www.theoutnet.com/en-us/shop/product/31-phillip-lim/sandals/flat-sandals/twisted-leather-sandals/1647597286969941")</f>
        <v/>
      </c>
      <c r="C17" t="inlineStr">
        <is>
          <t>3.1 PHILLIP LIM</t>
        </is>
      </c>
      <c r="D17" t="inlineStr">
        <is>
          <t>3.1 Phillip Lim Women's Alexa 40mm Boots</t>
        </is>
      </c>
      <c r="E17" s="1">
        <f>HYPERLINK("https://www.amazon.com/3-1-Phillip-Lim-Womens-Medium/dp/B07VKFN4HB/ref=sr_1_2?keywords=3.1+PHILLIP+LIM&amp;qid=1695343233&amp;sr=8-2", "https://www.amazon.com/3-1-Phillip-Lim-Womens-Medium/dp/B07VKFN4HB/ref=sr_1_2?keywords=3.1+PHILLIP+LIM&amp;qid=1695343233&amp;sr=8-2")</f>
        <v/>
      </c>
      <c r="F17" t="inlineStr">
        <is>
          <t>B07VKFN4HB</t>
        </is>
      </c>
      <c r="G17">
        <f>_xlfn.IMAGE("https://www.theoutnet.com/variants/images/1647597286969941/F/w1020_q80.jpg")</f>
        <v/>
      </c>
      <c r="H17">
        <f>_xlfn.IMAGE("https://m.media-amazon.com/images/I/81p7CKQjmpL._AC_UL320_.jpg")</f>
        <v/>
      </c>
      <c r="K17" t="inlineStr">
        <is>
          <t>119.0</t>
        </is>
      </c>
      <c r="L17" t="n">
        <v>525</v>
      </c>
      <c r="M17" s="2" t="inlineStr">
        <is>
          <t>341.18%</t>
        </is>
      </c>
      <c r="N17" t="n">
        <v>4.8</v>
      </c>
      <c r="O17" t="n">
        <v>6</v>
      </c>
      <c r="Q17" t="inlineStr">
        <is>
          <t>InStock</t>
        </is>
      </c>
      <c r="R17" t="inlineStr">
        <is>
          <t>395.0</t>
        </is>
      </c>
      <c r="S17" t="inlineStr">
        <is>
          <t>1647597286969941</t>
        </is>
      </c>
    </row>
    <row r="18" ht="75" customHeight="1">
      <c r="A18" s="1">
        <f>HYPERLINK("https://www.theoutnet.com/en-us/shop/product/31-phillip-lim/sandals/flat-sandals/twisted-leather-sandals/1647597286969941", "https://www.theoutnet.com/en-us/shop/product/31-phillip-lim/sandals/flat-sandals/twisted-leather-sandals/1647597286969941")</f>
        <v/>
      </c>
      <c r="B18" s="1">
        <f>HYPERLINK("https://www.theoutnet.com/en-us/shop/product/31-phillip-lim/sandals/flat-sandals/twisted-leather-sandals/1647597286969941", "https://www.theoutnet.com/en-us/shop/product/31-phillip-lim/sandals/flat-sandals/twisted-leather-sandals/1647597286969941")</f>
        <v/>
      </c>
      <c r="C18" t="inlineStr">
        <is>
          <t>3.1 PHILLIP LIM</t>
        </is>
      </c>
      <c r="D18" t="inlineStr">
        <is>
          <t>3.1 Phillip Lim Women's Pashli Mini Satchel</t>
        </is>
      </c>
      <c r="E18" s="1">
        <f>HYPERLINK("https://www.amazon.com/3-1-Phillip-Lim-Pashli-Satchel/dp/B01N6MXMXO/ref=sr_1_1?keywords=3.1+PHILLIP+LIM&amp;qid=1695343233&amp;sr=8-1", "https://www.amazon.com/3-1-Phillip-Lim-Pashli-Satchel/dp/B01N6MXMXO/ref=sr_1_1?keywords=3.1+PHILLIP+LIM&amp;qid=1695343233&amp;sr=8-1")</f>
        <v/>
      </c>
      <c r="F18" t="inlineStr">
        <is>
          <t>B01N6MXMXO</t>
        </is>
      </c>
      <c r="G18">
        <f>_xlfn.IMAGE("https://www.theoutnet.com/variants/images/1647597286969941/F/w1020_q80.jpg")</f>
        <v/>
      </c>
      <c r="H18">
        <f>_xlfn.IMAGE("https://m.media-amazon.com/images/I/91GMvxwc7PL._AC_UL320_.jpg")</f>
        <v/>
      </c>
      <c r="K18" t="inlineStr">
        <is>
          <t>119.0</t>
        </is>
      </c>
      <c r="L18" t="n">
        <v>488.85</v>
      </c>
      <c r="M18" s="2" t="inlineStr">
        <is>
          <t>310.80%</t>
        </is>
      </c>
      <c r="N18" t="n">
        <v>4.6</v>
      </c>
      <c r="O18" t="n">
        <v>13</v>
      </c>
      <c r="Q18" t="inlineStr">
        <is>
          <t>InStock</t>
        </is>
      </c>
      <c r="R18" t="inlineStr">
        <is>
          <t>395.0</t>
        </is>
      </c>
      <c r="S18" t="inlineStr">
        <is>
          <t>1647597286969941</t>
        </is>
      </c>
    </row>
    <row r="19" ht="75" customHeight="1">
      <c r="A19" s="1">
        <f>HYPERLINK("https://www.theoutnet.com/en-us/shop/product/31-phillip-lim/sandals/flat-sandals/twisted-leather-sandals/1647597286969941", "https://www.theoutnet.com/en-us/shop/product/31-phillip-lim/sandals/flat-sandals/twisted-leather-sandals/1647597286969941")</f>
        <v/>
      </c>
      <c r="B19" s="1">
        <f>HYPERLINK("https://www.theoutnet.com/en-us/shop/product/31-phillip-lim/sandals/flat-sandals/twisted-leather-sandals/1647597286969941", "https://www.theoutnet.com/en-us/shop/product/31-phillip-lim/sandals/flat-sandals/twisted-leather-sandals/1647597286969941")</f>
        <v/>
      </c>
      <c r="C19" t="inlineStr">
        <is>
          <t>3.1 PHILLIP LIM</t>
        </is>
      </c>
      <c r="D19" t="inlineStr">
        <is>
          <t>3.1 Phillip Lim Pashli Saddle</t>
        </is>
      </c>
      <c r="E19" s="1">
        <f>HYPERLINK("https://www.amazon.com/3-1-Phillip-Lim-Saddle-Bag/dp/B07VHJB9Q3/ref=sr_1_5?keywords=3.1+PHILLIP+LIM&amp;qid=1695343233&amp;sr=8-5", "https://www.amazon.com/3-1-Phillip-Lim-Saddle-Bag/dp/B07VHJB9Q3/ref=sr_1_5?keywords=3.1+PHILLIP+LIM&amp;qid=1695343233&amp;sr=8-5")</f>
        <v/>
      </c>
      <c r="F19" t="inlineStr">
        <is>
          <t>B07VHJB9Q3</t>
        </is>
      </c>
      <c r="G19">
        <f>_xlfn.IMAGE("https://www.theoutnet.com/variants/images/1647597286969941/F/w1020_q80.jpg")</f>
        <v/>
      </c>
      <c r="H19">
        <f>_xlfn.IMAGE("https://m.media-amazon.com/images/I/71iTkkxv-XL._AC_UL320_.jpg")</f>
        <v/>
      </c>
      <c r="K19" t="inlineStr">
        <is>
          <t>119.0</t>
        </is>
      </c>
      <c r="L19" t="n">
        <v>360.34</v>
      </c>
      <c r="M19" s="2" t="inlineStr">
        <is>
          <t>202.81%</t>
        </is>
      </c>
      <c r="N19" t="n">
        <v>5</v>
      </c>
      <c r="O19" t="n">
        <v>3</v>
      </c>
      <c r="Q19" t="inlineStr">
        <is>
          <t>InStock</t>
        </is>
      </c>
      <c r="R19" t="inlineStr">
        <is>
          <t>395.0</t>
        </is>
      </c>
      <c r="S19" t="inlineStr">
        <is>
          <t>1647597286969941</t>
        </is>
      </c>
    </row>
    <row r="20" ht="75" customHeight="1">
      <c r="A20" s="1">
        <f>HYPERLINK("https://www.theoutnet.com/en-us/shop/product/31-phillip-lim/sandals/flat-sandals/twisted-leather-sandals/1647597286969941", "https://www.theoutnet.com/en-us/shop/product/31-phillip-lim/sandals/flat-sandals/twisted-leather-sandals/1647597286969941")</f>
        <v/>
      </c>
      <c r="B20" s="1">
        <f>HYPERLINK("https://www.theoutnet.com/en-us/shop/product/31-phillip-lim/sandals/flat-sandals/twisted-leather-sandals/1647597286969941", "https://www.theoutnet.com/en-us/shop/product/31-phillip-lim/sandals/flat-sandals/twisted-leather-sandals/1647597286969941")</f>
        <v/>
      </c>
      <c r="C20" t="inlineStr">
        <is>
          <t>3.1 PHILLIP LIM</t>
        </is>
      </c>
      <c r="D20" t="inlineStr">
        <is>
          <t>3.1 Phillip Lim Women's Alexa 40mm Boots</t>
        </is>
      </c>
      <c r="E20" s="1">
        <f>HYPERLINK("https://www.amazon.com/3-1-Phillip-Lim-Womens-Medium/dp/B07VKFN4HB/ref=sr_1_2?keywords=3.1+PHILLIP+LIM&amp;qid=1695343626&amp;sr=8-2", "https://www.amazon.com/3-1-Phillip-Lim-Womens-Medium/dp/B07VKFN4HB/ref=sr_1_2?keywords=3.1+PHILLIP+LIM&amp;qid=1695343626&amp;sr=8-2")</f>
        <v/>
      </c>
      <c r="F20" t="inlineStr">
        <is>
          <t>B07VKFN4HB</t>
        </is>
      </c>
      <c r="G20">
        <f>_xlfn.IMAGE("https://www.theoutnet.com/variants/images/1647597286969941/F/w1020_q80.jpg")</f>
        <v/>
      </c>
      <c r="H20">
        <f>_xlfn.IMAGE("https://m.media-amazon.com/images/I/81p7CKQjmpL._AC_UL320_.jpg")</f>
        <v/>
      </c>
      <c r="K20" t="inlineStr">
        <is>
          <t>119.0</t>
        </is>
      </c>
      <c r="L20" t="n">
        <v>525</v>
      </c>
      <c r="M20" s="2" t="inlineStr">
        <is>
          <t>341.18%</t>
        </is>
      </c>
      <c r="N20" t="n">
        <v>4.8</v>
      </c>
      <c r="O20" t="n">
        <v>6</v>
      </c>
      <c r="Q20" t="inlineStr">
        <is>
          <t>InStock</t>
        </is>
      </c>
      <c r="R20" t="inlineStr">
        <is>
          <t>395.0</t>
        </is>
      </c>
      <c r="S20" t="inlineStr">
        <is>
          <t>1647597286969941</t>
        </is>
      </c>
    </row>
    <row r="21" ht="75" customHeight="1">
      <c r="A21" s="1">
        <f>HYPERLINK("https://www.theoutnet.com/en-us/shop/product/31-phillip-lim/sandals/flat-sandals/twisted-leather-sandals/1647597286969941", "https://www.theoutnet.com/en-us/shop/product/31-phillip-lim/sandals/flat-sandals/twisted-leather-sandals/1647597286969941")</f>
        <v/>
      </c>
      <c r="B21" s="1">
        <f>HYPERLINK("https://www.theoutnet.com/en-us/shop/product/31-phillip-lim/sandals/flat-sandals/twisted-leather-sandals/1647597286969941", "https://www.theoutnet.com/en-us/shop/product/31-phillip-lim/sandals/flat-sandals/twisted-leather-sandals/1647597286969941")</f>
        <v/>
      </c>
      <c r="C21" t="inlineStr">
        <is>
          <t>3.1 PHILLIP LIM</t>
        </is>
      </c>
      <c r="D21" t="inlineStr">
        <is>
          <t>3.1 Phillip Lim Women's Pashli Mini Satchel</t>
        </is>
      </c>
      <c r="E21" s="1">
        <f>HYPERLINK("https://www.amazon.com/3-1-Phillip-Lim-Pashli-Satchel/dp/B01N6MXMXO/ref=sr_1_1?keywords=3.1+PHILLIP+LIM&amp;qid=1695343626&amp;sr=8-1", "https://www.amazon.com/3-1-Phillip-Lim-Pashli-Satchel/dp/B01N6MXMXO/ref=sr_1_1?keywords=3.1+PHILLIP+LIM&amp;qid=1695343626&amp;sr=8-1")</f>
        <v/>
      </c>
      <c r="F21" t="inlineStr">
        <is>
          <t>B01N6MXMXO</t>
        </is>
      </c>
      <c r="G21">
        <f>_xlfn.IMAGE("https://www.theoutnet.com/variants/images/1647597286969941/F/w1020_q80.jpg")</f>
        <v/>
      </c>
      <c r="H21">
        <f>_xlfn.IMAGE("https://m.media-amazon.com/images/I/91GMvxwc7PL._AC_UL320_.jpg")</f>
        <v/>
      </c>
      <c r="K21" t="inlineStr">
        <is>
          <t>119.0</t>
        </is>
      </c>
      <c r="L21" t="n">
        <v>488.85</v>
      </c>
      <c r="M21" s="2" t="inlineStr">
        <is>
          <t>310.80%</t>
        </is>
      </c>
      <c r="N21" t="n">
        <v>4.6</v>
      </c>
      <c r="O21" t="n">
        <v>13</v>
      </c>
      <c r="Q21" t="inlineStr">
        <is>
          <t>InStock</t>
        </is>
      </c>
      <c r="R21" t="inlineStr">
        <is>
          <t>395.0</t>
        </is>
      </c>
      <c r="S21" t="inlineStr">
        <is>
          <t>1647597286969941</t>
        </is>
      </c>
    </row>
    <row r="22" ht="75" customHeight="1">
      <c r="A22" s="1">
        <f>HYPERLINK("https://www.theoutnet.com/en-us/shop/product/31-phillip-lim/sandals/flat-sandals/twisted-leather-sandals/1647597286969941", "https://www.theoutnet.com/en-us/shop/product/31-phillip-lim/sandals/flat-sandals/twisted-leather-sandals/1647597286969941")</f>
        <v/>
      </c>
      <c r="B22" s="1">
        <f>HYPERLINK("https://www.theoutnet.com/en-us/shop/product/31-phillip-lim/sandals/flat-sandals/twisted-leather-sandals/1647597286969941", "https://www.theoutnet.com/en-us/shop/product/31-phillip-lim/sandals/flat-sandals/twisted-leather-sandals/1647597286969941")</f>
        <v/>
      </c>
      <c r="C22" t="inlineStr">
        <is>
          <t>3.1 PHILLIP LIM</t>
        </is>
      </c>
      <c r="D22" t="inlineStr">
        <is>
          <t>3.1 Phillip Lim Pashli Saddle</t>
        </is>
      </c>
      <c r="E22" s="1">
        <f>HYPERLINK("https://www.amazon.com/3-1-Phillip-Lim-Saddle-Bag/dp/B07VHJB9Q3/ref=sr_1_6?keywords=3.1+PHILLIP+LIM&amp;qid=1695343626&amp;sr=8-6", "https://www.amazon.com/3-1-Phillip-Lim-Saddle-Bag/dp/B07VHJB9Q3/ref=sr_1_6?keywords=3.1+PHILLIP+LIM&amp;qid=1695343626&amp;sr=8-6")</f>
        <v/>
      </c>
      <c r="F22" t="inlineStr">
        <is>
          <t>B07VHJB9Q3</t>
        </is>
      </c>
      <c r="G22">
        <f>_xlfn.IMAGE("https://www.theoutnet.com/variants/images/1647597286969941/F/w1020_q80.jpg")</f>
        <v/>
      </c>
      <c r="H22">
        <f>_xlfn.IMAGE("https://m.media-amazon.com/images/I/71iTkkxv-XL._AC_UL320_.jpg")</f>
        <v/>
      </c>
      <c r="K22" t="inlineStr">
        <is>
          <t>119.0</t>
        </is>
      </c>
      <c r="L22" t="n">
        <v>360.34</v>
      </c>
      <c r="M22" s="2" t="inlineStr">
        <is>
          <t>202.81%</t>
        </is>
      </c>
      <c r="N22" t="n">
        <v>5</v>
      </c>
      <c r="O22" t="n">
        <v>3</v>
      </c>
      <c r="Q22" t="inlineStr">
        <is>
          <t>InStock</t>
        </is>
      </c>
      <c r="R22" t="inlineStr">
        <is>
          <t>395.0</t>
        </is>
      </c>
      <c r="S22" t="inlineStr">
        <is>
          <t>1647597286969941</t>
        </is>
      </c>
    </row>
    <row r="23" ht="75" customHeight="1">
      <c r="A23" s="1">
        <f>HYPERLINK("https://www.theoutnet.com/en-us/shop/product/31-phillip-lim/sandals/flat-sandals/twisted-leather-slides/1647597306533504", "https://www.theoutnet.com/en-us/shop/product/31-phillip-lim/sandals/flat-sandals/twisted-leather-slides/1647597306533504")</f>
        <v/>
      </c>
      <c r="B23" s="1">
        <f>HYPERLINK("https://www.theoutnet.com/en-us/shop/product/31-phillip-lim/sandals/flat-sandals/twisted-leather-slides/1647597306533504", "https://www.theoutnet.com/en-us/shop/product/31-phillip-lim/sandals/flat-sandals/twisted-leather-slides/1647597306533504")</f>
        <v/>
      </c>
      <c r="C23" t="inlineStr">
        <is>
          <t>3.1 PHILLIP LIM</t>
        </is>
      </c>
      <c r="D23" t="inlineStr">
        <is>
          <t>3.1 Phillip Lim Women's Alexa 40mm Boots</t>
        </is>
      </c>
      <c r="E23" s="1">
        <f>HYPERLINK("https://www.amazon.com/3-1-Phillip-Lim-Womens-Medium/dp/B07VKFN4HB/ref=sr_1_2?keywords=3.1+PHILLIP+LIM&amp;qid=1695343776&amp;sr=8-2", "https://www.amazon.com/3-1-Phillip-Lim-Womens-Medium/dp/B07VKFN4HB/ref=sr_1_2?keywords=3.1+PHILLIP+LIM&amp;qid=1695343776&amp;sr=8-2")</f>
        <v/>
      </c>
      <c r="F23" t="inlineStr">
        <is>
          <t>B07VKFN4HB</t>
        </is>
      </c>
      <c r="G23">
        <f>_xlfn.IMAGE("https://www.theoutnet.com/variants/images/1647597306533504/F/w1020_q80.jpg")</f>
        <v/>
      </c>
      <c r="H23">
        <f>_xlfn.IMAGE("https://m.media-amazon.com/images/I/81p7CKQjmpL._AC_UL320_.jpg")</f>
        <v/>
      </c>
      <c r="K23" t="inlineStr">
        <is>
          <t>198.0</t>
        </is>
      </c>
      <c r="L23" t="n">
        <v>525</v>
      </c>
      <c r="M23" s="2" t="inlineStr">
        <is>
          <t>165.15%</t>
        </is>
      </c>
      <c r="N23" t="n">
        <v>4.8</v>
      </c>
      <c r="O23" t="n">
        <v>6</v>
      </c>
      <c r="Q23" t="inlineStr">
        <is>
          <t>InStock</t>
        </is>
      </c>
      <c r="R23" t="inlineStr">
        <is>
          <t>395.0</t>
        </is>
      </c>
      <c r="S23" t="inlineStr">
        <is>
          <t>1</t>
        </is>
      </c>
    </row>
    <row r="24" ht="75" customHeight="1">
      <c r="A24" s="1">
        <f>HYPERLINK("https://www.theoutnet.com/en-us/shop/product/31-phillip-lim/sandals/flat-sandals/twisted-leather-slides/1647597306533504", "https://www.theoutnet.com/en-us/shop/product/31-phillip-lim/sandals/flat-sandals/twisted-leather-slides/1647597306533504")</f>
        <v/>
      </c>
      <c r="B24" s="1">
        <f>HYPERLINK("https://www.theoutnet.com/en-us/shop/product/31-phillip-lim/sandals/flat-sandals/twisted-leather-slides/1647597306533504", "https://www.theoutnet.com/en-us/shop/product/31-phillip-lim/sandals/flat-sandals/twisted-leather-slides/1647597306533504")</f>
        <v/>
      </c>
      <c r="C24" t="inlineStr">
        <is>
          <t>3.1 PHILLIP LIM</t>
        </is>
      </c>
      <c r="D24" t="inlineStr">
        <is>
          <t>3.1 Phillip Lim Women's Pashli Mini Satchel</t>
        </is>
      </c>
      <c r="E24" s="1">
        <f>HYPERLINK("https://www.amazon.com/3-1-Phillip-Lim-Pashli-Satchel/dp/B01N6MXMXO/ref=sr_1_1?keywords=3.1+PHILLIP+LIM&amp;qid=1695343776&amp;sr=8-1", "https://www.amazon.com/3-1-Phillip-Lim-Pashli-Satchel/dp/B01N6MXMXO/ref=sr_1_1?keywords=3.1+PHILLIP+LIM&amp;qid=1695343776&amp;sr=8-1")</f>
        <v/>
      </c>
      <c r="F24" t="inlineStr">
        <is>
          <t>B01N6MXMXO</t>
        </is>
      </c>
      <c r="G24">
        <f>_xlfn.IMAGE("https://www.theoutnet.com/variants/images/1647597306533504/F/w1020_q80.jpg")</f>
        <v/>
      </c>
      <c r="H24">
        <f>_xlfn.IMAGE("https://m.media-amazon.com/images/I/91GMvxwc7PL._AC_UL320_.jpg")</f>
        <v/>
      </c>
      <c r="K24" t="inlineStr">
        <is>
          <t>198.0</t>
        </is>
      </c>
      <c r="L24" t="n">
        <v>488.85</v>
      </c>
      <c r="M24" s="2" t="inlineStr">
        <is>
          <t>146.89%</t>
        </is>
      </c>
      <c r="N24" t="n">
        <v>4.6</v>
      </c>
      <c r="O24" t="n">
        <v>13</v>
      </c>
      <c r="Q24" t="inlineStr">
        <is>
          <t>InStock</t>
        </is>
      </c>
      <c r="R24" t="inlineStr">
        <is>
          <t>395.0</t>
        </is>
      </c>
      <c r="S24" t="inlineStr">
        <is>
          <t>1</t>
        </is>
      </c>
    </row>
    <row r="25" ht="75" customHeight="1">
      <c r="A25" s="1">
        <f>HYPERLINK("https://www.theoutnet.com/en-us/shop/product/31-phillip-lim/sandals/flat-sandals/twisted-leather-slides/1647597306533504", "https://www.theoutnet.com/en-us/shop/product/31-phillip-lim/sandals/flat-sandals/twisted-leather-slides/1647597306533504")</f>
        <v/>
      </c>
      <c r="B25" s="1">
        <f>HYPERLINK("https://www.theoutnet.com/en-us/shop/product/31-phillip-lim/sandals/flat-sandals/twisted-leather-slides/1647597306533504", "https://www.theoutnet.com/en-us/shop/product/31-phillip-lim/sandals/flat-sandals/twisted-leather-slides/1647597306533504")</f>
        <v/>
      </c>
      <c r="C25" t="inlineStr">
        <is>
          <t>3.1 PHILLIP LIM</t>
        </is>
      </c>
      <c r="D25" t="inlineStr">
        <is>
          <t>3.1 Phillip Lim Pashli Saddle</t>
        </is>
      </c>
      <c r="E25" s="1">
        <f>HYPERLINK("https://www.amazon.com/3-1-Phillip-Lim-Saddle-Bag/dp/B07VHJB9Q3/ref=sr_1_5?keywords=3.1+PHILLIP+LIM&amp;qid=1695343776&amp;sr=8-5", "https://www.amazon.com/3-1-Phillip-Lim-Saddle-Bag/dp/B07VHJB9Q3/ref=sr_1_5?keywords=3.1+PHILLIP+LIM&amp;qid=1695343776&amp;sr=8-5")</f>
        <v/>
      </c>
      <c r="F25" t="inlineStr">
        <is>
          <t>B07VHJB9Q3</t>
        </is>
      </c>
      <c r="G25">
        <f>_xlfn.IMAGE("https://www.theoutnet.com/variants/images/1647597306533504/F/w1020_q80.jpg")</f>
        <v/>
      </c>
      <c r="H25">
        <f>_xlfn.IMAGE("https://m.media-amazon.com/images/I/71iTkkxv-XL._AC_UL320_.jpg")</f>
        <v/>
      </c>
      <c r="K25" t="inlineStr">
        <is>
          <t>198.0</t>
        </is>
      </c>
      <c r="L25" t="n">
        <v>360.34</v>
      </c>
      <c r="M25" s="2" t="inlineStr">
        <is>
          <t>81.99%</t>
        </is>
      </c>
      <c r="N25" t="n">
        <v>5</v>
      </c>
      <c r="O25" t="n">
        <v>3</v>
      </c>
      <c r="Q25" t="inlineStr">
        <is>
          <t>InStock</t>
        </is>
      </c>
      <c r="R25" t="inlineStr">
        <is>
          <t>395.0</t>
        </is>
      </c>
      <c r="S25" t="inlineStr">
        <is>
          <t>1</t>
        </is>
      </c>
    </row>
    <row r="26" ht="75" customHeight="1">
      <c r="A26" s="1">
        <f>HYPERLINK("https://www.theoutnet.com/en-us/shop/product/31-phillip-lim/sandals/flat-sandals/twisted-leather-slides/1647597306539136", "https://www.theoutnet.com/en-us/shop/product/31-phillip-lim/sandals/flat-sandals/twisted-leather-slides/1647597306539136")</f>
        <v/>
      </c>
      <c r="B26" s="1">
        <f>HYPERLINK("https://www.theoutnet.com/en-us/shop/product/31-phillip-lim/sandals/flat-sandals/twisted-leather-slides/1647597306539136", "https://www.theoutnet.com/en-us/shop/product/31-phillip-lim/sandals/flat-sandals/twisted-leather-slides/1647597306539136")</f>
        <v/>
      </c>
      <c r="C26" t="inlineStr">
        <is>
          <t>3.1 PHILLIP LIM</t>
        </is>
      </c>
      <c r="D26" t="inlineStr">
        <is>
          <t>3.1 Phillip Lim Women's Alexa 40mm Boots</t>
        </is>
      </c>
      <c r="E26" s="1">
        <f>HYPERLINK("https://www.amazon.com/3-1-Phillip-Lim-Womens-Medium/dp/B07VKFN4HB/ref=sr_1_2?keywords=3.1+PHILLIP+LIM&amp;qid=1695343694&amp;sr=8-2", "https://www.amazon.com/3-1-Phillip-Lim-Womens-Medium/dp/B07VKFN4HB/ref=sr_1_2?keywords=3.1+PHILLIP+LIM&amp;qid=1695343694&amp;sr=8-2")</f>
        <v/>
      </c>
      <c r="F26" t="inlineStr">
        <is>
          <t>B07VKFN4HB</t>
        </is>
      </c>
      <c r="G26">
        <f>_xlfn.IMAGE("https://www.theoutnet.com/variants/images/1647597306539136/F/w1020_q80.jpg")</f>
        <v/>
      </c>
      <c r="H26">
        <f>_xlfn.IMAGE("https://m.media-amazon.com/images/I/81p7CKQjmpL._AC_UL320_.jpg")</f>
        <v/>
      </c>
      <c r="K26" t="inlineStr">
        <is>
          <t>198.0</t>
        </is>
      </c>
      <c r="L26" t="n">
        <v>525</v>
      </c>
      <c r="M26" s="2" t="inlineStr">
        <is>
          <t>165.15%</t>
        </is>
      </c>
      <c r="N26" t="n">
        <v>4.8</v>
      </c>
      <c r="O26" t="n">
        <v>6</v>
      </c>
      <c r="Q26" t="inlineStr">
        <is>
          <t>InStock</t>
        </is>
      </c>
      <c r="R26" t="inlineStr">
        <is>
          <t>395.0</t>
        </is>
      </c>
      <c r="S26" t="inlineStr">
        <is>
          <t>1</t>
        </is>
      </c>
    </row>
    <row r="27" ht="75" customHeight="1">
      <c r="A27" s="1">
        <f>HYPERLINK("https://www.theoutnet.com/en-us/shop/product/31-phillip-lim/sandals/flat-sandals/twisted-leather-slides/1647597306539136", "https://www.theoutnet.com/en-us/shop/product/31-phillip-lim/sandals/flat-sandals/twisted-leather-slides/1647597306539136")</f>
        <v/>
      </c>
      <c r="B27" s="1">
        <f>HYPERLINK("https://www.theoutnet.com/en-us/shop/product/31-phillip-lim/sandals/flat-sandals/twisted-leather-slides/1647597306539136", "https://www.theoutnet.com/en-us/shop/product/31-phillip-lim/sandals/flat-sandals/twisted-leather-slides/1647597306539136")</f>
        <v/>
      </c>
      <c r="C27" t="inlineStr">
        <is>
          <t>3.1 PHILLIP LIM</t>
        </is>
      </c>
      <c r="D27" t="inlineStr">
        <is>
          <t>3.1 Phillip Lim Women's Pashli Mini Satchel</t>
        </is>
      </c>
      <c r="E27" s="1">
        <f>HYPERLINK("https://www.amazon.com/3-1-Phillip-Lim-Pashli-Satchel/dp/B01N6MXMXO/ref=sr_1_1?keywords=3.1+PHILLIP+LIM&amp;qid=1695343694&amp;sr=8-1", "https://www.amazon.com/3-1-Phillip-Lim-Pashli-Satchel/dp/B01N6MXMXO/ref=sr_1_1?keywords=3.1+PHILLIP+LIM&amp;qid=1695343694&amp;sr=8-1")</f>
        <v/>
      </c>
      <c r="F27" t="inlineStr">
        <is>
          <t>B01N6MXMXO</t>
        </is>
      </c>
      <c r="G27">
        <f>_xlfn.IMAGE("https://www.theoutnet.com/variants/images/1647597306539136/F/w1020_q80.jpg")</f>
        <v/>
      </c>
      <c r="H27">
        <f>_xlfn.IMAGE("https://m.media-amazon.com/images/I/91GMvxwc7PL._AC_UL320_.jpg")</f>
        <v/>
      </c>
      <c r="K27" t="inlineStr">
        <is>
          <t>198.0</t>
        </is>
      </c>
      <c r="L27" t="n">
        <v>488.85</v>
      </c>
      <c r="M27" s="2" t="inlineStr">
        <is>
          <t>146.89%</t>
        </is>
      </c>
      <c r="N27" t="n">
        <v>4.6</v>
      </c>
      <c r="O27" t="n">
        <v>13</v>
      </c>
      <c r="Q27" t="inlineStr">
        <is>
          <t>InStock</t>
        </is>
      </c>
      <c r="R27" t="inlineStr">
        <is>
          <t>395.0</t>
        </is>
      </c>
      <c r="S27" t="inlineStr">
        <is>
          <t>1</t>
        </is>
      </c>
    </row>
    <row r="28" ht="75" customHeight="1">
      <c r="A28" s="1">
        <f>HYPERLINK("https://www.theoutnet.com/en-us/shop/product/31-phillip-lim/sandals/flat-sandals/twisted-leather-slides/1647597306539136", "https://www.theoutnet.com/en-us/shop/product/31-phillip-lim/sandals/flat-sandals/twisted-leather-slides/1647597306539136")</f>
        <v/>
      </c>
      <c r="B28" s="1">
        <f>HYPERLINK("https://www.theoutnet.com/en-us/shop/product/31-phillip-lim/sandals/flat-sandals/twisted-leather-slides/1647597306539136", "https://www.theoutnet.com/en-us/shop/product/31-phillip-lim/sandals/flat-sandals/twisted-leather-slides/1647597306539136")</f>
        <v/>
      </c>
      <c r="C28" t="inlineStr">
        <is>
          <t>3.1 PHILLIP LIM</t>
        </is>
      </c>
      <c r="D28" t="inlineStr">
        <is>
          <t>3.1 Phillip Lim Pashli Saddle</t>
        </is>
      </c>
      <c r="E28" s="1">
        <f>HYPERLINK("https://www.amazon.com/3-1-Phillip-Lim-Saddle-Bag/dp/B07VHJB9Q3/ref=sr_1_6?keywords=3.1+PHILLIP+LIM&amp;qid=1695343694&amp;sr=8-6", "https://www.amazon.com/3-1-Phillip-Lim-Saddle-Bag/dp/B07VHJB9Q3/ref=sr_1_6?keywords=3.1+PHILLIP+LIM&amp;qid=1695343694&amp;sr=8-6")</f>
        <v/>
      </c>
      <c r="F28" t="inlineStr">
        <is>
          <t>B07VHJB9Q3</t>
        </is>
      </c>
      <c r="G28">
        <f>_xlfn.IMAGE("https://www.theoutnet.com/variants/images/1647597306539136/F/w1020_q80.jpg")</f>
        <v/>
      </c>
      <c r="H28">
        <f>_xlfn.IMAGE("https://m.media-amazon.com/images/I/71iTkkxv-XL._AC_UL320_.jpg")</f>
        <v/>
      </c>
      <c r="K28" t="inlineStr">
        <is>
          <t>198.0</t>
        </is>
      </c>
      <c r="L28" t="n">
        <v>360.34</v>
      </c>
      <c r="M28" s="2" t="inlineStr">
        <is>
          <t>81.99%</t>
        </is>
      </c>
      <c r="N28" t="n">
        <v>5</v>
      </c>
      <c r="O28" t="n">
        <v>3</v>
      </c>
      <c r="Q28" t="inlineStr">
        <is>
          <t>InStock</t>
        </is>
      </c>
      <c r="R28" t="inlineStr">
        <is>
          <t>395.0</t>
        </is>
      </c>
      <c r="S28" t="inlineStr">
        <is>
          <t>1</t>
        </is>
      </c>
    </row>
    <row r="29" ht="75" customHeight="1">
      <c r="A29" s="1">
        <f>HYPERLINK("https://www.theoutnet.com/en-us/shop/product/31-phillip-lim/sandals/mid-heel-sandals/laura-60-leather-wedge-sandals/1647597286970726", "https://www.theoutnet.com/en-us/shop/product/31-phillip-lim/sandals/mid-heel-sandals/laura-60-leather-wedge-sandals/1647597286970726")</f>
        <v/>
      </c>
      <c r="B29" s="1">
        <f>HYPERLINK("https://www.theoutnet.com/en-us/shop/product/31-phillip-lim/sandals/mid-heel-sandals/laura-60-leather-wedge-sandals/1647597286970726", "https://www.theoutnet.com/en-us/shop/product/31-phillip-lim/sandals/mid-heel-sandals/laura-60-leather-wedge-sandals/1647597286970726")</f>
        <v/>
      </c>
      <c r="C29" t="inlineStr">
        <is>
          <t>3.1 PHILLIP LIM</t>
        </is>
      </c>
      <c r="D29" t="inlineStr">
        <is>
          <t>3.1 Phillip Lim Women's Alexa 40mm Boots</t>
        </is>
      </c>
      <c r="E29" s="1">
        <f>HYPERLINK("https://www.amazon.com/3-1-Phillip-Lim-Womens-Medium/dp/B07VKFN4HB/ref=sr_1_2?keywords=3.1+PHILLIP+LIM&amp;qid=1695343234&amp;sr=8-2", "https://www.amazon.com/3-1-Phillip-Lim-Womens-Medium/dp/B07VKFN4HB/ref=sr_1_2?keywords=3.1+PHILLIP+LIM&amp;qid=1695343234&amp;sr=8-2")</f>
        <v/>
      </c>
      <c r="F29" t="inlineStr">
        <is>
          <t>B07VKFN4HB</t>
        </is>
      </c>
      <c r="G29">
        <f>_xlfn.IMAGE("https://www.theoutnet.com/variants/images/1647597286970726/F/w1020_q80.jpg")</f>
        <v/>
      </c>
      <c r="H29">
        <f>_xlfn.IMAGE("https://m.media-amazon.com/images/I/81p7CKQjmpL._AC_UL320_.jpg")</f>
        <v/>
      </c>
      <c r="K29" t="inlineStr">
        <is>
          <t>149.0</t>
        </is>
      </c>
      <c r="L29" t="n">
        <v>525</v>
      </c>
      <c r="M29" s="2" t="inlineStr">
        <is>
          <t>252.35%</t>
        </is>
      </c>
      <c r="N29" t="n">
        <v>4.8</v>
      </c>
      <c r="O29" t="n">
        <v>6</v>
      </c>
      <c r="Q29" t="inlineStr">
        <is>
          <t>InStock</t>
        </is>
      </c>
      <c r="R29" t="inlineStr">
        <is>
          <t>495.0</t>
        </is>
      </c>
      <c r="S29" t="inlineStr">
        <is>
          <t>1</t>
        </is>
      </c>
    </row>
    <row r="30" ht="75" customHeight="1">
      <c r="A30" s="1">
        <f>HYPERLINK("https://www.theoutnet.com/en-us/shop/product/31-phillip-lim/sandals/mid-heel-sandals/laura-60-leather-wedge-sandals/1647597286970726", "https://www.theoutnet.com/en-us/shop/product/31-phillip-lim/sandals/mid-heel-sandals/laura-60-leather-wedge-sandals/1647597286970726")</f>
        <v/>
      </c>
      <c r="B30" s="1">
        <f>HYPERLINK("https://www.theoutnet.com/en-us/shop/product/31-phillip-lim/sandals/mid-heel-sandals/laura-60-leather-wedge-sandals/1647597286970726", "https://www.theoutnet.com/en-us/shop/product/31-phillip-lim/sandals/mid-heel-sandals/laura-60-leather-wedge-sandals/1647597286970726")</f>
        <v/>
      </c>
      <c r="C30" t="inlineStr">
        <is>
          <t>3.1 PHILLIP LIM</t>
        </is>
      </c>
      <c r="D30" t="inlineStr">
        <is>
          <t>3.1 Phillip Lim Women's Pashli Mini Satchel</t>
        </is>
      </c>
      <c r="E30" s="1">
        <f>HYPERLINK("https://www.amazon.com/3-1-Phillip-Lim-Pashli-Satchel/dp/B01N6MXMXO/ref=sr_1_1?keywords=3.1+PHILLIP+LIM&amp;qid=1695343234&amp;sr=8-1", "https://www.amazon.com/3-1-Phillip-Lim-Pashli-Satchel/dp/B01N6MXMXO/ref=sr_1_1?keywords=3.1+PHILLIP+LIM&amp;qid=1695343234&amp;sr=8-1")</f>
        <v/>
      </c>
      <c r="F30" t="inlineStr">
        <is>
          <t>B01N6MXMXO</t>
        </is>
      </c>
      <c r="G30">
        <f>_xlfn.IMAGE("https://www.theoutnet.com/variants/images/1647597286970726/F/w1020_q80.jpg")</f>
        <v/>
      </c>
      <c r="H30">
        <f>_xlfn.IMAGE("https://m.media-amazon.com/images/I/91GMvxwc7PL._AC_UL320_.jpg")</f>
        <v/>
      </c>
      <c r="K30" t="inlineStr">
        <is>
          <t>149.0</t>
        </is>
      </c>
      <c r="L30" t="n">
        <v>488.85</v>
      </c>
      <c r="M30" s="2" t="inlineStr">
        <is>
          <t>228.09%</t>
        </is>
      </c>
      <c r="N30" t="n">
        <v>4.6</v>
      </c>
      <c r="O30" t="n">
        <v>13</v>
      </c>
      <c r="Q30" t="inlineStr">
        <is>
          <t>InStock</t>
        </is>
      </c>
      <c r="R30" t="inlineStr">
        <is>
          <t>495.0</t>
        </is>
      </c>
      <c r="S30" t="inlineStr">
        <is>
          <t>1</t>
        </is>
      </c>
    </row>
    <row r="31" ht="75" customHeight="1">
      <c r="A31" s="1">
        <f>HYPERLINK("https://www.theoutnet.com/en-us/shop/product/31-phillip-lim/sandals/mid-heel-sandals/laura-60-leather-wedge-sandals/1647597286970726", "https://www.theoutnet.com/en-us/shop/product/31-phillip-lim/sandals/mid-heel-sandals/laura-60-leather-wedge-sandals/1647597286970726")</f>
        <v/>
      </c>
      <c r="B31" s="1">
        <f>HYPERLINK("https://www.theoutnet.com/en-us/shop/product/31-phillip-lim/sandals/mid-heel-sandals/laura-60-leather-wedge-sandals/1647597286970726", "https://www.theoutnet.com/en-us/shop/product/31-phillip-lim/sandals/mid-heel-sandals/laura-60-leather-wedge-sandals/1647597286970726")</f>
        <v/>
      </c>
      <c r="C31" t="inlineStr">
        <is>
          <t>3.1 PHILLIP LIM</t>
        </is>
      </c>
      <c r="D31" t="inlineStr">
        <is>
          <t>3.1 Phillip Lim Pashli Saddle</t>
        </is>
      </c>
      <c r="E31" s="1">
        <f>HYPERLINK("https://www.amazon.com/3-1-Phillip-Lim-Saddle-Bag/dp/B07VHJB9Q3/ref=sr_1_5?keywords=3.1+PHILLIP+LIM&amp;qid=1695343234&amp;sr=8-5", "https://www.amazon.com/3-1-Phillip-Lim-Saddle-Bag/dp/B07VHJB9Q3/ref=sr_1_5?keywords=3.1+PHILLIP+LIM&amp;qid=1695343234&amp;sr=8-5")</f>
        <v/>
      </c>
      <c r="F31" t="inlineStr">
        <is>
          <t>B07VHJB9Q3</t>
        </is>
      </c>
      <c r="G31">
        <f>_xlfn.IMAGE("https://www.theoutnet.com/variants/images/1647597286970726/F/w1020_q80.jpg")</f>
        <v/>
      </c>
      <c r="H31">
        <f>_xlfn.IMAGE("https://m.media-amazon.com/images/I/71iTkkxv-XL._AC_UL320_.jpg")</f>
        <v/>
      </c>
      <c r="K31" t="inlineStr">
        <is>
          <t>149.0</t>
        </is>
      </c>
      <c r="L31" t="n">
        <v>360.34</v>
      </c>
      <c r="M31" s="2" t="inlineStr">
        <is>
          <t>141.84%</t>
        </is>
      </c>
      <c r="N31" t="n">
        <v>5</v>
      </c>
      <c r="O31" t="n">
        <v>3</v>
      </c>
      <c r="Q31" t="inlineStr">
        <is>
          <t>InStock</t>
        </is>
      </c>
      <c r="R31" t="inlineStr">
        <is>
          <t>495.0</t>
        </is>
      </c>
      <c r="S31" t="inlineStr">
        <is>
          <t>1</t>
        </is>
      </c>
    </row>
    <row r="32" ht="75" customHeight="1">
      <c r="A32" s="1">
        <f>HYPERLINK("https://www.theoutnet.com/en-us/shop/product/31-phillip-lim/sandals/mid-heel-sandals/laura-60-leather-wedge-sandals/1647597286970726", "https://www.theoutnet.com/en-us/shop/product/31-phillip-lim/sandals/mid-heel-sandals/laura-60-leather-wedge-sandals/1647597286970726")</f>
        <v/>
      </c>
      <c r="B32" s="1">
        <f>HYPERLINK("https://www.theoutnet.com/en-us/shop/product/31-phillip-lim/sandals/mid-heel-sandals/laura-60-leather-wedge-sandals/1647597286970726", "https://www.theoutnet.com/en-us/shop/product/31-phillip-lim/sandals/mid-heel-sandals/laura-60-leather-wedge-sandals/1647597286970726")</f>
        <v/>
      </c>
      <c r="C32" t="inlineStr">
        <is>
          <t>3.1 PHILLIP LIM</t>
        </is>
      </c>
      <c r="D32" t="inlineStr">
        <is>
          <t>3.1 Phillip Lim Women's Alexa 40mm Boots</t>
        </is>
      </c>
      <c r="E32" s="1">
        <f>HYPERLINK("https://www.amazon.com/3-1-Phillip-Lim-Womens-Medium/dp/B07VKFN4HB/ref=sr_1_2?keywords=3.1+PHILLIP+LIM&amp;qid=1695343633&amp;sr=8-2", "https://www.amazon.com/3-1-Phillip-Lim-Womens-Medium/dp/B07VKFN4HB/ref=sr_1_2?keywords=3.1+PHILLIP+LIM&amp;qid=1695343633&amp;sr=8-2")</f>
        <v/>
      </c>
      <c r="F32" t="inlineStr">
        <is>
          <t>B07VKFN4HB</t>
        </is>
      </c>
      <c r="G32">
        <f>_xlfn.IMAGE("https://www.theoutnet.com/variants/images/1647597286970726/F/w1020_q80.jpg")</f>
        <v/>
      </c>
      <c r="H32">
        <f>_xlfn.IMAGE("https://m.media-amazon.com/images/I/81p7CKQjmpL._AC_UL320_.jpg")</f>
        <v/>
      </c>
      <c r="K32" t="inlineStr">
        <is>
          <t>149.0</t>
        </is>
      </c>
      <c r="L32" t="n">
        <v>525</v>
      </c>
      <c r="M32" s="2" t="inlineStr">
        <is>
          <t>252.35%</t>
        </is>
      </c>
      <c r="N32" t="n">
        <v>4.8</v>
      </c>
      <c r="O32" t="n">
        <v>6</v>
      </c>
      <c r="Q32" t="inlineStr">
        <is>
          <t>InStock</t>
        </is>
      </c>
      <c r="R32" t="inlineStr">
        <is>
          <t>495.0</t>
        </is>
      </c>
      <c r="S32" t="inlineStr">
        <is>
          <t>1</t>
        </is>
      </c>
    </row>
    <row r="33" ht="75" customHeight="1">
      <c r="A33" s="1">
        <f>HYPERLINK("https://www.theoutnet.com/en-us/shop/product/31-phillip-lim/sandals/mid-heel-sandals/laura-60-leather-wedge-sandals/1647597286970726", "https://www.theoutnet.com/en-us/shop/product/31-phillip-lim/sandals/mid-heel-sandals/laura-60-leather-wedge-sandals/1647597286970726")</f>
        <v/>
      </c>
      <c r="B33" s="1">
        <f>HYPERLINK("https://www.theoutnet.com/en-us/shop/product/31-phillip-lim/sandals/mid-heel-sandals/laura-60-leather-wedge-sandals/1647597286970726", "https://www.theoutnet.com/en-us/shop/product/31-phillip-lim/sandals/mid-heel-sandals/laura-60-leather-wedge-sandals/1647597286970726")</f>
        <v/>
      </c>
      <c r="C33" t="inlineStr">
        <is>
          <t>3.1 PHILLIP LIM</t>
        </is>
      </c>
      <c r="D33" t="inlineStr">
        <is>
          <t>3.1 Phillip Lim Women's Pashli Mini Satchel</t>
        </is>
      </c>
      <c r="E33" s="1">
        <f>HYPERLINK("https://www.amazon.com/3-1-Phillip-Lim-Pashli-Satchel/dp/B01N6MXMXO/ref=sr_1_1?keywords=3.1+PHILLIP+LIM&amp;qid=1695343633&amp;sr=8-1", "https://www.amazon.com/3-1-Phillip-Lim-Pashli-Satchel/dp/B01N6MXMXO/ref=sr_1_1?keywords=3.1+PHILLIP+LIM&amp;qid=1695343633&amp;sr=8-1")</f>
        <v/>
      </c>
      <c r="F33" t="inlineStr">
        <is>
          <t>B01N6MXMXO</t>
        </is>
      </c>
      <c r="G33">
        <f>_xlfn.IMAGE("https://www.theoutnet.com/variants/images/1647597286970726/F/w1020_q80.jpg")</f>
        <v/>
      </c>
      <c r="H33">
        <f>_xlfn.IMAGE("https://m.media-amazon.com/images/I/91GMvxwc7PL._AC_UL320_.jpg")</f>
        <v/>
      </c>
      <c r="K33" t="inlineStr">
        <is>
          <t>149.0</t>
        </is>
      </c>
      <c r="L33" t="n">
        <v>488.85</v>
      </c>
      <c r="M33" s="2" t="inlineStr">
        <is>
          <t>228.09%</t>
        </is>
      </c>
      <c r="N33" t="n">
        <v>4.6</v>
      </c>
      <c r="O33" t="n">
        <v>13</v>
      </c>
      <c r="Q33" t="inlineStr">
        <is>
          <t>InStock</t>
        </is>
      </c>
      <c r="R33" t="inlineStr">
        <is>
          <t>495.0</t>
        </is>
      </c>
      <c r="S33" t="inlineStr">
        <is>
          <t>1</t>
        </is>
      </c>
    </row>
    <row r="34" ht="75" customHeight="1">
      <c r="A34" s="1">
        <f>HYPERLINK("https://www.theoutnet.com/en-us/shop/product/31-phillip-lim/sandals/mid-heel-sandals/laura-60-leather-wedge-sandals/1647597286970726", "https://www.theoutnet.com/en-us/shop/product/31-phillip-lim/sandals/mid-heel-sandals/laura-60-leather-wedge-sandals/1647597286970726")</f>
        <v/>
      </c>
      <c r="B34" s="1">
        <f>HYPERLINK("https://www.theoutnet.com/en-us/shop/product/31-phillip-lim/sandals/mid-heel-sandals/laura-60-leather-wedge-sandals/1647597286970726", "https://www.theoutnet.com/en-us/shop/product/31-phillip-lim/sandals/mid-heel-sandals/laura-60-leather-wedge-sandals/1647597286970726")</f>
        <v/>
      </c>
      <c r="C34" t="inlineStr">
        <is>
          <t>3.1 PHILLIP LIM</t>
        </is>
      </c>
      <c r="D34" t="inlineStr">
        <is>
          <t>3.1 Phillip Lim Pashli Saddle</t>
        </is>
      </c>
      <c r="E34" s="1">
        <f>HYPERLINK("https://www.amazon.com/3-1-Phillip-Lim-Saddle-Bag/dp/B07VHJB9Q3/ref=sr_1_5?keywords=3.1+PHILLIP+LIM&amp;qid=1695343633&amp;sr=8-5", "https://www.amazon.com/3-1-Phillip-Lim-Saddle-Bag/dp/B07VHJB9Q3/ref=sr_1_5?keywords=3.1+PHILLIP+LIM&amp;qid=1695343633&amp;sr=8-5")</f>
        <v/>
      </c>
      <c r="F34" t="inlineStr">
        <is>
          <t>B07VHJB9Q3</t>
        </is>
      </c>
      <c r="G34">
        <f>_xlfn.IMAGE("https://www.theoutnet.com/variants/images/1647597286970726/F/w1020_q80.jpg")</f>
        <v/>
      </c>
      <c r="H34">
        <f>_xlfn.IMAGE("https://m.media-amazon.com/images/I/71iTkkxv-XL._AC_UL320_.jpg")</f>
        <v/>
      </c>
      <c r="K34" t="inlineStr">
        <is>
          <t>149.0</t>
        </is>
      </c>
      <c r="L34" t="n">
        <v>360.34</v>
      </c>
      <c r="M34" s="2" t="inlineStr">
        <is>
          <t>141.84%</t>
        </is>
      </c>
      <c r="N34" t="n">
        <v>5</v>
      </c>
      <c r="O34" t="n">
        <v>3</v>
      </c>
      <c r="Q34" t="inlineStr">
        <is>
          <t>InStock</t>
        </is>
      </c>
      <c r="R34" t="inlineStr">
        <is>
          <t>495.0</t>
        </is>
      </c>
      <c r="S34" t="inlineStr">
        <is>
          <t>1</t>
        </is>
      </c>
    </row>
    <row r="35" ht="75" customHeight="1">
      <c r="A35" s="1">
        <f>HYPERLINK("https://www.theoutnet.com/en-us/shop/product/31-phillip-lim/sandals/mid-heel-sandals/leather-sandals/1647597325781154", "https://www.theoutnet.com/en-us/shop/product/31-phillip-lim/sandals/mid-heel-sandals/leather-sandals/1647597325781154")</f>
        <v/>
      </c>
      <c r="B35" s="1">
        <f>HYPERLINK("https://www.theoutnet.com/en-us/shop/product/31-phillip-lim/sandals/mid-heel-sandals/leather-sandals/1647597325781154", "https://www.theoutnet.com/en-us/shop/product/31-phillip-lim/sandals/mid-heel-sandals/leather-sandals/1647597325781154")</f>
        <v/>
      </c>
      <c r="C35" t="inlineStr">
        <is>
          <t>3.1 PHILLIP LIM</t>
        </is>
      </c>
      <c r="D35" t="inlineStr">
        <is>
          <t>3.1 Phillip Lim Women's Alexa 40mm Boots</t>
        </is>
      </c>
      <c r="E35" s="1">
        <f>HYPERLINK("https://www.amazon.com/3-1-Phillip-Lim-Womens-Medium/dp/B07VKFN4HB/ref=sr_1_4?keywords=3.1+PHILLIP+LIM&amp;qid=1695343792&amp;sr=8-4", "https://www.amazon.com/3-1-Phillip-Lim-Womens-Medium/dp/B07VKFN4HB/ref=sr_1_4?keywords=3.1+PHILLIP+LIM&amp;qid=1695343792&amp;sr=8-4")</f>
        <v/>
      </c>
      <c r="F35" t="inlineStr">
        <is>
          <t>B07VKFN4HB</t>
        </is>
      </c>
      <c r="G35">
        <f>_xlfn.IMAGE("https://www.theoutnet.com/variants/images/1647597325781154/F/w1020_q80.jpg")</f>
        <v/>
      </c>
      <c r="H35">
        <f>_xlfn.IMAGE("https://m.media-amazon.com/images/I/81p7CKQjmpL._AC_UL320_.jpg")</f>
        <v/>
      </c>
      <c r="K35" t="inlineStr">
        <is>
          <t>248.0</t>
        </is>
      </c>
      <c r="L35" t="n">
        <v>525</v>
      </c>
      <c r="M35" s="2" t="inlineStr">
        <is>
          <t>111.69%</t>
        </is>
      </c>
      <c r="N35" t="n">
        <v>4.8</v>
      </c>
      <c r="O35" t="n">
        <v>6</v>
      </c>
      <c r="Q35" t="inlineStr">
        <is>
          <t>InStock</t>
        </is>
      </c>
      <c r="R35" t="inlineStr">
        <is>
          <t>550.0</t>
        </is>
      </c>
      <c r="S35" t="inlineStr">
        <is>
          <t>1</t>
        </is>
      </c>
    </row>
    <row r="36" ht="75" customHeight="1">
      <c r="A36" s="1">
        <f>HYPERLINK("https://www.theoutnet.com/en-us/shop/product/31-phillip-lim/sandals/mid-heel-sandals/leather-sandals/1647597325781154", "https://www.theoutnet.com/en-us/shop/product/31-phillip-lim/sandals/mid-heel-sandals/leather-sandals/1647597325781154")</f>
        <v/>
      </c>
      <c r="B36" s="1">
        <f>HYPERLINK("https://www.theoutnet.com/en-us/shop/product/31-phillip-lim/sandals/mid-heel-sandals/leather-sandals/1647597325781154", "https://www.theoutnet.com/en-us/shop/product/31-phillip-lim/sandals/mid-heel-sandals/leather-sandals/1647597325781154")</f>
        <v/>
      </c>
      <c r="C36" t="inlineStr">
        <is>
          <t>3.1 PHILLIP LIM</t>
        </is>
      </c>
      <c r="D36" t="inlineStr">
        <is>
          <t>3.1 Phillip Lim Women's Pashli Mini Satchel</t>
        </is>
      </c>
      <c r="E36" s="1">
        <f>HYPERLINK("https://www.amazon.com/3-1-Phillip-Lim-Pashli-Satchel/dp/B01N6MXMXO/ref=sr_1_3?keywords=3.1+PHILLIP+LIM&amp;qid=1695343792&amp;sr=8-3", "https://www.amazon.com/3-1-Phillip-Lim-Pashli-Satchel/dp/B01N6MXMXO/ref=sr_1_3?keywords=3.1+PHILLIP+LIM&amp;qid=1695343792&amp;sr=8-3")</f>
        <v/>
      </c>
      <c r="F36" t="inlineStr">
        <is>
          <t>B01N6MXMXO</t>
        </is>
      </c>
      <c r="G36">
        <f>_xlfn.IMAGE("https://www.theoutnet.com/variants/images/1647597325781154/F/w1020_q80.jpg")</f>
        <v/>
      </c>
      <c r="H36">
        <f>_xlfn.IMAGE("https://m.media-amazon.com/images/I/91GMvxwc7PL._AC_UL320_.jpg")</f>
        <v/>
      </c>
      <c r="K36" t="inlineStr">
        <is>
          <t>248.0</t>
        </is>
      </c>
      <c r="L36" t="n">
        <v>488.85</v>
      </c>
      <c r="M36" s="2" t="inlineStr">
        <is>
          <t>97.12%</t>
        </is>
      </c>
      <c r="N36" t="n">
        <v>4.6</v>
      </c>
      <c r="O36" t="n">
        <v>13</v>
      </c>
      <c r="Q36" t="inlineStr">
        <is>
          <t>InStock</t>
        </is>
      </c>
      <c r="R36" t="inlineStr">
        <is>
          <t>550.0</t>
        </is>
      </c>
      <c r="S36" t="inlineStr">
        <is>
          <t>1</t>
        </is>
      </c>
    </row>
    <row r="37" ht="75" customHeight="1">
      <c r="A37" s="1">
        <f>HYPERLINK("https://www.theoutnet.com/en-us/shop/product/31-phillip-lim/sandals/mid-heel-sandals/twisted-leather-sandals/1647597318477386", "https://www.theoutnet.com/en-us/shop/product/31-phillip-lim/sandals/mid-heel-sandals/twisted-leather-sandals/1647597318477386")</f>
        <v/>
      </c>
      <c r="B37" s="1">
        <f>HYPERLINK("https://www.theoutnet.com/en-us/shop/product/31-phillip-lim/sandals/mid-heel-sandals/twisted-leather-sandals/1647597318477386", "https://www.theoutnet.com/en-us/shop/product/31-phillip-lim/sandals/mid-heel-sandals/twisted-leather-sandals/1647597318477386")</f>
        <v/>
      </c>
      <c r="C37" t="inlineStr">
        <is>
          <t>3.1 PHILLIP LIM</t>
        </is>
      </c>
      <c r="D37" t="inlineStr">
        <is>
          <t>3.1 Phillip Lim Women's Alexa 40mm Boots</t>
        </is>
      </c>
      <c r="E37" s="1">
        <f>HYPERLINK("https://www.amazon.com/3-1-Phillip-Lim-Womens-Medium/dp/B07VKFN4HB/ref=sr_1_2?keywords=3.1+PHILLIP+LIM&amp;qid=1695343659&amp;sr=8-2", "https://www.amazon.com/3-1-Phillip-Lim-Womens-Medium/dp/B07VKFN4HB/ref=sr_1_2?keywords=3.1+PHILLIP+LIM&amp;qid=1695343659&amp;sr=8-2")</f>
        <v/>
      </c>
      <c r="F37" t="inlineStr">
        <is>
          <t>B07VKFN4HB</t>
        </is>
      </c>
      <c r="G37">
        <f>_xlfn.IMAGE("https://www.theoutnet.com/variants/images/1647597318477386/F/w1020_q80.jpg")</f>
        <v/>
      </c>
      <c r="H37">
        <f>_xlfn.IMAGE("https://m.media-amazon.com/images/I/81p7CKQjmpL._AC_UL320_.jpg")</f>
        <v/>
      </c>
      <c r="K37" t="inlineStr">
        <is>
          <t>178.0</t>
        </is>
      </c>
      <c r="L37" t="n">
        <v>525</v>
      </c>
      <c r="M37" s="2" t="inlineStr">
        <is>
          <t>194.94%</t>
        </is>
      </c>
      <c r="N37" t="n">
        <v>4.8</v>
      </c>
      <c r="O37" t="n">
        <v>6</v>
      </c>
      <c r="Q37" t="inlineStr">
        <is>
          <t>InStock</t>
        </is>
      </c>
      <c r="R37" t="inlineStr">
        <is>
          <t>395.0</t>
        </is>
      </c>
      <c r="S37" t="inlineStr">
        <is>
          <t>1647597318477386</t>
        </is>
      </c>
    </row>
    <row r="38" ht="75" customHeight="1">
      <c r="A38" s="1">
        <f>HYPERLINK("https://www.theoutnet.com/en-us/shop/product/31-phillip-lim/sandals/mid-heel-sandals/twisted-leather-sandals/1647597318477386", "https://www.theoutnet.com/en-us/shop/product/31-phillip-lim/sandals/mid-heel-sandals/twisted-leather-sandals/1647597318477386")</f>
        <v/>
      </c>
      <c r="B38" s="1">
        <f>HYPERLINK("https://www.theoutnet.com/en-us/shop/product/31-phillip-lim/sandals/mid-heel-sandals/twisted-leather-sandals/1647597318477386", "https://www.theoutnet.com/en-us/shop/product/31-phillip-lim/sandals/mid-heel-sandals/twisted-leather-sandals/1647597318477386")</f>
        <v/>
      </c>
      <c r="C38" t="inlineStr">
        <is>
          <t>3.1 PHILLIP LIM</t>
        </is>
      </c>
      <c r="D38" t="inlineStr">
        <is>
          <t>3.1 Phillip Lim Women's Pashli Mini Satchel</t>
        </is>
      </c>
      <c r="E38" s="1">
        <f>HYPERLINK("https://www.amazon.com/3-1-Phillip-Lim-Pashli-Satchel/dp/B01N6MXMXO/ref=sr_1_1?keywords=3.1+PHILLIP+LIM&amp;qid=1695343659&amp;sr=8-1", "https://www.amazon.com/3-1-Phillip-Lim-Pashli-Satchel/dp/B01N6MXMXO/ref=sr_1_1?keywords=3.1+PHILLIP+LIM&amp;qid=1695343659&amp;sr=8-1")</f>
        <v/>
      </c>
      <c r="F38" t="inlineStr">
        <is>
          <t>B01N6MXMXO</t>
        </is>
      </c>
      <c r="G38">
        <f>_xlfn.IMAGE("https://www.theoutnet.com/variants/images/1647597318477386/F/w1020_q80.jpg")</f>
        <v/>
      </c>
      <c r="H38">
        <f>_xlfn.IMAGE("https://m.media-amazon.com/images/I/91GMvxwc7PL._AC_UL320_.jpg")</f>
        <v/>
      </c>
      <c r="K38" t="inlineStr">
        <is>
          <t>178.0</t>
        </is>
      </c>
      <c r="L38" t="n">
        <v>488.85</v>
      </c>
      <c r="M38" s="2" t="inlineStr">
        <is>
          <t>174.63%</t>
        </is>
      </c>
      <c r="N38" t="n">
        <v>4.6</v>
      </c>
      <c r="O38" t="n">
        <v>13</v>
      </c>
      <c r="Q38" t="inlineStr">
        <is>
          <t>InStock</t>
        </is>
      </c>
      <c r="R38" t="inlineStr">
        <is>
          <t>395.0</t>
        </is>
      </c>
      <c r="S38" t="inlineStr">
        <is>
          <t>1647597318477386</t>
        </is>
      </c>
    </row>
    <row r="39" ht="75" customHeight="1">
      <c r="A39" s="1">
        <f>HYPERLINK("https://www.theoutnet.com/en-us/shop/product/31-phillip-lim/sandals/mid-heel-sandals/twisted-leather-sandals/1647597318477386", "https://www.theoutnet.com/en-us/shop/product/31-phillip-lim/sandals/mid-heel-sandals/twisted-leather-sandals/1647597318477386")</f>
        <v/>
      </c>
      <c r="B39" s="1">
        <f>HYPERLINK("https://www.theoutnet.com/en-us/shop/product/31-phillip-lim/sandals/mid-heel-sandals/twisted-leather-sandals/1647597318477386", "https://www.theoutnet.com/en-us/shop/product/31-phillip-lim/sandals/mid-heel-sandals/twisted-leather-sandals/1647597318477386")</f>
        <v/>
      </c>
      <c r="C39" t="inlineStr">
        <is>
          <t>3.1 PHILLIP LIM</t>
        </is>
      </c>
      <c r="D39" t="inlineStr">
        <is>
          <t>3.1 Phillip Lim Pashli Saddle</t>
        </is>
      </c>
      <c r="E39" s="1">
        <f>HYPERLINK("https://www.amazon.com/3-1-Phillip-Lim-Saddle-Bag/dp/B07VHJB9Q3/ref=sr_1_6?keywords=3.1+PHILLIP+LIM&amp;qid=1695343659&amp;sr=8-6", "https://www.amazon.com/3-1-Phillip-Lim-Saddle-Bag/dp/B07VHJB9Q3/ref=sr_1_6?keywords=3.1+PHILLIP+LIM&amp;qid=1695343659&amp;sr=8-6")</f>
        <v/>
      </c>
      <c r="F39" t="inlineStr">
        <is>
          <t>B07VHJB9Q3</t>
        </is>
      </c>
      <c r="G39">
        <f>_xlfn.IMAGE("https://www.theoutnet.com/variants/images/1647597318477386/F/w1020_q80.jpg")</f>
        <v/>
      </c>
      <c r="H39">
        <f>_xlfn.IMAGE("https://m.media-amazon.com/images/I/71iTkkxv-XL._AC_UL320_.jpg")</f>
        <v/>
      </c>
      <c r="K39" t="inlineStr">
        <is>
          <t>178.0</t>
        </is>
      </c>
      <c r="L39" t="n">
        <v>360.34</v>
      </c>
      <c r="M39" s="2" t="inlineStr">
        <is>
          <t>102.44%</t>
        </is>
      </c>
      <c r="N39" t="n">
        <v>5</v>
      </c>
      <c r="O39" t="n">
        <v>3</v>
      </c>
      <c r="Q39" t="inlineStr">
        <is>
          <t>InStock</t>
        </is>
      </c>
      <c r="R39" t="inlineStr">
        <is>
          <t>395.0</t>
        </is>
      </c>
      <c r="S39" t="inlineStr">
        <is>
          <t>1647597318477386</t>
        </is>
      </c>
    </row>
    <row r="40" ht="75" customHeight="1">
      <c r="A40" s="1">
        <f>HYPERLINK("https://www.theoutnet.com/en-us/shop/product/31-phillip-lim/sandals/mid-heel-sandals/verona-60-leather-slingback-sandals/1647597318790404", "https://www.theoutnet.com/en-us/shop/product/31-phillip-lim/sandals/mid-heel-sandals/verona-60-leather-slingback-sandals/1647597318790404")</f>
        <v/>
      </c>
      <c r="B40" s="1">
        <f>HYPERLINK("https://www.theoutnet.com/en-us/shop/product/31-phillip-lim/sandals/mid-heel-sandals/verona-60-leather-slingback-sandals/1647597318790404", "https://www.theoutnet.com/en-us/shop/product/31-phillip-lim/sandals/mid-heel-sandals/verona-60-leather-slingback-sandals/1647597318790404")</f>
        <v/>
      </c>
      <c r="C40" t="inlineStr">
        <is>
          <t>3.1 PHILLIP LIM</t>
        </is>
      </c>
      <c r="D40" t="inlineStr">
        <is>
          <t>3.1 Phillip Lim Women's Alexa 40mm Boots</t>
        </is>
      </c>
      <c r="E40" s="1">
        <f>HYPERLINK("https://www.amazon.com/3-1-Phillip-Lim-Womens-Medium/dp/B07VKFN4HB/ref=sr_1_2?keywords=3.1+PHILLIP+LIM&amp;qid=1695343700&amp;sr=8-2", "https://www.amazon.com/3-1-Phillip-Lim-Womens-Medium/dp/B07VKFN4HB/ref=sr_1_2?keywords=3.1+PHILLIP+LIM&amp;qid=1695343700&amp;sr=8-2")</f>
        <v/>
      </c>
      <c r="F40" t="inlineStr">
        <is>
          <t>B07VKFN4HB</t>
        </is>
      </c>
      <c r="G40">
        <f>_xlfn.IMAGE("https://www.theoutnet.com/variants/images/1647597318790404/F/w1020_q80.jpg")</f>
        <v/>
      </c>
      <c r="H40">
        <f>_xlfn.IMAGE("https://m.media-amazon.com/images/I/81p7CKQjmpL._AC_UL320_.jpg")</f>
        <v/>
      </c>
      <c r="K40" t="inlineStr">
        <is>
          <t>203.0</t>
        </is>
      </c>
      <c r="L40" t="n">
        <v>525</v>
      </c>
      <c r="M40" s="2" t="inlineStr">
        <is>
          <t>158.62%</t>
        </is>
      </c>
      <c r="N40" t="n">
        <v>4.8</v>
      </c>
      <c r="O40" t="n">
        <v>6</v>
      </c>
      <c r="Q40" t="inlineStr">
        <is>
          <t>InStock</t>
        </is>
      </c>
      <c r="R40" t="inlineStr">
        <is>
          <t>450.0</t>
        </is>
      </c>
      <c r="S40" t="inlineStr">
        <is>
          <t>1647597318790404</t>
        </is>
      </c>
    </row>
    <row r="41" ht="75" customHeight="1">
      <c r="A41" s="1">
        <f>HYPERLINK("https://www.theoutnet.com/en-us/shop/product/31-phillip-lim/sandals/mid-heel-sandals/verona-60-leather-slingback-sandals/1647597318790404", "https://www.theoutnet.com/en-us/shop/product/31-phillip-lim/sandals/mid-heel-sandals/verona-60-leather-slingback-sandals/1647597318790404")</f>
        <v/>
      </c>
      <c r="B41" s="1">
        <f>HYPERLINK("https://www.theoutnet.com/en-us/shop/product/31-phillip-lim/sandals/mid-heel-sandals/verona-60-leather-slingback-sandals/1647597318790404", "https://www.theoutnet.com/en-us/shop/product/31-phillip-lim/sandals/mid-heel-sandals/verona-60-leather-slingback-sandals/1647597318790404")</f>
        <v/>
      </c>
      <c r="C41" t="inlineStr">
        <is>
          <t>3.1 PHILLIP LIM</t>
        </is>
      </c>
      <c r="D41" t="inlineStr">
        <is>
          <t>3.1 Phillip Lim Women's Pashli Mini Satchel</t>
        </is>
      </c>
      <c r="E41" s="1">
        <f>HYPERLINK("https://www.amazon.com/3-1-Phillip-Lim-Pashli-Satchel/dp/B01N6MXMXO/ref=sr_1_1?keywords=3.1+PHILLIP+LIM&amp;qid=1695343700&amp;sr=8-1", "https://www.amazon.com/3-1-Phillip-Lim-Pashli-Satchel/dp/B01N6MXMXO/ref=sr_1_1?keywords=3.1+PHILLIP+LIM&amp;qid=1695343700&amp;sr=8-1")</f>
        <v/>
      </c>
      <c r="F41" t="inlineStr">
        <is>
          <t>B01N6MXMXO</t>
        </is>
      </c>
      <c r="G41">
        <f>_xlfn.IMAGE("https://www.theoutnet.com/variants/images/1647597318790404/F/w1020_q80.jpg")</f>
        <v/>
      </c>
      <c r="H41">
        <f>_xlfn.IMAGE("https://m.media-amazon.com/images/I/91GMvxwc7PL._AC_UL320_.jpg")</f>
        <v/>
      </c>
      <c r="K41" t="inlineStr">
        <is>
          <t>203.0</t>
        </is>
      </c>
      <c r="L41" t="n">
        <v>488.85</v>
      </c>
      <c r="M41" s="2" t="inlineStr">
        <is>
          <t>140.81%</t>
        </is>
      </c>
      <c r="N41" t="n">
        <v>4.6</v>
      </c>
      <c r="O41" t="n">
        <v>13</v>
      </c>
      <c r="Q41" t="inlineStr">
        <is>
          <t>InStock</t>
        </is>
      </c>
      <c r="R41" t="inlineStr">
        <is>
          <t>450.0</t>
        </is>
      </c>
      <c r="S41" t="inlineStr">
        <is>
          <t>1647597318790404</t>
        </is>
      </c>
    </row>
    <row r="42" ht="75" customHeight="1">
      <c r="A42" s="1">
        <f>HYPERLINK("https://www.theoutnet.com/en-us/shop/product/31-phillip-lim/sandals/mid-heel-sandals/verona-60-leather-slingback-sandals/1647597318790404", "https://www.theoutnet.com/en-us/shop/product/31-phillip-lim/sandals/mid-heel-sandals/verona-60-leather-slingback-sandals/1647597318790404")</f>
        <v/>
      </c>
      <c r="B42" s="1">
        <f>HYPERLINK("https://www.theoutnet.com/en-us/shop/product/31-phillip-lim/sandals/mid-heel-sandals/verona-60-leather-slingback-sandals/1647597318790404", "https://www.theoutnet.com/en-us/shop/product/31-phillip-lim/sandals/mid-heel-sandals/verona-60-leather-slingback-sandals/1647597318790404")</f>
        <v/>
      </c>
      <c r="C42" t="inlineStr">
        <is>
          <t>3.1 PHILLIP LIM</t>
        </is>
      </c>
      <c r="D42" t="inlineStr">
        <is>
          <t>3.1 Phillip Lim Pashli Saddle</t>
        </is>
      </c>
      <c r="E42" s="1">
        <f>HYPERLINK("https://www.amazon.com/3-1-Phillip-Lim-Saddle-Bag/dp/B07VHJB9Q3/ref=sr_1_5?keywords=3.1+PHILLIP+LIM&amp;qid=1695343700&amp;sr=8-5", "https://www.amazon.com/3-1-Phillip-Lim-Saddle-Bag/dp/B07VHJB9Q3/ref=sr_1_5?keywords=3.1+PHILLIP+LIM&amp;qid=1695343700&amp;sr=8-5")</f>
        <v/>
      </c>
      <c r="F42" t="inlineStr">
        <is>
          <t>B07VHJB9Q3</t>
        </is>
      </c>
      <c r="G42">
        <f>_xlfn.IMAGE("https://www.theoutnet.com/variants/images/1647597318790404/F/w1020_q80.jpg")</f>
        <v/>
      </c>
      <c r="H42">
        <f>_xlfn.IMAGE("https://m.media-amazon.com/images/I/71iTkkxv-XL._AC_UL320_.jpg")</f>
        <v/>
      </c>
      <c r="K42" t="inlineStr">
        <is>
          <t>203.0</t>
        </is>
      </c>
      <c r="L42" t="n">
        <v>360.34</v>
      </c>
      <c r="M42" s="2" t="inlineStr">
        <is>
          <t>77.51%</t>
        </is>
      </c>
      <c r="N42" t="n">
        <v>5</v>
      </c>
      <c r="O42" t="n">
        <v>3</v>
      </c>
      <c r="Q42" t="inlineStr">
        <is>
          <t>InStock</t>
        </is>
      </c>
      <c r="R42" t="inlineStr">
        <is>
          <t>450.0</t>
        </is>
      </c>
      <c r="S42" t="inlineStr">
        <is>
          <t>1647597318790404</t>
        </is>
      </c>
    </row>
    <row r="43" ht="75" customHeight="1">
      <c r="A43" s="1">
        <f>HYPERLINK("https://www.theoutnet.com/en-us/shop/product/ancient-greek-sandals/sandals/flat-sandals/aglaia-buckled-metallic-leather-slides/23471478576230723", "https://www.theoutnet.com/en-us/shop/product/ancient-greek-sandals/sandals/flat-sandals/aglaia-buckled-metallic-leather-slides/23471478576230723")</f>
        <v/>
      </c>
      <c r="B43" s="1">
        <f>HYPERLINK("https://www.theoutnet.com/en-us/shop/product/ancient-greek-sandals/sandals/flat-sandals/aglaia-buckled-metallic-leather-slides/23471478576230723", "https://www.theoutnet.com/en-us/shop/product/ancient-greek-sandals/sandals/flat-sandals/aglaia-buckled-metallic-leather-slides/23471478576230723")</f>
        <v/>
      </c>
      <c r="C43" t="inlineStr">
        <is>
          <t>ANCIENT GREEK SANDALS</t>
        </is>
      </c>
      <c r="D43" t="inlineStr">
        <is>
          <t>Ancient Greek Sandals Women's Eleftheria Sandal</t>
        </is>
      </c>
      <c r="E43" s="1">
        <f>HYPERLINK("https://www.amazon.com/Ancient-Greek-Sandals-Womens-Eleftheria/dp/B072JTJYY8/ref=sr_1_1?keywords=ANCIENT+GREEK+SANDALS&amp;qid=1695343526&amp;sr=8-1", "https://www.amazon.com/Ancient-Greek-Sandals-Womens-Eleftheria/dp/B072JTJYY8/ref=sr_1_1?keywords=ANCIENT+GREEK+SANDALS&amp;qid=1695343526&amp;sr=8-1")</f>
        <v/>
      </c>
      <c r="F43" t="inlineStr">
        <is>
          <t>B072JTJYY8</t>
        </is>
      </c>
      <c r="G43">
        <f>_xlfn.IMAGE("https://www.theoutnet.com/variants/images/23471478576230723/F/w1020_q80.jpg")</f>
        <v/>
      </c>
      <c r="H43">
        <f>_xlfn.IMAGE("https://m.media-amazon.com/images/I/5129EWHgsDL._AC_UL320_.jpg")</f>
        <v/>
      </c>
      <c r="K43" t="inlineStr">
        <is>
          <t>81.0</t>
        </is>
      </c>
      <c r="L43" t="n">
        <v>275</v>
      </c>
      <c r="M43" s="2" t="inlineStr">
        <is>
          <t>239.51%</t>
        </is>
      </c>
      <c r="N43" t="n">
        <v>4.2</v>
      </c>
      <c r="O43" t="n">
        <v>8</v>
      </c>
      <c r="Q43" t="inlineStr">
        <is>
          <t>InStock</t>
        </is>
      </c>
      <c r="R43" t="inlineStr">
        <is>
          <t>180.0</t>
        </is>
      </c>
      <c r="S43" t="inlineStr">
        <is>
          <t>23471478576230723</t>
        </is>
      </c>
    </row>
    <row r="44" ht="75" customHeight="1">
      <c r="A44" s="1">
        <f>HYPERLINK("https://www.theoutnet.com/en-us/shop/product/ancient-greek-sandals/sandals/flat-sandals/aglaia-buckled-metallic-leather-slides/23471478576230723", "https://www.theoutnet.com/en-us/shop/product/ancient-greek-sandals/sandals/flat-sandals/aglaia-buckled-metallic-leather-slides/23471478576230723")</f>
        <v/>
      </c>
      <c r="B44" s="1">
        <f>HYPERLINK("https://www.theoutnet.com/en-us/shop/product/ancient-greek-sandals/sandals/flat-sandals/aglaia-buckled-metallic-leather-slides/23471478576230723", "https://www.theoutnet.com/en-us/shop/product/ancient-greek-sandals/sandals/flat-sandals/aglaia-buckled-metallic-leather-slides/23471478576230723")</f>
        <v/>
      </c>
      <c r="C44" t="inlineStr">
        <is>
          <t>ANCIENT GREEK SANDALS</t>
        </is>
      </c>
      <c r="D44" t="inlineStr">
        <is>
          <t>Ancient Greek Sandals Women's Li Sandals</t>
        </is>
      </c>
      <c r="E44" s="1">
        <f>HYPERLINK("https://www.amazon.com/Ancient-Greek-Sandals-Womens-Medium/dp/B0BHN4TJV3/ref=sr_1_9?keywords=ANCIENT+GREEK+SANDALS&amp;qid=1695343526&amp;sr=8-9", "https://www.amazon.com/Ancient-Greek-Sandals-Womens-Medium/dp/B0BHN4TJV3/ref=sr_1_9?keywords=ANCIENT+GREEK+SANDALS&amp;qid=1695343526&amp;sr=8-9")</f>
        <v/>
      </c>
      <c r="F44" t="inlineStr">
        <is>
          <t>B0BHN4TJV3</t>
        </is>
      </c>
      <c r="G44">
        <f>_xlfn.IMAGE("https://www.theoutnet.com/variants/images/23471478576230723/F/w1020_q80.jpg")</f>
        <v/>
      </c>
      <c r="H44">
        <f>_xlfn.IMAGE("https://m.media-amazon.com/images/I/51+QUV26OrL._AC_UL320_.jpg")</f>
        <v/>
      </c>
      <c r="K44" t="inlineStr">
        <is>
          <t>81.0</t>
        </is>
      </c>
      <c r="L44" t="n">
        <v>168</v>
      </c>
      <c r="M44" s="2" t="inlineStr">
        <is>
          <t>107.41%</t>
        </is>
      </c>
      <c r="N44" t="n">
        <v>4</v>
      </c>
      <c r="O44" t="n">
        <v>1</v>
      </c>
      <c r="Q44" t="inlineStr">
        <is>
          <t>InStock</t>
        </is>
      </c>
      <c r="R44" t="inlineStr">
        <is>
          <t>180.0</t>
        </is>
      </c>
      <c r="S44" t="inlineStr">
        <is>
          <t>23471478576230723</t>
        </is>
      </c>
    </row>
    <row r="45" ht="75" customHeight="1">
      <c r="A45" s="1">
        <f>HYPERLINK("https://www.theoutnet.com/en-us/shop/product/ancient-greek-sandals/sandals/flat-sandals/alexandra-knotted-faux-leather-sandals/1647597319960625", "https://www.theoutnet.com/en-us/shop/product/ancient-greek-sandals/sandals/flat-sandals/alexandra-knotted-faux-leather-sandals/1647597319960625")</f>
        <v/>
      </c>
      <c r="B45" s="1">
        <f>HYPERLINK("https://www.theoutnet.com/en-us/shop/product/ancient-greek-sandals/sandals/flat-sandals/alexandra-knotted-faux-leather-sandals/1647597319960625", "https://www.theoutnet.com/en-us/shop/product/ancient-greek-sandals/sandals/flat-sandals/alexandra-knotted-faux-leather-sandals/1647597319960625")</f>
        <v/>
      </c>
      <c r="C45" t="inlineStr">
        <is>
          <t>ANCIENT GREEK SANDALS</t>
        </is>
      </c>
      <c r="D45" t="inlineStr">
        <is>
          <t>Ancient Greek Sandals Women's Eleftheria Sandal</t>
        </is>
      </c>
      <c r="E45" s="1">
        <f>HYPERLINK("https://www.amazon.com/Ancient-Greek-Sandals-Womens-Eleftheria/dp/B072JTJYY8/ref=sr_1_5?keywords=ANCIENT+GREEK+SANDALS&amp;qid=1695343630&amp;sr=8-5", "https://www.amazon.com/Ancient-Greek-Sandals-Womens-Eleftheria/dp/B072JTJYY8/ref=sr_1_5?keywords=ANCIENT+GREEK+SANDALS&amp;qid=1695343630&amp;sr=8-5")</f>
        <v/>
      </c>
      <c r="F45" t="inlineStr">
        <is>
          <t>B072JTJYY8</t>
        </is>
      </c>
      <c r="G45">
        <f>_xlfn.IMAGE("https://www.theoutnet.com/variants/images/1647597319960625/F/w1020_q80.jpg")</f>
        <v/>
      </c>
      <c r="H45">
        <f>_xlfn.IMAGE("https://m.media-amazon.com/images/I/5129EWHgsDL._AC_UL320_.jpg")</f>
        <v/>
      </c>
      <c r="K45" t="inlineStr">
        <is>
          <t>149.0</t>
        </is>
      </c>
      <c r="L45" t="n">
        <v>275</v>
      </c>
      <c r="M45" s="2" t="inlineStr">
        <is>
          <t>84.56%</t>
        </is>
      </c>
      <c r="N45" t="n">
        <v>4.2</v>
      </c>
      <c r="O45" t="n">
        <v>8</v>
      </c>
      <c r="Q45" t="inlineStr">
        <is>
          <t>InStock</t>
        </is>
      </c>
      <c r="R45" t="inlineStr">
        <is>
          <t>330.0</t>
        </is>
      </c>
      <c r="S45" t="inlineStr">
        <is>
          <t>1</t>
        </is>
      </c>
    </row>
    <row r="46" ht="75" customHeight="1">
      <c r="A46" s="1">
        <f>HYPERLINK("https://www.theoutnet.com/en-us/shop/product/ancient-greek-sandals/sandals/flat-sandals/alexandra-knotted-faux-leather-sandals/1647597319960625", "https://www.theoutnet.com/en-us/shop/product/ancient-greek-sandals/sandals/flat-sandals/alexandra-knotted-faux-leather-sandals/1647597319960625")</f>
        <v/>
      </c>
      <c r="B46" s="1">
        <f>HYPERLINK("https://www.theoutnet.com/en-us/shop/product/ancient-greek-sandals/sandals/flat-sandals/alexandra-knotted-faux-leather-sandals/1647597319960625", "https://www.theoutnet.com/en-us/shop/product/ancient-greek-sandals/sandals/flat-sandals/alexandra-knotted-faux-leather-sandals/1647597319960625")</f>
        <v/>
      </c>
      <c r="C46" t="inlineStr">
        <is>
          <t>ANCIENT GREEK SANDALS</t>
        </is>
      </c>
      <c r="D46" t="inlineStr">
        <is>
          <t>Ancient Greek Sandals Women's Eleftheria Sandal</t>
        </is>
      </c>
      <c r="E46" s="1" t="n"/>
      <c r="F46" t="inlineStr">
        <is>
          <t>B07CVWY249</t>
        </is>
      </c>
      <c r="G46">
        <f>_xlfn.IMAGE("https://www.theoutnet.com/variants/images/1647597319960625/F/w1020_q80.jpg")</f>
        <v/>
      </c>
      <c r="H46">
        <f>_xlfn.IMAGE("https://m.media-amazon.com/images/I/51kUevjlaNL._AC_UL320_.jpg")</f>
        <v/>
      </c>
      <c r="K46" t="inlineStr">
        <is>
          <t>149.0</t>
        </is>
      </c>
      <c r="L46" t="n">
        <v>275</v>
      </c>
      <c r="M46" s="2" t="inlineStr">
        <is>
          <t>84.56%</t>
        </is>
      </c>
      <c r="N46" t="n">
        <v>4.2</v>
      </c>
      <c r="O46" t="n">
        <v>8</v>
      </c>
      <c r="Q46" t="inlineStr">
        <is>
          <t>InStock</t>
        </is>
      </c>
      <c r="R46" t="inlineStr">
        <is>
          <t>330.0</t>
        </is>
      </c>
      <c r="S46" t="inlineStr">
        <is>
          <t>1</t>
        </is>
      </c>
    </row>
    <row r="47" ht="75" customHeight="1">
      <c r="A47" s="1">
        <f>HYPERLINK("https://www.theoutnet.com/en-us/shop/product/ancient-greek-sandals/sandals/flat-sandals/ammos-two-tone-leather-sandals/1647597319790349", "https://www.theoutnet.com/en-us/shop/product/ancient-greek-sandals/sandals/flat-sandals/ammos-two-tone-leather-sandals/1647597319790349")</f>
        <v/>
      </c>
      <c r="B47" s="1">
        <f>HYPERLINK("https://www.theoutnet.com/en-us/shop/product/ancient-greek-sandals/sandals/flat-sandals/ammos-two-tone-leather-sandals/1647597319790349", "https://www.theoutnet.com/en-us/shop/product/ancient-greek-sandals/sandals/flat-sandals/ammos-two-tone-leather-sandals/1647597319790349")</f>
        <v/>
      </c>
      <c r="C47" t="inlineStr">
        <is>
          <t>ANCIENT GREEK SANDALS</t>
        </is>
      </c>
      <c r="D47" t="inlineStr">
        <is>
          <t>Ancient Greek Sandals Women's Eleftheria Sandal</t>
        </is>
      </c>
      <c r="E47" s="1">
        <f>HYPERLINK("https://www.amazon.com/Ancient-Greek-Sandals-Womens-Eleftheria/dp/B072JTJYY8/ref=sr_1_1?keywords=ANCIENT+GREEK+SANDALS&amp;qid=1695343561&amp;sr=8-1", "https://www.amazon.com/Ancient-Greek-Sandals-Womens-Eleftheria/dp/B072JTJYY8/ref=sr_1_1?keywords=ANCIENT+GREEK+SANDALS&amp;qid=1695343561&amp;sr=8-1")</f>
        <v/>
      </c>
      <c r="F47" t="inlineStr">
        <is>
          <t>B072JTJYY8</t>
        </is>
      </c>
      <c r="G47">
        <f>_xlfn.IMAGE("https://www.theoutnet.com/variants/images/1647597319790349/F/w1020_q80.jpg")</f>
        <v/>
      </c>
      <c r="H47">
        <f>_xlfn.IMAGE("https://m.media-amazon.com/images/I/5129EWHgsDL._AC_UL320_.jpg")</f>
        <v/>
      </c>
      <c r="K47" t="inlineStr">
        <is>
          <t>108.0</t>
        </is>
      </c>
      <c r="L47" t="n">
        <v>275</v>
      </c>
      <c r="M47" s="2" t="inlineStr">
        <is>
          <t>154.63%</t>
        </is>
      </c>
      <c r="N47" t="n">
        <v>4.2</v>
      </c>
      <c r="O47" t="n">
        <v>8</v>
      </c>
      <c r="Q47" t="inlineStr">
        <is>
          <t>InStock</t>
        </is>
      </c>
      <c r="R47" t="inlineStr">
        <is>
          <t>215.0</t>
        </is>
      </c>
      <c r="S47" t="inlineStr">
        <is>
          <t>1647597319790349</t>
        </is>
      </c>
    </row>
    <row r="48" ht="75" customHeight="1">
      <c r="A48" s="1">
        <f>HYPERLINK("https://www.theoutnet.com/en-us/shop/product/ancient-greek-sandals/sandals/flat-sandals/apli-eleftheria-crystal-embellished-leather-sandals/1647597300570192", "https://www.theoutnet.com/en-us/shop/product/ancient-greek-sandals/sandals/flat-sandals/apli-eleftheria-crystal-embellished-leather-sandals/1647597300570192")</f>
        <v/>
      </c>
      <c r="B48" s="1">
        <f>HYPERLINK("https://www.theoutnet.com/en-us/shop/product/ancient-greek-sandals/sandals/flat-sandals/apli-eleftheria-crystal-embellished-leather-sandals/1647597300570192", "https://www.theoutnet.com/en-us/shop/product/ancient-greek-sandals/sandals/flat-sandals/apli-eleftheria-crystal-embellished-leather-sandals/1647597300570192")</f>
        <v/>
      </c>
      <c r="C48" t="inlineStr">
        <is>
          <t>ANCIENT GREEK SANDALS</t>
        </is>
      </c>
      <c r="D48" t="inlineStr">
        <is>
          <t>Ancient Greek Sandals Women's Eleftheria Sandal</t>
        </is>
      </c>
      <c r="E48" s="1">
        <f>HYPERLINK("https://www.amazon.com/Ancient-Greek-Sandals-Womens-Eleftheria/dp/B072JTJYY8/ref=sr_1_1?keywords=ANCIENT+GREEK+SANDALS&amp;qid=1695343546&amp;sr=8-1", "https://www.amazon.com/Ancient-Greek-Sandals-Womens-Eleftheria/dp/B072JTJYY8/ref=sr_1_1?keywords=ANCIENT+GREEK+SANDALS&amp;qid=1695343546&amp;sr=8-1")</f>
        <v/>
      </c>
      <c r="F48" t="inlineStr">
        <is>
          <t>B072JTJYY8</t>
        </is>
      </c>
      <c r="G48">
        <f>_xlfn.IMAGE("https://www.theoutnet.com/variants/images/1647597300570192/F/w1020_q80.jpg")</f>
        <v/>
      </c>
      <c r="H48">
        <f>_xlfn.IMAGE("https://m.media-amazon.com/images/I/5129EWHgsDL._AC_UL320_.jpg")</f>
        <v/>
      </c>
      <c r="K48" t="inlineStr">
        <is>
          <t>98.0</t>
        </is>
      </c>
      <c r="L48" t="n">
        <v>275</v>
      </c>
      <c r="M48" s="2" t="inlineStr">
        <is>
          <t>180.61%</t>
        </is>
      </c>
      <c r="N48" t="n">
        <v>4.2</v>
      </c>
      <c r="O48" t="n">
        <v>8</v>
      </c>
      <c r="Q48" t="inlineStr">
        <is>
          <t>InStock</t>
        </is>
      </c>
      <c r="R48" t="inlineStr">
        <is>
          <t>162.0</t>
        </is>
      </c>
      <c r="S48" t="inlineStr">
        <is>
          <t>1647597300570192</t>
        </is>
      </c>
    </row>
    <row r="49" ht="75" customHeight="1">
      <c r="A49" s="1">
        <f>HYPERLINK("https://www.theoutnet.com/en-us/shop/product/ancient-greek-sandals/sandals/flat-sandals/apli-eleftheria-crystal-embellished-leather-sandals/1647597300570192", "https://www.theoutnet.com/en-us/shop/product/ancient-greek-sandals/sandals/flat-sandals/apli-eleftheria-crystal-embellished-leather-sandals/1647597300570192")</f>
        <v/>
      </c>
      <c r="B49" s="1">
        <f>HYPERLINK("https://www.theoutnet.com/en-us/shop/product/ancient-greek-sandals/sandals/flat-sandals/apli-eleftheria-crystal-embellished-leather-sandals/1647597300570192", "https://www.theoutnet.com/en-us/shop/product/ancient-greek-sandals/sandals/flat-sandals/apli-eleftheria-crystal-embellished-leather-sandals/1647597300570192")</f>
        <v/>
      </c>
      <c r="C49" t="inlineStr">
        <is>
          <t>ANCIENT GREEK SANDALS</t>
        </is>
      </c>
      <c r="D49" t="inlineStr">
        <is>
          <t>Ancient Greek Sandals Women's Li Sandals</t>
        </is>
      </c>
      <c r="E49" s="1">
        <f>HYPERLINK("https://www.amazon.com/Ancient-Greek-Sandals-Womens-Medium/dp/B0BHN4TJV3/ref=sr_1_9?keywords=ANCIENT+GREEK+SANDALS&amp;qid=1695343546&amp;sr=8-9", "https://www.amazon.com/Ancient-Greek-Sandals-Womens-Medium/dp/B0BHN4TJV3/ref=sr_1_9?keywords=ANCIENT+GREEK+SANDALS&amp;qid=1695343546&amp;sr=8-9")</f>
        <v/>
      </c>
      <c r="F49" t="inlineStr">
        <is>
          <t>B0BHN4TJV3</t>
        </is>
      </c>
      <c r="G49">
        <f>_xlfn.IMAGE("https://www.theoutnet.com/variants/images/1647597300570192/F/w1020_q80.jpg")</f>
        <v/>
      </c>
      <c r="H49">
        <f>_xlfn.IMAGE("https://m.media-amazon.com/images/I/51+QUV26OrL._AC_UL320_.jpg")</f>
        <v/>
      </c>
      <c r="K49" t="inlineStr">
        <is>
          <t>98.0</t>
        </is>
      </c>
      <c r="L49" t="n">
        <v>168</v>
      </c>
      <c r="M49" s="2" t="inlineStr">
        <is>
          <t>71.43%</t>
        </is>
      </c>
      <c r="N49" t="n">
        <v>4</v>
      </c>
      <c r="O49" t="n">
        <v>1</v>
      </c>
      <c r="Q49" t="inlineStr">
        <is>
          <t>InStock</t>
        </is>
      </c>
      <c r="R49" t="inlineStr">
        <is>
          <t>162.0</t>
        </is>
      </c>
      <c r="S49" t="inlineStr">
        <is>
          <t>1647597300570192</t>
        </is>
      </c>
    </row>
    <row r="50" ht="75" customHeight="1">
      <c r="A50" s="1">
        <f>HYPERLINK("https://www.theoutnet.com/en-us/shop/product/ancient-greek-sandals/sandals/flat-sandals/apteros-laser-cut-metallic-textured-leather-sandals/1647597316502525", "https://www.theoutnet.com/en-us/shop/product/ancient-greek-sandals/sandals/flat-sandals/apteros-laser-cut-metallic-textured-leather-sandals/1647597316502525")</f>
        <v/>
      </c>
      <c r="B50" s="1">
        <f>HYPERLINK("https://www.theoutnet.com/en-us/shop/product/ancient-greek-sandals/sandals/flat-sandals/apteros-laser-cut-metallic-textured-leather-sandals/1647597316502525", "https://www.theoutnet.com/en-us/shop/product/ancient-greek-sandals/sandals/flat-sandals/apteros-laser-cut-metallic-textured-leather-sandals/1647597316502525")</f>
        <v/>
      </c>
      <c r="C50" t="inlineStr">
        <is>
          <t>ANCIENT GREEK SANDALS</t>
        </is>
      </c>
      <c r="D50" t="inlineStr">
        <is>
          <t>Ancient Greek Sandals Women's Eleftheria Sandal</t>
        </is>
      </c>
      <c r="E50" s="1">
        <f>HYPERLINK("https://www.amazon.com/Ancient-Greek-Sandals-Womens-Eleftheria/dp/B072JTJYY8/ref=sr_1_1?keywords=ANCIENT+GREEK+SANDALS&amp;qid=1695343528&amp;sr=8-1", "https://www.amazon.com/Ancient-Greek-Sandals-Womens-Eleftheria/dp/B072JTJYY8/ref=sr_1_1?keywords=ANCIENT+GREEK+SANDALS&amp;qid=1695343528&amp;sr=8-1")</f>
        <v/>
      </c>
      <c r="F50" t="inlineStr">
        <is>
          <t>B072JTJYY8</t>
        </is>
      </c>
      <c r="G50">
        <f>_xlfn.IMAGE("https://www.theoutnet.com/variants/images/1647597316502525/F/w1020_q80.jpg")</f>
        <v/>
      </c>
      <c r="H50">
        <f>_xlfn.IMAGE("https://m.media-amazon.com/images/I/5129EWHgsDL._AC_UL320_.jpg")</f>
        <v/>
      </c>
      <c r="K50" t="inlineStr">
        <is>
          <t>73.0</t>
        </is>
      </c>
      <c r="L50" t="n">
        <v>275</v>
      </c>
      <c r="M50" s="2" t="inlineStr">
        <is>
          <t>276.71%</t>
        </is>
      </c>
      <c r="N50" t="n">
        <v>4.2</v>
      </c>
      <c r="O50" t="n">
        <v>8</v>
      </c>
      <c r="Q50" t="inlineStr">
        <is>
          <t>InStock</t>
        </is>
      </c>
      <c r="R50" t="inlineStr">
        <is>
          <t>220.0</t>
        </is>
      </c>
      <c r="S50" t="inlineStr">
        <is>
          <t>1</t>
        </is>
      </c>
    </row>
    <row r="51" ht="75" customHeight="1">
      <c r="A51" s="1">
        <f>HYPERLINK("https://www.theoutnet.com/en-us/shop/product/ancient-greek-sandals/sandals/flat-sandals/apteros-laser-cut-metallic-textured-leather-sandals/1647597316502525", "https://www.theoutnet.com/en-us/shop/product/ancient-greek-sandals/sandals/flat-sandals/apteros-laser-cut-metallic-textured-leather-sandals/1647597316502525")</f>
        <v/>
      </c>
      <c r="B51" s="1">
        <f>HYPERLINK("https://www.theoutnet.com/en-us/shop/product/ancient-greek-sandals/sandals/flat-sandals/apteros-laser-cut-metallic-textured-leather-sandals/1647597316502525", "https://www.theoutnet.com/en-us/shop/product/ancient-greek-sandals/sandals/flat-sandals/apteros-laser-cut-metallic-textured-leather-sandals/1647597316502525")</f>
        <v/>
      </c>
      <c r="C51" t="inlineStr">
        <is>
          <t>ANCIENT GREEK SANDALS</t>
        </is>
      </c>
      <c r="D51" t="inlineStr">
        <is>
          <t>Ancient Greek Sandals Women's Li Sandals</t>
        </is>
      </c>
      <c r="E51" s="1">
        <f>HYPERLINK("https://www.amazon.com/Ancient-Greek-Sandals-Womens-Medium/dp/B0BHN4TJV3/ref=sr_1_9?keywords=ANCIENT+GREEK+SANDALS&amp;qid=1695343528&amp;sr=8-9", "https://www.amazon.com/Ancient-Greek-Sandals-Womens-Medium/dp/B0BHN4TJV3/ref=sr_1_9?keywords=ANCIENT+GREEK+SANDALS&amp;qid=1695343528&amp;sr=8-9")</f>
        <v/>
      </c>
      <c r="F51" t="inlineStr">
        <is>
          <t>B0BHN4TJV3</t>
        </is>
      </c>
      <c r="G51">
        <f>_xlfn.IMAGE("https://www.theoutnet.com/variants/images/1647597316502525/F/w1020_q80.jpg")</f>
        <v/>
      </c>
      <c r="H51">
        <f>_xlfn.IMAGE("https://m.media-amazon.com/images/I/51+QUV26OrL._AC_UL320_.jpg")</f>
        <v/>
      </c>
      <c r="K51" t="inlineStr">
        <is>
          <t>73.0</t>
        </is>
      </c>
      <c r="L51" t="n">
        <v>168</v>
      </c>
      <c r="M51" s="2" t="inlineStr">
        <is>
          <t>130.14%</t>
        </is>
      </c>
      <c r="N51" t="n">
        <v>4</v>
      </c>
      <c r="O51" t="n">
        <v>1</v>
      </c>
      <c r="Q51" t="inlineStr">
        <is>
          <t>InStock</t>
        </is>
      </c>
      <c r="R51" t="inlineStr">
        <is>
          <t>220.0</t>
        </is>
      </c>
      <c r="S51" t="inlineStr">
        <is>
          <t>1</t>
        </is>
      </c>
    </row>
    <row r="52" ht="75" customHeight="1">
      <c r="A52" s="1">
        <f>HYPERLINK("https://www.theoutnet.com/en-us/shop/product/ancient-greek-sandals/sandals/flat-sandals/aratro-leather-sandals/1647597320036281", "https://www.theoutnet.com/en-us/shop/product/ancient-greek-sandals/sandals/flat-sandals/aratro-leather-sandals/1647597320036281")</f>
        <v/>
      </c>
      <c r="B52" s="1">
        <f>HYPERLINK("https://www.theoutnet.com/en-us/shop/product/ancient-greek-sandals/sandals/flat-sandals/aratro-leather-sandals/1647597320036281", "https://www.theoutnet.com/en-us/shop/product/ancient-greek-sandals/sandals/flat-sandals/aratro-leather-sandals/1647597320036281")</f>
        <v/>
      </c>
      <c r="C52" t="inlineStr">
        <is>
          <t>ANCIENT GREEK SANDALS</t>
        </is>
      </c>
      <c r="D52" t="inlineStr">
        <is>
          <t>Ancient Greek Sandals Women's Eleftheria Sandal</t>
        </is>
      </c>
      <c r="E52" s="1">
        <f>HYPERLINK("https://www.amazon.com/Ancient-Greek-Sandals-Womens-Eleftheria/dp/B072JTJYY8/ref=sr_1_1?keywords=ANCIENT+GREEK+SANDALS&amp;qid=1695343611&amp;sr=8-1", "https://www.amazon.com/Ancient-Greek-Sandals-Womens-Eleftheria/dp/B072JTJYY8/ref=sr_1_1?keywords=ANCIENT+GREEK+SANDALS&amp;qid=1695343611&amp;sr=8-1")</f>
        <v/>
      </c>
      <c r="F52" t="inlineStr">
        <is>
          <t>B072JTJYY8</t>
        </is>
      </c>
      <c r="G52">
        <f>_xlfn.IMAGE("https://www.theoutnet.com/variants/images/1647597320036281/F/w1020_q80.jpg")</f>
        <v/>
      </c>
      <c r="H52">
        <f>_xlfn.IMAGE("https://m.media-amazon.com/images/I/5129EWHgsDL._AC_UL320_.jpg")</f>
        <v/>
      </c>
      <c r="K52" t="inlineStr">
        <is>
          <t>138.0</t>
        </is>
      </c>
      <c r="L52" t="n">
        <v>275</v>
      </c>
      <c r="M52" s="2" t="inlineStr">
        <is>
          <t>99.28%</t>
        </is>
      </c>
      <c r="N52" t="n">
        <v>4.2</v>
      </c>
      <c r="O52" t="n">
        <v>8</v>
      </c>
      <c r="Q52" t="inlineStr">
        <is>
          <t>InStock</t>
        </is>
      </c>
      <c r="R52" t="inlineStr">
        <is>
          <t>275.0</t>
        </is>
      </c>
      <c r="S52" t="inlineStr">
        <is>
          <t>1</t>
        </is>
      </c>
    </row>
    <row r="53" ht="75" customHeight="1">
      <c r="A53" s="1">
        <f>HYPERLINK("https://www.theoutnet.com/en-us/shop/product/ancient-greek-sandals/sandals/flat-sandals/arsinoi-leather-slides/1647597319788805", "https://www.theoutnet.com/en-us/shop/product/ancient-greek-sandals/sandals/flat-sandals/arsinoi-leather-slides/1647597319788805")</f>
        <v/>
      </c>
      <c r="B53" s="1">
        <f>HYPERLINK("https://www.theoutnet.com/en-us/shop/product/ancient-greek-sandals/sandals/flat-sandals/arsinoi-leather-slides/1647597319788805", "https://www.theoutnet.com/en-us/shop/product/ancient-greek-sandals/sandals/flat-sandals/arsinoi-leather-slides/1647597319788805")</f>
        <v/>
      </c>
      <c r="C53" t="inlineStr">
        <is>
          <t>ANCIENT GREEK SANDALS</t>
        </is>
      </c>
      <c r="D53" t="inlineStr">
        <is>
          <t>Ancient Greek Sandals Women's Eleftheria Sandal</t>
        </is>
      </c>
      <c r="E53" s="1">
        <f>HYPERLINK("https://www.amazon.com/Ancient-Greek-Sandals-Womens-Eleftheria/dp/B072JTJYY8/ref=sr_1_1?keywords=ANCIENT+GREEK+SANDALS&amp;qid=1695343550&amp;sr=8-1", "https://www.amazon.com/Ancient-Greek-Sandals-Womens-Eleftheria/dp/B072JTJYY8/ref=sr_1_1?keywords=ANCIENT+GREEK+SANDALS&amp;qid=1695343550&amp;sr=8-1")</f>
        <v/>
      </c>
      <c r="F53" t="inlineStr">
        <is>
          <t>B072JTJYY8</t>
        </is>
      </c>
      <c r="G53">
        <f>_xlfn.IMAGE("https://www.theoutnet.com/variants/images/1647597319788805/F/w1020_q80.jpg")</f>
        <v/>
      </c>
      <c r="H53">
        <f>_xlfn.IMAGE("https://m.media-amazon.com/images/I/5129EWHgsDL._AC_UL320_.jpg")</f>
        <v/>
      </c>
      <c r="K53" t="inlineStr">
        <is>
          <t>99.0</t>
        </is>
      </c>
      <c r="L53" t="n">
        <v>275</v>
      </c>
      <c r="M53" s="2" t="inlineStr">
        <is>
          <t>177.78%</t>
        </is>
      </c>
      <c r="N53" t="n">
        <v>4.2</v>
      </c>
      <c r="O53" t="n">
        <v>8</v>
      </c>
      <c r="Q53" t="inlineStr">
        <is>
          <t>InStock</t>
        </is>
      </c>
      <c r="R53" t="inlineStr">
        <is>
          <t>220.0</t>
        </is>
      </c>
      <c r="S53" t="inlineStr">
        <is>
          <t>1647597319788805</t>
        </is>
      </c>
    </row>
    <row r="54" ht="75" customHeight="1">
      <c r="A54" s="1">
        <f>HYPERLINK("https://www.theoutnet.com/en-us/shop/product/ancient-greek-sandals/sandals/flat-sandals/arsinoi-leather-slides/1647597319788805", "https://www.theoutnet.com/en-us/shop/product/ancient-greek-sandals/sandals/flat-sandals/arsinoi-leather-slides/1647597319788805")</f>
        <v/>
      </c>
      <c r="B54" s="1">
        <f>HYPERLINK("https://www.theoutnet.com/en-us/shop/product/ancient-greek-sandals/sandals/flat-sandals/arsinoi-leather-slides/1647597319788805", "https://www.theoutnet.com/en-us/shop/product/ancient-greek-sandals/sandals/flat-sandals/arsinoi-leather-slides/1647597319788805")</f>
        <v/>
      </c>
      <c r="C54" t="inlineStr">
        <is>
          <t>ANCIENT GREEK SANDALS</t>
        </is>
      </c>
      <c r="D54" t="inlineStr">
        <is>
          <t>Ancient Greek Sandals Women's Li Sandals</t>
        </is>
      </c>
      <c r="E54" s="1">
        <f>HYPERLINK("https://www.amazon.com/Ancient-Greek-Sandals-Womens-Medium/dp/B0BHN4TJV3/ref=sr_1_9?keywords=ANCIENT+GREEK+SANDALS&amp;qid=1695343550&amp;sr=8-9", "https://www.amazon.com/Ancient-Greek-Sandals-Womens-Medium/dp/B0BHN4TJV3/ref=sr_1_9?keywords=ANCIENT+GREEK+SANDALS&amp;qid=1695343550&amp;sr=8-9")</f>
        <v/>
      </c>
      <c r="F54" t="inlineStr">
        <is>
          <t>B0BHN4TJV3</t>
        </is>
      </c>
      <c r="G54">
        <f>_xlfn.IMAGE("https://www.theoutnet.com/variants/images/1647597319788805/F/w1020_q80.jpg")</f>
        <v/>
      </c>
      <c r="H54">
        <f>_xlfn.IMAGE("https://m.media-amazon.com/images/I/51+QUV26OrL._AC_UL320_.jpg")</f>
        <v/>
      </c>
      <c r="K54" t="inlineStr">
        <is>
          <t>99.0</t>
        </is>
      </c>
      <c r="L54" t="n">
        <v>168</v>
      </c>
      <c r="M54" s="2" t="inlineStr">
        <is>
          <t>69.70%</t>
        </is>
      </c>
      <c r="N54" t="n">
        <v>4</v>
      </c>
      <c r="O54" t="n">
        <v>1</v>
      </c>
      <c r="Q54" t="inlineStr">
        <is>
          <t>InStock</t>
        </is>
      </c>
      <c r="R54" t="inlineStr">
        <is>
          <t>220.0</t>
        </is>
      </c>
      <c r="S54" t="inlineStr">
        <is>
          <t>1647597319788805</t>
        </is>
      </c>
    </row>
    <row r="55" ht="75" customHeight="1">
      <c r="A55" s="1">
        <f>HYPERLINK("https://www.theoutnet.com/en-us/shop/product/ancient-greek-sandals/sandals/flat-sandals/caryae-metallic-leather-sandals/1647597288094447", "https://www.theoutnet.com/en-us/shop/product/ancient-greek-sandals/sandals/flat-sandals/caryae-metallic-leather-sandals/1647597288094447")</f>
        <v/>
      </c>
      <c r="B55" s="1">
        <f>HYPERLINK("https://www.theoutnet.com/en-us/shop/product/ancient-greek-sandals/sandals/flat-sandals/caryae-metallic-leather-sandals/1647597288094447", "https://www.theoutnet.com/en-us/shop/product/ancient-greek-sandals/sandals/flat-sandals/caryae-metallic-leather-sandals/1647597288094447")</f>
        <v/>
      </c>
      <c r="C55" t="inlineStr">
        <is>
          <t>ANCIENT GREEK SANDALS</t>
        </is>
      </c>
      <c r="D55" t="inlineStr">
        <is>
          <t>Ancient Greek Sandals Women's Eleftheria Sandal</t>
        </is>
      </c>
      <c r="E55" s="1">
        <f>HYPERLINK("https://www.amazon.com/Ancient-Greek-Sandals-Womens-Eleftheria/dp/B072JTJYY8/ref=sr_1_1?keywords=ANCIENT+GREEK+SANDALS&amp;qid=1695343550&amp;sr=8-1", "https://www.amazon.com/Ancient-Greek-Sandals-Womens-Eleftheria/dp/B072JTJYY8/ref=sr_1_1?keywords=ANCIENT+GREEK+SANDALS&amp;qid=1695343550&amp;sr=8-1")</f>
        <v/>
      </c>
      <c r="F55" t="inlineStr">
        <is>
          <t>B072JTJYY8</t>
        </is>
      </c>
      <c r="G55">
        <f>_xlfn.IMAGE("https://www.theoutnet.com/variants/images/1647597288094447/F/w1020_q80.jpg")</f>
        <v/>
      </c>
      <c r="H55">
        <f>_xlfn.IMAGE("https://m.media-amazon.com/images/I/5129EWHgsDL._AC_UL320_.jpg")</f>
        <v/>
      </c>
      <c r="K55" t="inlineStr">
        <is>
          <t>99.0</t>
        </is>
      </c>
      <c r="L55" t="n">
        <v>275</v>
      </c>
      <c r="M55" s="2" t="inlineStr">
        <is>
          <t>177.78%</t>
        </is>
      </c>
      <c r="N55" t="n">
        <v>4.2</v>
      </c>
      <c r="O55" t="n">
        <v>8</v>
      </c>
      <c r="Q55" t="inlineStr">
        <is>
          <t>InStock</t>
        </is>
      </c>
      <c r="R55" t="inlineStr">
        <is>
          <t>179.0</t>
        </is>
      </c>
      <c r="S55" t="inlineStr">
        <is>
          <t>1</t>
        </is>
      </c>
    </row>
    <row r="56" ht="75" customHeight="1">
      <c r="A56" s="1">
        <f>HYPERLINK("https://www.theoutnet.com/en-us/shop/product/ancient-greek-sandals/sandals/flat-sandals/caryae-metallic-leather-sandals/1647597288094447", "https://www.theoutnet.com/en-us/shop/product/ancient-greek-sandals/sandals/flat-sandals/caryae-metallic-leather-sandals/1647597288094447")</f>
        <v/>
      </c>
      <c r="B56" s="1">
        <f>HYPERLINK("https://www.theoutnet.com/en-us/shop/product/ancient-greek-sandals/sandals/flat-sandals/caryae-metallic-leather-sandals/1647597288094447", "https://www.theoutnet.com/en-us/shop/product/ancient-greek-sandals/sandals/flat-sandals/caryae-metallic-leather-sandals/1647597288094447")</f>
        <v/>
      </c>
      <c r="C56" t="inlineStr">
        <is>
          <t>ANCIENT GREEK SANDALS</t>
        </is>
      </c>
      <c r="D56" t="inlineStr">
        <is>
          <t>Ancient Greek Sandals Women's Li Sandals</t>
        </is>
      </c>
      <c r="E56" s="1">
        <f>HYPERLINK("https://www.amazon.com/Ancient-Greek-Sandals-Womens-Medium/dp/B0BHN4TJV3/ref=sr_1_9?keywords=ANCIENT+GREEK+SANDALS&amp;qid=1695343550&amp;sr=8-9", "https://www.amazon.com/Ancient-Greek-Sandals-Womens-Medium/dp/B0BHN4TJV3/ref=sr_1_9?keywords=ANCIENT+GREEK+SANDALS&amp;qid=1695343550&amp;sr=8-9")</f>
        <v/>
      </c>
      <c r="F56" t="inlineStr">
        <is>
          <t>B0BHN4TJV3</t>
        </is>
      </c>
      <c r="G56">
        <f>_xlfn.IMAGE("https://www.theoutnet.com/variants/images/1647597288094447/F/w1020_q80.jpg")</f>
        <v/>
      </c>
      <c r="H56">
        <f>_xlfn.IMAGE("https://m.media-amazon.com/images/I/51+QUV26OrL._AC_UL320_.jpg")</f>
        <v/>
      </c>
      <c r="K56" t="inlineStr">
        <is>
          <t>99.0</t>
        </is>
      </c>
      <c r="L56" t="n">
        <v>168</v>
      </c>
      <c r="M56" s="2" t="inlineStr">
        <is>
          <t>69.70%</t>
        </is>
      </c>
      <c r="N56" t="n">
        <v>4</v>
      </c>
      <c r="O56" t="n">
        <v>1</v>
      </c>
      <c r="Q56" t="inlineStr">
        <is>
          <t>InStock</t>
        </is>
      </c>
      <c r="R56" t="inlineStr">
        <is>
          <t>179.0</t>
        </is>
      </c>
      <c r="S56" t="inlineStr">
        <is>
          <t>1</t>
        </is>
      </c>
    </row>
    <row r="57" ht="75" customHeight="1">
      <c r="A57" s="1">
        <f>HYPERLINK("https://www.theoutnet.com/en-us/shop/product/ancient-greek-sandals/sandals/flat-sandals/charys-comfort-raffia-platform-sandals/1647597287888250", "https://www.theoutnet.com/en-us/shop/product/ancient-greek-sandals/sandals/flat-sandals/charys-comfort-raffia-platform-sandals/1647597287888250")</f>
        <v/>
      </c>
      <c r="B57" s="1">
        <f>HYPERLINK("https://www.theoutnet.com/en-us/shop/product/ancient-greek-sandals/sandals/flat-sandals/charys-comfort-raffia-platform-sandals/1647597287888250", "https://www.theoutnet.com/en-us/shop/product/ancient-greek-sandals/sandals/flat-sandals/charys-comfort-raffia-platform-sandals/1647597287888250")</f>
        <v/>
      </c>
      <c r="C57" t="inlineStr">
        <is>
          <t>ANCIENT GREEK SANDALS</t>
        </is>
      </c>
      <c r="D57" t="inlineStr">
        <is>
          <t>Ancient Greek Sandals Women's Eleftheria Sandal</t>
        </is>
      </c>
      <c r="E57" s="1">
        <f>HYPERLINK("https://www.amazon.com/Ancient-Greek-Sandals-Womens-Eleftheria/dp/B072JTJYY8/ref=sr_1_1?keywords=ANCIENT+GREEK+SANDALS&amp;qid=1695343514&amp;sr=8-1", "https://www.amazon.com/Ancient-Greek-Sandals-Womens-Eleftheria/dp/B072JTJYY8/ref=sr_1_1?keywords=ANCIENT+GREEK+SANDALS&amp;qid=1695343514&amp;sr=8-1")</f>
        <v/>
      </c>
      <c r="F57" t="inlineStr">
        <is>
          <t>B072JTJYY8</t>
        </is>
      </c>
      <c r="G57">
        <f>_xlfn.IMAGE("https://www.theoutnet.com/variants/images/1647597287888250/F/w1020_q80.jpg")</f>
        <v/>
      </c>
      <c r="H57">
        <f>_xlfn.IMAGE("https://m.media-amazon.com/images/I/5129EWHgsDL._AC_UL320_.jpg")</f>
        <v/>
      </c>
      <c r="K57" t="inlineStr">
        <is>
          <t>64.0</t>
        </is>
      </c>
      <c r="L57" t="n">
        <v>275</v>
      </c>
      <c r="M57" s="2" t="inlineStr">
        <is>
          <t>329.69%</t>
        </is>
      </c>
      <c r="N57" t="n">
        <v>4.2</v>
      </c>
      <c r="O57" t="n">
        <v>8</v>
      </c>
      <c r="Q57" t="inlineStr">
        <is>
          <t>InStock</t>
        </is>
      </c>
      <c r="R57" t="inlineStr">
        <is>
          <t>213.0</t>
        </is>
      </c>
      <c r="S57" t="inlineStr">
        <is>
          <t>1647597287888250</t>
        </is>
      </c>
    </row>
    <row r="58" ht="75" customHeight="1">
      <c r="A58" s="1">
        <f>HYPERLINK("https://www.theoutnet.com/en-us/shop/product/ancient-greek-sandals/sandals/flat-sandals/charys-comfort-raffia-platform-sandals/1647597287888250", "https://www.theoutnet.com/en-us/shop/product/ancient-greek-sandals/sandals/flat-sandals/charys-comfort-raffia-platform-sandals/1647597287888250")</f>
        <v/>
      </c>
      <c r="B58" s="1">
        <f>HYPERLINK("https://www.theoutnet.com/en-us/shop/product/ancient-greek-sandals/sandals/flat-sandals/charys-comfort-raffia-platform-sandals/1647597287888250", "https://www.theoutnet.com/en-us/shop/product/ancient-greek-sandals/sandals/flat-sandals/charys-comfort-raffia-platform-sandals/1647597287888250")</f>
        <v/>
      </c>
      <c r="C58" t="inlineStr">
        <is>
          <t>ANCIENT GREEK SANDALS</t>
        </is>
      </c>
      <c r="D58" t="inlineStr">
        <is>
          <t>Ancient Greek Sandals Women's Li Sandals</t>
        </is>
      </c>
      <c r="E58" s="1">
        <f>HYPERLINK("https://www.amazon.com/Ancient-Greek-Sandals-Womens-Medium/dp/B0BHN4TJV3/ref=sr_1_9?keywords=ANCIENT+GREEK+SANDALS&amp;qid=1695343514&amp;sr=8-9", "https://www.amazon.com/Ancient-Greek-Sandals-Womens-Medium/dp/B0BHN4TJV3/ref=sr_1_9?keywords=ANCIENT+GREEK+SANDALS&amp;qid=1695343514&amp;sr=8-9")</f>
        <v/>
      </c>
      <c r="F58" t="inlineStr">
        <is>
          <t>B0BHN4TJV3</t>
        </is>
      </c>
      <c r="G58">
        <f>_xlfn.IMAGE("https://www.theoutnet.com/variants/images/1647597287888250/F/w1020_q80.jpg")</f>
        <v/>
      </c>
      <c r="H58">
        <f>_xlfn.IMAGE("https://m.media-amazon.com/images/I/51+QUV26OrL._AC_UL320_.jpg")</f>
        <v/>
      </c>
      <c r="K58" t="inlineStr">
        <is>
          <t>64.0</t>
        </is>
      </c>
      <c r="L58" t="n">
        <v>168</v>
      </c>
      <c r="M58" s="2" t="inlineStr">
        <is>
          <t>162.50%</t>
        </is>
      </c>
      <c r="N58" t="n">
        <v>4</v>
      </c>
      <c r="O58" t="n">
        <v>1</v>
      </c>
      <c r="Q58" t="inlineStr">
        <is>
          <t>InStock</t>
        </is>
      </c>
      <c r="R58" t="inlineStr">
        <is>
          <t>213.0</t>
        </is>
      </c>
      <c r="S58" t="inlineStr">
        <is>
          <t>1647597287888250</t>
        </is>
      </c>
    </row>
    <row r="59" ht="75" customHeight="1">
      <c r="A59" s="1">
        <f>HYPERLINK("https://www.theoutnet.com/en-us/shop/product/ancient-greek-sandals/sandals/flat-sandals/charys-webbing-platform-flip-flops/1647597319780665", "https://www.theoutnet.com/en-us/shop/product/ancient-greek-sandals/sandals/flat-sandals/charys-webbing-platform-flip-flops/1647597319780665")</f>
        <v/>
      </c>
      <c r="B59" s="1">
        <f>HYPERLINK("https://www.theoutnet.com/en-us/shop/product/ancient-greek-sandals/sandals/flat-sandals/charys-webbing-platform-flip-flops/1647597319780665", "https://www.theoutnet.com/en-us/shop/product/ancient-greek-sandals/sandals/flat-sandals/charys-webbing-platform-flip-flops/1647597319780665")</f>
        <v/>
      </c>
      <c r="C59" t="inlineStr">
        <is>
          <t>ANCIENT GREEK SANDALS</t>
        </is>
      </c>
      <c r="D59" t="inlineStr">
        <is>
          <t>Ancient Greek Sandals Women's Eleftheria Sandal</t>
        </is>
      </c>
      <c r="E59" s="1">
        <f>HYPERLINK("https://www.amazon.com/Ancient-Greek-Sandals-Womens-Eleftheria/dp/B072JTJYY8/ref=sr_1_1?keywords=ANCIENT+GREEK+SANDALS&amp;qid=1695343616&amp;sr=8-1", "https://www.amazon.com/Ancient-Greek-Sandals-Womens-Eleftheria/dp/B072JTJYY8/ref=sr_1_1?keywords=ANCIENT+GREEK+SANDALS&amp;qid=1695343616&amp;sr=8-1")</f>
        <v/>
      </c>
      <c r="F59" t="inlineStr">
        <is>
          <t>B072JTJYY8</t>
        </is>
      </c>
      <c r="G59">
        <f>_xlfn.IMAGE("https://www.theoutnet.com/variants/images/1647597319780665/F/w1020_q80.jpg")</f>
        <v/>
      </c>
      <c r="H59">
        <f>_xlfn.IMAGE("https://m.media-amazon.com/images/I/5129EWHgsDL._AC_UL320_.jpg")</f>
        <v/>
      </c>
      <c r="K59" t="inlineStr">
        <is>
          <t>140.0</t>
        </is>
      </c>
      <c r="L59" t="n">
        <v>275</v>
      </c>
      <c r="M59" s="2" t="inlineStr">
        <is>
          <t>96.43%</t>
        </is>
      </c>
      <c r="N59" t="n">
        <v>4.2</v>
      </c>
      <c r="O59" t="n">
        <v>8</v>
      </c>
      <c r="Q59" t="inlineStr">
        <is>
          <t>InStock</t>
        </is>
      </c>
      <c r="R59" t="inlineStr">
        <is>
          <t>280.0</t>
        </is>
      </c>
      <c r="S59" t="inlineStr">
        <is>
          <t>1647597319780665</t>
        </is>
      </c>
    </row>
    <row r="60" ht="75" customHeight="1">
      <c r="A60" s="1">
        <f>HYPERLINK("https://www.theoutnet.com/en-us/shop/product/ancient-greek-sandals/sandals/flat-sandals/charys-webbing-platform-flip-flops/1647597319783505", "https://www.theoutnet.com/en-us/shop/product/ancient-greek-sandals/sandals/flat-sandals/charys-webbing-platform-flip-flops/1647597319783505")</f>
        <v/>
      </c>
      <c r="B60" s="1">
        <f>HYPERLINK("https://www.theoutnet.com/en-us/shop/product/ancient-greek-sandals/sandals/flat-sandals/charys-webbing-platform-flip-flops/1647597319783505", "https://www.theoutnet.com/en-us/shop/product/ancient-greek-sandals/sandals/flat-sandals/charys-webbing-platform-flip-flops/1647597319783505")</f>
        <v/>
      </c>
      <c r="C60" t="inlineStr">
        <is>
          <t>ANCIENT GREEK SANDALS</t>
        </is>
      </c>
      <c r="D60" t="inlineStr">
        <is>
          <t>Ancient Greek Sandals Women's Eleftheria Sandal</t>
        </is>
      </c>
      <c r="E60" s="1">
        <f>HYPERLINK("https://www.amazon.com/Ancient-Greek-Sandals-Womens-Eleftheria/dp/B072JTJYY8/ref=sr_1_1?keywords=ANCIENT+GREEK+SANDALS&amp;qid=1695343613&amp;sr=8-1", "https://www.amazon.com/Ancient-Greek-Sandals-Womens-Eleftheria/dp/B072JTJYY8/ref=sr_1_1?keywords=ANCIENT+GREEK+SANDALS&amp;qid=1695343613&amp;sr=8-1")</f>
        <v/>
      </c>
      <c r="F60" t="inlineStr">
        <is>
          <t>B072JTJYY8</t>
        </is>
      </c>
      <c r="G60">
        <f>_xlfn.IMAGE("https://www.theoutnet.com/variants/images/1647597319783505/F/w1020_q80.jpg")</f>
        <v/>
      </c>
      <c r="H60">
        <f>_xlfn.IMAGE("https://m.media-amazon.com/images/I/5129EWHgsDL._AC_UL320_.jpg")</f>
        <v/>
      </c>
      <c r="K60" t="inlineStr">
        <is>
          <t>140.0</t>
        </is>
      </c>
      <c r="L60" t="n">
        <v>275</v>
      </c>
      <c r="M60" s="2" t="inlineStr">
        <is>
          <t>96.43%</t>
        </is>
      </c>
      <c r="N60" t="n">
        <v>4.2</v>
      </c>
      <c r="O60" t="n">
        <v>8</v>
      </c>
      <c r="Q60" t="inlineStr">
        <is>
          <t>InStock</t>
        </is>
      </c>
      <c r="R60" t="inlineStr">
        <is>
          <t>280.0</t>
        </is>
      </c>
      <c r="S60" t="inlineStr">
        <is>
          <t>1647597319783505</t>
        </is>
      </c>
    </row>
    <row r="61" ht="75" customHeight="1">
      <c r="A61" s="1">
        <f>HYPERLINK("https://www.theoutnet.com/en-us/shop/product/ancient-greek-sandals/sandals/flat-sandals/christina-leather-sandals/1647597320036282", "https://www.theoutnet.com/en-us/shop/product/ancient-greek-sandals/sandals/flat-sandals/christina-leather-sandals/1647597320036282")</f>
        <v/>
      </c>
      <c r="B61" s="1">
        <f>HYPERLINK("https://www.theoutnet.com/en-us/shop/product/ancient-greek-sandals/sandals/flat-sandals/christina-leather-sandals/1647597320036282", "https://www.theoutnet.com/en-us/shop/product/ancient-greek-sandals/sandals/flat-sandals/christina-leather-sandals/1647597320036282")</f>
        <v/>
      </c>
      <c r="C61" t="inlineStr">
        <is>
          <t>ANCIENT GREEK SANDALS</t>
        </is>
      </c>
      <c r="D61" t="inlineStr">
        <is>
          <t>Ancient Greek Sandals Women's Eleftheria Sandal</t>
        </is>
      </c>
      <c r="E61" s="1">
        <f>HYPERLINK("https://www.amazon.com/Ancient-Greek-Sandals-Womens-Eleftheria/dp/B072JTJYY8/ref=sr_1_1?keywords=ANCIENT+GREEK+SANDALS&amp;qid=1695343594&amp;sr=8-1", "https://www.amazon.com/Ancient-Greek-Sandals-Womens-Eleftheria/dp/B072JTJYY8/ref=sr_1_1?keywords=ANCIENT+GREEK+SANDALS&amp;qid=1695343594&amp;sr=8-1")</f>
        <v/>
      </c>
      <c r="F61" t="inlineStr">
        <is>
          <t>B072JTJYY8</t>
        </is>
      </c>
      <c r="G61">
        <f>_xlfn.IMAGE("https://www.theoutnet.com/variants/images/1647597320036282/F/w1020_q80.jpg")</f>
        <v/>
      </c>
      <c r="H61">
        <f>_xlfn.IMAGE("https://m.media-amazon.com/images/I/5129EWHgsDL._AC_UL320_.jpg")</f>
        <v/>
      </c>
      <c r="K61" t="inlineStr">
        <is>
          <t>125.0</t>
        </is>
      </c>
      <c r="L61" t="n">
        <v>275</v>
      </c>
      <c r="M61" s="2" t="inlineStr">
        <is>
          <t>120.00%</t>
        </is>
      </c>
      <c r="N61" t="n">
        <v>4.2</v>
      </c>
      <c r="O61" t="n">
        <v>8</v>
      </c>
      <c r="Q61" t="inlineStr">
        <is>
          <t>InStock</t>
        </is>
      </c>
      <c r="R61" t="inlineStr">
        <is>
          <t>250.0</t>
        </is>
      </c>
      <c r="S61" t="inlineStr">
        <is>
          <t>1</t>
        </is>
      </c>
    </row>
    <row r="62" ht="75" customHeight="1">
      <c r="A62" s="1">
        <f>HYPERLINK("https://www.theoutnet.com/en-us/shop/product/ancient-greek-sandals/sandals/flat-sandals/diakopes-comfort-leather-sandals/1647597320036645", "https://www.theoutnet.com/en-us/shop/product/ancient-greek-sandals/sandals/flat-sandals/diakopes-comfort-leather-sandals/1647597320036645")</f>
        <v/>
      </c>
      <c r="B62" s="1">
        <f>HYPERLINK("https://www.theoutnet.com/en-us/shop/product/ancient-greek-sandals/sandals/flat-sandals/diakopes-comfort-leather-sandals/1647597320036645", "https://www.theoutnet.com/en-us/shop/product/ancient-greek-sandals/sandals/flat-sandals/diakopes-comfort-leather-sandals/1647597320036645")</f>
        <v/>
      </c>
      <c r="C62" t="inlineStr">
        <is>
          <t>ANCIENT GREEK SANDALS</t>
        </is>
      </c>
      <c r="D62" t="inlineStr">
        <is>
          <t>Ancient Greek Sandals Women's Eleftheria Sandal</t>
        </is>
      </c>
      <c r="E62" s="1">
        <f>HYPERLINK("https://www.amazon.com/Ancient-Greek-Sandals-Womens-Eleftheria/dp/B072JTJYY8/ref=sr_1_1?keywords=ANCIENT+GREEK+SANDALS&amp;qid=1695343599&amp;sr=8-1", "https://www.amazon.com/Ancient-Greek-Sandals-Womens-Eleftheria/dp/B072JTJYY8/ref=sr_1_1?keywords=ANCIENT+GREEK+SANDALS&amp;qid=1695343599&amp;sr=8-1")</f>
        <v/>
      </c>
      <c r="F62" t="inlineStr">
        <is>
          <t>B072JTJYY8</t>
        </is>
      </c>
      <c r="G62">
        <f>_xlfn.IMAGE("https://www.theoutnet.com/variants/images/1647597320036645/F/w1020_q80.jpg")</f>
        <v/>
      </c>
      <c r="H62">
        <f>_xlfn.IMAGE("https://m.media-amazon.com/images/I/5129EWHgsDL._AC_UL320_.jpg")</f>
        <v/>
      </c>
      <c r="K62" t="inlineStr">
        <is>
          <t>133.0</t>
        </is>
      </c>
      <c r="L62" t="n">
        <v>275</v>
      </c>
      <c r="M62" s="2" t="inlineStr">
        <is>
          <t>106.77%</t>
        </is>
      </c>
      <c r="N62" t="n">
        <v>4.2</v>
      </c>
      <c r="O62" t="n">
        <v>8</v>
      </c>
      <c r="Q62" t="inlineStr">
        <is>
          <t>InStock</t>
        </is>
      </c>
      <c r="R62" t="inlineStr">
        <is>
          <t>295.0</t>
        </is>
      </c>
      <c r="S62" t="inlineStr">
        <is>
          <t>1647597320036645</t>
        </is>
      </c>
    </row>
    <row r="63" ht="75" customHeight="1">
      <c r="A63" s="1">
        <f>HYPERLINK("https://www.theoutnet.com/en-us/shop/product/ancient-greek-sandals/sandals/flat-sandals/dimitra-slingback-leather-sandals/1647597319960446", "https://www.theoutnet.com/en-us/shop/product/ancient-greek-sandals/sandals/flat-sandals/dimitra-slingback-leather-sandals/1647597319960446")</f>
        <v/>
      </c>
      <c r="B63" s="1">
        <f>HYPERLINK("https://www.theoutnet.com/en-us/shop/product/ancient-greek-sandals/sandals/flat-sandals/dimitra-slingback-leather-sandals/1647597319960446", "https://www.theoutnet.com/en-us/shop/product/ancient-greek-sandals/sandals/flat-sandals/dimitra-slingback-leather-sandals/1647597319960446")</f>
        <v/>
      </c>
      <c r="C63" t="inlineStr">
        <is>
          <t>ANCIENT GREEK SANDALS</t>
        </is>
      </c>
      <c r="D63" t="inlineStr">
        <is>
          <t>Ancient Greek Sandals Women's Eleftheria Sandal</t>
        </is>
      </c>
      <c r="E63" s="1">
        <f>HYPERLINK("https://www.amazon.com/Ancient-Greek-Sandals-Womens-Eleftheria/dp/B072JTJYY8/ref=sr_1_1?keywords=ANCIENT+GREEK+SANDALS&amp;qid=1695343582&amp;sr=8-1", "https://www.amazon.com/Ancient-Greek-Sandals-Womens-Eleftheria/dp/B072JTJYY8/ref=sr_1_1?keywords=ANCIENT+GREEK+SANDALS&amp;qid=1695343582&amp;sr=8-1")</f>
        <v/>
      </c>
      <c r="F63" t="inlineStr">
        <is>
          <t>B072JTJYY8</t>
        </is>
      </c>
      <c r="G63">
        <f>_xlfn.IMAGE("https://www.theoutnet.com/variants/images/1647597319960446/F/w1020_q80.jpg")</f>
        <v/>
      </c>
      <c r="H63">
        <f>_xlfn.IMAGE("https://m.media-amazon.com/images/I/5129EWHgsDL._AC_UL320_.jpg")</f>
        <v/>
      </c>
      <c r="K63" t="inlineStr">
        <is>
          <t>122.0</t>
        </is>
      </c>
      <c r="L63" t="n">
        <v>275</v>
      </c>
      <c r="M63" s="2" t="inlineStr">
        <is>
          <t>125.41%</t>
        </is>
      </c>
      <c r="N63" t="n">
        <v>4.2</v>
      </c>
      <c r="O63" t="n">
        <v>8</v>
      </c>
      <c r="Q63" t="inlineStr">
        <is>
          <t>InStock</t>
        </is>
      </c>
      <c r="R63" t="inlineStr">
        <is>
          <t>270.0</t>
        </is>
      </c>
      <c r="S63" t="inlineStr">
        <is>
          <t>1</t>
        </is>
      </c>
    </row>
    <row r="64" ht="75" customHeight="1">
      <c r="A64" s="1">
        <f>HYPERLINK("https://www.theoutnet.com/en-us/shop/product/ancient-greek-sandals/sandals/flat-sandals/doukani-embossed-leather-slides/1647597319790350", "https://www.theoutnet.com/en-us/shop/product/ancient-greek-sandals/sandals/flat-sandals/doukani-embossed-leather-slides/1647597319790350")</f>
        <v/>
      </c>
      <c r="B64" s="1">
        <f>HYPERLINK("https://www.theoutnet.com/en-us/shop/product/ancient-greek-sandals/sandals/flat-sandals/doukani-embossed-leather-slides/1647597319790350", "https://www.theoutnet.com/en-us/shop/product/ancient-greek-sandals/sandals/flat-sandals/doukani-embossed-leather-slides/1647597319790350")</f>
        <v/>
      </c>
      <c r="C64" t="inlineStr">
        <is>
          <t>ANCIENT GREEK SANDALS</t>
        </is>
      </c>
      <c r="D64" t="inlineStr">
        <is>
          <t>Ancient Greek Sandals Women's Eleftheria Sandal</t>
        </is>
      </c>
      <c r="E64" s="1">
        <f>HYPERLINK("https://www.amazon.com/Ancient-Greek-Sandals-Womens-Eleftheria/dp/B072JTJYY8/ref=sr_1_1?keywords=ANCIENT+GREEK+SANDALS&amp;qid=1695343604&amp;sr=8-1", "https://www.amazon.com/Ancient-Greek-Sandals-Womens-Eleftheria/dp/B072JTJYY8/ref=sr_1_1?keywords=ANCIENT+GREEK+SANDALS&amp;qid=1695343604&amp;sr=8-1")</f>
        <v/>
      </c>
      <c r="F64" t="inlineStr">
        <is>
          <t>B072JTJYY8</t>
        </is>
      </c>
      <c r="G64">
        <f>_xlfn.IMAGE("https://www.theoutnet.com/variants/images/1647597319790350/F/w1020_q80.jpg")</f>
        <v/>
      </c>
      <c r="H64">
        <f>_xlfn.IMAGE("https://m.media-amazon.com/images/I/5129EWHgsDL._AC_UL320_.jpg")</f>
        <v/>
      </c>
      <c r="K64" t="inlineStr">
        <is>
          <t>133.0</t>
        </is>
      </c>
      <c r="L64" t="n">
        <v>275</v>
      </c>
      <c r="M64" s="2" t="inlineStr">
        <is>
          <t>106.77%</t>
        </is>
      </c>
      <c r="N64" t="n">
        <v>4.2</v>
      </c>
      <c r="O64" t="n">
        <v>8</v>
      </c>
      <c r="Q64" t="inlineStr">
        <is>
          <t>InStock</t>
        </is>
      </c>
      <c r="R64" t="inlineStr">
        <is>
          <t>265.0</t>
        </is>
      </c>
      <c r="S64" t="inlineStr">
        <is>
          <t>1647597319790350</t>
        </is>
      </c>
    </row>
    <row r="65" ht="75" customHeight="1">
      <c r="A65" s="1">
        <f>HYPERLINK("https://www.theoutnet.com/en-us/shop/product/ancient-greek-sandals/sandals/flat-sandals/ekaterini-faux-pearl-embellished-braided-leather-sandals/1647597319872798", "https://www.theoutnet.com/en-us/shop/product/ancient-greek-sandals/sandals/flat-sandals/ekaterini-faux-pearl-embellished-braided-leather-sandals/1647597319872798")</f>
        <v/>
      </c>
      <c r="B65" s="1">
        <f>HYPERLINK("https://www.theoutnet.com/en-us/shop/product/ancient-greek-sandals/sandals/flat-sandals/ekaterini-faux-pearl-embellished-braided-leather-sandals/1647597319872798", "https://www.theoutnet.com/en-us/shop/product/ancient-greek-sandals/sandals/flat-sandals/ekaterini-faux-pearl-embellished-braided-leather-sandals/1647597319872798")</f>
        <v/>
      </c>
      <c r="C65" t="inlineStr">
        <is>
          <t>ANCIENT GREEK SANDALS</t>
        </is>
      </c>
      <c r="D65" t="inlineStr">
        <is>
          <t>Ancient Greek Sandals Women's Eleftheria Sandal</t>
        </is>
      </c>
      <c r="E65" s="1">
        <f>HYPERLINK("https://www.amazon.com/Ancient-Greek-Sandals-Womens-Eleftheria/dp/B072JTJYY8/ref=sr_1_1?keywords=ANCIENT+GREEK+SANDALS&amp;qid=1695343622&amp;sr=8-1", "https://www.amazon.com/Ancient-Greek-Sandals-Womens-Eleftheria/dp/B072JTJYY8/ref=sr_1_1?keywords=ANCIENT+GREEK+SANDALS&amp;qid=1695343622&amp;sr=8-1")</f>
        <v/>
      </c>
      <c r="F65" t="inlineStr">
        <is>
          <t>B072JTJYY8</t>
        </is>
      </c>
      <c r="G65">
        <f>_xlfn.IMAGE("https://www.theoutnet.com/variants/images/1647597319872798/F/w1020_q80.jpg")</f>
        <v/>
      </c>
      <c r="H65">
        <f>_xlfn.IMAGE("https://m.media-amazon.com/images/I/5129EWHgsDL._AC_UL320_.jpg")</f>
        <v/>
      </c>
      <c r="K65" t="inlineStr">
        <is>
          <t>143.0</t>
        </is>
      </c>
      <c r="L65" t="n">
        <v>275</v>
      </c>
      <c r="M65" s="2" t="inlineStr">
        <is>
          <t>92.31%</t>
        </is>
      </c>
      <c r="N65" t="n">
        <v>4.2</v>
      </c>
      <c r="O65" t="n">
        <v>8</v>
      </c>
      <c r="Q65" t="inlineStr">
        <is>
          <t>InStock</t>
        </is>
      </c>
      <c r="R65" t="inlineStr">
        <is>
          <t>285.0</t>
        </is>
      </c>
      <c r="S65" t="inlineStr">
        <is>
          <t>1647597319872798</t>
        </is>
      </c>
    </row>
    <row r="66" ht="75" customHeight="1">
      <c r="A66" s="1">
        <f>HYPERLINK("https://www.theoutnet.com/en-us/shop/product/ancient-greek-sandals/sandals/flat-sandals/ieria-laser-cut-leather-sandals/1647597319788320", "https://www.theoutnet.com/en-us/shop/product/ancient-greek-sandals/sandals/flat-sandals/ieria-laser-cut-leather-sandals/1647597319788320")</f>
        <v/>
      </c>
      <c r="B66" s="1">
        <f>HYPERLINK("https://www.theoutnet.com/en-us/shop/product/ancient-greek-sandals/sandals/flat-sandals/ieria-laser-cut-leather-sandals/1647597319788320", "https://www.theoutnet.com/en-us/shop/product/ancient-greek-sandals/sandals/flat-sandals/ieria-laser-cut-leather-sandals/1647597319788320")</f>
        <v/>
      </c>
      <c r="C66" t="inlineStr">
        <is>
          <t>ANCIENT GREEK SANDALS</t>
        </is>
      </c>
      <c r="D66" t="inlineStr">
        <is>
          <t>Ancient Greek Sandals Women's Eleftheria Sandal</t>
        </is>
      </c>
      <c r="E66" s="1">
        <f>HYPERLINK("https://www.amazon.com/Ancient-Greek-Sandals-Womens-Eleftheria/dp/B072JTJYY8/ref=sr_1_1?keywords=ANCIENT+GREEK+SANDALS&amp;qid=1695343575&amp;sr=8-1", "https://www.amazon.com/Ancient-Greek-Sandals-Womens-Eleftheria/dp/B072JTJYY8/ref=sr_1_1?keywords=ANCIENT+GREEK+SANDALS&amp;qid=1695343575&amp;sr=8-1")</f>
        <v/>
      </c>
      <c r="F66" t="inlineStr">
        <is>
          <t>B072JTJYY8</t>
        </is>
      </c>
      <c r="G66">
        <f>_xlfn.IMAGE("https://www.theoutnet.com/variants/images/1647597319788320/F/w1020_q80.jpg")</f>
        <v/>
      </c>
      <c r="H66">
        <f>_xlfn.IMAGE("https://m.media-amazon.com/images/I/5129EWHgsDL._AC_UL320_.jpg")</f>
        <v/>
      </c>
      <c r="K66" t="inlineStr">
        <is>
          <t>118.0</t>
        </is>
      </c>
      <c r="L66" t="n">
        <v>275</v>
      </c>
      <c r="M66" s="2" t="inlineStr">
        <is>
          <t>133.05%</t>
        </is>
      </c>
      <c r="N66" t="n">
        <v>4.2</v>
      </c>
      <c r="O66" t="n">
        <v>8</v>
      </c>
      <c r="Q66" t="inlineStr">
        <is>
          <t>InStock</t>
        </is>
      </c>
      <c r="R66" t="inlineStr">
        <is>
          <t>235.0</t>
        </is>
      </c>
      <c r="S66" t="inlineStr">
        <is>
          <t>1647597319788320</t>
        </is>
      </c>
    </row>
    <row r="67" ht="75" customHeight="1">
      <c r="A67" s="1">
        <f>HYPERLINK("https://www.theoutnet.com/en-us/shop/product/ancient-greek-sandals/sandals/flat-sandals/irina-crystal-embellished-pvc-sandals/1647597318817622", "https://www.theoutnet.com/en-us/shop/product/ancient-greek-sandals/sandals/flat-sandals/irina-crystal-embellished-pvc-sandals/1647597318817622")</f>
        <v/>
      </c>
      <c r="B67" s="1">
        <f>HYPERLINK("https://www.theoutnet.com/en-us/shop/product/ancient-greek-sandals/sandals/flat-sandals/irina-crystal-embellished-pvc-sandals/1647597318817622", "https://www.theoutnet.com/en-us/shop/product/ancient-greek-sandals/sandals/flat-sandals/irina-crystal-embellished-pvc-sandals/1647597318817622")</f>
        <v/>
      </c>
      <c r="C67" t="inlineStr">
        <is>
          <t>ANCIENT GREEK SANDALS</t>
        </is>
      </c>
      <c r="D67" t="inlineStr">
        <is>
          <t>Ancient Greek Sandals Women's Eleftheria Sandal</t>
        </is>
      </c>
      <c r="E67" s="1">
        <f>HYPERLINK("https://www.amazon.com/Ancient-Greek-Sandals-Womens-Eleftheria/dp/B072JTJYY8/ref=sr_1_1?keywords=ANCIENT+GREEK+SANDALS&amp;qid=1695343624&amp;sr=8-1", "https://www.amazon.com/Ancient-Greek-Sandals-Womens-Eleftheria/dp/B072JTJYY8/ref=sr_1_1?keywords=ANCIENT+GREEK+SANDALS&amp;qid=1695343624&amp;sr=8-1")</f>
        <v/>
      </c>
      <c r="F67" t="inlineStr">
        <is>
          <t>B072JTJYY8</t>
        </is>
      </c>
      <c r="G67">
        <f>_xlfn.IMAGE("https://www.theoutnet.com/variants/images/1647597318817622/F/w1020_q80.jpg")</f>
        <v/>
      </c>
      <c r="H67">
        <f>_xlfn.IMAGE("https://m.media-amazon.com/images/I/5129EWHgsDL._AC_UL320_.jpg")</f>
        <v/>
      </c>
      <c r="K67" t="inlineStr">
        <is>
          <t>145.0</t>
        </is>
      </c>
      <c r="L67" t="n">
        <v>275</v>
      </c>
      <c r="M67" s="2" t="inlineStr">
        <is>
          <t>89.66%</t>
        </is>
      </c>
      <c r="N67" t="n">
        <v>4.2</v>
      </c>
      <c r="O67" t="n">
        <v>8</v>
      </c>
      <c r="Q67" t="inlineStr">
        <is>
          <t>InStock</t>
        </is>
      </c>
      <c r="R67" t="inlineStr">
        <is>
          <t>290.0</t>
        </is>
      </c>
      <c r="S67" t="inlineStr">
        <is>
          <t>1647597318817622</t>
        </is>
      </c>
    </row>
    <row r="68" ht="75" customHeight="1">
      <c r="A68" s="1">
        <f>HYPERLINK("https://www.theoutnet.com/en-us/shop/product/ancient-greek-sandals/sandals/flat-sandals/kallos-cutout-snake-effect-leather-sandals/23471478576230460", "https://www.theoutnet.com/en-us/shop/product/ancient-greek-sandals/sandals/flat-sandals/kallos-cutout-snake-effect-leather-sandals/23471478576230460")</f>
        <v/>
      </c>
      <c r="B68" s="1">
        <f>HYPERLINK("https://www.theoutnet.com/en-us/shop/product/ancient-greek-sandals/sandals/flat-sandals/kallos-cutout-snake-effect-leather-sandals/23471478576230460", "https://www.theoutnet.com/en-us/shop/product/ancient-greek-sandals/sandals/flat-sandals/kallos-cutout-snake-effect-leather-sandals/23471478576230460")</f>
        <v/>
      </c>
      <c r="C68" t="inlineStr">
        <is>
          <t>ANCIENT GREEK SANDALS</t>
        </is>
      </c>
      <c r="D68" t="inlineStr">
        <is>
          <t>Ancient Greek Sandals Women's Eleftheria Sandal</t>
        </is>
      </c>
      <c r="E68" s="1">
        <f>HYPERLINK("https://www.amazon.com/Ancient-Greek-Sandals-Womens-Eleftheria/dp/B072JTJYY8/ref=sr_1_1?keywords=ANCIENT+GREEK+SANDALS&amp;qid=1695343620&amp;sr=8-1", "https://www.amazon.com/Ancient-Greek-Sandals-Womens-Eleftheria/dp/B072JTJYY8/ref=sr_1_1?keywords=ANCIENT+GREEK+SANDALS&amp;qid=1695343620&amp;sr=8-1")</f>
        <v/>
      </c>
      <c r="F68" t="inlineStr">
        <is>
          <t>B072JTJYY8</t>
        </is>
      </c>
      <c r="G68">
        <f>_xlfn.IMAGE("https://www.theoutnet.com/variants/images/23471478576230460/F/w1020_q80.jpg")</f>
        <v/>
      </c>
      <c r="H68">
        <f>_xlfn.IMAGE("https://m.media-amazon.com/images/I/5129EWHgsDL._AC_UL320_.jpg")</f>
        <v/>
      </c>
      <c r="K68" t="inlineStr">
        <is>
          <t>141.0</t>
        </is>
      </c>
      <c r="L68" t="n">
        <v>275</v>
      </c>
      <c r="M68" s="2" t="inlineStr">
        <is>
          <t>95.04%</t>
        </is>
      </c>
      <c r="N68" t="n">
        <v>4.2</v>
      </c>
      <c r="O68" t="n">
        <v>8</v>
      </c>
      <c r="Q68" t="inlineStr">
        <is>
          <t>InStock</t>
        </is>
      </c>
      <c r="R68" t="inlineStr">
        <is>
          <t>255.0</t>
        </is>
      </c>
      <c r="S68" t="inlineStr">
        <is>
          <t>23471478576230460</t>
        </is>
      </c>
    </row>
    <row r="69" ht="75" customHeight="1">
      <c r="A69" s="1">
        <f>HYPERLINK("https://www.theoutnet.com/en-us/shop/product/ancient-greek-sandals/sandals/flat-sandals/kanzis-pvc-sandals/1647597327334590", "https://www.theoutnet.com/en-us/shop/product/ancient-greek-sandals/sandals/flat-sandals/kanzis-pvc-sandals/1647597327334590")</f>
        <v/>
      </c>
      <c r="B69" s="1">
        <f>HYPERLINK("https://www.theoutnet.com/en-us/shop/product/ancient-greek-sandals/sandals/flat-sandals/kanzis-pvc-sandals/1647597327334590", "https://www.theoutnet.com/en-us/shop/product/ancient-greek-sandals/sandals/flat-sandals/kanzis-pvc-sandals/1647597327334590")</f>
        <v/>
      </c>
      <c r="C69" t="inlineStr">
        <is>
          <t>ANCIENT GREEK SANDALS</t>
        </is>
      </c>
      <c r="D69" t="inlineStr">
        <is>
          <t>Ancient Greek Sandals Women's Eleftheria Sandal</t>
        </is>
      </c>
      <c r="E69" s="1">
        <f>HYPERLINK("https://www.amazon.com/Ancient-Greek-Sandals-Womens-Eleftheria/dp/B072JTJYY8/ref=sr_1_5?keywords=ANCIENT+GREEK+SANDALS&amp;qid=1695343562&amp;sr=8-5", "https://www.amazon.com/Ancient-Greek-Sandals-Womens-Eleftheria/dp/B072JTJYY8/ref=sr_1_5?keywords=ANCIENT+GREEK+SANDALS&amp;qid=1695343562&amp;sr=8-5")</f>
        <v/>
      </c>
      <c r="F69" t="inlineStr">
        <is>
          <t>B072JTJYY8</t>
        </is>
      </c>
      <c r="G69">
        <f>_xlfn.IMAGE("https://www.theoutnet.com/variants/images/1647597327334590/F/w1020_q80.jpg")</f>
        <v/>
      </c>
      <c r="H69">
        <f>_xlfn.IMAGE("https://m.media-amazon.com/images/I/5129EWHgsDL._AC_UL320_.jpg")</f>
        <v/>
      </c>
      <c r="K69" t="inlineStr">
        <is>
          <t>103.0</t>
        </is>
      </c>
      <c r="L69" t="n">
        <v>275</v>
      </c>
      <c r="M69" s="2" t="inlineStr">
        <is>
          <t>166.99%</t>
        </is>
      </c>
      <c r="N69" t="n">
        <v>4.2</v>
      </c>
      <c r="O69" t="n">
        <v>8</v>
      </c>
      <c r="Q69" t="inlineStr">
        <is>
          <t>InStock</t>
        </is>
      </c>
      <c r="R69" t="inlineStr">
        <is>
          <t>205.0</t>
        </is>
      </c>
      <c r="S69" t="inlineStr">
        <is>
          <t>6</t>
        </is>
      </c>
    </row>
    <row r="70" ht="75" customHeight="1">
      <c r="A70" s="1">
        <f>HYPERLINK("https://www.theoutnet.com/en-us/shop/product/ancient-greek-sandals/sandals/flat-sandals/kanzis-pvc-sandals/1647597327334590", "https://www.theoutnet.com/en-us/shop/product/ancient-greek-sandals/sandals/flat-sandals/kanzis-pvc-sandals/1647597327334590")</f>
        <v/>
      </c>
      <c r="B70" s="1">
        <f>HYPERLINK("https://www.theoutnet.com/en-us/shop/product/ancient-greek-sandals/sandals/flat-sandals/kanzis-pvc-sandals/1647597327334590", "https://www.theoutnet.com/en-us/shop/product/ancient-greek-sandals/sandals/flat-sandals/kanzis-pvc-sandals/1647597327334590")</f>
        <v/>
      </c>
      <c r="C70" t="inlineStr">
        <is>
          <t>ANCIENT GREEK SANDALS</t>
        </is>
      </c>
      <c r="D70" t="inlineStr">
        <is>
          <t>Ancient Greek Sandals Women's Eleftheria Sandal</t>
        </is>
      </c>
      <c r="E70" s="1" t="n"/>
      <c r="F70" t="inlineStr">
        <is>
          <t>B07CVWY249</t>
        </is>
      </c>
      <c r="G70">
        <f>_xlfn.IMAGE("https://www.theoutnet.com/variants/images/1647597327334590/F/w1020_q80.jpg")</f>
        <v/>
      </c>
      <c r="H70">
        <f>_xlfn.IMAGE("https://m.media-amazon.com/images/I/51kUevjlaNL._AC_UL320_.jpg")</f>
        <v/>
      </c>
      <c r="K70" t="inlineStr">
        <is>
          <t>103.0</t>
        </is>
      </c>
      <c r="L70" t="n">
        <v>275</v>
      </c>
      <c r="M70" s="2" t="inlineStr">
        <is>
          <t>166.99%</t>
        </is>
      </c>
      <c r="N70" t="n">
        <v>4.2</v>
      </c>
      <c r="O70" t="n">
        <v>8</v>
      </c>
      <c r="Q70" t="inlineStr">
        <is>
          <t>InStock</t>
        </is>
      </c>
      <c r="R70" t="inlineStr">
        <is>
          <t>205.0</t>
        </is>
      </c>
      <c r="S70" t="inlineStr">
        <is>
          <t>6</t>
        </is>
      </c>
    </row>
    <row r="71" ht="75" customHeight="1">
      <c r="A71" s="1">
        <f>HYPERLINK("https://www.theoutnet.com/en-us/shop/product/ancient-greek-sandals/sandals/flat-sandals/kyma-metallic-trimmed-leather-sandals/1647597319786728", "https://www.theoutnet.com/en-us/shop/product/ancient-greek-sandals/sandals/flat-sandals/kyma-metallic-trimmed-leather-sandals/1647597319786728")</f>
        <v/>
      </c>
      <c r="B71" s="1">
        <f>HYPERLINK("https://www.theoutnet.com/en-us/shop/product/ancient-greek-sandals/sandals/flat-sandals/kyma-metallic-trimmed-leather-sandals/1647597319786728", "https://www.theoutnet.com/en-us/shop/product/ancient-greek-sandals/sandals/flat-sandals/kyma-metallic-trimmed-leather-sandals/1647597319786728")</f>
        <v/>
      </c>
      <c r="C71" t="inlineStr">
        <is>
          <t>ANCIENT GREEK SANDALS</t>
        </is>
      </c>
      <c r="D71" t="inlineStr">
        <is>
          <t>Ancient Greek Sandals Women's Eleftheria Sandal</t>
        </is>
      </c>
      <c r="E71" s="1">
        <f>HYPERLINK("https://www.amazon.com/Ancient-Greek-Sandals-Womens-Eleftheria/dp/B072JTJYY8/ref=sr_1_1?keywords=ANCIENT+GREEK+SANDALS&amp;qid=1695343545&amp;sr=8-1", "https://www.amazon.com/Ancient-Greek-Sandals-Womens-Eleftheria/dp/B072JTJYY8/ref=sr_1_1?keywords=ANCIENT+GREEK+SANDALS&amp;qid=1695343545&amp;sr=8-1")</f>
        <v/>
      </c>
      <c r="F71" t="inlineStr">
        <is>
          <t>B072JTJYY8</t>
        </is>
      </c>
      <c r="G71">
        <f>_xlfn.IMAGE("https://www.theoutnet.com/variants/images/1647597319786728/F/w1020_q80.jpg")</f>
        <v/>
      </c>
      <c r="H71">
        <f>_xlfn.IMAGE("https://m.media-amazon.com/images/I/5129EWHgsDL._AC_UL320_.jpg")</f>
        <v/>
      </c>
      <c r="K71" t="inlineStr">
        <is>
          <t>97.0</t>
        </is>
      </c>
      <c r="L71" t="n">
        <v>275</v>
      </c>
      <c r="M71" s="2" t="inlineStr">
        <is>
          <t>183.51%</t>
        </is>
      </c>
      <c r="N71" t="n">
        <v>4.2</v>
      </c>
      <c r="O71" t="n">
        <v>8</v>
      </c>
      <c r="Q71" t="inlineStr">
        <is>
          <t>InStock</t>
        </is>
      </c>
      <c r="R71" t="inlineStr">
        <is>
          <t>215.0</t>
        </is>
      </c>
      <c r="S71" t="inlineStr">
        <is>
          <t>1647597319786728</t>
        </is>
      </c>
    </row>
    <row r="72" ht="75" customHeight="1">
      <c r="A72" s="1">
        <f>HYPERLINK("https://www.theoutnet.com/en-us/shop/product/ancient-greek-sandals/sandals/flat-sandals/kyma-metallic-trimmed-leather-sandals/1647597319786728", "https://www.theoutnet.com/en-us/shop/product/ancient-greek-sandals/sandals/flat-sandals/kyma-metallic-trimmed-leather-sandals/1647597319786728")</f>
        <v/>
      </c>
      <c r="B72" s="1">
        <f>HYPERLINK("https://www.theoutnet.com/en-us/shop/product/ancient-greek-sandals/sandals/flat-sandals/kyma-metallic-trimmed-leather-sandals/1647597319786728", "https://www.theoutnet.com/en-us/shop/product/ancient-greek-sandals/sandals/flat-sandals/kyma-metallic-trimmed-leather-sandals/1647597319786728")</f>
        <v/>
      </c>
      <c r="C72" t="inlineStr">
        <is>
          <t>ANCIENT GREEK SANDALS</t>
        </is>
      </c>
      <c r="D72" t="inlineStr">
        <is>
          <t>Ancient Greek Sandals Women's Li Sandals</t>
        </is>
      </c>
      <c r="E72" s="1">
        <f>HYPERLINK("https://www.amazon.com/Ancient-Greek-Sandals-Womens-Medium/dp/B0BHN4TJV3/ref=sr_1_9?keywords=ANCIENT+GREEK+SANDALS&amp;qid=1695343545&amp;sr=8-9", "https://www.amazon.com/Ancient-Greek-Sandals-Womens-Medium/dp/B0BHN4TJV3/ref=sr_1_9?keywords=ANCIENT+GREEK+SANDALS&amp;qid=1695343545&amp;sr=8-9")</f>
        <v/>
      </c>
      <c r="F72" t="inlineStr">
        <is>
          <t>B0BHN4TJV3</t>
        </is>
      </c>
      <c r="G72">
        <f>_xlfn.IMAGE("https://www.theoutnet.com/variants/images/1647597319786728/F/w1020_q80.jpg")</f>
        <v/>
      </c>
      <c r="H72">
        <f>_xlfn.IMAGE("https://m.media-amazon.com/images/I/51+QUV26OrL._AC_UL320_.jpg")</f>
        <v/>
      </c>
      <c r="K72" t="inlineStr">
        <is>
          <t>97.0</t>
        </is>
      </c>
      <c r="L72" t="n">
        <v>168</v>
      </c>
      <c r="M72" s="2" t="inlineStr">
        <is>
          <t>73.20%</t>
        </is>
      </c>
      <c r="N72" t="n">
        <v>4</v>
      </c>
      <c r="O72" t="n">
        <v>1</v>
      </c>
      <c r="Q72" t="inlineStr">
        <is>
          <t>InStock</t>
        </is>
      </c>
      <c r="R72" t="inlineStr">
        <is>
          <t>215.0</t>
        </is>
      </c>
      <c r="S72" t="inlineStr">
        <is>
          <t>1647597319786728</t>
        </is>
      </c>
    </row>
    <row r="73" ht="75" customHeight="1">
      <c r="A73" s="1">
        <f>HYPERLINK("https://www.theoutnet.com/en-us/shop/product/ancient-greek-sandals/sandals/flat-sandals/kyma-metallic-trimmed-leather-sandals/1647597319874901", "https://www.theoutnet.com/en-us/shop/product/ancient-greek-sandals/sandals/flat-sandals/kyma-metallic-trimmed-leather-sandals/1647597319874901")</f>
        <v/>
      </c>
      <c r="B73" s="1">
        <f>HYPERLINK("https://www.theoutnet.com/en-us/shop/product/ancient-greek-sandals/sandals/flat-sandals/kyma-metallic-trimmed-leather-sandals/1647597319874901", "https://www.theoutnet.com/en-us/shop/product/ancient-greek-sandals/sandals/flat-sandals/kyma-metallic-trimmed-leather-sandals/1647597319874901")</f>
        <v/>
      </c>
      <c r="C73" t="inlineStr">
        <is>
          <t>ANCIENT GREEK SANDALS</t>
        </is>
      </c>
      <c r="D73" t="inlineStr">
        <is>
          <t>Ancient Greek Sandals Women's Eleftheria Sandal</t>
        </is>
      </c>
      <c r="E73" s="1">
        <f>HYPERLINK("https://www.amazon.com/Ancient-Greek-Sandals-Womens-Eleftheria/dp/B072JTJYY8/ref=sr_1_1?keywords=ANCIENT+GREEK+SANDALS&amp;qid=1695343549&amp;sr=8-1", "https://www.amazon.com/Ancient-Greek-Sandals-Womens-Eleftheria/dp/B072JTJYY8/ref=sr_1_1?keywords=ANCIENT+GREEK+SANDALS&amp;qid=1695343549&amp;sr=8-1")</f>
        <v/>
      </c>
      <c r="F73" t="inlineStr">
        <is>
          <t>B072JTJYY8</t>
        </is>
      </c>
      <c r="G73">
        <f>_xlfn.IMAGE("https://www.theoutnet.com/variants/images/1647597319874901/F/w1020_q80.jpg")</f>
        <v/>
      </c>
      <c r="H73">
        <f>_xlfn.IMAGE("https://m.media-amazon.com/images/I/5129EWHgsDL._AC_UL320_.jpg")</f>
        <v/>
      </c>
      <c r="K73" t="inlineStr">
        <is>
          <t>97.0</t>
        </is>
      </c>
      <c r="L73" t="n">
        <v>275</v>
      </c>
      <c r="M73" s="2" t="inlineStr">
        <is>
          <t>183.51%</t>
        </is>
      </c>
      <c r="N73" t="n">
        <v>4.2</v>
      </c>
      <c r="O73" t="n">
        <v>8</v>
      </c>
      <c r="Q73" t="inlineStr">
        <is>
          <t>InStock</t>
        </is>
      </c>
      <c r="R73" t="inlineStr">
        <is>
          <t>215.0</t>
        </is>
      </c>
      <c r="S73" t="inlineStr">
        <is>
          <t>1</t>
        </is>
      </c>
    </row>
    <row r="74" ht="75" customHeight="1">
      <c r="A74" s="1">
        <f>HYPERLINK("https://www.theoutnet.com/en-us/shop/product/ancient-greek-sandals/sandals/flat-sandals/kyma-metallic-trimmed-leather-sandals/1647597319874901", "https://www.theoutnet.com/en-us/shop/product/ancient-greek-sandals/sandals/flat-sandals/kyma-metallic-trimmed-leather-sandals/1647597319874901")</f>
        <v/>
      </c>
      <c r="B74" s="1">
        <f>HYPERLINK("https://www.theoutnet.com/en-us/shop/product/ancient-greek-sandals/sandals/flat-sandals/kyma-metallic-trimmed-leather-sandals/1647597319874901", "https://www.theoutnet.com/en-us/shop/product/ancient-greek-sandals/sandals/flat-sandals/kyma-metallic-trimmed-leather-sandals/1647597319874901")</f>
        <v/>
      </c>
      <c r="C74" t="inlineStr">
        <is>
          <t>ANCIENT GREEK SANDALS</t>
        </is>
      </c>
      <c r="D74" t="inlineStr">
        <is>
          <t>Ancient Greek Sandals Women's Li Sandals</t>
        </is>
      </c>
      <c r="E74" s="1">
        <f>HYPERLINK("https://www.amazon.com/Ancient-Greek-Sandals-Womens-Medium/dp/B0BHN4TJV3/ref=sr_1_9?keywords=ANCIENT+GREEK+SANDALS&amp;qid=1695343549&amp;sr=8-9", "https://www.amazon.com/Ancient-Greek-Sandals-Womens-Medium/dp/B0BHN4TJV3/ref=sr_1_9?keywords=ANCIENT+GREEK+SANDALS&amp;qid=1695343549&amp;sr=8-9")</f>
        <v/>
      </c>
      <c r="F74" t="inlineStr">
        <is>
          <t>B0BHN4TJV3</t>
        </is>
      </c>
      <c r="G74">
        <f>_xlfn.IMAGE("https://www.theoutnet.com/variants/images/1647597319874901/F/w1020_q80.jpg")</f>
        <v/>
      </c>
      <c r="H74">
        <f>_xlfn.IMAGE("https://m.media-amazon.com/images/I/51+QUV26OrL._AC_UL320_.jpg")</f>
        <v/>
      </c>
      <c r="K74" t="inlineStr">
        <is>
          <t>97.0</t>
        </is>
      </c>
      <c r="L74" t="n">
        <v>168</v>
      </c>
      <c r="M74" s="2" t="inlineStr">
        <is>
          <t>73.20%</t>
        </is>
      </c>
      <c r="N74" t="n">
        <v>4</v>
      </c>
      <c r="O74" t="n">
        <v>1</v>
      </c>
      <c r="Q74" t="inlineStr">
        <is>
          <t>InStock</t>
        </is>
      </c>
      <c r="R74" t="inlineStr">
        <is>
          <t>215.0</t>
        </is>
      </c>
      <c r="S74" t="inlineStr">
        <is>
          <t>1</t>
        </is>
      </c>
    </row>
    <row r="75" ht="75" customHeight="1">
      <c r="A75" s="1">
        <f>HYPERLINK("https://www.theoutnet.com/en-us/shop/product/ancient-greek-sandals/sandals/flat-sandals/kynthia-braided-metallic-leather-slides/23471478576225743", "https://www.theoutnet.com/en-us/shop/product/ancient-greek-sandals/sandals/flat-sandals/kynthia-braided-metallic-leather-slides/23471478576225743")</f>
        <v/>
      </c>
      <c r="B75" s="1">
        <f>HYPERLINK("https://www.theoutnet.com/en-us/shop/product/ancient-greek-sandals/sandals/flat-sandals/kynthia-braided-metallic-leather-slides/23471478576225743", "https://www.theoutnet.com/en-us/shop/product/ancient-greek-sandals/sandals/flat-sandals/kynthia-braided-metallic-leather-slides/23471478576225743")</f>
        <v/>
      </c>
      <c r="C75" t="inlineStr">
        <is>
          <t>ANCIENT GREEK SANDALS</t>
        </is>
      </c>
      <c r="D75" t="inlineStr">
        <is>
          <t>Ancient Greek Sandals Women's Eleftheria Sandal</t>
        </is>
      </c>
      <c r="E75" s="1">
        <f>HYPERLINK("https://www.amazon.com/Ancient-Greek-Sandals-Womens-Eleftheria/dp/B072JTJYY8/ref=sr_1_1?keywords=ANCIENT+GREEK+SANDALS&amp;qid=1695343575&amp;sr=8-1", "https://www.amazon.com/Ancient-Greek-Sandals-Womens-Eleftheria/dp/B072JTJYY8/ref=sr_1_1?keywords=ANCIENT+GREEK+SANDALS&amp;qid=1695343575&amp;sr=8-1")</f>
        <v/>
      </c>
      <c r="F75" t="inlineStr">
        <is>
          <t>B072JTJYY8</t>
        </is>
      </c>
      <c r="G75">
        <f>_xlfn.IMAGE("https://www.theoutnet.com/variants/images/23471478576225743/F/w1020_q80.jpg")</f>
        <v/>
      </c>
      <c r="H75">
        <f>_xlfn.IMAGE("https://m.media-amazon.com/images/I/5129EWHgsDL._AC_UL320_.jpg")</f>
        <v/>
      </c>
      <c r="K75" t="inlineStr">
        <is>
          <t>117.0</t>
        </is>
      </c>
      <c r="L75" t="n">
        <v>275</v>
      </c>
      <c r="M75" s="2" t="inlineStr">
        <is>
          <t>135.04%</t>
        </is>
      </c>
      <c r="N75" t="n">
        <v>4.2</v>
      </c>
      <c r="O75" t="n">
        <v>8</v>
      </c>
      <c r="Q75" t="inlineStr">
        <is>
          <t>InStock</t>
        </is>
      </c>
      <c r="R75" t="inlineStr">
        <is>
          <t>260.0</t>
        </is>
      </c>
      <c r="S75" t="inlineStr">
        <is>
          <t>23471478576225743</t>
        </is>
      </c>
    </row>
    <row r="76" ht="75" customHeight="1">
      <c r="A76" s="1">
        <f>HYPERLINK("https://www.theoutnet.com/en-us/shop/product/ancient-greek-sandals/sandals/flat-sandals/laconia-leather-sandals/1647597287887444", "https://www.theoutnet.com/en-us/shop/product/ancient-greek-sandals/sandals/flat-sandals/laconia-leather-sandals/1647597287887444")</f>
        <v/>
      </c>
      <c r="B76" s="1">
        <f>HYPERLINK("https://www.theoutnet.com/en-us/shop/product/ancient-greek-sandals/sandals/flat-sandals/laconia-leather-sandals/1647597287887444", "https://www.theoutnet.com/en-us/shop/product/ancient-greek-sandals/sandals/flat-sandals/laconia-leather-sandals/1647597287887444")</f>
        <v/>
      </c>
      <c r="C76" t="inlineStr">
        <is>
          <t>ANCIENT GREEK SANDALS</t>
        </is>
      </c>
      <c r="D76" t="inlineStr">
        <is>
          <t>Ancient Greek Sandals Women's Eleftheria Sandal</t>
        </is>
      </c>
      <c r="E76" s="1">
        <f>HYPERLINK("https://www.amazon.com/Ancient-Greek-Sandals-Womens-Eleftheria/dp/B072JTJYY8/ref=sr_1_1?keywords=ANCIENT+GREEK+SANDALS&amp;qid=1695343534&amp;sr=8-1", "https://www.amazon.com/Ancient-Greek-Sandals-Womens-Eleftheria/dp/B072JTJYY8/ref=sr_1_1?keywords=ANCIENT+GREEK+SANDALS&amp;qid=1695343534&amp;sr=8-1")</f>
        <v/>
      </c>
      <c r="F76" t="inlineStr">
        <is>
          <t>B072JTJYY8</t>
        </is>
      </c>
      <c r="G76">
        <f>_xlfn.IMAGE("https://www.theoutnet.com/variants/images/1647597287887444/F/w1020_q80.jpg")</f>
        <v/>
      </c>
      <c r="H76">
        <f>_xlfn.IMAGE("https://m.media-amazon.com/images/I/5129EWHgsDL._AC_UL320_.jpg")</f>
        <v/>
      </c>
      <c r="K76" t="inlineStr">
        <is>
          <t>89.0</t>
        </is>
      </c>
      <c r="L76" t="n">
        <v>275</v>
      </c>
      <c r="M76" s="2" t="inlineStr">
        <is>
          <t>208.99%</t>
        </is>
      </c>
      <c r="N76" t="n">
        <v>4.2</v>
      </c>
      <c r="O76" t="n">
        <v>8</v>
      </c>
      <c r="Q76" t="inlineStr">
        <is>
          <t>InStock</t>
        </is>
      </c>
      <c r="R76" t="inlineStr">
        <is>
          <t>161.0</t>
        </is>
      </c>
      <c r="S76" t="inlineStr">
        <is>
          <t>1647597287887444</t>
        </is>
      </c>
    </row>
    <row r="77" ht="75" customHeight="1">
      <c r="A77" s="1">
        <f>HYPERLINK("https://www.theoutnet.com/en-us/shop/product/ancient-greek-sandals/sandals/flat-sandals/laconia-leather-sandals/1647597287887444", "https://www.theoutnet.com/en-us/shop/product/ancient-greek-sandals/sandals/flat-sandals/laconia-leather-sandals/1647597287887444")</f>
        <v/>
      </c>
      <c r="B77" s="1">
        <f>HYPERLINK("https://www.theoutnet.com/en-us/shop/product/ancient-greek-sandals/sandals/flat-sandals/laconia-leather-sandals/1647597287887444", "https://www.theoutnet.com/en-us/shop/product/ancient-greek-sandals/sandals/flat-sandals/laconia-leather-sandals/1647597287887444")</f>
        <v/>
      </c>
      <c r="C77" t="inlineStr">
        <is>
          <t>ANCIENT GREEK SANDALS</t>
        </is>
      </c>
      <c r="D77" t="inlineStr">
        <is>
          <t>Ancient Greek Sandals Women's Li Sandals</t>
        </is>
      </c>
      <c r="E77" s="1">
        <f>HYPERLINK("https://www.amazon.com/Ancient-Greek-Sandals-Womens-Medium/dp/B0BHN4TJV3/ref=sr_1_9?keywords=ANCIENT+GREEK+SANDALS&amp;qid=1695343534&amp;sr=8-9", "https://www.amazon.com/Ancient-Greek-Sandals-Womens-Medium/dp/B0BHN4TJV3/ref=sr_1_9?keywords=ANCIENT+GREEK+SANDALS&amp;qid=1695343534&amp;sr=8-9")</f>
        <v/>
      </c>
      <c r="F77" t="inlineStr">
        <is>
          <t>B0BHN4TJV3</t>
        </is>
      </c>
      <c r="G77">
        <f>_xlfn.IMAGE("https://www.theoutnet.com/variants/images/1647597287887444/F/w1020_q80.jpg")</f>
        <v/>
      </c>
      <c r="H77">
        <f>_xlfn.IMAGE("https://m.media-amazon.com/images/I/51+QUV26OrL._AC_UL320_.jpg")</f>
        <v/>
      </c>
      <c r="K77" t="inlineStr">
        <is>
          <t>89.0</t>
        </is>
      </c>
      <c r="L77" t="n">
        <v>168</v>
      </c>
      <c r="M77" s="2" t="inlineStr">
        <is>
          <t>88.76%</t>
        </is>
      </c>
      <c r="N77" t="n">
        <v>4</v>
      </c>
      <c r="O77" t="n">
        <v>1</v>
      </c>
      <c r="Q77" t="inlineStr">
        <is>
          <t>InStock</t>
        </is>
      </c>
      <c r="R77" t="inlineStr">
        <is>
          <t>161.0</t>
        </is>
      </c>
      <c r="S77" t="inlineStr">
        <is>
          <t>1647597287887444</t>
        </is>
      </c>
    </row>
    <row r="78" ht="75" customHeight="1">
      <c r="A78" s="1">
        <f>HYPERLINK("https://www.theoutnet.com/en-us/shop/product/ancient-greek-sandals/sandals/flat-sandals/leather-flip-flops/1647597327337218", "https://www.theoutnet.com/en-us/shop/product/ancient-greek-sandals/sandals/flat-sandals/leather-flip-flops/1647597327337218")</f>
        <v/>
      </c>
      <c r="B78" s="1">
        <f>HYPERLINK("https://www.theoutnet.com/en-us/shop/product/ancient-greek-sandals/sandals/flat-sandals/leather-flip-flops/1647597327337218", "https://www.theoutnet.com/en-us/shop/product/ancient-greek-sandals/sandals/flat-sandals/leather-flip-flops/1647597327337218")</f>
        <v/>
      </c>
      <c r="C78" t="inlineStr">
        <is>
          <t>ANCIENT GREEK SANDALS</t>
        </is>
      </c>
      <c r="D78" t="inlineStr">
        <is>
          <t>Ancient Greek Sandals Women's Eleftheria Sandal</t>
        </is>
      </c>
      <c r="E78" s="1">
        <f>HYPERLINK("https://www.amazon.com/Ancient-Greek-Sandals-Womens-Eleftheria/dp/B072JTJYY8/ref=sr_1_1?keywords=ANCIENT+GREEK+SANDALS&amp;qid=1695343556&amp;sr=8-1", "https://www.amazon.com/Ancient-Greek-Sandals-Womens-Eleftheria/dp/B072JTJYY8/ref=sr_1_1?keywords=ANCIENT+GREEK+SANDALS&amp;qid=1695343556&amp;sr=8-1")</f>
        <v/>
      </c>
      <c r="F78" t="inlineStr">
        <is>
          <t>B072JTJYY8</t>
        </is>
      </c>
      <c r="G78">
        <f>_xlfn.IMAGE("https://www.theoutnet.com/variants/images/1647597327337218/F/w1020_q80.jpg")</f>
        <v/>
      </c>
      <c r="H78">
        <f>_xlfn.IMAGE("https://m.media-amazon.com/images/I/5129EWHgsDL._AC_UL320_.jpg")</f>
        <v/>
      </c>
      <c r="K78" t="inlineStr">
        <is>
          <t>103.0</t>
        </is>
      </c>
      <c r="L78" t="n">
        <v>275</v>
      </c>
      <c r="M78" s="2" t="inlineStr">
        <is>
          <t>166.99%</t>
        </is>
      </c>
      <c r="N78" t="n">
        <v>4.2</v>
      </c>
      <c r="O78" t="n">
        <v>8</v>
      </c>
      <c r="Q78" t="inlineStr">
        <is>
          <t>InStock</t>
        </is>
      </c>
      <c r="R78" t="inlineStr">
        <is>
          <t>205.0</t>
        </is>
      </c>
      <c r="S78" t="inlineStr">
        <is>
          <t>1</t>
        </is>
      </c>
    </row>
    <row r="79" ht="75" customHeight="1">
      <c r="A79" s="1">
        <f>HYPERLINK("https://www.theoutnet.com/en-us/shop/product/ancient-greek-sandals/sandals/flat-sandals/leather-sandals/16114163150760513", "https://www.theoutnet.com/en-us/shop/product/ancient-greek-sandals/sandals/flat-sandals/leather-sandals/16114163150760513")</f>
        <v/>
      </c>
      <c r="B79" s="1">
        <f>HYPERLINK("https://www.theoutnet.com/en-us/shop/product/ancient-greek-sandals/sandals/flat-sandals/leather-sandals/16114163150760513", "https://www.theoutnet.com/en-us/shop/product/ancient-greek-sandals/sandals/flat-sandals/leather-sandals/16114163150760513")</f>
        <v/>
      </c>
      <c r="C79" t="inlineStr">
        <is>
          <t>ANCIENT GREEK SANDALS</t>
        </is>
      </c>
      <c r="D79" t="inlineStr">
        <is>
          <t>Ancient Greek Sandals Women's Eleftheria Sandal</t>
        </is>
      </c>
      <c r="E79" s="1">
        <f>HYPERLINK("https://www.amazon.com/Ancient-Greek-Sandals-Womens-Eleftheria/dp/B072JTJYY8/ref=sr_1_1?keywords=ANCIENT+GREEK+SANDALS&amp;qid=1695343306&amp;sr=8-1", "https://www.amazon.com/Ancient-Greek-Sandals-Womens-Eleftheria/dp/B072JTJYY8/ref=sr_1_1?keywords=ANCIENT+GREEK+SANDALS&amp;qid=1695343306&amp;sr=8-1")</f>
        <v/>
      </c>
      <c r="F79" t="inlineStr">
        <is>
          <t>B072JTJYY8</t>
        </is>
      </c>
      <c r="G79">
        <f>_xlfn.IMAGE("https://www.theoutnet.com/variants/images/16114163150760513/F/w1020_q80.jpg")</f>
        <v/>
      </c>
      <c r="H79">
        <f>_xlfn.IMAGE("https://m.media-amazon.com/images/I/5129EWHgsDL._AC_UL320_.jpg")</f>
        <v/>
      </c>
      <c r="K79" t="inlineStr">
        <is>
          <t>60.0</t>
        </is>
      </c>
      <c r="L79" t="n">
        <v>275</v>
      </c>
      <c r="M79" s="2" t="inlineStr">
        <is>
          <t>358.33%</t>
        </is>
      </c>
      <c r="N79" t="n">
        <v>4.2</v>
      </c>
      <c r="O79" t="n">
        <v>8</v>
      </c>
      <c r="Q79" t="inlineStr">
        <is>
          <t>InStock</t>
        </is>
      </c>
      <c r="R79" t="inlineStr">
        <is>
          <t>200.0</t>
        </is>
      </c>
      <c r="S79" t="inlineStr">
        <is>
          <t>16114163150760513</t>
        </is>
      </c>
    </row>
    <row r="80" ht="75" customHeight="1">
      <c r="A80" s="1">
        <f>HYPERLINK("https://www.theoutnet.com/en-us/shop/product/ancient-greek-sandals/sandals/flat-sandals/leather-sandals/16114163150760513", "https://www.theoutnet.com/en-us/shop/product/ancient-greek-sandals/sandals/flat-sandals/leather-sandals/16114163150760513")</f>
        <v/>
      </c>
      <c r="B80" s="1">
        <f>HYPERLINK("https://www.theoutnet.com/en-us/shop/product/ancient-greek-sandals/sandals/flat-sandals/leather-sandals/16114163150760513", "https://www.theoutnet.com/en-us/shop/product/ancient-greek-sandals/sandals/flat-sandals/leather-sandals/16114163150760513")</f>
        <v/>
      </c>
      <c r="C80" t="inlineStr">
        <is>
          <t>ANCIENT GREEK SANDALS</t>
        </is>
      </c>
      <c r="D80" t="inlineStr">
        <is>
          <t>Ancient Greek Sandals Women's Eleftheria Sandal</t>
        </is>
      </c>
      <c r="E80" s="1">
        <f>HYPERLINK("https://www.amazon.com/Ancient-Greek-Sandals-Womens-Eleftheria/dp/B072JTJYY8/ref=sr_1_1?keywords=ANCIENT+GREEK+SANDALS&amp;qid=1695343509&amp;sr=8-1", "https://www.amazon.com/Ancient-Greek-Sandals-Womens-Eleftheria/dp/B072JTJYY8/ref=sr_1_1?keywords=ANCIENT+GREEK+SANDALS&amp;qid=1695343509&amp;sr=8-1")</f>
        <v/>
      </c>
      <c r="F80" t="inlineStr">
        <is>
          <t>B072JTJYY8</t>
        </is>
      </c>
      <c r="G80">
        <f>_xlfn.IMAGE("https://www.theoutnet.com/variants/images/16114163150760513/F/w1020_q80.jpg")</f>
        <v/>
      </c>
      <c r="H80">
        <f>_xlfn.IMAGE("https://m.media-amazon.com/images/I/5129EWHgsDL._AC_UL320_.jpg")</f>
        <v/>
      </c>
      <c r="K80" t="inlineStr">
        <is>
          <t>60.0</t>
        </is>
      </c>
      <c r="L80" t="n">
        <v>275</v>
      </c>
      <c r="M80" s="2" t="inlineStr">
        <is>
          <t>358.33%</t>
        </is>
      </c>
      <c r="N80" t="n">
        <v>4.2</v>
      </c>
      <c r="O80" t="n">
        <v>8</v>
      </c>
      <c r="Q80" t="inlineStr">
        <is>
          <t>InStock</t>
        </is>
      </c>
      <c r="R80" t="inlineStr">
        <is>
          <t>200.0</t>
        </is>
      </c>
      <c r="S80" t="inlineStr">
        <is>
          <t>16114163150760513</t>
        </is>
      </c>
    </row>
    <row r="81" ht="75" customHeight="1">
      <c r="A81" s="1">
        <f>HYPERLINK("https://www.theoutnet.com/en-us/shop/product/ancient-greek-sandals/sandals/flat-sandals/leather-sandals/16114163150760513", "https://www.theoutnet.com/en-us/shop/product/ancient-greek-sandals/sandals/flat-sandals/leather-sandals/16114163150760513")</f>
        <v/>
      </c>
      <c r="B81" s="1">
        <f>HYPERLINK("https://www.theoutnet.com/en-us/shop/product/ancient-greek-sandals/sandals/flat-sandals/leather-sandals/16114163150760513", "https://www.theoutnet.com/en-us/shop/product/ancient-greek-sandals/sandals/flat-sandals/leather-sandals/16114163150760513")</f>
        <v/>
      </c>
      <c r="C81" t="inlineStr">
        <is>
          <t>ANCIENT GREEK SANDALS</t>
        </is>
      </c>
      <c r="D81" t="inlineStr">
        <is>
          <t>Ancient Greek Sandals Women's Li Sandals</t>
        </is>
      </c>
      <c r="E81" s="1">
        <f>HYPERLINK("https://www.amazon.com/Ancient-Greek-Sandals-Womens-Medium/dp/B0BHN4TJV3/ref=sr_1_9?keywords=ANCIENT+GREEK+SANDALS&amp;qid=1695343509&amp;sr=8-9", "https://www.amazon.com/Ancient-Greek-Sandals-Womens-Medium/dp/B0BHN4TJV3/ref=sr_1_9?keywords=ANCIENT+GREEK+SANDALS&amp;qid=1695343509&amp;sr=8-9")</f>
        <v/>
      </c>
      <c r="F81" t="inlineStr">
        <is>
          <t>B0BHN4TJV3</t>
        </is>
      </c>
      <c r="G81">
        <f>_xlfn.IMAGE("https://www.theoutnet.com/variants/images/16114163150760513/F/w1020_q80.jpg")</f>
        <v/>
      </c>
      <c r="H81">
        <f>_xlfn.IMAGE("https://m.media-amazon.com/images/I/51+QUV26OrL._AC_UL320_.jpg")</f>
        <v/>
      </c>
      <c r="K81" t="inlineStr">
        <is>
          <t>60.0</t>
        </is>
      </c>
      <c r="L81" t="n">
        <v>168</v>
      </c>
      <c r="M81" s="2" t="inlineStr">
        <is>
          <t>180.00%</t>
        </is>
      </c>
      <c r="N81" t="n">
        <v>4</v>
      </c>
      <c r="O81" t="n">
        <v>1</v>
      </c>
      <c r="Q81" t="inlineStr">
        <is>
          <t>InStock</t>
        </is>
      </c>
      <c r="R81" t="inlineStr">
        <is>
          <t>200.0</t>
        </is>
      </c>
      <c r="S81" t="inlineStr">
        <is>
          <t>16114163150760513</t>
        </is>
      </c>
    </row>
    <row r="82" ht="75" customHeight="1">
      <c r="A82" s="1">
        <f>HYPERLINK("https://www.theoutnet.com/en-us/shop/product/ancient-greek-sandals/sandals/flat-sandals/lithi-webbing-sandals/1647597319789511", "https://www.theoutnet.com/en-us/shop/product/ancient-greek-sandals/sandals/flat-sandals/lithi-webbing-sandals/1647597319789511")</f>
        <v/>
      </c>
      <c r="B82" s="1">
        <f>HYPERLINK("https://www.theoutnet.com/en-us/shop/product/ancient-greek-sandals/sandals/flat-sandals/lithi-webbing-sandals/1647597319789511", "https://www.theoutnet.com/en-us/shop/product/ancient-greek-sandals/sandals/flat-sandals/lithi-webbing-sandals/1647597319789511")</f>
        <v/>
      </c>
      <c r="C82" t="inlineStr">
        <is>
          <t>ANCIENT GREEK SANDALS</t>
        </is>
      </c>
      <c r="D82" t="inlineStr">
        <is>
          <t>Ancient Greek Sandals Women's Eleftheria Sandal</t>
        </is>
      </c>
      <c r="E82" s="1">
        <f>HYPERLINK("https://www.amazon.com/Ancient-Greek-Sandals-Womens-Eleftheria/dp/B072JTJYY8/ref=sr_1_1?keywords=ANCIENT+GREEK+SANDALS&amp;qid=1695343597&amp;sr=8-1", "https://www.amazon.com/Ancient-Greek-Sandals-Womens-Eleftheria/dp/B072JTJYY8/ref=sr_1_1?keywords=ANCIENT+GREEK+SANDALS&amp;qid=1695343597&amp;sr=8-1")</f>
        <v/>
      </c>
      <c r="F82" t="inlineStr">
        <is>
          <t>B072JTJYY8</t>
        </is>
      </c>
      <c r="G82">
        <f>_xlfn.IMAGE("https://www.theoutnet.com/variants/images/1647597319789511/F/w1020_q80.jpg")</f>
        <v/>
      </c>
      <c r="H82">
        <f>_xlfn.IMAGE("https://m.media-amazon.com/images/I/5129EWHgsDL._AC_UL320_.jpg")</f>
        <v/>
      </c>
      <c r="K82" t="inlineStr">
        <is>
          <t>126.0</t>
        </is>
      </c>
      <c r="L82" t="n">
        <v>275</v>
      </c>
      <c r="M82" s="2" t="inlineStr">
        <is>
          <t>118.25%</t>
        </is>
      </c>
      <c r="N82" t="n">
        <v>4.2</v>
      </c>
      <c r="O82" t="n">
        <v>8</v>
      </c>
      <c r="Q82" t="inlineStr">
        <is>
          <t>InStock</t>
        </is>
      </c>
      <c r="R82" t="inlineStr">
        <is>
          <t>280.0</t>
        </is>
      </c>
      <c r="S82" t="inlineStr">
        <is>
          <t>1647597319789511</t>
        </is>
      </c>
    </row>
    <row r="83" ht="75" customHeight="1">
      <c r="A83" s="1">
        <f>HYPERLINK("https://www.theoutnet.com/en-us/shop/product/ancient-greek-sandals/sandals/flat-sandals/lithi-webbing-sandals/1647597319789512", "https://www.theoutnet.com/en-us/shop/product/ancient-greek-sandals/sandals/flat-sandals/lithi-webbing-sandals/1647597319789512")</f>
        <v/>
      </c>
      <c r="B83" s="1">
        <f>HYPERLINK("https://www.theoutnet.com/en-us/shop/product/ancient-greek-sandals/sandals/flat-sandals/lithi-webbing-sandals/1647597319789512", "https://www.theoutnet.com/en-us/shop/product/ancient-greek-sandals/sandals/flat-sandals/lithi-webbing-sandals/1647597319789512")</f>
        <v/>
      </c>
      <c r="C83" t="inlineStr">
        <is>
          <t>ANCIENT GREEK SANDALS</t>
        </is>
      </c>
      <c r="D83" t="inlineStr">
        <is>
          <t>Ancient Greek Sandals Women's Eleftheria Sandal</t>
        </is>
      </c>
      <c r="E83" s="1">
        <f>HYPERLINK("https://www.amazon.com/Ancient-Greek-Sandals-Womens-Eleftheria/dp/B072JTJYY8/ref=sr_1_1?keywords=ANCIENT+GREEK+SANDALS&amp;qid=1695343621&amp;sr=8-1", "https://www.amazon.com/Ancient-Greek-Sandals-Womens-Eleftheria/dp/B072JTJYY8/ref=sr_1_1?keywords=ANCIENT+GREEK+SANDALS&amp;qid=1695343621&amp;sr=8-1")</f>
        <v/>
      </c>
      <c r="F83" t="inlineStr">
        <is>
          <t>B072JTJYY8</t>
        </is>
      </c>
      <c r="G83">
        <f>_xlfn.IMAGE("https://www.theoutnet.com/variants/images/1647597319789512/F/w1020_q80.jpg")</f>
        <v/>
      </c>
      <c r="H83">
        <f>_xlfn.IMAGE("https://m.media-amazon.com/images/I/5129EWHgsDL._AC_UL320_.jpg")</f>
        <v/>
      </c>
      <c r="K83" t="inlineStr">
        <is>
          <t>140.0</t>
        </is>
      </c>
      <c r="L83" t="n">
        <v>275</v>
      </c>
      <c r="M83" s="2" t="inlineStr">
        <is>
          <t>96.43%</t>
        </is>
      </c>
      <c r="N83" t="n">
        <v>4.2</v>
      </c>
      <c r="O83" t="n">
        <v>8</v>
      </c>
      <c r="Q83" t="inlineStr">
        <is>
          <t>InStock</t>
        </is>
      </c>
      <c r="R83" t="inlineStr">
        <is>
          <t>280.0</t>
        </is>
      </c>
      <c r="S83" t="inlineStr">
        <is>
          <t>1647597319789512</t>
        </is>
      </c>
    </row>
    <row r="84" ht="75" customHeight="1">
      <c r="A84" s="1">
        <f>HYPERLINK("https://www.theoutnet.com/en-us/shop/product/ancient-greek-sandals/sandals/flat-sandals/lithi-webbing-slingback-sandals/1647597319783079", "https://www.theoutnet.com/en-us/shop/product/ancient-greek-sandals/sandals/flat-sandals/lithi-webbing-slingback-sandals/1647597319783079")</f>
        <v/>
      </c>
      <c r="B84" s="1">
        <f>HYPERLINK("https://www.theoutnet.com/en-us/shop/product/ancient-greek-sandals/sandals/flat-sandals/lithi-webbing-slingback-sandals/1647597319783079", "https://www.theoutnet.com/en-us/shop/product/ancient-greek-sandals/sandals/flat-sandals/lithi-webbing-slingback-sandals/1647597319783079")</f>
        <v/>
      </c>
      <c r="C84" t="inlineStr">
        <is>
          <t>ANCIENT GREEK SANDALS</t>
        </is>
      </c>
      <c r="D84" t="inlineStr">
        <is>
          <t>Ancient Greek Sandals Women's Eleftheria Sandal</t>
        </is>
      </c>
      <c r="E84" s="1">
        <f>HYPERLINK("https://www.amazon.com/Ancient-Greek-Sandals-Womens-Eleftheria/dp/B072JTJYY8/ref=sr_1_1?keywords=ANCIENT+GREEK+SANDALS&amp;qid=1695343625&amp;sr=8-1", "https://www.amazon.com/Ancient-Greek-Sandals-Womens-Eleftheria/dp/B072JTJYY8/ref=sr_1_1?keywords=ANCIENT+GREEK+SANDALS&amp;qid=1695343625&amp;sr=8-1")</f>
        <v/>
      </c>
      <c r="F84" t="inlineStr">
        <is>
          <t>B072JTJYY8</t>
        </is>
      </c>
      <c r="G84">
        <f>_xlfn.IMAGE("https://www.theoutnet.com/variants/images/1647597319783079/F/w1020_q80.jpg")</f>
        <v/>
      </c>
      <c r="H84">
        <f>_xlfn.IMAGE("https://m.media-amazon.com/images/I/5129EWHgsDL._AC_UL320_.jpg")</f>
        <v/>
      </c>
      <c r="K84" t="inlineStr">
        <is>
          <t>126.0</t>
        </is>
      </c>
      <c r="L84" t="n">
        <v>275</v>
      </c>
      <c r="M84" s="2" t="inlineStr">
        <is>
          <t>118.25%</t>
        </is>
      </c>
      <c r="N84" t="n">
        <v>4.2</v>
      </c>
      <c r="O84" t="n">
        <v>8</v>
      </c>
      <c r="Q84" t="inlineStr">
        <is>
          <t>InStock</t>
        </is>
      </c>
      <c r="R84" t="inlineStr">
        <is>
          <t>280.0</t>
        </is>
      </c>
      <c r="S84" t="inlineStr">
        <is>
          <t>1647597319783079</t>
        </is>
      </c>
    </row>
    <row r="85" ht="75" customHeight="1">
      <c r="A85" s="1">
        <f>HYPERLINK("https://www.theoutnet.com/en-us/shop/product/ancient-greek-sandals/sandals/flat-sandals/meli-embossed-pvc-slides/1647597327334662", "https://www.theoutnet.com/en-us/shop/product/ancient-greek-sandals/sandals/flat-sandals/meli-embossed-pvc-slides/1647597327334662")</f>
        <v/>
      </c>
      <c r="B85" s="1">
        <f>HYPERLINK("https://www.theoutnet.com/en-us/shop/product/ancient-greek-sandals/sandals/flat-sandals/meli-embossed-pvc-slides/1647597327334662", "https://www.theoutnet.com/en-us/shop/product/ancient-greek-sandals/sandals/flat-sandals/meli-embossed-pvc-slides/1647597327334662")</f>
        <v/>
      </c>
      <c r="C85" t="inlineStr">
        <is>
          <t>ANCIENT GREEK SANDALS</t>
        </is>
      </c>
      <c r="D85" t="inlineStr">
        <is>
          <t>Ancient Greek Sandals Women's Eleftheria Sandal</t>
        </is>
      </c>
      <c r="E85" s="1">
        <f>HYPERLINK("https://www.amazon.com/Ancient-Greek-Sandals-Womens-Eleftheria/dp/B072JTJYY8/ref=sr_1_1?keywords=ANCIENT+GREEK+SANDALS&amp;qid=1695343520&amp;sr=8-1", "https://www.amazon.com/Ancient-Greek-Sandals-Womens-Eleftheria/dp/B072JTJYY8/ref=sr_1_1?keywords=ANCIENT+GREEK+SANDALS&amp;qid=1695343520&amp;sr=8-1")</f>
        <v/>
      </c>
      <c r="F85" t="inlineStr">
        <is>
          <t>B072JTJYY8</t>
        </is>
      </c>
      <c r="G85">
        <f>_xlfn.IMAGE("https://www.theoutnet.com/variants/images/1647597327334662/F/w1020_q80.jpg")</f>
        <v/>
      </c>
      <c r="H85">
        <f>_xlfn.IMAGE("https://m.media-amazon.com/images/I/5129EWHgsDL._AC_UL320_.jpg")</f>
        <v/>
      </c>
      <c r="K85" t="inlineStr">
        <is>
          <t>68.0</t>
        </is>
      </c>
      <c r="L85" t="n">
        <v>275</v>
      </c>
      <c r="M85" s="2" t="inlineStr">
        <is>
          <t>304.41%</t>
        </is>
      </c>
      <c r="N85" t="n">
        <v>4.2</v>
      </c>
      <c r="O85" t="n">
        <v>8</v>
      </c>
      <c r="Q85" t="inlineStr">
        <is>
          <t>InStock</t>
        </is>
      </c>
      <c r="R85" t="inlineStr">
        <is>
          <t>135.0</t>
        </is>
      </c>
      <c r="S85" t="inlineStr">
        <is>
          <t>1647597327334662</t>
        </is>
      </c>
    </row>
    <row r="86" ht="75" customHeight="1">
      <c r="A86" s="1">
        <f>HYPERLINK("https://www.theoutnet.com/en-us/shop/product/ancient-greek-sandals/sandals/flat-sandals/meli-embossed-pvc-slides/1647597327334662", "https://www.theoutnet.com/en-us/shop/product/ancient-greek-sandals/sandals/flat-sandals/meli-embossed-pvc-slides/1647597327334662")</f>
        <v/>
      </c>
      <c r="B86" s="1">
        <f>HYPERLINK("https://www.theoutnet.com/en-us/shop/product/ancient-greek-sandals/sandals/flat-sandals/meli-embossed-pvc-slides/1647597327334662", "https://www.theoutnet.com/en-us/shop/product/ancient-greek-sandals/sandals/flat-sandals/meli-embossed-pvc-slides/1647597327334662")</f>
        <v/>
      </c>
      <c r="C86" t="inlineStr">
        <is>
          <t>ANCIENT GREEK SANDALS</t>
        </is>
      </c>
      <c r="D86" t="inlineStr">
        <is>
          <t>Ancient Greek Sandals Women's Li Sandals</t>
        </is>
      </c>
      <c r="E86" s="1">
        <f>HYPERLINK("https://www.amazon.com/Ancient-Greek-Sandals-Womens-Medium/dp/B0BHN4TJV3/ref=sr_1_9?keywords=ANCIENT+GREEK+SANDALS&amp;qid=1695343520&amp;sr=8-9", "https://www.amazon.com/Ancient-Greek-Sandals-Womens-Medium/dp/B0BHN4TJV3/ref=sr_1_9?keywords=ANCIENT+GREEK+SANDALS&amp;qid=1695343520&amp;sr=8-9")</f>
        <v/>
      </c>
      <c r="F86" t="inlineStr">
        <is>
          <t>B0BHN4TJV3</t>
        </is>
      </c>
      <c r="G86">
        <f>_xlfn.IMAGE("https://www.theoutnet.com/variants/images/1647597327334662/F/w1020_q80.jpg")</f>
        <v/>
      </c>
      <c r="H86">
        <f>_xlfn.IMAGE("https://m.media-amazon.com/images/I/51+QUV26OrL._AC_UL320_.jpg")</f>
        <v/>
      </c>
      <c r="K86" t="inlineStr">
        <is>
          <t>68.0</t>
        </is>
      </c>
      <c r="L86" t="n">
        <v>168</v>
      </c>
      <c r="M86" s="2" t="inlineStr">
        <is>
          <t>147.06%</t>
        </is>
      </c>
      <c r="N86" t="n">
        <v>4</v>
      </c>
      <c r="O86" t="n">
        <v>1</v>
      </c>
      <c r="Q86" t="inlineStr">
        <is>
          <t>InStock</t>
        </is>
      </c>
      <c r="R86" t="inlineStr">
        <is>
          <t>135.0</t>
        </is>
      </c>
      <c r="S86" t="inlineStr">
        <is>
          <t>1647597327334662</t>
        </is>
      </c>
    </row>
    <row r="87" ht="75" customHeight="1">
      <c r="A87" s="1">
        <f>HYPERLINK("https://www.theoutnet.com/en-us/shop/product/ancient-greek-sandals/sandals/flat-sandals/melpomeni-braided-suede-sandals/1647597319872810", "https://www.theoutnet.com/en-us/shop/product/ancient-greek-sandals/sandals/flat-sandals/melpomeni-braided-suede-sandals/1647597319872810")</f>
        <v/>
      </c>
      <c r="B87" s="1">
        <f>HYPERLINK("https://www.theoutnet.com/en-us/shop/product/ancient-greek-sandals/sandals/flat-sandals/melpomeni-braided-suede-sandals/1647597319872810", "https://www.theoutnet.com/en-us/shop/product/ancient-greek-sandals/sandals/flat-sandals/melpomeni-braided-suede-sandals/1647597319872810")</f>
        <v/>
      </c>
      <c r="C87" t="inlineStr">
        <is>
          <t>ANCIENT GREEK SANDALS</t>
        </is>
      </c>
      <c r="D87" t="inlineStr">
        <is>
          <t>Ancient Greek Sandals Women's Eleftheria Sandal</t>
        </is>
      </c>
      <c r="E87" s="1">
        <f>HYPERLINK("https://www.amazon.com/Ancient-Greek-Sandals-Womens-Eleftheria/dp/B072JTJYY8/ref=sr_1_1?keywords=ANCIENT+GREEK+SANDALS&amp;qid=1695343549&amp;sr=8-1", "https://www.amazon.com/Ancient-Greek-Sandals-Womens-Eleftheria/dp/B072JTJYY8/ref=sr_1_1?keywords=ANCIENT+GREEK+SANDALS&amp;qid=1695343549&amp;sr=8-1")</f>
        <v/>
      </c>
      <c r="F87" t="inlineStr">
        <is>
          <t>B072JTJYY8</t>
        </is>
      </c>
      <c r="G87">
        <f>_xlfn.IMAGE("https://www.theoutnet.com/variants/images/1647597319872810/F/w1020_q80.jpg")</f>
        <v/>
      </c>
      <c r="H87">
        <f>_xlfn.IMAGE("https://m.media-amazon.com/images/I/5129EWHgsDL._AC_UL320_.jpg")</f>
        <v/>
      </c>
      <c r="K87" t="inlineStr">
        <is>
          <t>99.0</t>
        </is>
      </c>
      <c r="L87" t="n">
        <v>275</v>
      </c>
      <c r="M87" s="2" t="inlineStr">
        <is>
          <t>177.78%</t>
        </is>
      </c>
      <c r="N87" t="n">
        <v>4.2</v>
      </c>
      <c r="O87" t="n">
        <v>8</v>
      </c>
      <c r="Q87" t="inlineStr">
        <is>
          <t>InStock</t>
        </is>
      </c>
      <c r="R87" t="inlineStr">
        <is>
          <t>220.0</t>
        </is>
      </c>
      <c r="S87" t="inlineStr">
        <is>
          <t>1647597319872810</t>
        </is>
      </c>
    </row>
    <row r="88" ht="75" customHeight="1">
      <c r="A88" s="1">
        <f>HYPERLINK("https://www.theoutnet.com/en-us/shop/product/ancient-greek-sandals/sandals/flat-sandals/melpomeni-braided-suede-sandals/1647597319872810", "https://www.theoutnet.com/en-us/shop/product/ancient-greek-sandals/sandals/flat-sandals/melpomeni-braided-suede-sandals/1647597319872810")</f>
        <v/>
      </c>
      <c r="B88" s="1">
        <f>HYPERLINK("https://www.theoutnet.com/en-us/shop/product/ancient-greek-sandals/sandals/flat-sandals/melpomeni-braided-suede-sandals/1647597319872810", "https://www.theoutnet.com/en-us/shop/product/ancient-greek-sandals/sandals/flat-sandals/melpomeni-braided-suede-sandals/1647597319872810")</f>
        <v/>
      </c>
      <c r="C88" t="inlineStr">
        <is>
          <t>ANCIENT GREEK SANDALS</t>
        </is>
      </c>
      <c r="D88" t="inlineStr">
        <is>
          <t>Ancient Greek Sandals Women's Li Sandals</t>
        </is>
      </c>
      <c r="E88" s="1">
        <f>HYPERLINK("https://www.amazon.com/Ancient-Greek-Sandals-Womens-Medium/dp/B0BHN4TJV3/ref=sr_1_9?keywords=ANCIENT+GREEK+SANDALS&amp;qid=1695343549&amp;sr=8-9", "https://www.amazon.com/Ancient-Greek-Sandals-Womens-Medium/dp/B0BHN4TJV3/ref=sr_1_9?keywords=ANCIENT+GREEK+SANDALS&amp;qid=1695343549&amp;sr=8-9")</f>
        <v/>
      </c>
      <c r="F88" t="inlineStr">
        <is>
          <t>B0BHN4TJV3</t>
        </is>
      </c>
      <c r="G88">
        <f>_xlfn.IMAGE("https://www.theoutnet.com/variants/images/1647597319872810/F/w1020_q80.jpg")</f>
        <v/>
      </c>
      <c r="H88">
        <f>_xlfn.IMAGE("https://m.media-amazon.com/images/I/51+QUV26OrL._AC_UL320_.jpg")</f>
        <v/>
      </c>
      <c r="K88" t="inlineStr">
        <is>
          <t>99.0</t>
        </is>
      </c>
      <c r="L88" t="n">
        <v>168</v>
      </c>
      <c r="M88" s="2" t="inlineStr">
        <is>
          <t>69.70%</t>
        </is>
      </c>
      <c r="N88" t="n">
        <v>4</v>
      </c>
      <c r="O88" t="n">
        <v>1</v>
      </c>
      <c r="Q88" t="inlineStr">
        <is>
          <t>InStock</t>
        </is>
      </c>
      <c r="R88" t="inlineStr">
        <is>
          <t>220.0</t>
        </is>
      </c>
      <c r="S88" t="inlineStr">
        <is>
          <t>1647597319872810</t>
        </is>
      </c>
    </row>
    <row r="89" ht="75" customHeight="1">
      <c r="A89" s="1">
        <f>HYPERLINK("https://www.theoutnet.com/en-us/shop/product/ancient-greek-sandals/sandals/flat-sandals/melpomeni-braided-suede-sandals/1647597319875647", "https://www.theoutnet.com/en-us/shop/product/ancient-greek-sandals/sandals/flat-sandals/melpomeni-braided-suede-sandals/1647597319875647")</f>
        <v/>
      </c>
      <c r="B89" s="1">
        <f>HYPERLINK("https://www.theoutnet.com/en-us/shop/product/ancient-greek-sandals/sandals/flat-sandals/melpomeni-braided-suede-sandals/1647597319875647", "https://www.theoutnet.com/en-us/shop/product/ancient-greek-sandals/sandals/flat-sandals/melpomeni-braided-suede-sandals/1647597319875647")</f>
        <v/>
      </c>
      <c r="C89" t="inlineStr">
        <is>
          <t>ANCIENT GREEK SANDALS</t>
        </is>
      </c>
      <c r="D89" t="inlineStr">
        <is>
          <t>Ancient Greek Sandals Women's Eleftheria Sandal</t>
        </is>
      </c>
      <c r="E89" s="1">
        <f>HYPERLINK("https://www.amazon.com/Ancient-Greek-Sandals-Womens-Eleftheria/dp/B072JTJYY8/ref=sr_1_1?keywords=ANCIENT+GREEK+SANDALS&amp;qid=1695343548&amp;sr=8-1", "https://www.amazon.com/Ancient-Greek-Sandals-Womens-Eleftheria/dp/B072JTJYY8/ref=sr_1_1?keywords=ANCIENT+GREEK+SANDALS&amp;qid=1695343548&amp;sr=8-1")</f>
        <v/>
      </c>
      <c r="F89" t="inlineStr">
        <is>
          <t>B072JTJYY8</t>
        </is>
      </c>
      <c r="G89">
        <f>_xlfn.IMAGE("https://www.theoutnet.com/variants/images/1647597319875647/F/w1020_q80.jpg")</f>
        <v/>
      </c>
      <c r="H89">
        <f>_xlfn.IMAGE("https://m.media-amazon.com/images/I/5129EWHgsDL._AC_UL320_.jpg")</f>
        <v/>
      </c>
      <c r="K89" t="inlineStr">
        <is>
          <t>99.0</t>
        </is>
      </c>
      <c r="L89" t="n">
        <v>275</v>
      </c>
      <c r="M89" s="2" t="inlineStr">
        <is>
          <t>177.78%</t>
        </is>
      </c>
      <c r="N89" t="n">
        <v>4.2</v>
      </c>
      <c r="O89" t="n">
        <v>8</v>
      </c>
      <c r="Q89" t="inlineStr">
        <is>
          <t>InStock</t>
        </is>
      </c>
      <c r="R89" t="inlineStr">
        <is>
          <t>220.0</t>
        </is>
      </c>
      <c r="S89" t="inlineStr">
        <is>
          <t>1647597319875647</t>
        </is>
      </c>
    </row>
    <row r="90" ht="75" customHeight="1">
      <c r="A90" s="1">
        <f>HYPERLINK("https://www.theoutnet.com/en-us/shop/product/ancient-greek-sandals/sandals/flat-sandals/melpomeni-braided-suede-sandals/1647597319875647", "https://www.theoutnet.com/en-us/shop/product/ancient-greek-sandals/sandals/flat-sandals/melpomeni-braided-suede-sandals/1647597319875647")</f>
        <v/>
      </c>
      <c r="B90" s="1">
        <f>HYPERLINK("https://www.theoutnet.com/en-us/shop/product/ancient-greek-sandals/sandals/flat-sandals/melpomeni-braided-suede-sandals/1647597319875647", "https://www.theoutnet.com/en-us/shop/product/ancient-greek-sandals/sandals/flat-sandals/melpomeni-braided-suede-sandals/1647597319875647")</f>
        <v/>
      </c>
      <c r="C90" t="inlineStr">
        <is>
          <t>ANCIENT GREEK SANDALS</t>
        </is>
      </c>
      <c r="D90" t="inlineStr">
        <is>
          <t>Ancient Greek Sandals Women's Li Sandals</t>
        </is>
      </c>
      <c r="E90" s="1">
        <f>HYPERLINK("https://www.amazon.com/Ancient-Greek-Sandals-Womens-Medium/dp/B0BHN4TJV3/ref=sr_1_9?keywords=ANCIENT+GREEK+SANDALS&amp;qid=1695343548&amp;sr=8-9", "https://www.amazon.com/Ancient-Greek-Sandals-Womens-Medium/dp/B0BHN4TJV3/ref=sr_1_9?keywords=ANCIENT+GREEK+SANDALS&amp;qid=1695343548&amp;sr=8-9")</f>
        <v/>
      </c>
      <c r="F90" t="inlineStr">
        <is>
          <t>B0BHN4TJV3</t>
        </is>
      </c>
      <c r="G90">
        <f>_xlfn.IMAGE("https://www.theoutnet.com/variants/images/1647597319875647/F/w1020_q80.jpg")</f>
        <v/>
      </c>
      <c r="H90">
        <f>_xlfn.IMAGE("https://m.media-amazon.com/images/I/51+QUV26OrL._AC_UL320_.jpg")</f>
        <v/>
      </c>
      <c r="K90" t="inlineStr">
        <is>
          <t>99.0</t>
        </is>
      </c>
      <c r="L90" t="n">
        <v>168</v>
      </c>
      <c r="M90" s="2" t="inlineStr">
        <is>
          <t>69.70%</t>
        </is>
      </c>
      <c r="N90" t="n">
        <v>4</v>
      </c>
      <c r="O90" t="n">
        <v>1</v>
      </c>
      <c r="Q90" t="inlineStr">
        <is>
          <t>InStock</t>
        </is>
      </c>
      <c r="R90" t="inlineStr">
        <is>
          <t>220.0</t>
        </is>
      </c>
      <c r="S90" t="inlineStr">
        <is>
          <t>1647597319875647</t>
        </is>
      </c>
    </row>
    <row r="91" ht="75" customHeight="1">
      <c r="A91" s="1">
        <f>HYPERLINK("https://www.theoutnet.com/en-us/shop/product/ancient-greek-sandals/sandals/flat-sandals/morfi-comfort-leather-sandals/1647597320036283", "https://www.theoutnet.com/en-us/shop/product/ancient-greek-sandals/sandals/flat-sandals/morfi-comfort-leather-sandals/1647597320036283")</f>
        <v/>
      </c>
      <c r="B91" s="1">
        <f>HYPERLINK("https://www.theoutnet.com/en-us/shop/product/ancient-greek-sandals/sandals/flat-sandals/morfi-comfort-leather-sandals/1647597320036283", "https://www.theoutnet.com/en-us/shop/product/ancient-greek-sandals/sandals/flat-sandals/morfi-comfort-leather-sandals/1647597320036283")</f>
        <v/>
      </c>
      <c r="C91" t="inlineStr">
        <is>
          <t>ANCIENT GREEK SANDALS</t>
        </is>
      </c>
      <c r="D91" t="inlineStr">
        <is>
          <t>Ancient Greek Sandals Women's Eleftheria Sandal</t>
        </is>
      </c>
      <c r="E91" s="1">
        <f>HYPERLINK("https://www.amazon.com/Ancient-Greek-Sandals-Womens-Eleftheria/dp/B072JTJYY8/ref=sr_1_1?keywords=ANCIENT+GREEK+SANDALS&amp;qid=1695343393&amp;sr=8-1", "https://www.amazon.com/Ancient-Greek-Sandals-Womens-Eleftheria/dp/B072JTJYY8/ref=sr_1_1?keywords=ANCIENT+GREEK+SANDALS&amp;qid=1695343393&amp;sr=8-1")</f>
        <v/>
      </c>
      <c r="F91" t="inlineStr">
        <is>
          <t>B072JTJYY8</t>
        </is>
      </c>
      <c r="G91">
        <f>_xlfn.IMAGE("https://www.theoutnet.com/variants/images/1647597320036283/F/w1020_q80.jpg")</f>
        <v/>
      </c>
      <c r="H91">
        <f>_xlfn.IMAGE("https://m.media-amazon.com/images/I/5129EWHgsDL._AC_UL320_.jpg")</f>
        <v/>
      </c>
      <c r="K91" t="inlineStr">
        <is>
          <t>133.0</t>
        </is>
      </c>
      <c r="L91" t="n">
        <v>275</v>
      </c>
      <c r="M91" s="2" t="inlineStr">
        <is>
          <t>106.77%</t>
        </is>
      </c>
      <c r="N91" t="n">
        <v>4.2</v>
      </c>
      <c r="O91" t="n">
        <v>8</v>
      </c>
      <c r="Q91" t="inlineStr">
        <is>
          <t>InStock</t>
        </is>
      </c>
      <c r="R91" t="inlineStr">
        <is>
          <t>295.0</t>
        </is>
      </c>
      <c r="S91" t="inlineStr">
        <is>
          <t>1647597320036283</t>
        </is>
      </c>
    </row>
    <row r="92" ht="75" customHeight="1">
      <c r="A92" s="1">
        <f>HYPERLINK("https://www.theoutnet.com/en-us/shop/product/ancient-greek-sandals/sandals/flat-sandals/morfi-comfort-leather-sandals/1647597320036283", "https://www.theoutnet.com/en-us/shop/product/ancient-greek-sandals/sandals/flat-sandals/morfi-comfort-leather-sandals/1647597320036283")</f>
        <v/>
      </c>
      <c r="B92" s="1">
        <f>HYPERLINK("https://www.theoutnet.com/en-us/shop/product/ancient-greek-sandals/sandals/flat-sandals/morfi-comfort-leather-sandals/1647597320036283", "https://www.theoutnet.com/en-us/shop/product/ancient-greek-sandals/sandals/flat-sandals/morfi-comfort-leather-sandals/1647597320036283")</f>
        <v/>
      </c>
      <c r="C92" t="inlineStr">
        <is>
          <t>ANCIENT GREEK SANDALS</t>
        </is>
      </c>
      <c r="D92" t="inlineStr">
        <is>
          <t>Ancient Greek Sandals Women's Eleftheria Sandal</t>
        </is>
      </c>
      <c r="E92" s="1">
        <f>HYPERLINK("https://www.amazon.com/Ancient-Greek-Sandals-Womens-Eleftheria/dp/B072JTJYY8/ref=sr_1_1?keywords=ANCIENT+GREEK+SANDALS&amp;qid=1695343599&amp;sr=8-1", "https://www.amazon.com/Ancient-Greek-Sandals-Womens-Eleftheria/dp/B072JTJYY8/ref=sr_1_1?keywords=ANCIENT+GREEK+SANDALS&amp;qid=1695343599&amp;sr=8-1")</f>
        <v/>
      </c>
      <c r="F92" t="inlineStr">
        <is>
          <t>B072JTJYY8</t>
        </is>
      </c>
      <c r="G92">
        <f>_xlfn.IMAGE("https://www.theoutnet.com/variants/images/1647597320036283/F/w1020_q80.jpg")</f>
        <v/>
      </c>
      <c r="H92">
        <f>_xlfn.IMAGE("https://m.media-amazon.com/images/I/5129EWHgsDL._AC_UL320_.jpg")</f>
        <v/>
      </c>
      <c r="K92" t="inlineStr">
        <is>
          <t>133.0</t>
        </is>
      </c>
      <c r="L92" t="n">
        <v>275</v>
      </c>
      <c r="M92" s="2" t="inlineStr">
        <is>
          <t>106.77%</t>
        </is>
      </c>
      <c r="N92" t="n">
        <v>4.2</v>
      </c>
      <c r="O92" t="n">
        <v>8</v>
      </c>
      <c r="Q92" t="inlineStr">
        <is>
          <t>InStock</t>
        </is>
      </c>
      <c r="R92" t="inlineStr">
        <is>
          <t>295.0</t>
        </is>
      </c>
      <c r="S92" t="inlineStr">
        <is>
          <t>1647597320036283</t>
        </is>
      </c>
    </row>
    <row r="93" ht="75" customHeight="1">
      <c r="A93" s="1">
        <f>HYPERLINK("https://www.theoutnet.com/en-us/shop/product/ancient-greek-sandals/sandals/flat-sandals/ofis-iridescent-leather-sandals/1647597319872684", "https://www.theoutnet.com/en-us/shop/product/ancient-greek-sandals/sandals/flat-sandals/ofis-iridescent-leather-sandals/1647597319872684")</f>
        <v/>
      </c>
      <c r="B93" s="1">
        <f>HYPERLINK("https://www.theoutnet.com/en-us/shop/product/ancient-greek-sandals/sandals/flat-sandals/ofis-iridescent-leather-sandals/1647597319872684", "https://www.theoutnet.com/en-us/shop/product/ancient-greek-sandals/sandals/flat-sandals/ofis-iridescent-leather-sandals/1647597319872684")</f>
        <v/>
      </c>
      <c r="C93" t="inlineStr">
        <is>
          <t>ANCIENT GREEK SANDALS</t>
        </is>
      </c>
      <c r="D93" t="inlineStr">
        <is>
          <t>Ancient Greek Sandals Women's Eleftheria Sandal</t>
        </is>
      </c>
      <c r="E93" s="1">
        <f>HYPERLINK("https://www.amazon.com/Ancient-Greek-Sandals-Womens-Eleftheria/dp/B072JTJYY8/ref=sr_1_1?keywords=ANCIENT+GREEK+SANDALS&amp;qid=1695343414&amp;sr=8-1", "https://www.amazon.com/Ancient-Greek-Sandals-Womens-Eleftheria/dp/B072JTJYY8/ref=sr_1_1?keywords=ANCIENT+GREEK+SANDALS&amp;qid=1695343414&amp;sr=8-1")</f>
        <v/>
      </c>
      <c r="F93" t="inlineStr">
        <is>
          <t>B072JTJYY8</t>
        </is>
      </c>
      <c r="G93">
        <f>_xlfn.IMAGE("https://www.theoutnet.com/variants/images/1647597319872684/F/w1020_q80.jpg")</f>
        <v/>
      </c>
      <c r="H93">
        <f>_xlfn.IMAGE("https://m.media-amazon.com/images/I/5129EWHgsDL._AC_UL320_.jpg")</f>
        <v/>
      </c>
      <c r="K93" t="inlineStr">
        <is>
          <t>147.0</t>
        </is>
      </c>
      <c r="L93" t="n">
        <v>275</v>
      </c>
      <c r="M93" s="2" t="inlineStr">
        <is>
          <t>87.07%</t>
        </is>
      </c>
      <c r="N93" t="n">
        <v>4.2</v>
      </c>
      <c r="O93" t="n">
        <v>8</v>
      </c>
      <c r="Q93" t="inlineStr">
        <is>
          <t>InStock</t>
        </is>
      </c>
      <c r="R93" t="inlineStr">
        <is>
          <t>325.0</t>
        </is>
      </c>
      <c r="S93" t="inlineStr">
        <is>
          <t>1647597319872684</t>
        </is>
      </c>
    </row>
    <row r="94" ht="75" customHeight="1">
      <c r="A94" s="1">
        <f>HYPERLINK("https://www.theoutnet.com/en-us/shop/product/ancient-greek-sandals/sandals/flat-sandals/ofis-iridescent-leather-sandals/1647597319872684", "https://www.theoutnet.com/en-us/shop/product/ancient-greek-sandals/sandals/flat-sandals/ofis-iridescent-leather-sandals/1647597319872684")</f>
        <v/>
      </c>
      <c r="B94" s="1">
        <f>HYPERLINK("https://www.theoutnet.com/en-us/shop/product/ancient-greek-sandals/sandals/flat-sandals/ofis-iridescent-leather-sandals/1647597319872684", "https://www.theoutnet.com/en-us/shop/product/ancient-greek-sandals/sandals/flat-sandals/ofis-iridescent-leather-sandals/1647597319872684")</f>
        <v/>
      </c>
      <c r="C94" t="inlineStr">
        <is>
          <t>ANCIENT GREEK SANDALS</t>
        </is>
      </c>
      <c r="D94" t="inlineStr">
        <is>
          <t>Ancient Greek Sandals Women's Eleftheria Sandal</t>
        </is>
      </c>
      <c r="E94" s="1" t="n"/>
      <c r="F94" t="inlineStr">
        <is>
          <t>B07CVWY249</t>
        </is>
      </c>
      <c r="G94">
        <f>_xlfn.IMAGE("https://www.theoutnet.com/variants/images/1647597319872684/F/w1020_q80.jpg")</f>
        <v/>
      </c>
      <c r="H94">
        <f>_xlfn.IMAGE("https://m.media-amazon.com/images/I/51kUevjlaNL._AC_UL320_.jpg")</f>
        <v/>
      </c>
      <c r="K94" t="inlineStr">
        <is>
          <t>147.0</t>
        </is>
      </c>
      <c r="L94" t="n">
        <v>275</v>
      </c>
      <c r="M94" s="2" t="inlineStr">
        <is>
          <t>87.07%</t>
        </is>
      </c>
      <c r="N94" t="n">
        <v>4.2</v>
      </c>
      <c r="O94" t="n">
        <v>8</v>
      </c>
      <c r="Q94" t="inlineStr">
        <is>
          <t>InStock</t>
        </is>
      </c>
      <c r="R94" t="inlineStr">
        <is>
          <t>325.0</t>
        </is>
      </c>
      <c r="S94" t="inlineStr">
        <is>
          <t>1647597319872684</t>
        </is>
      </c>
    </row>
    <row r="95" ht="75" customHeight="1">
      <c r="A95" s="1">
        <f>HYPERLINK("https://www.theoutnet.com/en-us/shop/product/ancient-greek-sandals/sandals/flat-sandals/ofis-iridescent-leather-sandals/1647597319872684", "https://www.theoutnet.com/en-us/shop/product/ancient-greek-sandals/sandals/flat-sandals/ofis-iridescent-leather-sandals/1647597319872684")</f>
        <v/>
      </c>
      <c r="B95" s="1">
        <f>HYPERLINK("https://www.theoutnet.com/en-us/shop/product/ancient-greek-sandals/sandals/flat-sandals/ofis-iridescent-leather-sandals/1647597319872684", "https://www.theoutnet.com/en-us/shop/product/ancient-greek-sandals/sandals/flat-sandals/ofis-iridescent-leather-sandals/1647597319872684")</f>
        <v/>
      </c>
      <c r="C95" t="inlineStr">
        <is>
          <t>ANCIENT GREEK SANDALS</t>
        </is>
      </c>
      <c r="D95" t="inlineStr">
        <is>
          <t>Ancient Greek Sandals Women's Eleftheria Sandal</t>
        </is>
      </c>
      <c r="E95" s="1">
        <f>HYPERLINK("https://www.amazon.com/Ancient-Greek-Sandals-Womens-Eleftheria/dp/B072JTJYY8/ref=sr_1_3?keywords=ANCIENT+GREEK+SANDALS&amp;qid=1695343625&amp;sr=8-3", "https://www.amazon.com/Ancient-Greek-Sandals-Womens-Eleftheria/dp/B072JTJYY8/ref=sr_1_3?keywords=ANCIENT+GREEK+SANDALS&amp;qid=1695343625&amp;sr=8-3")</f>
        <v/>
      </c>
      <c r="F95" t="inlineStr">
        <is>
          <t>B072JTJYY8</t>
        </is>
      </c>
      <c r="G95">
        <f>_xlfn.IMAGE("https://www.theoutnet.com/variants/images/1647597319872684/F/w1020_q80.jpg")</f>
        <v/>
      </c>
      <c r="H95">
        <f>_xlfn.IMAGE("https://m.media-amazon.com/images/I/5129EWHgsDL._AC_UL320_.jpg")</f>
        <v/>
      </c>
      <c r="K95" t="inlineStr">
        <is>
          <t>147.0</t>
        </is>
      </c>
      <c r="L95" t="n">
        <v>275</v>
      </c>
      <c r="M95" s="2" t="inlineStr">
        <is>
          <t>87.07%</t>
        </is>
      </c>
      <c r="N95" t="n">
        <v>4.2</v>
      </c>
      <c r="O95" t="n">
        <v>8</v>
      </c>
      <c r="Q95" t="inlineStr">
        <is>
          <t>InStock</t>
        </is>
      </c>
      <c r="R95" t="inlineStr">
        <is>
          <t>325.0</t>
        </is>
      </c>
      <c r="S95" t="inlineStr">
        <is>
          <t>1647597319872684</t>
        </is>
      </c>
    </row>
    <row r="96" ht="75" customHeight="1">
      <c r="A96" s="1">
        <f>HYPERLINK("https://www.theoutnet.com/en-us/shop/product/ancient-greek-sandals/sandals/flat-sandals/paraskevi-woven-and-leather-sandals/1647597319965540", "https://www.theoutnet.com/en-us/shop/product/ancient-greek-sandals/sandals/flat-sandals/paraskevi-woven-and-leather-sandals/1647597319965540")</f>
        <v/>
      </c>
      <c r="B96" s="1">
        <f>HYPERLINK("https://www.theoutnet.com/en-us/shop/product/ancient-greek-sandals/sandals/flat-sandals/paraskevi-woven-and-leather-sandals/1647597319965540", "https://www.theoutnet.com/en-us/shop/product/ancient-greek-sandals/sandals/flat-sandals/paraskevi-woven-and-leather-sandals/1647597319965540")</f>
        <v/>
      </c>
      <c r="C96" t="inlineStr">
        <is>
          <t>ANCIENT GREEK SANDALS</t>
        </is>
      </c>
      <c r="D96" t="inlineStr">
        <is>
          <t>Ancient Greek Sandals Women's Eleftheria Sandal</t>
        </is>
      </c>
      <c r="E96" s="1">
        <f>HYPERLINK("https://www.amazon.com/Ancient-Greek-Sandals-Womens-Eleftheria/dp/B072JTJYY8/ref=sr_1_1?keywords=ANCIENT+GREEK+SANDALS&amp;qid=1695343638&amp;sr=8-1", "https://www.amazon.com/Ancient-Greek-Sandals-Womens-Eleftheria/dp/B072JTJYY8/ref=sr_1_1?keywords=ANCIENT+GREEK+SANDALS&amp;qid=1695343638&amp;sr=8-1")</f>
        <v/>
      </c>
      <c r="F96" t="inlineStr">
        <is>
          <t>B072JTJYY8</t>
        </is>
      </c>
      <c r="G96">
        <f>_xlfn.IMAGE("https://www.theoutnet.com/variants/images/1647597319965540/F/w1020_q80.jpg")</f>
        <v/>
      </c>
      <c r="H96">
        <f>_xlfn.IMAGE("https://m.media-amazon.com/images/I/5129EWHgsDL._AC_UL320_.jpg")</f>
        <v/>
      </c>
      <c r="K96" t="inlineStr">
        <is>
          <t>158.0</t>
        </is>
      </c>
      <c r="L96" t="n">
        <v>275</v>
      </c>
      <c r="M96" s="2" t="inlineStr">
        <is>
          <t>74.05%</t>
        </is>
      </c>
      <c r="N96" t="n">
        <v>4.2</v>
      </c>
      <c r="O96" t="n">
        <v>8</v>
      </c>
      <c r="Q96" t="inlineStr">
        <is>
          <t>InStock</t>
        </is>
      </c>
      <c r="R96" t="inlineStr">
        <is>
          <t>350.0</t>
        </is>
      </c>
      <c r="S96" t="inlineStr">
        <is>
          <t>1</t>
        </is>
      </c>
    </row>
    <row r="97" ht="75" customHeight="1">
      <c r="A97" s="1">
        <f>HYPERLINK("https://www.theoutnet.com/en-us/shop/product/ancient-greek-sandals/sandals/flat-sandals/persida-lace-up-embellished-leather-sandals/23471478576284075", "https://www.theoutnet.com/en-us/shop/product/ancient-greek-sandals/sandals/flat-sandals/persida-lace-up-embellished-leather-sandals/23471478576284075")</f>
        <v/>
      </c>
      <c r="B97" s="1">
        <f>HYPERLINK("https://www.theoutnet.com/en-us/shop/product/ancient-greek-sandals/sandals/flat-sandals/persida-lace-up-embellished-leather-sandals/23471478576284075", "https://www.theoutnet.com/en-us/shop/product/ancient-greek-sandals/sandals/flat-sandals/persida-lace-up-embellished-leather-sandals/23471478576284075")</f>
        <v/>
      </c>
      <c r="C97" t="inlineStr">
        <is>
          <t>ANCIENT GREEK SANDALS</t>
        </is>
      </c>
      <c r="D97" t="inlineStr">
        <is>
          <t>Ancient Greek Sandals Women's Eleftheria Sandal</t>
        </is>
      </c>
      <c r="E97" s="1">
        <f>HYPERLINK("https://www.amazon.com/Ancient-Greek-Sandals-Womens-Eleftheria/dp/B072JTJYY8/ref=sr_1_1?keywords=ANCIENT+GREEK+SANDALS&amp;qid=1695343641&amp;sr=8-1", "https://www.amazon.com/Ancient-Greek-Sandals-Womens-Eleftheria/dp/B072JTJYY8/ref=sr_1_1?keywords=ANCIENT+GREEK+SANDALS&amp;qid=1695343641&amp;sr=8-1")</f>
        <v/>
      </c>
      <c r="F97" t="inlineStr">
        <is>
          <t>B072JTJYY8</t>
        </is>
      </c>
      <c r="G97">
        <f>_xlfn.IMAGE("https://www.theoutnet.com/variants/images/23471478576284075/F/w1020_q80.jpg")</f>
        <v/>
      </c>
      <c r="H97">
        <f>_xlfn.IMAGE("https://m.media-amazon.com/images/I/5129EWHgsDL._AC_UL320_.jpg")</f>
        <v/>
      </c>
      <c r="K97" t="inlineStr">
        <is>
          <t>160.0</t>
        </is>
      </c>
      <c r="L97" t="n">
        <v>275</v>
      </c>
      <c r="M97" s="2" t="inlineStr">
        <is>
          <t>71.88%</t>
        </is>
      </c>
      <c r="N97" t="n">
        <v>4.2</v>
      </c>
      <c r="O97" t="n">
        <v>8</v>
      </c>
      <c r="Q97" t="inlineStr">
        <is>
          <t>InStock</t>
        </is>
      </c>
      <c r="R97" t="inlineStr">
        <is>
          <t>undefined</t>
        </is>
      </c>
      <c r="S97" t="inlineStr">
        <is>
          <t>2</t>
        </is>
      </c>
    </row>
    <row r="98" ht="75" customHeight="1">
      <c r="A98" s="1">
        <f>HYPERLINK("https://www.theoutnet.com/en-us/shop/product/ancient-greek-sandals/sandals/flat-sandals/poria-comfort-leather-sandals/43769801097818875", "https://www.theoutnet.com/en-us/shop/product/ancient-greek-sandals/sandals/flat-sandals/poria-comfort-leather-sandals/43769801097818875")</f>
        <v/>
      </c>
      <c r="B98" s="1">
        <f>HYPERLINK("https://www.theoutnet.com/en-us/shop/product/ancient-greek-sandals/sandals/flat-sandals/poria-comfort-leather-sandals/43769801097818875", "https://www.theoutnet.com/en-us/shop/product/ancient-greek-sandals/sandals/flat-sandals/poria-comfort-leather-sandals/43769801097818875")</f>
        <v/>
      </c>
      <c r="C98" t="inlineStr">
        <is>
          <t>ANCIENT GREEK SANDALS</t>
        </is>
      </c>
      <c r="D98" t="inlineStr">
        <is>
          <t>Ancient Greek Sandals Women's Eleftheria Sandal</t>
        </is>
      </c>
      <c r="E98" s="1">
        <f>HYPERLINK("https://www.amazon.com/Ancient-Greek-Sandals-Womens-Eleftheria/dp/B072JTJYY8/ref=sr_1_1?keywords=ANCIENT+GREEK+SANDALS&amp;qid=1695343579&amp;sr=8-1", "https://www.amazon.com/Ancient-Greek-Sandals-Womens-Eleftheria/dp/B072JTJYY8/ref=sr_1_1?keywords=ANCIENT+GREEK+SANDALS&amp;qid=1695343579&amp;sr=8-1")</f>
        <v/>
      </c>
      <c r="F98" t="inlineStr">
        <is>
          <t>B072JTJYY8</t>
        </is>
      </c>
      <c r="G98">
        <f>_xlfn.IMAGE("https://www.theoutnet.com/variants/images/43769801097818875/F/w1020_q80.jpg")</f>
        <v/>
      </c>
      <c r="H98">
        <f>_xlfn.IMAGE("https://m.media-amazon.com/images/I/5129EWHgsDL._AC_UL320_.jpg")</f>
        <v/>
      </c>
      <c r="K98" t="inlineStr">
        <is>
          <t>98.0</t>
        </is>
      </c>
      <c r="L98" t="n">
        <v>275</v>
      </c>
      <c r="M98" s="2" t="inlineStr">
        <is>
          <t>180.61%</t>
        </is>
      </c>
      <c r="N98" t="n">
        <v>4.2</v>
      </c>
      <c r="O98" t="n">
        <v>8</v>
      </c>
      <c r="Q98" t="inlineStr">
        <is>
          <t>InStock</t>
        </is>
      </c>
      <c r="R98" t="inlineStr">
        <is>
          <t>325.0</t>
        </is>
      </c>
      <c r="S98" t="inlineStr">
        <is>
          <t>43769801097818875</t>
        </is>
      </c>
    </row>
    <row r="99" ht="75" customHeight="1">
      <c r="A99" s="1">
        <f>HYPERLINK("https://www.theoutnet.com/en-us/shop/product/ancient-greek-sandals/sandals/flat-sandals/poria-comfort-leather-sandals/43769801097818875", "https://www.theoutnet.com/en-us/shop/product/ancient-greek-sandals/sandals/flat-sandals/poria-comfort-leather-sandals/43769801097818875")</f>
        <v/>
      </c>
      <c r="B99" s="1">
        <f>HYPERLINK("https://www.theoutnet.com/en-us/shop/product/ancient-greek-sandals/sandals/flat-sandals/poria-comfort-leather-sandals/43769801097818875", "https://www.theoutnet.com/en-us/shop/product/ancient-greek-sandals/sandals/flat-sandals/poria-comfort-leather-sandals/43769801097818875")</f>
        <v/>
      </c>
      <c r="C99" t="inlineStr">
        <is>
          <t>ANCIENT GREEK SANDALS</t>
        </is>
      </c>
      <c r="D99" t="inlineStr">
        <is>
          <t>Ancient Greek Sandals Women's Li Sandals</t>
        </is>
      </c>
      <c r="E99" s="1">
        <f>HYPERLINK("https://www.amazon.com/Ancient-Greek-Sandals-Womens-Medium/dp/B0BHN4TJV3/ref=sr_1_9?keywords=ANCIENT+GREEK+SANDALS&amp;qid=1695343579&amp;sr=8-9", "https://www.amazon.com/Ancient-Greek-Sandals-Womens-Medium/dp/B0BHN4TJV3/ref=sr_1_9?keywords=ANCIENT+GREEK+SANDALS&amp;qid=1695343579&amp;sr=8-9")</f>
        <v/>
      </c>
      <c r="F99" t="inlineStr">
        <is>
          <t>B0BHN4TJV3</t>
        </is>
      </c>
      <c r="G99">
        <f>_xlfn.IMAGE("https://www.theoutnet.com/variants/images/43769801097818875/F/w1020_q80.jpg")</f>
        <v/>
      </c>
      <c r="H99">
        <f>_xlfn.IMAGE("https://m.media-amazon.com/images/I/51+QUV26OrL._AC_UL320_.jpg")</f>
        <v/>
      </c>
      <c r="K99" t="inlineStr">
        <is>
          <t>98.0</t>
        </is>
      </c>
      <c r="L99" t="n">
        <v>168</v>
      </c>
      <c r="M99" s="2" t="inlineStr">
        <is>
          <t>71.43%</t>
        </is>
      </c>
      <c r="N99" t="n">
        <v>4</v>
      </c>
      <c r="O99" t="n">
        <v>1</v>
      </c>
      <c r="Q99" t="inlineStr">
        <is>
          <t>InStock</t>
        </is>
      </c>
      <c r="R99" t="inlineStr">
        <is>
          <t>325.0</t>
        </is>
      </c>
      <c r="S99" t="inlineStr">
        <is>
          <t>43769801097818875</t>
        </is>
      </c>
    </row>
    <row r="100" ht="75" customHeight="1">
      <c r="A100" s="1">
        <f>HYPERLINK("https://www.theoutnet.com/en-us/shop/product/ancient-greek-sandals/sandals/flat-sandals/poria-comfort-leather-slingback-sandals/38063312418976512", "https://www.theoutnet.com/en-us/shop/product/ancient-greek-sandals/sandals/flat-sandals/poria-comfort-leather-slingback-sandals/38063312418976512")</f>
        <v/>
      </c>
      <c r="B100" s="1">
        <f>HYPERLINK("https://www.theoutnet.com/en-us/shop/product/ancient-greek-sandals/sandals/flat-sandals/poria-comfort-leather-slingback-sandals/38063312418976512", "https://www.theoutnet.com/en-us/shop/product/ancient-greek-sandals/sandals/flat-sandals/poria-comfort-leather-slingback-sandals/38063312418976512")</f>
        <v/>
      </c>
      <c r="C100" t="inlineStr">
        <is>
          <t>ANCIENT GREEK SANDALS</t>
        </is>
      </c>
      <c r="D100" t="inlineStr">
        <is>
          <t>Ancient Greek Sandals Women's Eleftheria Sandal</t>
        </is>
      </c>
      <c r="E100" s="1">
        <f>HYPERLINK("https://www.amazon.com/Ancient-Greek-Sandals-Womens-Eleftheria/dp/B072JTJYY8/ref=sr_1_1?keywords=ANCIENT+GREEK+SANDALS&amp;qid=1695343562&amp;sr=8-1", "https://www.amazon.com/Ancient-Greek-Sandals-Womens-Eleftheria/dp/B072JTJYY8/ref=sr_1_1?keywords=ANCIENT+GREEK+SANDALS&amp;qid=1695343562&amp;sr=8-1")</f>
        <v/>
      </c>
      <c r="F100" t="inlineStr">
        <is>
          <t>B072JTJYY8</t>
        </is>
      </c>
      <c r="G100">
        <f>_xlfn.IMAGE("https://www.theoutnet.com/variants/images/38063312418976512/F/w1020_q80.jpg")</f>
        <v/>
      </c>
      <c r="H100">
        <f>_xlfn.IMAGE("https://m.media-amazon.com/images/I/5129EWHgsDL._AC_UL320_.jpg")</f>
        <v/>
      </c>
      <c r="K100" t="inlineStr">
        <is>
          <t>98.0</t>
        </is>
      </c>
      <c r="L100" t="n">
        <v>275</v>
      </c>
      <c r="M100" s="2" t="inlineStr">
        <is>
          <t>180.61%</t>
        </is>
      </c>
      <c r="N100" t="n">
        <v>4.2</v>
      </c>
      <c r="O100" t="n">
        <v>8</v>
      </c>
      <c r="Q100" t="inlineStr">
        <is>
          <t>InStock</t>
        </is>
      </c>
      <c r="R100" t="inlineStr">
        <is>
          <t>325.0</t>
        </is>
      </c>
      <c r="S100" t="inlineStr">
        <is>
          <t>38063312418976512</t>
        </is>
      </c>
    </row>
    <row r="101" ht="75" customHeight="1">
      <c r="A101" s="1">
        <f>HYPERLINK("https://www.theoutnet.com/en-us/shop/product/ancient-greek-sandals/sandals/flat-sandals/poria-comfort-leather-slingback-sandals/38063312418976512", "https://www.theoutnet.com/en-us/shop/product/ancient-greek-sandals/sandals/flat-sandals/poria-comfort-leather-slingback-sandals/38063312418976512")</f>
        <v/>
      </c>
      <c r="B101" s="1">
        <f>HYPERLINK("https://www.theoutnet.com/en-us/shop/product/ancient-greek-sandals/sandals/flat-sandals/poria-comfort-leather-slingback-sandals/38063312418976512", "https://www.theoutnet.com/en-us/shop/product/ancient-greek-sandals/sandals/flat-sandals/poria-comfort-leather-slingback-sandals/38063312418976512")</f>
        <v/>
      </c>
      <c r="C101" t="inlineStr">
        <is>
          <t>ANCIENT GREEK SANDALS</t>
        </is>
      </c>
      <c r="D101" t="inlineStr">
        <is>
          <t>Ancient Greek Sandals Women's Li Sandals</t>
        </is>
      </c>
      <c r="E101" s="1">
        <f>HYPERLINK("https://www.amazon.com/Ancient-Greek-Sandals-Womens-Medium/dp/B0BHN4TJV3/ref=sr_1_9?keywords=ANCIENT+GREEK+SANDALS&amp;qid=1695343562&amp;sr=8-9", "https://www.amazon.com/Ancient-Greek-Sandals-Womens-Medium/dp/B0BHN4TJV3/ref=sr_1_9?keywords=ANCIENT+GREEK+SANDALS&amp;qid=1695343562&amp;sr=8-9")</f>
        <v/>
      </c>
      <c r="F101" t="inlineStr">
        <is>
          <t>B0BHN4TJV3</t>
        </is>
      </c>
      <c r="G101">
        <f>_xlfn.IMAGE("https://www.theoutnet.com/variants/images/38063312418976512/F/w1020_q80.jpg")</f>
        <v/>
      </c>
      <c r="H101">
        <f>_xlfn.IMAGE("https://m.media-amazon.com/images/I/51+QUV26OrL._AC_UL320_.jpg")</f>
        <v/>
      </c>
      <c r="K101" t="inlineStr">
        <is>
          <t>98.0</t>
        </is>
      </c>
      <c r="L101" t="n">
        <v>168</v>
      </c>
      <c r="M101" s="2" t="inlineStr">
        <is>
          <t>71.43%</t>
        </is>
      </c>
      <c r="N101" t="n">
        <v>4</v>
      </c>
      <c r="O101" t="n">
        <v>1</v>
      </c>
      <c r="Q101" t="inlineStr">
        <is>
          <t>InStock</t>
        </is>
      </c>
      <c r="R101" t="inlineStr">
        <is>
          <t>325.0</t>
        </is>
      </c>
      <c r="S101" t="inlineStr">
        <is>
          <t>38063312418976512</t>
        </is>
      </c>
    </row>
    <row r="102" ht="75" customHeight="1">
      <c r="A102" s="1">
        <f>HYPERLINK("https://www.theoutnet.com/en-us/shop/product/ancient-greek-sandals/sandals/flat-sandals/poria-leather-slingback-sandals/1647597319961319", "https://www.theoutnet.com/en-us/shop/product/ancient-greek-sandals/sandals/flat-sandals/poria-leather-slingback-sandals/1647597319961319")</f>
        <v/>
      </c>
      <c r="B102" s="1">
        <f>HYPERLINK("https://www.theoutnet.com/en-us/shop/product/ancient-greek-sandals/sandals/flat-sandals/poria-leather-slingback-sandals/1647597319961319", "https://www.theoutnet.com/en-us/shop/product/ancient-greek-sandals/sandals/flat-sandals/poria-leather-slingback-sandals/1647597319961319")</f>
        <v/>
      </c>
      <c r="C102" t="inlineStr">
        <is>
          <t>ANCIENT GREEK SANDALS</t>
        </is>
      </c>
      <c r="D102" t="inlineStr">
        <is>
          <t>Ancient Greek Sandals Women's Eleftheria Sandal</t>
        </is>
      </c>
      <c r="E102" s="1">
        <f>HYPERLINK("https://www.amazon.com/Ancient-Greek-Sandals-Womens-Eleftheria/dp/B072JTJYY8/ref=sr_1_1?keywords=ANCIENT+GREEK+SANDALS&amp;qid=1695343445&amp;sr=8-1", "https://www.amazon.com/Ancient-Greek-Sandals-Womens-Eleftheria/dp/B072JTJYY8/ref=sr_1_1?keywords=ANCIENT+GREEK+SANDALS&amp;qid=1695343445&amp;sr=8-1")</f>
        <v/>
      </c>
      <c r="F102" t="inlineStr">
        <is>
          <t>B072JTJYY8</t>
        </is>
      </c>
      <c r="G102">
        <f>_xlfn.IMAGE("https://www.theoutnet.com/variants/images/1647597319961319/F/w1020_q80.jpg")</f>
        <v/>
      </c>
      <c r="H102">
        <f>_xlfn.IMAGE("https://m.media-amazon.com/images/I/5129EWHgsDL._AC_UL320_.jpg")</f>
        <v/>
      </c>
      <c r="K102" t="inlineStr">
        <is>
          <t>158.0</t>
        </is>
      </c>
      <c r="L102" t="n">
        <v>275</v>
      </c>
      <c r="M102" s="2" t="inlineStr">
        <is>
          <t>74.05%</t>
        </is>
      </c>
      <c r="N102" t="n">
        <v>4.2</v>
      </c>
      <c r="O102" t="n">
        <v>8</v>
      </c>
      <c r="Q102" t="inlineStr">
        <is>
          <t>InStock</t>
        </is>
      </c>
      <c r="R102" t="inlineStr">
        <is>
          <t>350.0</t>
        </is>
      </c>
      <c r="S102" t="inlineStr">
        <is>
          <t>1</t>
        </is>
      </c>
    </row>
    <row r="103" ht="75" customHeight="1">
      <c r="A103" s="1">
        <f>HYPERLINK("https://www.theoutnet.com/en-us/shop/product/ancient-greek-sandals/sandals/flat-sandals/poria-leather-slingback-sandals/1647597319961319", "https://www.theoutnet.com/en-us/shop/product/ancient-greek-sandals/sandals/flat-sandals/poria-leather-slingback-sandals/1647597319961319")</f>
        <v/>
      </c>
      <c r="B103" s="1">
        <f>HYPERLINK("https://www.theoutnet.com/en-us/shop/product/ancient-greek-sandals/sandals/flat-sandals/poria-leather-slingback-sandals/1647597319961319", "https://www.theoutnet.com/en-us/shop/product/ancient-greek-sandals/sandals/flat-sandals/poria-leather-slingback-sandals/1647597319961319")</f>
        <v/>
      </c>
      <c r="C103" t="inlineStr">
        <is>
          <t>ANCIENT GREEK SANDALS</t>
        </is>
      </c>
      <c r="D103" t="inlineStr">
        <is>
          <t>Ancient Greek Sandals Women's Eleftheria Sandal</t>
        </is>
      </c>
      <c r="E103" s="1">
        <f>HYPERLINK("https://www.amazon.com/Ancient-Greek-Sandals-Womens-Eleftheria/dp/B072JTJYY8/ref=sr_1_1?keywords=ANCIENT+GREEK+SANDALS&amp;qid=1695343637&amp;sr=8-1", "https://www.amazon.com/Ancient-Greek-Sandals-Womens-Eleftheria/dp/B072JTJYY8/ref=sr_1_1?keywords=ANCIENT+GREEK+SANDALS&amp;qid=1695343637&amp;sr=8-1")</f>
        <v/>
      </c>
      <c r="F103" t="inlineStr">
        <is>
          <t>B072JTJYY8</t>
        </is>
      </c>
      <c r="G103">
        <f>_xlfn.IMAGE("https://www.theoutnet.com/variants/images/1647597319961319/F/w1020_q80.jpg")</f>
        <v/>
      </c>
      <c r="H103">
        <f>_xlfn.IMAGE("https://m.media-amazon.com/images/I/5129EWHgsDL._AC_UL320_.jpg")</f>
        <v/>
      </c>
      <c r="K103" t="inlineStr">
        <is>
          <t>158.0</t>
        </is>
      </c>
      <c r="L103" t="n">
        <v>275</v>
      </c>
      <c r="M103" s="2" t="inlineStr">
        <is>
          <t>74.05%</t>
        </is>
      </c>
      <c r="N103" t="n">
        <v>4.2</v>
      </c>
      <c r="O103" t="n">
        <v>8</v>
      </c>
      <c r="Q103" t="inlineStr">
        <is>
          <t>InStock</t>
        </is>
      </c>
      <c r="R103" t="inlineStr">
        <is>
          <t>350.0</t>
        </is>
      </c>
      <c r="S103" t="inlineStr">
        <is>
          <t>1</t>
        </is>
      </c>
    </row>
    <row r="104" ht="75" customHeight="1">
      <c r="A104" s="1">
        <f>HYPERLINK("https://www.theoutnet.com/en-us/shop/product/ancient-greek-sandals/sandals/flat-sandals/scrunchie-eleftheria-faux-leather-sandals/1647597319875977", "https://www.theoutnet.com/en-us/shop/product/ancient-greek-sandals/sandals/flat-sandals/scrunchie-eleftheria-faux-leather-sandals/1647597319875977")</f>
        <v/>
      </c>
      <c r="B104" s="1">
        <f>HYPERLINK("https://www.theoutnet.com/en-us/shop/product/ancient-greek-sandals/sandals/flat-sandals/scrunchie-eleftheria-faux-leather-sandals/1647597319875977", "https://www.theoutnet.com/en-us/shop/product/ancient-greek-sandals/sandals/flat-sandals/scrunchie-eleftheria-faux-leather-sandals/1647597319875977")</f>
        <v/>
      </c>
      <c r="C104" t="inlineStr">
        <is>
          <t>ANCIENT GREEK SANDALS</t>
        </is>
      </c>
      <c r="D104" t="inlineStr">
        <is>
          <t>Ancient Greek Sandals Women's Eleftheria Sandal</t>
        </is>
      </c>
      <c r="E104" s="1">
        <f>HYPERLINK("https://www.amazon.com/Ancient-Greek-Sandals-Womens-Eleftheria/dp/B072JTJYY8/ref=sr_1_1?keywords=ANCIENT+GREEK+SANDALS&amp;qid=1695343601&amp;sr=8-1", "https://www.amazon.com/Ancient-Greek-Sandals-Womens-Eleftheria/dp/B072JTJYY8/ref=sr_1_1?keywords=ANCIENT+GREEK+SANDALS&amp;qid=1695343601&amp;sr=8-1")</f>
        <v/>
      </c>
      <c r="F104" t="inlineStr">
        <is>
          <t>B072JTJYY8</t>
        </is>
      </c>
      <c r="G104">
        <f>_xlfn.IMAGE("https://www.theoutnet.com/variants/images/1647597319875977/F/w1020_q80.jpg")</f>
        <v/>
      </c>
      <c r="H104">
        <f>_xlfn.IMAGE("https://m.media-amazon.com/images/I/5129EWHgsDL._AC_UL320_.jpg")</f>
        <v/>
      </c>
      <c r="K104" t="inlineStr">
        <is>
          <t>133.0</t>
        </is>
      </c>
      <c r="L104" t="n">
        <v>275</v>
      </c>
      <c r="M104" s="2" t="inlineStr">
        <is>
          <t>106.77%</t>
        </is>
      </c>
      <c r="N104" t="n">
        <v>4.2</v>
      </c>
      <c r="O104" t="n">
        <v>8</v>
      </c>
      <c r="Q104" t="inlineStr">
        <is>
          <t>InStock</t>
        </is>
      </c>
      <c r="R104" t="inlineStr">
        <is>
          <t>295.0</t>
        </is>
      </c>
      <c r="S104" t="inlineStr">
        <is>
          <t>1647597319875977</t>
        </is>
      </c>
    </row>
    <row r="105" ht="75" customHeight="1">
      <c r="A105" s="1">
        <f>HYPERLINK("https://www.theoutnet.com/en-us/shop/product/ancient-greek-sandals/sandals/flat-sandals/siopi-leather-sandals/1647597319790351", "https://www.theoutnet.com/en-us/shop/product/ancient-greek-sandals/sandals/flat-sandals/siopi-leather-sandals/1647597319790351")</f>
        <v/>
      </c>
      <c r="B105" s="1">
        <f>HYPERLINK("https://www.theoutnet.com/en-us/shop/product/ancient-greek-sandals/sandals/flat-sandals/siopi-leather-sandals/1647597319790351", "https://www.theoutnet.com/en-us/shop/product/ancient-greek-sandals/sandals/flat-sandals/siopi-leather-sandals/1647597319790351")</f>
        <v/>
      </c>
      <c r="C105" t="inlineStr">
        <is>
          <t>ANCIENT GREEK SANDALS</t>
        </is>
      </c>
      <c r="D105" t="inlineStr">
        <is>
          <t>Ancient Greek Sandals Women's Eleftheria Sandal</t>
        </is>
      </c>
      <c r="E105" s="1">
        <f>HYPERLINK("https://www.amazon.com/Ancient-Greek-Sandals-Womens-Eleftheria/dp/B072JTJYY8/ref=sr_1_1?keywords=ANCIENT+GREEK+SANDALS&amp;qid=1695343575&amp;sr=8-1", "https://www.amazon.com/Ancient-Greek-Sandals-Womens-Eleftheria/dp/B072JTJYY8/ref=sr_1_1?keywords=ANCIENT+GREEK+SANDALS&amp;qid=1695343575&amp;sr=8-1")</f>
        <v/>
      </c>
      <c r="F105" t="inlineStr">
        <is>
          <t>B072JTJYY8</t>
        </is>
      </c>
      <c r="G105">
        <f>_xlfn.IMAGE("https://www.theoutnet.com/variants/images/1647597319790351/F/w1020_q80.jpg")</f>
        <v/>
      </c>
      <c r="H105">
        <f>_xlfn.IMAGE("https://m.media-amazon.com/images/I/5129EWHgsDL._AC_UL320_.jpg")</f>
        <v/>
      </c>
      <c r="K105" t="inlineStr">
        <is>
          <t>115.0</t>
        </is>
      </c>
      <c r="L105" t="n">
        <v>275</v>
      </c>
      <c r="M105" s="2" t="inlineStr">
        <is>
          <t>139.13%</t>
        </is>
      </c>
      <c r="N105" t="n">
        <v>4.2</v>
      </c>
      <c r="O105" t="n">
        <v>8</v>
      </c>
      <c r="Q105" t="inlineStr">
        <is>
          <t>InStock</t>
        </is>
      </c>
      <c r="R105" t="inlineStr">
        <is>
          <t>255.0</t>
        </is>
      </c>
      <c r="S105" t="inlineStr">
        <is>
          <t>1647597319790351</t>
        </is>
      </c>
    </row>
    <row r="106" ht="75" customHeight="1">
      <c r="A106" s="1">
        <f>HYPERLINK("https://www.theoutnet.com/en-us/shop/product/ancient-greek-sandals/sandals/flat-sandals/skalida-metallic-leather-sandals/1647597319788806", "https://www.theoutnet.com/en-us/shop/product/ancient-greek-sandals/sandals/flat-sandals/skalida-metallic-leather-sandals/1647597319788806")</f>
        <v/>
      </c>
      <c r="B106" s="1">
        <f>HYPERLINK("https://www.theoutnet.com/en-us/shop/product/ancient-greek-sandals/sandals/flat-sandals/skalida-metallic-leather-sandals/1647597319788806", "https://www.theoutnet.com/en-us/shop/product/ancient-greek-sandals/sandals/flat-sandals/skalida-metallic-leather-sandals/1647597319788806")</f>
        <v/>
      </c>
      <c r="C106" t="inlineStr">
        <is>
          <t>ANCIENT GREEK SANDALS</t>
        </is>
      </c>
      <c r="D106" t="inlineStr">
        <is>
          <t>Ancient Greek Sandals Women's Eleftheria Sandal</t>
        </is>
      </c>
      <c r="E106" s="1">
        <f>HYPERLINK("https://www.amazon.com/Ancient-Greek-Sandals-Womens-Eleftheria/dp/B072JTJYY8/ref=sr_1_1?keywords=ANCIENT+GREEK+SANDALS&amp;qid=1695343618&amp;sr=8-1", "https://www.amazon.com/Ancient-Greek-Sandals-Womens-Eleftheria/dp/B072JTJYY8/ref=sr_1_1?keywords=ANCIENT+GREEK+SANDALS&amp;qid=1695343618&amp;sr=8-1")</f>
        <v/>
      </c>
      <c r="F106" t="inlineStr">
        <is>
          <t>B072JTJYY8</t>
        </is>
      </c>
      <c r="G106">
        <f>_xlfn.IMAGE("https://www.theoutnet.com/variants/images/1647597319788806/F/w1020_q80.jpg")</f>
        <v/>
      </c>
      <c r="H106">
        <f>_xlfn.IMAGE("https://m.media-amazon.com/images/I/5129EWHgsDL._AC_UL320_.jpg")</f>
        <v/>
      </c>
      <c r="K106" t="inlineStr">
        <is>
          <t>140.0</t>
        </is>
      </c>
      <c r="L106" t="n">
        <v>275</v>
      </c>
      <c r="M106" s="2" t="inlineStr">
        <is>
          <t>96.43%</t>
        </is>
      </c>
      <c r="N106" t="n">
        <v>4.2</v>
      </c>
      <c r="O106" t="n">
        <v>8</v>
      </c>
      <c r="Q106" t="inlineStr">
        <is>
          <t>InStock</t>
        </is>
      </c>
      <c r="R106" t="inlineStr">
        <is>
          <t>280.0</t>
        </is>
      </c>
      <c r="S106" t="inlineStr">
        <is>
          <t>1647597319788806</t>
        </is>
      </c>
    </row>
    <row r="107" ht="75" customHeight="1">
      <c r="A107" s="1">
        <f>HYPERLINK("https://www.theoutnet.com/en-us/shop/product/ancient-greek-sandals/sandals/flat-sandals/skalida-metallic-trimmed-leather-sandals/1647597319783484", "https://www.theoutnet.com/en-us/shop/product/ancient-greek-sandals/sandals/flat-sandals/skalida-metallic-trimmed-leather-sandals/1647597319783484")</f>
        <v/>
      </c>
      <c r="B107" s="1">
        <f>HYPERLINK("https://www.theoutnet.com/en-us/shop/product/ancient-greek-sandals/sandals/flat-sandals/skalida-metallic-trimmed-leather-sandals/1647597319783484", "https://www.theoutnet.com/en-us/shop/product/ancient-greek-sandals/sandals/flat-sandals/skalida-metallic-trimmed-leather-sandals/1647597319783484")</f>
        <v/>
      </c>
      <c r="C107" t="inlineStr">
        <is>
          <t>ANCIENT GREEK SANDALS</t>
        </is>
      </c>
      <c r="D107" t="inlineStr">
        <is>
          <t>Ancient Greek Sandals Women's Eleftheria Sandal</t>
        </is>
      </c>
      <c r="E107" s="1" t="n"/>
      <c r="F107" t="inlineStr">
        <is>
          <t>B07CVWY249</t>
        </is>
      </c>
      <c r="G107">
        <f>_xlfn.IMAGE("https://www.theoutnet.com/variants/images/1647597319783484/F/w1020_q80.jpg")</f>
        <v/>
      </c>
      <c r="H107">
        <f>_xlfn.IMAGE("https://m.media-amazon.com/images/I/51kUevjlaNL._AC_UL320_.jpg")</f>
        <v/>
      </c>
      <c r="K107" t="inlineStr">
        <is>
          <t>140.0</t>
        </is>
      </c>
      <c r="L107" t="n">
        <v>275</v>
      </c>
      <c r="M107" s="2" t="inlineStr">
        <is>
          <t>96.43%</t>
        </is>
      </c>
      <c r="N107" t="n">
        <v>4.2</v>
      </c>
      <c r="O107" t="n">
        <v>8</v>
      </c>
      <c r="Q107" t="inlineStr">
        <is>
          <t>InStock</t>
        </is>
      </c>
      <c r="R107" t="inlineStr">
        <is>
          <t>280.0</t>
        </is>
      </c>
      <c r="S107" t="inlineStr">
        <is>
          <t>1</t>
        </is>
      </c>
    </row>
    <row r="108" ht="75" customHeight="1">
      <c r="A108" s="1">
        <f>HYPERLINK("https://www.theoutnet.com/en-us/shop/product/ancient-greek-sandals/sandals/flat-sandals/skalida-metallic-trimmed-leather-sandals/1647597319783484", "https://www.theoutnet.com/en-us/shop/product/ancient-greek-sandals/sandals/flat-sandals/skalida-metallic-trimmed-leather-sandals/1647597319783484")</f>
        <v/>
      </c>
      <c r="B108" s="1">
        <f>HYPERLINK("https://www.theoutnet.com/en-us/shop/product/ancient-greek-sandals/sandals/flat-sandals/skalida-metallic-trimmed-leather-sandals/1647597319783484", "https://www.theoutnet.com/en-us/shop/product/ancient-greek-sandals/sandals/flat-sandals/skalida-metallic-trimmed-leather-sandals/1647597319783484")</f>
        <v/>
      </c>
      <c r="C108" t="inlineStr">
        <is>
          <t>ANCIENT GREEK SANDALS</t>
        </is>
      </c>
      <c r="D108" t="inlineStr">
        <is>
          <t>Ancient Greek Sandals Women's Eleftheria Sandal</t>
        </is>
      </c>
      <c r="E108" s="1">
        <f>HYPERLINK("https://www.amazon.com/Ancient-Greek-Sandals-Womens-Eleftheria/dp/B072JTJYY8/ref=sr_1_2?keywords=ANCIENT+GREEK+SANDALS&amp;qid=1695343614&amp;sr=8-2", "https://www.amazon.com/Ancient-Greek-Sandals-Womens-Eleftheria/dp/B072JTJYY8/ref=sr_1_2?keywords=ANCIENT+GREEK+SANDALS&amp;qid=1695343614&amp;sr=8-2")</f>
        <v/>
      </c>
      <c r="F108" t="inlineStr">
        <is>
          <t>B072JTJYY8</t>
        </is>
      </c>
      <c r="G108">
        <f>_xlfn.IMAGE("https://www.theoutnet.com/variants/images/1647597319783484/F/w1020_q80.jpg")</f>
        <v/>
      </c>
      <c r="H108">
        <f>_xlfn.IMAGE("https://m.media-amazon.com/images/I/5129EWHgsDL._AC_UL320_.jpg")</f>
        <v/>
      </c>
      <c r="K108" t="inlineStr">
        <is>
          <t>140.0</t>
        </is>
      </c>
      <c r="L108" t="n">
        <v>275</v>
      </c>
      <c r="M108" s="2" t="inlineStr">
        <is>
          <t>96.43%</t>
        </is>
      </c>
      <c r="N108" t="n">
        <v>4.2</v>
      </c>
      <c r="O108" t="n">
        <v>8</v>
      </c>
      <c r="Q108" t="inlineStr">
        <is>
          <t>InStock</t>
        </is>
      </c>
      <c r="R108" t="inlineStr">
        <is>
          <t>280.0</t>
        </is>
      </c>
      <c r="S108" t="inlineStr">
        <is>
          <t>1</t>
        </is>
      </c>
    </row>
    <row r="109" ht="75" customHeight="1">
      <c r="A109" s="1">
        <f>HYPERLINK("https://www.theoutnet.com/en-us/shop/product/ancient-greek-sandals/sandals/flat-sandals/stephanie-studded-thong-sandals/38063312418947716", "https://www.theoutnet.com/en-us/shop/product/ancient-greek-sandals/sandals/flat-sandals/stephanie-studded-thong-sandals/38063312418947716")</f>
        <v/>
      </c>
      <c r="B109" s="1">
        <f>HYPERLINK("https://www.theoutnet.com/en-us/shop/product/ancient-greek-sandals/sandals/flat-sandals/stephanie-studded-thong-sandals/38063312418947716", "https://www.theoutnet.com/en-us/shop/product/ancient-greek-sandals/sandals/flat-sandals/stephanie-studded-thong-sandals/38063312418947716")</f>
        <v/>
      </c>
      <c r="C109" t="inlineStr">
        <is>
          <t>ANCIENT GREEK SANDALS</t>
        </is>
      </c>
      <c r="D109" t="inlineStr">
        <is>
          <t>Ancient Greek Sandals Women's Eleftheria Sandal</t>
        </is>
      </c>
      <c r="E109" s="1">
        <f>HYPERLINK("https://www.amazon.com/Ancient-Greek-Sandals-Womens-Eleftheria/dp/B072JTJYY8/ref=sr_1_1?keywords=ANCIENT+GREEK+SANDALS&amp;qid=1695343255&amp;sr=8-1", "https://www.amazon.com/Ancient-Greek-Sandals-Womens-Eleftheria/dp/B072JTJYY8/ref=sr_1_1?keywords=ANCIENT+GREEK+SANDALS&amp;qid=1695343255&amp;sr=8-1")</f>
        <v/>
      </c>
      <c r="F109" t="inlineStr">
        <is>
          <t>B072JTJYY8</t>
        </is>
      </c>
      <c r="G109">
        <f>_xlfn.IMAGE("https://www.theoutnet.com/variants/images/38063312418947716/F/w1020_q80.jpg")</f>
        <v/>
      </c>
      <c r="H109">
        <f>_xlfn.IMAGE("https://m.media-amazon.com/images/I/5129EWHgsDL._AC_UL320_.jpg")</f>
        <v/>
      </c>
      <c r="K109" t="inlineStr">
        <is>
          <t>144.0</t>
        </is>
      </c>
      <c r="L109" t="n">
        <v>275</v>
      </c>
      <c r="M109" s="2" t="inlineStr">
        <is>
          <t>90.97%</t>
        </is>
      </c>
      <c r="N109" t="n">
        <v>4.2</v>
      </c>
      <c r="O109" t="n">
        <v>8</v>
      </c>
      <c r="Q109" t="inlineStr">
        <is>
          <t>InStock</t>
        </is>
      </c>
      <c r="R109" t="inlineStr">
        <is>
          <t>480.0</t>
        </is>
      </c>
      <c r="S109" t="inlineStr">
        <is>
          <t>38063312418947716</t>
        </is>
      </c>
    </row>
    <row r="110" ht="75" customHeight="1">
      <c r="A110" s="1">
        <f>HYPERLINK("https://www.theoutnet.com/en-us/shop/product/ancient-greek-sandals/sandals/flat-sandals/stephanie-studded-thong-sandals/38063312418947716", "https://www.theoutnet.com/en-us/shop/product/ancient-greek-sandals/sandals/flat-sandals/stephanie-studded-thong-sandals/38063312418947716")</f>
        <v/>
      </c>
      <c r="B110" s="1">
        <f>HYPERLINK("https://www.theoutnet.com/en-us/shop/product/ancient-greek-sandals/sandals/flat-sandals/stephanie-studded-thong-sandals/38063312418947716", "https://www.theoutnet.com/en-us/shop/product/ancient-greek-sandals/sandals/flat-sandals/stephanie-studded-thong-sandals/38063312418947716")</f>
        <v/>
      </c>
      <c r="C110" t="inlineStr">
        <is>
          <t>ANCIENT GREEK SANDALS</t>
        </is>
      </c>
      <c r="D110" t="inlineStr">
        <is>
          <t>Ancient Greek Sandals Women's Eleftheria Sandal</t>
        </is>
      </c>
      <c r="E110" s="1">
        <f>HYPERLINK("https://www.amazon.com/Ancient-Greek-Sandals-Womens-Eleftheria/dp/B072JTJYY8/ref=sr_1_1?keywords=ANCIENT+GREEK+SANDALS&amp;qid=1695343625&amp;sr=8-1", "https://www.amazon.com/Ancient-Greek-Sandals-Womens-Eleftheria/dp/B072JTJYY8/ref=sr_1_1?keywords=ANCIENT+GREEK+SANDALS&amp;qid=1695343625&amp;sr=8-1")</f>
        <v/>
      </c>
      <c r="F110" t="inlineStr">
        <is>
          <t>B072JTJYY8</t>
        </is>
      </c>
      <c r="G110">
        <f>_xlfn.IMAGE("https://www.theoutnet.com/variants/images/38063312418947716/F/w1020_q80.jpg")</f>
        <v/>
      </c>
      <c r="H110">
        <f>_xlfn.IMAGE("https://m.media-amazon.com/images/I/5129EWHgsDL._AC_UL320_.jpg")</f>
        <v/>
      </c>
      <c r="K110" t="inlineStr">
        <is>
          <t>144.0</t>
        </is>
      </c>
      <c r="L110" t="n">
        <v>275</v>
      </c>
      <c r="M110" s="2" t="inlineStr">
        <is>
          <t>90.97%</t>
        </is>
      </c>
      <c r="N110" t="n">
        <v>4.2</v>
      </c>
      <c r="O110" t="n">
        <v>8</v>
      </c>
      <c r="Q110" t="inlineStr">
        <is>
          <t>InStock</t>
        </is>
      </c>
      <c r="R110" t="inlineStr">
        <is>
          <t>480.0</t>
        </is>
      </c>
      <c r="S110" t="inlineStr">
        <is>
          <t>38063312418947716</t>
        </is>
      </c>
    </row>
    <row r="111" ht="75" customHeight="1">
      <c r="A111" s="1">
        <f>HYPERLINK("https://www.theoutnet.com/en-us/shop/product/ancient-greek-sandals/sandals/flat-sandals/taygete-calf-hair-slides/16114163150752253", "https://www.theoutnet.com/en-us/shop/product/ancient-greek-sandals/sandals/flat-sandals/taygete-calf-hair-slides/16114163150752253")</f>
        <v/>
      </c>
      <c r="B111" s="1">
        <f>HYPERLINK("https://www.theoutnet.com/en-us/shop/product/ancient-greek-sandals/sandals/flat-sandals/taygete-calf-hair-slides/16114163150752253", "https://www.theoutnet.com/en-us/shop/product/ancient-greek-sandals/sandals/flat-sandals/taygete-calf-hair-slides/16114163150752253")</f>
        <v/>
      </c>
      <c r="C111" t="inlineStr">
        <is>
          <t>ANCIENT GREEK SANDALS</t>
        </is>
      </c>
      <c r="D111" t="inlineStr">
        <is>
          <t>Ancient Greek Sandals Women's Eleftheria Sandal</t>
        </is>
      </c>
      <c r="E111" s="1">
        <f>HYPERLINK("https://www.amazon.com/Ancient-Greek-Sandals-Womens-Eleftheria/dp/B072JTJYY8/ref=sr_1_1?keywords=ANCIENT+GREEK+SANDALS&amp;qid=1695343535&amp;sr=8-1", "https://www.amazon.com/Ancient-Greek-Sandals-Womens-Eleftheria/dp/B072JTJYY8/ref=sr_1_1?keywords=ANCIENT+GREEK+SANDALS&amp;qid=1695343535&amp;sr=8-1")</f>
        <v/>
      </c>
      <c r="F111" t="inlineStr">
        <is>
          <t>B072JTJYY8</t>
        </is>
      </c>
      <c r="G111">
        <f>_xlfn.IMAGE("https://www.theoutnet.com/variants/images/16114163150752253/F/w1020_q80.jpg")</f>
        <v/>
      </c>
      <c r="H111">
        <f>_xlfn.IMAGE("https://m.media-amazon.com/images/I/5129EWHgsDL._AC_UL320_.jpg")</f>
        <v/>
      </c>
      <c r="K111" t="inlineStr">
        <is>
          <t>72.0</t>
        </is>
      </c>
      <c r="L111" t="n">
        <v>275</v>
      </c>
      <c r="M111" s="2" t="inlineStr">
        <is>
          <t>281.94%</t>
        </is>
      </c>
      <c r="N111" t="n">
        <v>4.2</v>
      </c>
      <c r="O111" t="n">
        <v>8</v>
      </c>
      <c r="Q111" t="inlineStr">
        <is>
          <t>InStock</t>
        </is>
      </c>
      <c r="R111" t="inlineStr">
        <is>
          <t>240.0</t>
        </is>
      </c>
      <c r="S111" t="inlineStr">
        <is>
          <t>16114163150752253</t>
        </is>
      </c>
    </row>
    <row r="112" ht="75" customHeight="1">
      <c r="A112" s="1">
        <f>HYPERLINK("https://www.theoutnet.com/en-us/shop/product/ancient-greek-sandals/sandals/flat-sandals/taygete-calf-hair-slides/16114163150752253", "https://www.theoutnet.com/en-us/shop/product/ancient-greek-sandals/sandals/flat-sandals/taygete-calf-hair-slides/16114163150752253")</f>
        <v/>
      </c>
      <c r="B112" s="1">
        <f>HYPERLINK("https://www.theoutnet.com/en-us/shop/product/ancient-greek-sandals/sandals/flat-sandals/taygete-calf-hair-slides/16114163150752253", "https://www.theoutnet.com/en-us/shop/product/ancient-greek-sandals/sandals/flat-sandals/taygete-calf-hair-slides/16114163150752253")</f>
        <v/>
      </c>
      <c r="C112" t="inlineStr">
        <is>
          <t>ANCIENT GREEK SANDALS</t>
        </is>
      </c>
      <c r="D112" t="inlineStr">
        <is>
          <t>Ancient Greek Sandals Women's Li Sandals</t>
        </is>
      </c>
      <c r="E112" s="1">
        <f>HYPERLINK("https://www.amazon.com/Ancient-Greek-Sandals-Womens-Medium/dp/B0BHN4TJV3/ref=sr_1_9?keywords=ANCIENT+GREEK+SANDALS&amp;qid=1695343535&amp;sr=8-9", "https://www.amazon.com/Ancient-Greek-Sandals-Womens-Medium/dp/B0BHN4TJV3/ref=sr_1_9?keywords=ANCIENT+GREEK+SANDALS&amp;qid=1695343535&amp;sr=8-9")</f>
        <v/>
      </c>
      <c r="F112" t="inlineStr">
        <is>
          <t>B0BHN4TJV3</t>
        </is>
      </c>
      <c r="G112">
        <f>_xlfn.IMAGE("https://www.theoutnet.com/variants/images/16114163150752253/F/w1020_q80.jpg")</f>
        <v/>
      </c>
      <c r="H112">
        <f>_xlfn.IMAGE("https://m.media-amazon.com/images/I/51+QUV26OrL._AC_UL320_.jpg")</f>
        <v/>
      </c>
      <c r="K112" t="inlineStr">
        <is>
          <t>72.0</t>
        </is>
      </c>
      <c r="L112" t="n">
        <v>168</v>
      </c>
      <c r="M112" s="2" t="inlineStr">
        <is>
          <t>133.33%</t>
        </is>
      </c>
      <c r="N112" t="n">
        <v>4</v>
      </c>
      <c r="O112" t="n">
        <v>1</v>
      </c>
      <c r="Q112" t="inlineStr">
        <is>
          <t>InStock</t>
        </is>
      </c>
      <c r="R112" t="inlineStr">
        <is>
          <t>240.0</t>
        </is>
      </c>
      <c r="S112" t="inlineStr">
        <is>
          <t>16114163150752253</t>
        </is>
      </c>
    </row>
    <row r="113" ht="75" customHeight="1">
      <c r="A113" s="1">
        <f>HYPERLINK("https://www.theoutnet.com/en-us/shop/product/ancient-greek-sandals/sandals/flat-sandals/taygete-woven-leather-slides/1647597319872799", "https://www.theoutnet.com/en-us/shop/product/ancient-greek-sandals/sandals/flat-sandals/taygete-woven-leather-slides/1647597319872799")</f>
        <v/>
      </c>
      <c r="B113" s="1">
        <f>HYPERLINK("https://www.theoutnet.com/en-us/shop/product/ancient-greek-sandals/sandals/flat-sandals/taygete-woven-leather-slides/1647597319872799", "https://www.theoutnet.com/en-us/shop/product/ancient-greek-sandals/sandals/flat-sandals/taygete-woven-leather-slides/1647597319872799")</f>
        <v/>
      </c>
      <c r="C113" t="inlineStr">
        <is>
          <t>ANCIENT GREEK SANDALS</t>
        </is>
      </c>
      <c r="D113" t="inlineStr">
        <is>
          <t>Ancient Greek Sandals Women's Eleftheria Sandal</t>
        </is>
      </c>
      <c r="E113" s="1">
        <f>HYPERLINK("https://www.amazon.com/Ancient-Greek-Sandals-Womens-Eleftheria/dp/B072JTJYY8/ref=sr_1_1?keywords=ANCIENT+GREEK+SANDALS&amp;qid=1695343601&amp;sr=8-1", "https://www.amazon.com/Ancient-Greek-Sandals-Womens-Eleftheria/dp/B072JTJYY8/ref=sr_1_1?keywords=ANCIENT+GREEK+SANDALS&amp;qid=1695343601&amp;sr=8-1")</f>
        <v/>
      </c>
      <c r="F113" t="inlineStr">
        <is>
          <t>B072JTJYY8</t>
        </is>
      </c>
      <c r="G113">
        <f>_xlfn.IMAGE("https://www.theoutnet.com/variants/images/1647597319872799/F/w1020_q80.jpg")</f>
        <v/>
      </c>
      <c r="H113">
        <f>_xlfn.IMAGE("https://m.media-amazon.com/images/I/5129EWHgsDL._AC_UL320_.jpg")</f>
        <v/>
      </c>
      <c r="K113" t="inlineStr">
        <is>
          <t>131.0</t>
        </is>
      </c>
      <c r="L113" t="n">
        <v>275</v>
      </c>
      <c r="M113" s="2" t="inlineStr">
        <is>
          <t>109.92%</t>
        </is>
      </c>
      <c r="N113" t="n">
        <v>4.2</v>
      </c>
      <c r="O113" t="n">
        <v>8</v>
      </c>
      <c r="Q113" t="inlineStr">
        <is>
          <t>InStock</t>
        </is>
      </c>
      <c r="R113" t="inlineStr">
        <is>
          <t>290.0</t>
        </is>
      </c>
      <c r="S113" t="inlineStr">
        <is>
          <t>1647597319872799</t>
        </is>
      </c>
    </row>
    <row r="114" ht="75" customHeight="1">
      <c r="A114" s="1">
        <f>HYPERLINK("https://www.theoutnet.com/en-us/shop/product/ancient-greek-sandals/sandals/flat-sandals/thais-calf-hair-slides/16114163150752255", "https://www.theoutnet.com/en-us/shop/product/ancient-greek-sandals/sandals/flat-sandals/thais-calf-hair-slides/16114163150752255")</f>
        <v/>
      </c>
      <c r="B114" s="1">
        <f>HYPERLINK("https://www.theoutnet.com/en-us/shop/product/ancient-greek-sandals/sandals/flat-sandals/thais-calf-hair-slides/16114163150752255", "https://www.theoutnet.com/en-us/shop/product/ancient-greek-sandals/sandals/flat-sandals/thais-calf-hair-slides/16114163150752255")</f>
        <v/>
      </c>
      <c r="C114" t="inlineStr">
        <is>
          <t>ANCIENT GREEK SANDALS</t>
        </is>
      </c>
      <c r="D114" t="inlineStr">
        <is>
          <t>Ancient Greek Sandals Women's Eleftheria Sandal</t>
        </is>
      </c>
      <c r="E114" s="1">
        <f>HYPERLINK("https://www.amazon.com/Ancient-Greek-Sandals-Womens-Eleftheria/dp/B072JTJYY8/ref=sr_1_1?keywords=ANCIENT+GREEK+SANDALS&amp;qid=1695343282&amp;sr=8-1", "https://www.amazon.com/Ancient-Greek-Sandals-Womens-Eleftheria/dp/B072JTJYY8/ref=sr_1_1?keywords=ANCIENT+GREEK+SANDALS&amp;qid=1695343282&amp;sr=8-1")</f>
        <v/>
      </c>
      <c r="F114" t="inlineStr">
        <is>
          <t>B072JTJYY8</t>
        </is>
      </c>
      <c r="G114">
        <f>_xlfn.IMAGE("https://www.theoutnet.com/variants/images/16114163150752255/F/w1020_q80.jpg")</f>
        <v/>
      </c>
      <c r="H114">
        <f>_xlfn.IMAGE("https://m.media-amazon.com/images/I/5129EWHgsDL._AC_UL320_.jpg")</f>
        <v/>
      </c>
      <c r="K114" t="inlineStr">
        <is>
          <t>81.0</t>
        </is>
      </c>
      <c r="L114" t="n">
        <v>275</v>
      </c>
      <c r="M114" s="2" t="inlineStr">
        <is>
          <t>239.51%</t>
        </is>
      </c>
      <c r="N114" t="n">
        <v>4.2</v>
      </c>
      <c r="O114" t="n">
        <v>8</v>
      </c>
      <c r="Q114" t="inlineStr">
        <is>
          <t>InStock</t>
        </is>
      </c>
      <c r="R114" t="inlineStr">
        <is>
          <t>270.0</t>
        </is>
      </c>
      <c r="S114" t="inlineStr">
        <is>
          <t>16114163150752255</t>
        </is>
      </c>
    </row>
    <row r="115" ht="75" customHeight="1">
      <c r="A115" s="1">
        <f>HYPERLINK("https://www.theoutnet.com/en-us/shop/product/ancient-greek-sandals/sandals/flat-sandals/thais-calf-hair-slides/16114163150752255", "https://www.theoutnet.com/en-us/shop/product/ancient-greek-sandals/sandals/flat-sandals/thais-calf-hair-slides/16114163150752255")</f>
        <v/>
      </c>
      <c r="B115" s="1">
        <f>HYPERLINK("https://www.theoutnet.com/en-us/shop/product/ancient-greek-sandals/sandals/flat-sandals/thais-calf-hair-slides/16114163150752255", "https://www.theoutnet.com/en-us/shop/product/ancient-greek-sandals/sandals/flat-sandals/thais-calf-hair-slides/16114163150752255")</f>
        <v/>
      </c>
      <c r="C115" t="inlineStr">
        <is>
          <t>ANCIENT GREEK SANDALS</t>
        </is>
      </c>
      <c r="D115" t="inlineStr">
        <is>
          <t>Ancient Greek Sandals Women's Li Sandals</t>
        </is>
      </c>
      <c r="E115" s="1">
        <f>HYPERLINK("https://www.amazon.com/Ancient-Greek-Sandals-Womens-Medium/dp/B0BHN4TJV3/ref=sr_1_9?keywords=ANCIENT+GREEK+SANDALS&amp;qid=1695343282&amp;sr=8-9", "https://www.amazon.com/Ancient-Greek-Sandals-Womens-Medium/dp/B0BHN4TJV3/ref=sr_1_9?keywords=ANCIENT+GREEK+SANDALS&amp;qid=1695343282&amp;sr=8-9")</f>
        <v/>
      </c>
      <c r="F115" t="inlineStr">
        <is>
          <t>B0BHN4TJV3</t>
        </is>
      </c>
      <c r="G115">
        <f>_xlfn.IMAGE("https://www.theoutnet.com/variants/images/16114163150752255/F/w1020_q80.jpg")</f>
        <v/>
      </c>
      <c r="H115">
        <f>_xlfn.IMAGE("https://m.media-amazon.com/images/I/51+QUV26OrL._AC_UL320_.jpg")</f>
        <v/>
      </c>
      <c r="K115" t="inlineStr">
        <is>
          <t>81.0</t>
        </is>
      </c>
      <c r="L115" t="n">
        <v>168</v>
      </c>
      <c r="M115" s="2" t="inlineStr">
        <is>
          <t>107.41%</t>
        </is>
      </c>
      <c r="N115" t="n">
        <v>4</v>
      </c>
      <c r="O115" t="n">
        <v>1</v>
      </c>
      <c r="Q115" t="inlineStr">
        <is>
          <t>InStock</t>
        </is>
      </c>
      <c r="R115" t="inlineStr">
        <is>
          <t>270.0</t>
        </is>
      </c>
      <c r="S115" t="inlineStr">
        <is>
          <t>16114163150752255</t>
        </is>
      </c>
    </row>
    <row r="116" ht="75" customHeight="1">
      <c r="A116" s="1">
        <f>HYPERLINK("https://www.theoutnet.com/en-us/shop/product/ancient-greek-sandals/sandals/flat-sandals/thalia-woven-leather-sandals/1647597319788321", "https://www.theoutnet.com/en-us/shop/product/ancient-greek-sandals/sandals/flat-sandals/thalia-woven-leather-sandals/1647597319788321")</f>
        <v/>
      </c>
      <c r="B116" s="1">
        <f>HYPERLINK("https://www.theoutnet.com/en-us/shop/product/ancient-greek-sandals/sandals/flat-sandals/thalia-woven-leather-sandals/1647597319788321", "https://www.theoutnet.com/en-us/shop/product/ancient-greek-sandals/sandals/flat-sandals/thalia-woven-leather-sandals/1647597319788321")</f>
        <v/>
      </c>
      <c r="C116" t="inlineStr">
        <is>
          <t>ANCIENT GREEK SANDALS</t>
        </is>
      </c>
      <c r="D116" t="inlineStr">
        <is>
          <t>Ancient Greek Sandals Women's Eleftheria Sandal</t>
        </is>
      </c>
      <c r="E116" s="1">
        <f>HYPERLINK("https://www.amazon.com/Ancient-Greek-Sandals-Womens-Eleftheria/dp/B072JTJYY8/ref=sr_1_1?keywords=ANCIENT+GREEK+SANDALS&amp;qid=1695343594&amp;sr=8-1", "https://www.amazon.com/Ancient-Greek-Sandals-Womens-Eleftheria/dp/B072JTJYY8/ref=sr_1_1?keywords=ANCIENT+GREEK+SANDALS&amp;qid=1695343594&amp;sr=8-1")</f>
        <v/>
      </c>
      <c r="F116" t="inlineStr">
        <is>
          <t>B072JTJYY8</t>
        </is>
      </c>
      <c r="G116">
        <f>_xlfn.IMAGE("https://www.theoutnet.com/variants/images/1647597319788321/F/w1020_q80.jpg")</f>
        <v/>
      </c>
      <c r="H116">
        <f>_xlfn.IMAGE("https://m.media-amazon.com/images/I/5129EWHgsDL._AC_UL320_.jpg")</f>
        <v/>
      </c>
      <c r="K116" t="inlineStr">
        <is>
          <t>129.0</t>
        </is>
      </c>
      <c r="L116" t="n">
        <v>275</v>
      </c>
      <c r="M116" s="2" t="inlineStr">
        <is>
          <t>113.18%</t>
        </is>
      </c>
      <c r="N116" t="n">
        <v>4.2</v>
      </c>
      <c r="O116" t="n">
        <v>8</v>
      </c>
      <c r="Q116" t="inlineStr">
        <is>
          <t>InStock</t>
        </is>
      </c>
      <c r="R116" t="inlineStr">
        <is>
          <t>285.0</t>
        </is>
      </c>
      <c r="S116" t="inlineStr">
        <is>
          <t>1647597319788321</t>
        </is>
      </c>
    </row>
    <row r="117" ht="75" customHeight="1">
      <c r="A117" s="1">
        <f>HYPERLINK("https://www.theoutnet.com/en-us/shop/product/ancient-greek-sandals/sandals/flat-sandals/timia-webbing-sandals/1647597319788117", "https://www.theoutnet.com/en-us/shop/product/ancient-greek-sandals/sandals/flat-sandals/timia-webbing-sandals/1647597319788117")</f>
        <v/>
      </c>
      <c r="B117" s="1">
        <f>HYPERLINK("https://www.theoutnet.com/en-us/shop/product/ancient-greek-sandals/sandals/flat-sandals/timia-webbing-sandals/1647597319788117", "https://www.theoutnet.com/en-us/shop/product/ancient-greek-sandals/sandals/flat-sandals/timia-webbing-sandals/1647597319788117")</f>
        <v/>
      </c>
      <c r="C117" t="inlineStr">
        <is>
          <t>ANCIENT GREEK SANDALS</t>
        </is>
      </c>
      <c r="D117" t="inlineStr">
        <is>
          <t>Ancient Greek Sandals Women's Eleftheria Sandal</t>
        </is>
      </c>
      <c r="E117" s="1">
        <f>HYPERLINK("https://www.amazon.com/Ancient-Greek-Sandals-Womens-Eleftheria/dp/B072JTJYY8/ref=sr_1_1?keywords=ANCIENT+GREEK+SANDALS&amp;qid=1695343559&amp;sr=8-1", "https://www.amazon.com/Ancient-Greek-Sandals-Womens-Eleftheria/dp/B072JTJYY8/ref=sr_1_1?keywords=ANCIENT+GREEK+SANDALS&amp;qid=1695343559&amp;sr=8-1")</f>
        <v/>
      </c>
      <c r="F117" t="inlineStr">
        <is>
          <t>B072JTJYY8</t>
        </is>
      </c>
      <c r="G117">
        <f>_xlfn.IMAGE("https://www.theoutnet.com/variants/images/1647597319788117/F/w1020_q80.jpg")</f>
        <v/>
      </c>
      <c r="H117">
        <f>_xlfn.IMAGE("https://m.media-amazon.com/images/I/5129EWHgsDL._AC_UL320_.jpg")</f>
        <v/>
      </c>
      <c r="K117" t="inlineStr">
        <is>
          <t>106.0</t>
        </is>
      </c>
      <c r="L117" t="n">
        <v>275</v>
      </c>
      <c r="M117" s="2" t="inlineStr">
        <is>
          <t>159.43%</t>
        </is>
      </c>
      <c r="N117" t="n">
        <v>4.2</v>
      </c>
      <c r="O117" t="n">
        <v>8</v>
      </c>
      <c r="Q117" t="inlineStr">
        <is>
          <t>InStock</t>
        </is>
      </c>
      <c r="R117" t="inlineStr">
        <is>
          <t>235.0</t>
        </is>
      </c>
      <c r="S117" t="inlineStr">
        <is>
          <t>1647597319788117</t>
        </is>
      </c>
    </row>
    <row r="118" ht="75" customHeight="1">
      <c r="A118" s="1">
        <f>HYPERLINK("https://www.theoutnet.com/en-us/shop/product/ancient-greek-sandals/sandals/flat-sandals/yianna-braided-leather-sandals/13452677153359374", "https://www.theoutnet.com/en-us/shop/product/ancient-greek-sandals/sandals/flat-sandals/yianna-braided-leather-sandals/13452677153359374")</f>
        <v/>
      </c>
      <c r="B118" s="1">
        <f>HYPERLINK("https://www.theoutnet.com/en-us/shop/product/ancient-greek-sandals/sandals/flat-sandals/yianna-braided-leather-sandals/13452677153359374", "https://www.theoutnet.com/en-us/shop/product/ancient-greek-sandals/sandals/flat-sandals/yianna-braided-leather-sandals/13452677153359374")</f>
        <v/>
      </c>
      <c r="C118" t="inlineStr">
        <is>
          <t>ANCIENT GREEK SANDALS</t>
        </is>
      </c>
      <c r="D118" t="inlineStr">
        <is>
          <t>Ancient Greek Sandals Women's Eleftheria Sandal</t>
        </is>
      </c>
      <c r="E118" s="1">
        <f>HYPERLINK("https://www.amazon.com/Ancient-Greek-Sandals-Womens-Eleftheria/dp/B072JTJYY8/ref=sr_1_1?keywords=ANCIENT+GREEK+SANDALS&amp;qid=1695343408&amp;sr=8-1", "https://www.amazon.com/Ancient-Greek-Sandals-Womens-Eleftheria/dp/B072JTJYY8/ref=sr_1_1?keywords=ANCIENT+GREEK+SANDALS&amp;qid=1695343408&amp;sr=8-1")</f>
        <v/>
      </c>
      <c r="F118" t="inlineStr">
        <is>
          <t>B072JTJYY8</t>
        </is>
      </c>
      <c r="G118">
        <f>_xlfn.IMAGE("https://www.theoutnet.com/variants/images/13452677153359374/F/w1020_q80.jpg")</f>
        <v/>
      </c>
      <c r="H118">
        <f>_xlfn.IMAGE("https://m.media-amazon.com/images/I/5129EWHgsDL._AC_UL320_.jpg")</f>
        <v/>
      </c>
      <c r="K118" t="inlineStr">
        <is>
          <t>143.0</t>
        </is>
      </c>
      <c r="L118" t="n">
        <v>275</v>
      </c>
      <c r="M118" s="2" t="inlineStr">
        <is>
          <t>92.31%</t>
        </is>
      </c>
      <c r="N118" t="n">
        <v>4.2</v>
      </c>
      <c r="O118" t="n">
        <v>8</v>
      </c>
      <c r="Q118" t="inlineStr">
        <is>
          <t>InStock</t>
        </is>
      </c>
      <c r="R118" t="inlineStr">
        <is>
          <t>260.0</t>
        </is>
      </c>
      <c r="S118" t="inlineStr">
        <is>
          <t>13452677153359374</t>
        </is>
      </c>
    </row>
    <row r="119" ht="75" customHeight="1">
      <c r="A119" s="1">
        <f>HYPERLINK("https://www.theoutnet.com/en-us/shop/product/ancient-greek-sandals/sandals/flat-sandals/yianna-braided-leather-sandals/13452677153359374", "https://www.theoutnet.com/en-us/shop/product/ancient-greek-sandals/sandals/flat-sandals/yianna-braided-leather-sandals/13452677153359374")</f>
        <v/>
      </c>
      <c r="B119" s="1">
        <f>HYPERLINK("https://www.theoutnet.com/en-us/shop/product/ancient-greek-sandals/sandals/flat-sandals/yianna-braided-leather-sandals/13452677153359374", "https://www.theoutnet.com/en-us/shop/product/ancient-greek-sandals/sandals/flat-sandals/yianna-braided-leather-sandals/13452677153359374")</f>
        <v/>
      </c>
      <c r="C119" t="inlineStr">
        <is>
          <t>ANCIENT GREEK SANDALS</t>
        </is>
      </c>
      <c r="D119" t="inlineStr">
        <is>
          <t>Ancient Greek Sandals Women's Eleftheria Sandal</t>
        </is>
      </c>
      <c r="E119" s="1">
        <f>HYPERLINK("https://www.amazon.com/Ancient-Greek-Sandals-Womens-Eleftheria/dp/B072JTJYY8/ref=sr_1_1?keywords=ANCIENT+GREEK+SANDALS&amp;qid=1695343624&amp;sr=8-1", "https://www.amazon.com/Ancient-Greek-Sandals-Womens-Eleftheria/dp/B072JTJYY8/ref=sr_1_1?keywords=ANCIENT+GREEK+SANDALS&amp;qid=1695343624&amp;sr=8-1")</f>
        <v/>
      </c>
      <c r="F119" t="inlineStr">
        <is>
          <t>B072JTJYY8</t>
        </is>
      </c>
      <c r="G119">
        <f>_xlfn.IMAGE("https://www.theoutnet.com/variants/images/13452677153359374/F/w1020_q80.jpg")</f>
        <v/>
      </c>
      <c r="H119">
        <f>_xlfn.IMAGE("https://m.media-amazon.com/images/I/5129EWHgsDL._AC_UL320_.jpg")</f>
        <v/>
      </c>
      <c r="K119" t="inlineStr">
        <is>
          <t>143.0</t>
        </is>
      </c>
      <c r="L119" t="n">
        <v>275</v>
      </c>
      <c r="M119" s="2" t="inlineStr">
        <is>
          <t>92.31%</t>
        </is>
      </c>
      <c r="N119" t="n">
        <v>4.2</v>
      </c>
      <c r="O119" t="n">
        <v>8</v>
      </c>
      <c r="Q119" t="inlineStr">
        <is>
          <t>InStock</t>
        </is>
      </c>
      <c r="R119" t="inlineStr">
        <is>
          <t>260.0</t>
        </is>
      </c>
      <c r="S119" t="inlineStr">
        <is>
          <t>13452677153359374</t>
        </is>
      </c>
    </row>
    <row r="120" ht="75" customHeight="1">
      <c r="A120" s="1">
        <f>HYPERLINK("https://www.theoutnet.com/en-us/shop/product/ancient-greek-sandals/sandals/flat-sandals/yni-leather-sandals/1647597319783485", "https://www.theoutnet.com/en-us/shop/product/ancient-greek-sandals/sandals/flat-sandals/yni-leather-sandals/1647597319783485")</f>
        <v/>
      </c>
      <c r="B120" s="1">
        <f>HYPERLINK("https://www.theoutnet.com/en-us/shop/product/ancient-greek-sandals/sandals/flat-sandals/yni-leather-sandals/1647597319783485", "https://www.theoutnet.com/en-us/shop/product/ancient-greek-sandals/sandals/flat-sandals/yni-leather-sandals/1647597319783485")</f>
        <v/>
      </c>
      <c r="C120" t="inlineStr">
        <is>
          <t>ANCIENT GREEK SANDALS</t>
        </is>
      </c>
      <c r="D120" t="inlineStr">
        <is>
          <t>Ancient Greek Sandals Women's Eleftheria Sandal</t>
        </is>
      </c>
      <c r="E120" s="1">
        <f>HYPERLINK("https://www.amazon.com/Ancient-Greek-Sandals-Womens-Eleftheria/dp/B072JTJYY8/ref=sr_1_1?keywords=ANCIENT+GREEK+SANDALS&amp;qid=1695343603&amp;sr=8-1", "https://www.amazon.com/Ancient-Greek-Sandals-Womens-Eleftheria/dp/B072JTJYY8/ref=sr_1_1?keywords=ANCIENT+GREEK+SANDALS&amp;qid=1695343603&amp;sr=8-1")</f>
        <v/>
      </c>
      <c r="F120" t="inlineStr">
        <is>
          <t>B072JTJYY8</t>
        </is>
      </c>
      <c r="G120">
        <f>_xlfn.IMAGE("https://www.theoutnet.com/variants/images/1647597319783485/F/w1020_q80.jpg")</f>
        <v/>
      </c>
      <c r="H120">
        <f>_xlfn.IMAGE("https://m.media-amazon.com/images/I/5129EWHgsDL._AC_UL320_.jpg")</f>
        <v/>
      </c>
      <c r="K120" t="inlineStr">
        <is>
          <t>135.0</t>
        </is>
      </c>
      <c r="L120" t="n">
        <v>275</v>
      </c>
      <c r="M120" s="2" t="inlineStr">
        <is>
          <t>103.70%</t>
        </is>
      </c>
      <c r="N120" t="n">
        <v>4.2</v>
      </c>
      <c r="O120" t="n">
        <v>8</v>
      </c>
      <c r="Q120" t="inlineStr">
        <is>
          <t>InStock</t>
        </is>
      </c>
      <c r="R120" t="inlineStr">
        <is>
          <t>270.0</t>
        </is>
      </c>
      <c r="S120" t="inlineStr">
        <is>
          <t>1</t>
        </is>
      </c>
    </row>
    <row r="121" ht="75" customHeight="1">
      <c r="A121" s="1">
        <f>HYPERLINK("https://www.theoutnet.com/en-us/shop/product/ancient-greek-sandals/sandals/flat-sandals/yni-ribbed-leather-sandals/1647597319780821", "https://www.theoutnet.com/en-us/shop/product/ancient-greek-sandals/sandals/flat-sandals/yni-ribbed-leather-sandals/1647597319780821")</f>
        <v/>
      </c>
      <c r="B121" s="1">
        <f>HYPERLINK("https://www.theoutnet.com/en-us/shop/product/ancient-greek-sandals/sandals/flat-sandals/yni-ribbed-leather-sandals/1647597319780821", "https://www.theoutnet.com/en-us/shop/product/ancient-greek-sandals/sandals/flat-sandals/yni-ribbed-leather-sandals/1647597319780821")</f>
        <v/>
      </c>
      <c r="C121" t="inlineStr">
        <is>
          <t>ANCIENT GREEK SANDALS</t>
        </is>
      </c>
      <c r="D121" t="inlineStr">
        <is>
          <t>Ancient Greek Sandals Women's Eleftheria Sandal</t>
        </is>
      </c>
      <c r="E121" s="1">
        <f>HYPERLINK("https://www.amazon.com/Ancient-Greek-Sandals-Womens-Eleftheria/dp/B072JTJYY8/ref=sr_1_1?keywords=ANCIENT+GREEK+SANDALS&amp;qid=1695343605&amp;sr=8-1", "https://www.amazon.com/Ancient-Greek-Sandals-Womens-Eleftheria/dp/B072JTJYY8/ref=sr_1_1?keywords=ANCIENT+GREEK+SANDALS&amp;qid=1695343605&amp;sr=8-1")</f>
        <v/>
      </c>
      <c r="F121" t="inlineStr">
        <is>
          <t>B072JTJYY8</t>
        </is>
      </c>
      <c r="G121">
        <f>_xlfn.IMAGE("https://www.theoutnet.com/variants/images/1647597319780821/F/w1020_q80.jpg")</f>
        <v/>
      </c>
      <c r="H121">
        <f>_xlfn.IMAGE("https://m.media-amazon.com/images/I/5129EWHgsDL._AC_UL320_.jpg")</f>
        <v/>
      </c>
      <c r="K121" t="inlineStr">
        <is>
          <t>135.0</t>
        </is>
      </c>
      <c r="L121" t="n">
        <v>275</v>
      </c>
      <c r="M121" s="2" t="inlineStr">
        <is>
          <t>103.70%</t>
        </is>
      </c>
      <c r="N121" t="n">
        <v>4.2</v>
      </c>
      <c r="O121" t="n">
        <v>8</v>
      </c>
      <c r="Q121" t="inlineStr">
        <is>
          <t>InStock</t>
        </is>
      </c>
      <c r="R121" t="inlineStr">
        <is>
          <t>270.0</t>
        </is>
      </c>
      <c r="S121" t="inlineStr">
        <is>
          <t>1647597319780821</t>
        </is>
      </c>
    </row>
    <row r="122" ht="75" customHeight="1">
      <c r="A122" s="1">
        <f>HYPERLINK("https://www.theoutnet.com/en-us/shop/product/apl-athletic-propulsion-labs/sneakers/fashion-sneakers/techloom-wave-marled-mesh-sneakers/1647597284579835", "https://www.theoutnet.com/en-us/shop/product/apl-athletic-propulsion-labs/sneakers/fashion-sneakers/techloom-wave-marled-mesh-sneakers/1647597284579835")</f>
        <v/>
      </c>
      <c r="B122" s="1">
        <f>HYPERLINK("https://www.theoutnet.com/en-us/shop/product/apl-athletic-propulsion-labs/sneakers/fashion-sneakers/techloom-wave-marled-mesh-sneakers/1647597284579835", "https://www.theoutnet.com/en-us/shop/product/apl-athletic-propulsion-labs/sneakers/fashion-sneakers/techloom-wave-marled-mesh-sneakers/1647597284579835")</f>
        <v/>
      </c>
      <c r="C122" t="inlineStr">
        <is>
          <t>APL ATHLETIC PROPULSION LABS</t>
        </is>
      </c>
      <c r="D122" t="inlineStr">
        <is>
          <t>APL: Athletic Propulsion Labs Women's Zipline Sneakers</t>
        </is>
      </c>
      <c r="E122" s="1">
        <f>HYPERLINK("https://www.amazon.com/APL-Athletic-Propulsion-Techloom-Zipline/dp/B09NTNTLJ9/ref=sr_1_8?keywords=APL+ATHLETIC+PROPULSION+LABS&amp;qid=1695343583&amp;sr=8-8", "https://www.amazon.com/APL-Athletic-Propulsion-Techloom-Zipline/dp/B09NTNTLJ9/ref=sr_1_8?keywords=APL+ATHLETIC+PROPULSION+LABS&amp;qid=1695343583&amp;sr=8-8")</f>
        <v/>
      </c>
      <c r="F122" t="inlineStr">
        <is>
          <t>B09NTNTLJ9</t>
        </is>
      </c>
      <c r="G122">
        <f>_xlfn.IMAGE("https://www.theoutnet.com/variants/images/1647597284579835/F/w1020_q80.jpg")</f>
        <v/>
      </c>
      <c r="H122">
        <f>_xlfn.IMAGE("https://m.media-amazon.com/images/I/51uNAMjB3VL._AC_UL320_.jpg")</f>
        <v/>
      </c>
      <c r="K122" t="inlineStr">
        <is>
          <t>123.0</t>
        </is>
      </c>
      <c r="L122" t="n">
        <v>255.99</v>
      </c>
      <c r="M122" s="2" t="inlineStr">
        <is>
          <t>108.12%</t>
        </is>
      </c>
      <c r="N122" t="n">
        <v>4.1</v>
      </c>
      <c r="O122" t="n">
        <v>7</v>
      </c>
      <c r="Q122" t="inlineStr">
        <is>
          <t>InStock</t>
        </is>
      </c>
      <c r="R122" t="inlineStr">
        <is>
          <t>245.0</t>
        </is>
      </c>
      <c r="S122" t="inlineStr">
        <is>
          <t>1647597284579835</t>
        </is>
      </c>
    </row>
    <row r="123" ht="75" customHeight="1">
      <c r="A123" s="1">
        <f>HYPERLINK("https://www.theoutnet.com/en-us/shop/product/apl-athletic-propulsion-labs/sneakers/fashion-sneakers/techloom-wave-marled-mesh-sneakers/1647597284579835", "https://www.theoutnet.com/en-us/shop/product/apl-athletic-propulsion-labs/sneakers/fashion-sneakers/techloom-wave-marled-mesh-sneakers/1647597284579835")</f>
        <v/>
      </c>
      <c r="B123" s="1">
        <f>HYPERLINK("https://www.theoutnet.com/en-us/shop/product/apl-athletic-propulsion-labs/sneakers/fashion-sneakers/techloom-wave-marled-mesh-sneakers/1647597284579835", "https://www.theoutnet.com/en-us/shop/product/apl-athletic-propulsion-labs/sneakers/fashion-sneakers/techloom-wave-marled-mesh-sneakers/1647597284579835")</f>
        <v/>
      </c>
      <c r="C123" t="inlineStr">
        <is>
          <t>APL ATHLETIC PROPULSION LABS</t>
        </is>
      </c>
      <c r="D123" t="inlineStr">
        <is>
          <t>APL: Athletic Propulsion Labs Men's Techloom Breeze Running Sneakers</t>
        </is>
      </c>
      <c r="E123" s="1">
        <f>HYPERLINK("https://www.amazon.com/APL-Athletic-Propulsion-Techloom-Sneakers/dp/B07FL56MBW/ref=sr_1_5?keywords=APL+ATHLETIC+PROPULSION+LABS&amp;qid=1695343583&amp;sr=8-5", "https://www.amazon.com/APL-Athletic-Propulsion-Techloom-Sneakers/dp/B07FL56MBW/ref=sr_1_5?keywords=APL+ATHLETIC+PROPULSION+LABS&amp;qid=1695343583&amp;sr=8-5")</f>
        <v/>
      </c>
      <c r="F123" t="inlineStr">
        <is>
          <t>B07FL56MBW</t>
        </is>
      </c>
      <c r="G123">
        <f>_xlfn.IMAGE("https://www.theoutnet.com/variants/images/1647597284579835/F/w1020_q80.jpg")</f>
        <v/>
      </c>
      <c r="H123">
        <f>_xlfn.IMAGE("https://m.media-amazon.com/images/I/816hhuxOQLL._AC_UL320_.jpg")</f>
        <v/>
      </c>
      <c r="K123" t="inlineStr">
        <is>
          <t>123.0</t>
        </is>
      </c>
      <c r="L123" t="n">
        <v>220</v>
      </c>
      <c r="M123" s="2" t="inlineStr">
        <is>
          <t>78.86%</t>
        </is>
      </c>
      <c r="N123" t="n">
        <v>4.2</v>
      </c>
      <c r="O123" t="n">
        <v>45</v>
      </c>
      <c r="Q123" t="inlineStr">
        <is>
          <t>InStock</t>
        </is>
      </c>
      <c r="R123" t="inlineStr">
        <is>
          <t>245.0</t>
        </is>
      </c>
      <c r="S123" t="inlineStr">
        <is>
          <t>1647597284579835</t>
        </is>
      </c>
    </row>
    <row r="124" ht="75" customHeight="1">
      <c r="A124" s="1">
        <f>HYPERLINK("https://www.theoutnet.com/en-us/shop/product/apl-athletic-propulsion-labs/sneakers/fashion-sneakers/techloom-wave-marled-mesh-sneakers/1647597284579835", "https://www.theoutnet.com/en-us/shop/product/apl-athletic-propulsion-labs/sneakers/fashion-sneakers/techloom-wave-marled-mesh-sneakers/1647597284579835")</f>
        <v/>
      </c>
      <c r="B124" s="1">
        <f>HYPERLINK("https://www.theoutnet.com/en-us/shop/product/apl-athletic-propulsion-labs/sneakers/fashion-sneakers/techloom-wave-marled-mesh-sneakers/1647597284579835", "https://www.theoutnet.com/en-us/shop/product/apl-athletic-propulsion-labs/sneakers/fashion-sneakers/techloom-wave-marled-mesh-sneakers/1647597284579835")</f>
        <v/>
      </c>
      <c r="C124" t="inlineStr">
        <is>
          <t>APL ATHLETIC PROPULSION LABS</t>
        </is>
      </c>
      <c r="D124" t="inlineStr">
        <is>
          <t>APL: Athletic Propulsion Labs Women's Techloom Bliss Sneakers</t>
        </is>
      </c>
      <c r="E124" s="1">
        <f>HYPERLINK("https://www.amazon.com/APL-Athletic-Propulsion-Techloom-Sneakers/dp/B07TJJHL2Y/ref=sr_1_3?keywords=APL+ATHLETIC+PROPULSION+LABS&amp;qid=1695343583&amp;sr=8-3", "https://www.amazon.com/APL-Athletic-Propulsion-Techloom-Sneakers/dp/B07TJJHL2Y/ref=sr_1_3?keywords=APL+ATHLETIC+PROPULSION+LABS&amp;qid=1695343583&amp;sr=8-3")</f>
        <v/>
      </c>
      <c r="F124" t="inlineStr">
        <is>
          <t>B07TJJHL2Y</t>
        </is>
      </c>
      <c r="G124">
        <f>_xlfn.IMAGE("https://www.theoutnet.com/variants/images/1647597284579835/F/w1020_q80.jpg")</f>
        <v/>
      </c>
      <c r="H124">
        <f>_xlfn.IMAGE("https://m.media-amazon.com/images/I/71ndGcXsH-L._AC_UL320_.jpg")</f>
        <v/>
      </c>
      <c r="K124" t="inlineStr">
        <is>
          <t>123.0</t>
        </is>
      </c>
      <c r="L124" t="n">
        <v>220</v>
      </c>
      <c r="M124" s="2" t="inlineStr">
        <is>
          <t>78.86%</t>
        </is>
      </c>
      <c r="N124" t="n">
        <v>4.4</v>
      </c>
      <c r="O124" t="n">
        <v>186</v>
      </c>
      <c r="Q124" t="inlineStr">
        <is>
          <t>InStock</t>
        </is>
      </c>
      <c r="R124" t="inlineStr">
        <is>
          <t>245.0</t>
        </is>
      </c>
      <c r="S124" t="inlineStr">
        <is>
          <t>1647597284579835</t>
        </is>
      </c>
    </row>
    <row r="125" ht="75" customHeight="1">
      <c r="A125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B125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C125" t="inlineStr">
        <is>
          <t>APL ATHLETIC PROPULSION LABS</t>
        </is>
      </c>
      <c r="D125" t="inlineStr">
        <is>
          <t>APL: Athletic Propulsion Labs Women's Zipline Sneakers</t>
        </is>
      </c>
      <c r="E125" s="1">
        <f>HYPERLINK("https://www.amazon.com/APL-Athletic-Propulsion-Techloom-Zipline/dp/B09NTNTLJ9/ref=sr_1_8?keywords=APL+ATHLETIC+PROPULSION+LABS&amp;qid=1695343302&amp;sr=8-8", "https://www.amazon.com/APL-Athletic-Propulsion-Techloom-Zipline/dp/B09NTNTLJ9/ref=sr_1_8?keywords=APL+ATHLETIC+PROPULSION+LABS&amp;qid=1695343302&amp;sr=8-8")</f>
        <v/>
      </c>
      <c r="F125" t="inlineStr">
        <is>
          <t>B09NTNTLJ9</t>
        </is>
      </c>
      <c r="G125">
        <f>_xlfn.IMAGE("https://www.theoutnet.com/variants/images/1647597284576278/F/w1020_q80.jpg")</f>
        <v/>
      </c>
      <c r="H125">
        <f>_xlfn.IMAGE("https://m.media-amazon.com/images/I/51uNAMjB3VL._AC_UL320_.jpg")</f>
        <v/>
      </c>
      <c r="K125" t="inlineStr">
        <is>
          <t>66.0</t>
        </is>
      </c>
      <c r="L125" t="n">
        <v>255.99</v>
      </c>
      <c r="M125" s="2" t="inlineStr">
        <is>
          <t>287.86%</t>
        </is>
      </c>
      <c r="N125" t="n">
        <v>4.1</v>
      </c>
      <c r="O125" t="n">
        <v>7</v>
      </c>
      <c r="Q125" t="inlineStr">
        <is>
          <t>InStock</t>
        </is>
      </c>
      <c r="R125" t="inlineStr">
        <is>
          <t>220.0</t>
        </is>
      </c>
      <c r="S125" t="inlineStr">
        <is>
          <t>1</t>
        </is>
      </c>
    </row>
    <row r="126" ht="75" customHeight="1">
      <c r="A126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B126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C126" t="inlineStr">
        <is>
          <t>APL ATHLETIC PROPULSION LABS</t>
        </is>
      </c>
      <c r="D126" t="inlineStr">
        <is>
          <t>APL: Athletic Propulsion Labs Men's Techloom Breeze Running Sneakers</t>
        </is>
      </c>
      <c r="E126" s="1">
        <f>HYPERLINK("https://www.amazon.com/APL-Athletic-Propulsion-Techloom-Sneakers/dp/B07FL56MBW/ref=sr_1_5?keywords=APL+ATHLETIC+PROPULSION+LABS&amp;qid=1695343302&amp;sr=8-5", "https://www.amazon.com/APL-Athletic-Propulsion-Techloom-Sneakers/dp/B07FL56MBW/ref=sr_1_5?keywords=APL+ATHLETIC+PROPULSION+LABS&amp;qid=1695343302&amp;sr=8-5")</f>
        <v/>
      </c>
      <c r="F126" t="inlineStr">
        <is>
          <t>B07FL56MBW</t>
        </is>
      </c>
      <c r="G126">
        <f>_xlfn.IMAGE("https://www.theoutnet.com/variants/images/1647597284576278/F/w1020_q80.jpg")</f>
        <v/>
      </c>
      <c r="H126">
        <f>_xlfn.IMAGE("https://m.media-amazon.com/images/I/816hhuxOQLL._AC_UL320_.jpg")</f>
        <v/>
      </c>
      <c r="K126" t="inlineStr">
        <is>
          <t>66.0</t>
        </is>
      </c>
      <c r="L126" t="n">
        <v>220</v>
      </c>
      <c r="M126" s="2" t="inlineStr">
        <is>
          <t>233.33%</t>
        </is>
      </c>
      <c r="N126" t="n">
        <v>4.2</v>
      </c>
      <c r="O126" t="n">
        <v>45</v>
      </c>
      <c r="Q126" t="inlineStr">
        <is>
          <t>InStock</t>
        </is>
      </c>
      <c r="R126" t="inlineStr">
        <is>
          <t>220.0</t>
        </is>
      </c>
      <c r="S126" t="inlineStr">
        <is>
          <t>1</t>
        </is>
      </c>
    </row>
    <row r="127" ht="75" customHeight="1">
      <c r="A127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B127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C127" t="inlineStr">
        <is>
          <t>APL ATHLETIC PROPULSION LABS</t>
        </is>
      </c>
      <c r="D127" t="inlineStr">
        <is>
          <t>APL: Athletic Propulsion Labs Women's Techloom Bliss Sneakers</t>
        </is>
      </c>
      <c r="E127" s="1">
        <f>HYPERLINK("https://www.amazon.com/APL-Athletic-Propulsion-Techloom-Sneakers/dp/B07TJJHL2Y/ref=sr_1_3?keywords=APL+ATHLETIC+PROPULSION+LABS&amp;qid=1695343302&amp;sr=8-3", "https://www.amazon.com/APL-Athletic-Propulsion-Techloom-Sneakers/dp/B07TJJHL2Y/ref=sr_1_3?keywords=APL+ATHLETIC+PROPULSION+LABS&amp;qid=1695343302&amp;sr=8-3")</f>
        <v/>
      </c>
      <c r="F127" t="inlineStr">
        <is>
          <t>B07TJJHL2Y</t>
        </is>
      </c>
      <c r="G127">
        <f>_xlfn.IMAGE("https://www.theoutnet.com/variants/images/1647597284576278/F/w1020_q80.jpg")</f>
        <v/>
      </c>
      <c r="H127">
        <f>_xlfn.IMAGE("https://m.media-amazon.com/images/I/71ndGcXsH-L._AC_UL320_.jpg")</f>
        <v/>
      </c>
      <c r="K127" t="inlineStr">
        <is>
          <t>66.0</t>
        </is>
      </c>
      <c r="L127" t="n">
        <v>220</v>
      </c>
      <c r="M127" s="2" t="inlineStr">
        <is>
          <t>233.33%</t>
        </is>
      </c>
      <c r="N127" t="n">
        <v>4.4</v>
      </c>
      <c r="O127" t="n">
        <v>186</v>
      </c>
      <c r="Q127" t="inlineStr">
        <is>
          <t>InStock</t>
        </is>
      </c>
      <c r="R127" t="inlineStr">
        <is>
          <t>220.0</t>
        </is>
      </c>
      <c r="S127" t="inlineStr">
        <is>
          <t>1</t>
        </is>
      </c>
    </row>
    <row r="128" ht="75" customHeight="1">
      <c r="A128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B128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C128" t="inlineStr">
        <is>
          <t>APL ATHLETIC PROPULSION LABS</t>
        </is>
      </c>
      <c r="D128" t="inlineStr">
        <is>
          <t>APL: Athletic Propulsion Labs Women's Techloom Breeze Sneakers</t>
        </is>
      </c>
      <c r="E128" s="1">
        <f>HYPERLINK("https://www.amazon.com/APL-Athletic-Propulsion-Techloom-Sneakers/dp/B07WP8YPKF/ref=sr_1_9?keywords=APL+ATHLETIC+PROPULSION+LABS&amp;qid=1695343302&amp;sr=8-9", "https://www.amazon.com/APL-Athletic-Propulsion-Techloom-Sneakers/dp/B07WP8YPKF/ref=sr_1_9?keywords=APL+ATHLETIC+PROPULSION+LABS&amp;qid=1695343302&amp;sr=8-9")</f>
        <v/>
      </c>
      <c r="F128" t="inlineStr">
        <is>
          <t>B07WP8YPKF</t>
        </is>
      </c>
      <c r="G128">
        <f>_xlfn.IMAGE("https://www.theoutnet.com/variants/images/1647597284576278/F/w1020_q80.jpg")</f>
        <v/>
      </c>
      <c r="H128">
        <f>_xlfn.IMAGE("https://m.media-amazon.com/images/I/71hlLYidLDL._AC_UL320_.jpg")</f>
        <v/>
      </c>
      <c r="K128" t="inlineStr">
        <is>
          <t>66.0</t>
        </is>
      </c>
      <c r="L128" t="n">
        <v>200</v>
      </c>
      <c r="M128" s="2" t="inlineStr">
        <is>
          <t>203.03%</t>
        </is>
      </c>
      <c r="N128" t="n">
        <v>4</v>
      </c>
      <c r="O128" t="n">
        <v>49</v>
      </c>
      <c r="Q128" t="inlineStr">
        <is>
          <t>InStock</t>
        </is>
      </c>
      <c r="R128" t="inlineStr">
        <is>
          <t>220.0</t>
        </is>
      </c>
      <c r="S128" t="inlineStr">
        <is>
          <t>1</t>
        </is>
      </c>
    </row>
    <row r="129" ht="75" customHeight="1">
      <c r="A129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B129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C129" t="inlineStr">
        <is>
          <t>APL ATHLETIC PROPULSION LABS</t>
        </is>
      </c>
      <c r="D129" t="inlineStr">
        <is>
          <t>APL: Athletic Propulsion Labs Women's Techloom Phantom Running Shoe</t>
        </is>
      </c>
      <c r="E129" s="1">
        <f>HYPERLINK("https://www.amazon.com/APL-Athletic-Propulsion-Techloom-Sneakers/dp/B077ZC7WK9/ref=sr_1_2?keywords=APL+ATHLETIC+PROPULSION+LABS&amp;qid=1695343302&amp;sr=8-2", "https://www.amazon.com/APL-Athletic-Propulsion-Techloom-Sneakers/dp/B077ZC7WK9/ref=sr_1_2?keywords=APL+ATHLETIC+PROPULSION+LABS&amp;qid=1695343302&amp;sr=8-2")</f>
        <v/>
      </c>
      <c r="F129" t="inlineStr">
        <is>
          <t>B077ZC7WK9</t>
        </is>
      </c>
      <c r="G129">
        <f>_xlfn.IMAGE("https://www.theoutnet.com/variants/images/1647597284576278/F/w1020_q80.jpg")</f>
        <v/>
      </c>
      <c r="H129">
        <f>_xlfn.IMAGE("https://m.media-amazon.com/images/I/81-FgCIB-fL._AC_UL320_.jpg")</f>
        <v/>
      </c>
      <c r="K129" t="inlineStr">
        <is>
          <t>66.0</t>
        </is>
      </c>
      <c r="L129" t="n">
        <v>140</v>
      </c>
      <c r="M129" s="2" t="inlineStr">
        <is>
          <t>112.12%</t>
        </is>
      </c>
      <c r="N129" t="n">
        <v>4.3</v>
      </c>
      <c r="O129" t="n">
        <v>461</v>
      </c>
      <c r="Q129" t="inlineStr">
        <is>
          <t>InStock</t>
        </is>
      </c>
      <c r="R129" t="inlineStr">
        <is>
          <t>220.0</t>
        </is>
      </c>
      <c r="S129" t="inlineStr">
        <is>
          <t>1</t>
        </is>
      </c>
    </row>
    <row r="130" ht="75" customHeight="1">
      <c r="A130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B130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C130" t="inlineStr">
        <is>
          <t>APL ATHLETIC PROPULSION LABS</t>
        </is>
      </c>
      <c r="D130" t="inlineStr">
        <is>
          <t>APL: Athletic Propulsion Labs Men's Techloom Tracer Running Sneakers</t>
        </is>
      </c>
      <c r="E130" s="1">
        <f>HYPERLINK("https://www.amazon.com/APL-Athletic-Propulsion-Techloom-Sneakers/dp/B08QDNDT8C/ref=sr_1_10?keywords=APL+ATHLETIC+PROPULSION+LABS&amp;qid=1695343302&amp;sr=8-10", "https://www.amazon.com/APL-Athletic-Propulsion-Techloom-Sneakers/dp/B08QDNDT8C/ref=sr_1_10?keywords=APL+ATHLETIC+PROPULSION+LABS&amp;qid=1695343302&amp;sr=8-10")</f>
        <v/>
      </c>
      <c r="F130" t="inlineStr">
        <is>
          <t>B08QDNDT8C</t>
        </is>
      </c>
      <c r="G130">
        <f>_xlfn.IMAGE("https://www.theoutnet.com/variants/images/1647597284576278/F/w1020_q80.jpg")</f>
        <v/>
      </c>
      <c r="H130">
        <f>_xlfn.IMAGE("https://m.media-amazon.com/images/I/61SNdNDao6L._AC_UL320_.jpg")</f>
        <v/>
      </c>
      <c r="K130" t="inlineStr">
        <is>
          <t>66.0</t>
        </is>
      </c>
      <c r="L130" t="n">
        <v>137.5</v>
      </c>
      <c r="M130" s="2" t="inlineStr">
        <is>
          <t>108.33%</t>
        </is>
      </c>
      <c r="N130" t="n">
        <v>3.9</v>
      </c>
      <c r="O130" t="n">
        <v>13</v>
      </c>
      <c r="Q130" t="inlineStr">
        <is>
          <t>InStock</t>
        </is>
      </c>
      <c r="R130" t="inlineStr">
        <is>
          <t>220.0</t>
        </is>
      </c>
      <c r="S130" t="inlineStr">
        <is>
          <t>1</t>
        </is>
      </c>
    </row>
    <row r="131" ht="75" customHeight="1">
      <c r="A131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B131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C131" t="inlineStr">
        <is>
          <t>APL ATHLETIC PROPULSION LABS</t>
        </is>
      </c>
      <c r="D131" t="inlineStr">
        <is>
          <t>APL: Athletic Propulsion Labs Women's Techloom Breeze Sneakers</t>
        </is>
      </c>
      <c r="E131" s="1">
        <f>HYPERLINK("https://www.amazon.com/Athletic-Propulsion-Labs-APL-Beachwood/dp/B0B9K2HJZP/ref=sr_1_7?keywords=APL+ATHLETIC+PROPULSION+LABS&amp;qid=1695343302&amp;sr=8-7", "https://www.amazon.com/Athletic-Propulsion-Labs-APL-Beachwood/dp/B0B9K2HJZP/ref=sr_1_7?keywords=APL+ATHLETIC+PROPULSION+LABS&amp;qid=1695343302&amp;sr=8-7")</f>
        <v/>
      </c>
      <c r="F131" t="inlineStr">
        <is>
          <t>B0B9K2HJZP</t>
        </is>
      </c>
      <c r="G131">
        <f>_xlfn.IMAGE("https://www.theoutnet.com/variants/images/1647597284576278/F/w1020_q80.jpg")</f>
        <v/>
      </c>
      <c r="H131">
        <f>_xlfn.IMAGE("https://m.media-amazon.com/images/I/71KP2HOcLDL._AC_UL320_.jpg")</f>
        <v/>
      </c>
      <c r="K131" t="inlineStr">
        <is>
          <t>66.0</t>
        </is>
      </c>
      <c r="L131" t="n">
        <v>110</v>
      </c>
      <c r="M131" s="2" t="inlineStr">
        <is>
          <t>66.67%</t>
        </is>
      </c>
      <c r="N131" t="n">
        <v>4.2</v>
      </c>
      <c r="O131" t="n">
        <v>75</v>
      </c>
      <c r="Q131" t="inlineStr">
        <is>
          <t>InStock</t>
        </is>
      </c>
      <c r="R131" t="inlineStr">
        <is>
          <t>220.0</t>
        </is>
      </c>
      <c r="S131" t="inlineStr">
        <is>
          <t>1</t>
        </is>
      </c>
    </row>
    <row r="132" ht="75" customHeight="1">
      <c r="A132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B132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C132" t="inlineStr">
        <is>
          <t>APL ATHLETIC PROPULSION LABS</t>
        </is>
      </c>
      <c r="D132" t="inlineStr">
        <is>
          <t>APL: Athletic Propulsion Labs Women's Zipline Sneakers</t>
        </is>
      </c>
      <c r="E132" s="1">
        <f>HYPERLINK("https://www.amazon.com/APL-Athletic-Propulsion-Techloom-Zipline/dp/B09NTNTLJ9/ref=sr_1_8?keywords=APL+ATHLETIC+PROPULSION+LABS&amp;qid=1695343520&amp;sr=8-8", "https://www.amazon.com/APL-Athletic-Propulsion-Techloom-Zipline/dp/B09NTNTLJ9/ref=sr_1_8?keywords=APL+ATHLETIC+PROPULSION+LABS&amp;qid=1695343520&amp;sr=8-8")</f>
        <v/>
      </c>
      <c r="F132" t="inlineStr">
        <is>
          <t>B09NTNTLJ9</t>
        </is>
      </c>
      <c r="G132">
        <f>_xlfn.IMAGE("https://www.theoutnet.com/variants/images/1647597284576278/F/w1020_q80.jpg")</f>
        <v/>
      </c>
      <c r="H132">
        <f>_xlfn.IMAGE("https://m.media-amazon.com/images/I/51uNAMjB3VL._AC_UL320_.jpg")</f>
        <v/>
      </c>
      <c r="K132" t="inlineStr">
        <is>
          <t>66.0</t>
        </is>
      </c>
      <c r="L132" t="n">
        <v>255.99</v>
      </c>
      <c r="M132" s="2" t="inlineStr">
        <is>
          <t>287.86%</t>
        </is>
      </c>
      <c r="N132" t="n">
        <v>4.1</v>
      </c>
      <c r="O132" t="n">
        <v>7</v>
      </c>
      <c r="Q132" t="inlineStr">
        <is>
          <t>InStock</t>
        </is>
      </c>
      <c r="R132" t="inlineStr">
        <is>
          <t>220.0</t>
        </is>
      </c>
      <c r="S132" t="inlineStr">
        <is>
          <t>1</t>
        </is>
      </c>
    </row>
    <row r="133" ht="75" customHeight="1">
      <c r="A133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B133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C133" t="inlineStr">
        <is>
          <t>APL ATHLETIC PROPULSION LABS</t>
        </is>
      </c>
      <c r="D133" t="inlineStr">
        <is>
          <t>APL: Athletic Propulsion Labs Women's Techloom Bliss Sneakers</t>
        </is>
      </c>
      <c r="E133" s="1">
        <f>HYPERLINK("https://www.amazon.com/APL-Athletic-Propulsion-Techloom-Sneakers/dp/B07TJJHL2Y/ref=sr_1_3?keywords=APL+ATHLETIC+PROPULSION+LABS&amp;qid=1695343520&amp;sr=8-3", "https://www.amazon.com/APL-Athletic-Propulsion-Techloom-Sneakers/dp/B07TJJHL2Y/ref=sr_1_3?keywords=APL+ATHLETIC+PROPULSION+LABS&amp;qid=1695343520&amp;sr=8-3")</f>
        <v/>
      </c>
      <c r="F133" t="inlineStr">
        <is>
          <t>B07TJJHL2Y</t>
        </is>
      </c>
      <c r="G133">
        <f>_xlfn.IMAGE("https://www.theoutnet.com/variants/images/1647597284576278/F/w1020_q80.jpg")</f>
        <v/>
      </c>
      <c r="H133">
        <f>_xlfn.IMAGE("https://m.media-amazon.com/images/I/71ndGcXsH-L._AC_UL320_.jpg")</f>
        <v/>
      </c>
      <c r="K133" t="inlineStr">
        <is>
          <t>66.0</t>
        </is>
      </c>
      <c r="L133" t="n">
        <v>220</v>
      </c>
      <c r="M133" s="2" t="inlineStr">
        <is>
          <t>233.33%</t>
        </is>
      </c>
      <c r="N133" t="n">
        <v>4.4</v>
      </c>
      <c r="O133" t="n">
        <v>186</v>
      </c>
      <c r="Q133" t="inlineStr">
        <is>
          <t>InStock</t>
        </is>
      </c>
      <c r="R133" t="inlineStr">
        <is>
          <t>220.0</t>
        </is>
      </c>
      <c r="S133" t="inlineStr">
        <is>
          <t>1</t>
        </is>
      </c>
    </row>
    <row r="134" ht="75" customHeight="1">
      <c r="A134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B134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C134" t="inlineStr">
        <is>
          <t>APL ATHLETIC PROPULSION LABS</t>
        </is>
      </c>
      <c r="D134" t="inlineStr">
        <is>
          <t>APL: Athletic Propulsion Labs Men's Techloom Breeze Running Sneakers</t>
        </is>
      </c>
      <c r="E134" s="1">
        <f>HYPERLINK("https://www.amazon.com/APL-Athletic-Propulsion-Techloom-Sneakers/dp/B07FL56MBW/ref=sr_1_5?keywords=APL+ATHLETIC+PROPULSION+LABS&amp;qid=1695343520&amp;sr=8-5", "https://www.amazon.com/APL-Athletic-Propulsion-Techloom-Sneakers/dp/B07FL56MBW/ref=sr_1_5?keywords=APL+ATHLETIC+PROPULSION+LABS&amp;qid=1695343520&amp;sr=8-5")</f>
        <v/>
      </c>
      <c r="F134" t="inlineStr">
        <is>
          <t>B07FL56MBW</t>
        </is>
      </c>
      <c r="G134">
        <f>_xlfn.IMAGE("https://www.theoutnet.com/variants/images/1647597284576278/F/w1020_q80.jpg")</f>
        <v/>
      </c>
      <c r="H134">
        <f>_xlfn.IMAGE("https://m.media-amazon.com/images/I/816hhuxOQLL._AC_UL320_.jpg")</f>
        <v/>
      </c>
      <c r="K134" t="inlineStr">
        <is>
          <t>66.0</t>
        </is>
      </c>
      <c r="L134" t="n">
        <v>220</v>
      </c>
      <c r="M134" s="2" t="inlineStr">
        <is>
          <t>233.33%</t>
        </is>
      </c>
      <c r="N134" t="n">
        <v>4.2</v>
      </c>
      <c r="O134" t="n">
        <v>45</v>
      </c>
      <c r="Q134" t="inlineStr">
        <is>
          <t>InStock</t>
        </is>
      </c>
      <c r="R134" t="inlineStr">
        <is>
          <t>220.0</t>
        </is>
      </c>
      <c r="S134" t="inlineStr">
        <is>
          <t>1</t>
        </is>
      </c>
    </row>
    <row r="135" ht="75" customHeight="1">
      <c r="A135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B135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C135" t="inlineStr">
        <is>
          <t>APL ATHLETIC PROPULSION LABS</t>
        </is>
      </c>
      <c r="D135" t="inlineStr">
        <is>
          <t>APL: Athletic Propulsion Labs Women's Techloom Breeze Sneakers</t>
        </is>
      </c>
      <c r="E135" s="1">
        <f>HYPERLINK("https://www.amazon.com/APL-Athletic-Propulsion-Techloom-Sneakers/dp/B07WP8YPKF/ref=sr_1_9?keywords=APL+ATHLETIC+PROPULSION+LABS&amp;qid=1695343520&amp;sr=8-9", "https://www.amazon.com/APL-Athletic-Propulsion-Techloom-Sneakers/dp/B07WP8YPKF/ref=sr_1_9?keywords=APL+ATHLETIC+PROPULSION+LABS&amp;qid=1695343520&amp;sr=8-9")</f>
        <v/>
      </c>
      <c r="F135" t="inlineStr">
        <is>
          <t>B07WP8YPKF</t>
        </is>
      </c>
      <c r="G135">
        <f>_xlfn.IMAGE("https://www.theoutnet.com/variants/images/1647597284576278/F/w1020_q80.jpg")</f>
        <v/>
      </c>
      <c r="H135">
        <f>_xlfn.IMAGE("https://m.media-amazon.com/images/I/71hlLYidLDL._AC_UL320_.jpg")</f>
        <v/>
      </c>
      <c r="K135" t="inlineStr">
        <is>
          <t>66.0</t>
        </is>
      </c>
      <c r="L135" t="n">
        <v>200</v>
      </c>
      <c r="M135" s="2" t="inlineStr">
        <is>
          <t>203.03%</t>
        </is>
      </c>
      <c r="N135" t="n">
        <v>4</v>
      </c>
      <c r="O135" t="n">
        <v>49</v>
      </c>
      <c r="Q135" t="inlineStr">
        <is>
          <t>InStock</t>
        </is>
      </c>
      <c r="R135" t="inlineStr">
        <is>
          <t>220.0</t>
        </is>
      </c>
      <c r="S135" t="inlineStr">
        <is>
          <t>1</t>
        </is>
      </c>
    </row>
    <row r="136" ht="75" customHeight="1">
      <c r="A136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B136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C136" t="inlineStr">
        <is>
          <t>APL ATHLETIC PROPULSION LABS</t>
        </is>
      </c>
      <c r="D136" t="inlineStr">
        <is>
          <t>APL: Athletic Propulsion Labs Women's Techloom Phantom Running Shoe</t>
        </is>
      </c>
      <c r="E136" s="1">
        <f>HYPERLINK("https://www.amazon.com/APL-Athletic-Propulsion-Techloom-Sneakers/dp/B077ZC7WK9/ref=sr_1_2?keywords=APL+ATHLETIC+PROPULSION+LABS&amp;qid=1695343520&amp;sr=8-2", "https://www.amazon.com/APL-Athletic-Propulsion-Techloom-Sneakers/dp/B077ZC7WK9/ref=sr_1_2?keywords=APL+ATHLETIC+PROPULSION+LABS&amp;qid=1695343520&amp;sr=8-2")</f>
        <v/>
      </c>
      <c r="F136" t="inlineStr">
        <is>
          <t>B077ZC7WK9</t>
        </is>
      </c>
      <c r="G136">
        <f>_xlfn.IMAGE("https://www.theoutnet.com/variants/images/1647597284576278/F/w1020_q80.jpg")</f>
        <v/>
      </c>
      <c r="H136">
        <f>_xlfn.IMAGE("https://m.media-amazon.com/images/I/81-FgCIB-fL._AC_UL320_.jpg")</f>
        <v/>
      </c>
      <c r="K136" t="inlineStr">
        <is>
          <t>66.0</t>
        </is>
      </c>
      <c r="L136" t="n">
        <v>140</v>
      </c>
      <c r="M136" s="2" t="inlineStr">
        <is>
          <t>112.12%</t>
        </is>
      </c>
      <c r="N136" t="n">
        <v>4.3</v>
      </c>
      <c r="O136" t="n">
        <v>461</v>
      </c>
      <c r="Q136" t="inlineStr">
        <is>
          <t>InStock</t>
        </is>
      </c>
      <c r="R136" t="inlineStr">
        <is>
          <t>220.0</t>
        </is>
      </c>
      <c r="S136" t="inlineStr">
        <is>
          <t>1</t>
        </is>
      </c>
    </row>
    <row r="137" ht="75" customHeight="1">
      <c r="A137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B137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C137" t="inlineStr">
        <is>
          <t>APL ATHLETIC PROPULSION LABS</t>
        </is>
      </c>
      <c r="D137" t="inlineStr">
        <is>
          <t>APL: Athletic Propulsion Labs Men's Techloom Tracer Running Sneakers</t>
        </is>
      </c>
      <c r="E137" s="1">
        <f>HYPERLINK("https://www.amazon.com/APL-Athletic-Propulsion-Techloom-Sneakers/dp/B08QDNDT8C/ref=sr_1_10?keywords=APL+ATHLETIC+PROPULSION+LABS&amp;qid=1695343520&amp;sr=8-10", "https://www.amazon.com/APL-Athletic-Propulsion-Techloom-Sneakers/dp/B08QDNDT8C/ref=sr_1_10?keywords=APL+ATHLETIC+PROPULSION+LABS&amp;qid=1695343520&amp;sr=8-10")</f>
        <v/>
      </c>
      <c r="F137" t="inlineStr">
        <is>
          <t>B08QDNDT8C</t>
        </is>
      </c>
      <c r="G137">
        <f>_xlfn.IMAGE("https://www.theoutnet.com/variants/images/1647597284576278/F/w1020_q80.jpg")</f>
        <v/>
      </c>
      <c r="H137">
        <f>_xlfn.IMAGE("https://m.media-amazon.com/images/I/61SNdNDao6L._AC_UL320_.jpg")</f>
        <v/>
      </c>
      <c r="K137" t="inlineStr">
        <is>
          <t>66.0</t>
        </is>
      </c>
      <c r="L137" t="n">
        <v>137.5</v>
      </c>
      <c r="M137" s="2" t="inlineStr">
        <is>
          <t>108.33%</t>
        </is>
      </c>
      <c r="N137" t="n">
        <v>3.9</v>
      </c>
      <c r="O137" t="n">
        <v>13</v>
      </c>
      <c r="Q137" t="inlineStr">
        <is>
          <t>InStock</t>
        </is>
      </c>
      <c r="R137" t="inlineStr">
        <is>
          <t>220.0</t>
        </is>
      </c>
      <c r="S137" t="inlineStr">
        <is>
          <t>1</t>
        </is>
      </c>
    </row>
    <row r="138" ht="75" customHeight="1">
      <c r="A138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B138" s="1">
        <f>HYPERLINK("https://www.theoutnet.com/en-us/shop/product/apl-athletic-propulsion-labs/sneakers/sport-sneakers/melange-stretch-knit-sneakers/1647597284576278", "https://www.theoutnet.com/en-us/shop/product/apl-athletic-propulsion-labs/sneakers/sport-sneakers/melange-stretch-knit-sneakers/1647597284576278")</f>
        <v/>
      </c>
      <c r="C138" t="inlineStr">
        <is>
          <t>APL ATHLETIC PROPULSION LABS</t>
        </is>
      </c>
      <c r="D138" t="inlineStr">
        <is>
          <t>APL: Athletic Propulsion Labs Women's Techloom Breeze Sneakers</t>
        </is>
      </c>
      <c r="E138" s="1">
        <f>HYPERLINK("https://www.amazon.com/Athletic-Propulsion-Labs-APL-Beachwood/dp/B0B9K2HJZP/ref=sr_1_7?keywords=APL+ATHLETIC+PROPULSION+LABS&amp;qid=1695343520&amp;sr=8-7", "https://www.amazon.com/Athletic-Propulsion-Labs-APL-Beachwood/dp/B0B9K2HJZP/ref=sr_1_7?keywords=APL+ATHLETIC+PROPULSION+LABS&amp;qid=1695343520&amp;sr=8-7")</f>
        <v/>
      </c>
      <c r="F138" t="inlineStr">
        <is>
          <t>B0B9K2HJZP</t>
        </is>
      </c>
      <c r="G138">
        <f>_xlfn.IMAGE("https://www.theoutnet.com/variants/images/1647597284576278/F/w1020_q80.jpg")</f>
        <v/>
      </c>
      <c r="H138">
        <f>_xlfn.IMAGE("https://m.media-amazon.com/images/I/71KP2HOcLDL._AC_UL320_.jpg")</f>
        <v/>
      </c>
      <c r="K138" t="inlineStr">
        <is>
          <t>66.0</t>
        </is>
      </c>
      <c r="L138" t="n">
        <v>110</v>
      </c>
      <c r="M138" s="2" t="inlineStr">
        <is>
          <t>66.67%</t>
        </is>
      </c>
      <c r="N138" t="n">
        <v>4.2</v>
      </c>
      <c r="O138" t="n">
        <v>75</v>
      </c>
      <c r="Q138" t="inlineStr">
        <is>
          <t>InStock</t>
        </is>
      </c>
      <c r="R138" t="inlineStr">
        <is>
          <t>220.0</t>
        </is>
      </c>
      <c r="S138" t="inlineStr">
        <is>
          <t>1</t>
        </is>
      </c>
    </row>
    <row r="139" ht="75" customHeight="1">
      <c r="A139" s="1">
        <f>HYPERLINK("https://www.theoutnet.com/en-us/shop/product/apl-athletic-propulsion-labs/sneakers/sport-sneakers/metallic-mesh-and-neoprene-sneakers/1647597284575676", "https://www.theoutnet.com/en-us/shop/product/apl-athletic-propulsion-labs/sneakers/sport-sneakers/metallic-mesh-and-neoprene-sneakers/1647597284575676")</f>
        <v/>
      </c>
      <c r="B139" s="1">
        <f>HYPERLINK("https://www.theoutnet.com/en-us/shop/product/apl-athletic-propulsion-labs/sneakers/sport-sneakers/metallic-mesh-and-neoprene-sneakers/1647597284575676", "https://www.theoutnet.com/en-us/shop/product/apl-athletic-propulsion-labs/sneakers/sport-sneakers/metallic-mesh-and-neoprene-sneakers/1647597284575676")</f>
        <v/>
      </c>
      <c r="C139" t="inlineStr">
        <is>
          <t>APL ATHLETIC PROPULSION LABS</t>
        </is>
      </c>
      <c r="D139" t="inlineStr">
        <is>
          <t>APL: Athletic Propulsion Labs Women's Zipline Sneakers</t>
        </is>
      </c>
      <c r="E139" s="1">
        <f>HYPERLINK("https://www.amazon.com/APL-Athletic-Propulsion-Techloom-Zipline/dp/B09NTN5VN3/ref=sr_1_7?keywords=APL+ATHLETIC+PROPULSION+LABS&amp;qid=1695343605&amp;sr=8-7", "https://www.amazon.com/APL-Athletic-Propulsion-Techloom-Zipline/dp/B09NTN5VN3/ref=sr_1_7?keywords=APL+ATHLETIC+PROPULSION+LABS&amp;qid=1695343605&amp;sr=8-7")</f>
        <v/>
      </c>
      <c r="F139" t="inlineStr">
        <is>
          <t>B09NTN5VN3</t>
        </is>
      </c>
      <c r="G139">
        <f>_xlfn.IMAGE("https://www.theoutnet.com/variants/images/1647597284575676/F/w1020_q80.jpg")</f>
        <v/>
      </c>
      <c r="H139">
        <f>_xlfn.IMAGE("https://m.media-amazon.com/images/I/51uNAMjB3VL._AC_UL320_.jpg")</f>
        <v/>
      </c>
      <c r="K139" t="inlineStr">
        <is>
          <t>135.0</t>
        </is>
      </c>
      <c r="L139" t="n">
        <v>255.99</v>
      </c>
      <c r="M139" s="2" t="inlineStr">
        <is>
          <t>89.62%</t>
        </is>
      </c>
      <c r="N139" t="n">
        <v>4.1</v>
      </c>
      <c r="O139" t="n">
        <v>7</v>
      </c>
      <c r="Q139" t="inlineStr">
        <is>
          <t>InStock</t>
        </is>
      </c>
      <c r="R139" t="inlineStr">
        <is>
          <t>270.0</t>
        </is>
      </c>
      <c r="S139" t="inlineStr">
        <is>
          <t>1</t>
        </is>
      </c>
    </row>
    <row r="140" ht="75" customHeight="1">
      <c r="A140" s="1">
        <f>HYPERLINK("https://www.theoutnet.com/en-us/shop/product/apl-athletic-propulsion-labs/sneakers/sport-sneakers/perforated-metallic-stretch-knit-sneakers/1647597284576277", "https://www.theoutnet.com/en-us/shop/product/apl-athletic-propulsion-labs/sneakers/sport-sneakers/perforated-metallic-stretch-knit-sneakers/1647597284576277")</f>
        <v/>
      </c>
      <c r="B140" s="1">
        <f>HYPERLINK("https://www.theoutnet.com/en-us/shop/product/apl-athletic-propulsion-labs/sneakers/sport-sneakers/perforated-metallic-stretch-knit-sneakers/1647597284576277", "https://www.theoutnet.com/en-us/shop/product/apl-athletic-propulsion-labs/sneakers/sport-sneakers/perforated-metallic-stretch-knit-sneakers/1647597284576277")</f>
        <v/>
      </c>
      <c r="C140" t="inlineStr">
        <is>
          <t>APL ATHLETIC PROPULSION LABS</t>
        </is>
      </c>
      <c r="D140" t="inlineStr">
        <is>
          <t>APL: Athletic Propulsion Labs Women's Zipline Sneakers</t>
        </is>
      </c>
      <c r="E140" s="1">
        <f>HYPERLINK("https://www.amazon.com/APL-Athletic-Propulsion-Techloom-Zipline/dp/B09NTNTLJ9/ref=sr_1_8?keywords=APL+ATHLETIC+PROPULSION+LABS&amp;qid=1695343587&amp;sr=8-8", "https://www.amazon.com/APL-Athletic-Propulsion-Techloom-Zipline/dp/B09NTNTLJ9/ref=sr_1_8?keywords=APL+ATHLETIC+PROPULSION+LABS&amp;qid=1695343587&amp;sr=8-8")</f>
        <v/>
      </c>
      <c r="F140" t="inlineStr">
        <is>
          <t>B09NTNTLJ9</t>
        </is>
      </c>
      <c r="G140">
        <f>_xlfn.IMAGE("https://www.theoutnet.com/variants/images/1647597284576277/F/w1020_q80.jpg")</f>
        <v/>
      </c>
      <c r="H140">
        <f>_xlfn.IMAGE("https://m.media-amazon.com/images/I/51uNAMjB3VL._AC_UL320_.jpg")</f>
        <v/>
      </c>
      <c r="K140" t="inlineStr">
        <is>
          <t>120.0</t>
        </is>
      </c>
      <c r="L140" t="n">
        <v>255.99</v>
      </c>
      <c r="M140" s="2" t="inlineStr">
        <is>
          <t>113.33%</t>
        </is>
      </c>
      <c r="N140" t="n">
        <v>4.1</v>
      </c>
      <c r="O140" t="n">
        <v>7</v>
      </c>
      <c r="Q140" t="inlineStr">
        <is>
          <t>InStock</t>
        </is>
      </c>
      <c r="R140" t="inlineStr">
        <is>
          <t>240.0</t>
        </is>
      </c>
      <c r="S140" t="inlineStr">
        <is>
          <t>1647597284576277</t>
        </is>
      </c>
    </row>
    <row r="141" ht="75" customHeight="1">
      <c r="A141" s="1">
        <f>HYPERLINK("https://www.theoutnet.com/en-us/shop/product/apl-athletic-propulsion-labs/sneakers/sport-sneakers/perforated-metallic-stretch-knit-sneakers/1647597284576277", "https://www.theoutnet.com/en-us/shop/product/apl-athletic-propulsion-labs/sneakers/sport-sneakers/perforated-metallic-stretch-knit-sneakers/1647597284576277")</f>
        <v/>
      </c>
      <c r="B141" s="1">
        <f>HYPERLINK("https://www.theoutnet.com/en-us/shop/product/apl-athletic-propulsion-labs/sneakers/sport-sneakers/perforated-metallic-stretch-knit-sneakers/1647597284576277", "https://www.theoutnet.com/en-us/shop/product/apl-athletic-propulsion-labs/sneakers/sport-sneakers/perforated-metallic-stretch-knit-sneakers/1647597284576277")</f>
        <v/>
      </c>
      <c r="C141" t="inlineStr">
        <is>
          <t>APL ATHLETIC PROPULSION LABS</t>
        </is>
      </c>
      <c r="D141" t="inlineStr">
        <is>
          <t>APL: Athletic Propulsion Labs Men's Techloom Breeze Running Sneakers</t>
        </is>
      </c>
      <c r="E141" s="1">
        <f>HYPERLINK("https://www.amazon.com/APL-Athletic-Propulsion-Techloom-Sneakers/dp/B07FL56MBW/ref=sr_1_5?keywords=APL+ATHLETIC+PROPULSION+LABS&amp;qid=1695343587&amp;sr=8-5", "https://www.amazon.com/APL-Athletic-Propulsion-Techloom-Sneakers/dp/B07FL56MBW/ref=sr_1_5?keywords=APL+ATHLETIC+PROPULSION+LABS&amp;qid=1695343587&amp;sr=8-5")</f>
        <v/>
      </c>
      <c r="F141" t="inlineStr">
        <is>
          <t>B07FL56MBW</t>
        </is>
      </c>
      <c r="G141">
        <f>_xlfn.IMAGE("https://www.theoutnet.com/variants/images/1647597284576277/F/w1020_q80.jpg")</f>
        <v/>
      </c>
      <c r="H141">
        <f>_xlfn.IMAGE("https://m.media-amazon.com/images/I/816hhuxOQLL._AC_UL320_.jpg")</f>
        <v/>
      </c>
      <c r="K141" t="inlineStr">
        <is>
          <t>120.0</t>
        </is>
      </c>
      <c r="L141" t="n">
        <v>220</v>
      </c>
      <c r="M141" s="2" t="inlineStr">
        <is>
          <t>83.33%</t>
        </is>
      </c>
      <c r="N141" t="n">
        <v>4.2</v>
      </c>
      <c r="O141" t="n">
        <v>45</v>
      </c>
      <c r="Q141" t="inlineStr">
        <is>
          <t>InStock</t>
        </is>
      </c>
      <c r="R141" t="inlineStr">
        <is>
          <t>240.0</t>
        </is>
      </c>
      <c r="S141" t="inlineStr">
        <is>
          <t>1647597284576277</t>
        </is>
      </c>
    </row>
    <row r="142" ht="75" customHeight="1">
      <c r="A142" s="1">
        <f>HYPERLINK("https://www.theoutnet.com/en-us/shop/product/apl-athletic-propulsion-labs/sneakers/sport-sneakers/perforated-metallic-stretch-knit-sneakers/1647597284576277", "https://www.theoutnet.com/en-us/shop/product/apl-athletic-propulsion-labs/sneakers/sport-sneakers/perforated-metallic-stretch-knit-sneakers/1647597284576277")</f>
        <v/>
      </c>
      <c r="B142" s="1">
        <f>HYPERLINK("https://www.theoutnet.com/en-us/shop/product/apl-athletic-propulsion-labs/sneakers/sport-sneakers/perforated-metallic-stretch-knit-sneakers/1647597284576277", "https://www.theoutnet.com/en-us/shop/product/apl-athletic-propulsion-labs/sneakers/sport-sneakers/perforated-metallic-stretch-knit-sneakers/1647597284576277")</f>
        <v/>
      </c>
      <c r="C142" t="inlineStr">
        <is>
          <t>APL ATHLETIC PROPULSION LABS</t>
        </is>
      </c>
      <c r="D142" t="inlineStr">
        <is>
          <t>APL: Athletic Propulsion Labs Women's Techloom Bliss Sneakers</t>
        </is>
      </c>
      <c r="E142" s="1">
        <f>HYPERLINK("https://www.amazon.com/APL-Athletic-Propulsion-Techloom-Sneakers/dp/B07TJJHL2Y/ref=sr_1_3?keywords=APL+ATHLETIC+PROPULSION+LABS&amp;qid=1695343587&amp;sr=8-3", "https://www.amazon.com/APL-Athletic-Propulsion-Techloom-Sneakers/dp/B07TJJHL2Y/ref=sr_1_3?keywords=APL+ATHLETIC+PROPULSION+LABS&amp;qid=1695343587&amp;sr=8-3")</f>
        <v/>
      </c>
      <c r="F142" t="inlineStr">
        <is>
          <t>B07TJJHL2Y</t>
        </is>
      </c>
      <c r="G142">
        <f>_xlfn.IMAGE("https://www.theoutnet.com/variants/images/1647597284576277/F/w1020_q80.jpg")</f>
        <v/>
      </c>
      <c r="H142">
        <f>_xlfn.IMAGE("https://m.media-amazon.com/images/I/71ndGcXsH-L._AC_UL320_.jpg")</f>
        <v/>
      </c>
      <c r="K142" t="inlineStr">
        <is>
          <t>120.0</t>
        </is>
      </c>
      <c r="L142" t="n">
        <v>220</v>
      </c>
      <c r="M142" s="2" t="inlineStr">
        <is>
          <t>83.33%</t>
        </is>
      </c>
      <c r="N142" t="n">
        <v>4.4</v>
      </c>
      <c r="O142" t="n">
        <v>186</v>
      </c>
      <c r="Q142" t="inlineStr">
        <is>
          <t>InStock</t>
        </is>
      </c>
      <c r="R142" t="inlineStr">
        <is>
          <t>240.0</t>
        </is>
      </c>
      <c r="S142" t="inlineStr">
        <is>
          <t>1647597284576277</t>
        </is>
      </c>
    </row>
    <row r="143" ht="75" customHeight="1">
      <c r="A143" s="1">
        <f>HYPERLINK("https://www.theoutnet.com/en-us/shop/product/apl-athletic-propulsion-labs/sneakers/sport-sneakers/perforated-metallic-stretch-knit-sneakers/1647597284576277", "https://www.theoutnet.com/en-us/shop/product/apl-athletic-propulsion-labs/sneakers/sport-sneakers/perforated-metallic-stretch-knit-sneakers/1647597284576277")</f>
        <v/>
      </c>
      <c r="B143" s="1">
        <f>HYPERLINK("https://www.theoutnet.com/en-us/shop/product/apl-athletic-propulsion-labs/sneakers/sport-sneakers/perforated-metallic-stretch-knit-sneakers/1647597284576277", "https://www.theoutnet.com/en-us/shop/product/apl-athletic-propulsion-labs/sneakers/sport-sneakers/perforated-metallic-stretch-knit-sneakers/1647597284576277")</f>
        <v/>
      </c>
      <c r="C143" t="inlineStr">
        <is>
          <t>APL ATHLETIC PROPULSION LABS</t>
        </is>
      </c>
      <c r="D143" t="inlineStr">
        <is>
          <t>APL: Athletic Propulsion Labs Women's Techloom Breeze Sneakers</t>
        </is>
      </c>
      <c r="E143" s="1">
        <f>HYPERLINK("https://www.amazon.com/APL-Athletic-Propulsion-Techloom-Sneakers/dp/B07WP8YPKF/ref=sr_1_9?keywords=APL+ATHLETIC+PROPULSION+LABS&amp;qid=1695343587&amp;sr=8-9", "https://www.amazon.com/APL-Athletic-Propulsion-Techloom-Sneakers/dp/B07WP8YPKF/ref=sr_1_9?keywords=APL+ATHLETIC+PROPULSION+LABS&amp;qid=1695343587&amp;sr=8-9")</f>
        <v/>
      </c>
      <c r="F143" t="inlineStr">
        <is>
          <t>B07WP8YPKF</t>
        </is>
      </c>
      <c r="G143">
        <f>_xlfn.IMAGE("https://www.theoutnet.com/variants/images/1647597284576277/F/w1020_q80.jpg")</f>
        <v/>
      </c>
      <c r="H143">
        <f>_xlfn.IMAGE("https://m.media-amazon.com/images/I/71hlLYidLDL._AC_UL320_.jpg")</f>
        <v/>
      </c>
      <c r="K143" t="inlineStr">
        <is>
          <t>120.0</t>
        </is>
      </c>
      <c r="L143" t="n">
        <v>200</v>
      </c>
      <c r="M143" s="2" t="inlineStr">
        <is>
          <t>66.67%</t>
        </is>
      </c>
      <c r="N143" t="n">
        <v>4</v>
      </c>
      <c r="O143" t="n">
        <v>49</v>
      </c>
      <c r="Q143" t="inlineStr">
        <is>
          <t>InStock</t>
        </is>
      </c>
      <c r="R143" t="inlineStr">
        <is>
          <t>240.0</t>
        </is>
      </c>
      <c r="S143" t="inlineStr">
        <is>
          <t>1647597284576277</t>
        </is>
      </c>
    </row>
    <row r="144" ht="75" customHeight="1">
      <c r="A144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B144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C144" t="inlineStr">
        <is>
          <t>APL ATHLETIC PROPULSION LABS</t>
        </is>
      </c>
      <c r="D144" t="inlineStr">
        <is>
          <t>APL: Athletic Propulsion Labs Women's Zipline Sneakers</t>
        </is>
      </c>
      <c r="E144" s="1">
        <f>HYPERLINK("https://www.amazon.com/APL-Athletic-Propulsion-Techloom-Zipline/dp/B09NTNTLJ9/ref=sr_1_9?keywords=APL+ATHLETIC+PROPULSION+LABS&amp;qid=1695343258&amp;sr=8-9", "https://www.amazon.com/APL-Athletic-Propulsion-Techloom-Zipline/dp/B09NTNTLJ9/ref=sr_1_9?keywords=APL+ATHLETIC+PROPULSION+LABS&amp;qid=1695343258&amp;sr=8-9")</f>
        <v/>
      </c>
      <c r="F144" t="inlineStr">
        <is>
          <t>B09NTNTLJ9</t>
        </is>
      </c>
      <c r="G144">
        <f>_xlfn.IMAGE("https://www.theoutnet.com/variants/images/1647597284577644/F/w1020_q80.jpg")</f>
        <v/>
      </c>
      <c r="H144">
        <f>_xlfn.IMAGE("https://m.media-amazon.com/images/I/51uNAMjB3VL._AC_UL320_.jpg")</f>
        <v/>
      </c>
      <c r="K144" t="inlineStr">
        <is>
          <t>80.0</t>
        </is>
      </c>
      <c r="L144" t="n">
        <v>255.99</v>
      </c>
      <c r="M144" s="2" t="inlineStr">
        <is>
          <t>219.99%</t>
        </is>
      </c>
      <c r="N144" t="n">
        <v>4.1</v>
      </c>
      <c r="O144" t="n">
        <v>7</v>
      </c>
      <c r="Q144" t="inlineStr">
        <is>
          <t>InStock</t>
        </is>
      </c>
      <c r="R144" t="inlineStr">
        <is>
          <t>265.0</t>
        </is>
      </c>
      <c r="S144" t="inlineStr">
        <is>
          <t>1647597284577644</t>
        </is>
      </c>
    </row>
    <row r="145" ht="75" customHeight="1">
      <c r="A145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B145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C145" t="inlineStr">
        <is>
          <t>APL ATHLETIC PROPULSION LABS</t>
        </is>
      </c>
      <c r="D145" t="inlineStr">
        <is>
          <t>APL: Athletic Propulsion Labs Women's Techloom Tracer Sneakers</t>
        </is>
      </c>
      <c r="E145" s="1">
        <f>HYPERLINK("https://www.amazon.com/APL-Athletic-Propulsion-Techloom-Sneakers/dp/B08CMNX5Q8/ref=sr_1_6?keywords=APL+ATHLETIC+PROPULSION+LABS&amp;qid=1695343258&amp;sr=8-6", "https://www.amazon.com/APL-Athletic-Propulsion-Techloom-Sneakers/dp/B08CMNX5Q8/ref=sr_1_6?keywords=APL+ATHLETIC+PROPULSION+LABS&amp;qid=1695343258&amp;sr=8-6")</f>
        <v/>
      </c>
      <c r="F145" t="inlineStr">
        <is>
          <t>B08CMNX5Q8</t>
        </is>
      </c>
      <c r="G145">
        <f>_xlfn.IMAGE("https://www.theoutnet.com/variants/images/1647597284577644/F/w1020_q80.jpg")</f>
        <v/>
      </c>
      <c r="H145">
        <f>_xlfn.IMAGE("https://m.media-amazon.com/images/I/71TxcvU1cTL._AC_UL320_.jpg")</f>
        <v/>
      </c>
      <c r="K145" t="inlineStr">
        <is>
          <t>80.0</t>
        </is>
      </c>
      <c r="L145" t="n">
        <v>230</v>
      </c>
      <c r="M145" s="2" t="inlineStr">
        <is>
          <t>187.50%</t>
        </is>
      </c>
      <c r="N145" t="n">
        <v>3.9</v>
      </c>
      <c r="O145" t="n">
        <v>59</v>
      </c>
      <c r="Q145" t="inlineStr">
        <is>
          <t>InStock</t>
        </is>
      </c>
      <c r="R145" t="inlineStr">
        <is>
          <t>265.0</t>
        </is>
      </c>
      <c r="S145" t="inlineStr">
        <is>
          <t>1647597284577644</t>
        </is>
      </c>
    </row>
    <row r="146" ht="75" customHeight="1">
      <c r="A146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B146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C146" t="inlineStr">
        <is>
          <t>APL ATHLETIC PROPULSION LABS</t>
        </is>
      </c>
      <c r="D146" t="inlineStr">
        <is>
          <t>APL: Athletic Propulsion Labs Women's Techloom Bliss Sneakers</t>
        </is>
      </c>
      <c r="E146" s="1">
        <f>HYPERLINK("https://www.amazon.com/APL-Athletic-Propulsion-Womens-Techloom/dp/B07BH3MG3Z/ref=sr_1_1?keywords=APL+ATHLETIC+PROPULSION+LABS&amp;qid=1695343258&amp;sr=8-1", "https://www.amazon.com/APL-Athletic-Propulsion-Womens-Techloom/dp/B07BH3MG3Z/ref=sr_1_1?keywords=APL+ATHLETIC+PROPULSION+LABS&amp;qid=1695343258&amp;sr=8-1")</f>
        <v/>
      </c>
      <c r="F146" t="inlineStr">
        <is>
          <t>B07BH3MG3Z</t>
        </is>
      </c>
      <c r="G146">
        <f>_xlfn.IMAGE("https://www.theoutnet.com/variants/images/1647597284577644/F/w1020_q80.jpg")</f>
        <v/>
      </c>
      <c r="H146">
        <f>_xlfn.IMAGE("https://m.media-amazon.com/images/I/81nJpdy+POL._AC_UL320_.jpg")</f>
        <v/>
      </c>
      <c r="K146" t="inlineStr">
        <is>
          <t>80.0</t>
        </is>
      </c>
      <c r="L146" t="n">
        <v>214.9</v>
      </c>
      <c r="M146" s="2" t="inlineStr">
        <is>
          <t>168.62%</t>
        </is>
      </c>
      <c r="N146" t="n">
        <v>4.4</v>
      </c>
      <c r="O146" t="n">
        <v>186</v>
      </c>
      <c r="Q146" t="inlineStr">
        <is>
          <t>InStock</t>
        </is>
      </c>
      <c r="R146" t="inlineStr">
        <is>
          <t>265.0</t>
        </is>
      </c>
      <c r="S146" t="inlineStr">
        <is>
          <t>1647597284577644</t>
        </is>
      </c>
    </row>
    <row r="147" ht="75" customHeight="1">
      <c r="A147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B147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C147" t="inlineStr">
        <is>
          <t>APL ATHLETIC PROPULSION LABS</t>
        </is>
      </c>
      <c r="D147" t="inlineStr">
        <is>
          <t>Athletic Propulsion Labs (APL) Techloom Bliss</t>
        </is>
      </c>
      <c r="E147" s="1">
        <f>HYPERLINK("https://www.amazon.com/APL-Athletic-Propulsion-Techloom-Sneakers/dp/B07HCJCFV3/ref=sr_1_10?keywords=APL+ATHLETIC+PROPULSION+LABS&amp;qid=1695343258&amp;sr=8-10", "https://www.amazon.com/APL-Athletic-Propulsion-Techloom-Sneakers/dp/B07HCJCFV3/ref=sr_1_10?keywords=APL+ATHLETIC+PROPULSION+LABS&amp;qid=1695343258&amp;sr=8-10")</f>
        <v/>
      </c>
      <c r="F147" t="inlineStr">
        <is>
          <t>B07HCJCFV3</t>
        </is>
      </c>
      <c r="G147">
        <f>_xlfn.IMAGE("https://www.theoutnet.com/variants/images/1647597284577644/F/w1020_q80.jpg")</f>
        <v/>
      </c>
      <c r="H147">
        <f>_xlfn.IMAGE("https://m.media-amazon.com/images/I/81UZ6k+PsFL._AC_UL320_.jpg")</f>
        <v/>
      </c>
      <c r="K147" t="inlineStr">
        <is>
          <t>80.0</t>
        </is>
      </c>
      <c r="L147" t="n">
        <v>201.69</v>
      </c>
      <c r="M147" s="2" t="inlineStr">
        <is>
          <t>152.11%</t>
        </is>
      </c>
      <c r="N147" t="n">
        <v>4.2</v>
      </c>
      <c r="O147" t="n">
        <v>54</v>
      </c>
      <c r="Q147" t="inlineStr">
        <is>
          <t>InStock</t>
        </is>
      </c>
      <c r="R147" t="inlineStr">
        <is>
          <t>265.0</t>
        </is>
      </c>
      <c r="S147" t="inlineStr">
        <is>
          <t>1647597284577644</t>
        </is>
      </c>
    </row>
    <row r="148" ht="75" customHeight="1">
      <c r="A148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B148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C148" t="inlineStr">
        <is>
          <t>APL ATHLETIC PROPULSION LABS</t>
        </is>
      </c>
      <c r="D148" t="inlineStr">
        <is>
          <t>APL: Athletic Propulsion Labs Women's Techloom Breeze Sneakers</t>
        </is>
      </c>
      <c r="E148" s="1">
        <f>HYPERLINK("https://www.amazon.com/Athletic-Propulsion-Labs-APL-Techloom/dp/B07K2541LM/ref=sr_1_4?keywords=APL+ATHLETIC+PROPULSION+LABS&amp;qid=1695343258&amp;sr=8-4", "https://www.amazon.com/Athletic-Propulsion-Labs-APL-Techloom/dp/B07K2541LM/ref=sr_1_4?keywords=APL+ATHLETIC+PROPULSION+LABS&amp;qid=1695343258&amp;sr=8-4")</f>
        <v/>
      </c>
      <c r="F148" t="inlineStr">
        <is>
          <t>B07K2541LM</t>
        </is>
      </c>
      <c r="G148">
        <f>_xlfn.IMAGE("https://www.theoutnet.com/variants/images/1647597284577644/F/w1020_q80.jpg")</f>
        <v/>
      </c>
      <c r="H148">
        <f>_xlfn.IMAGE("https://m.media-amazon.com/images/I/71nwN2mjFpL._AC_UL320_.jpg")</f>
        <v/>
      </c>
      <c r="K148" t="inlineStr">
        <is>
          <t>80.0</t>
        </is>
      </c>
      <c r="L148" t="n">
        <v>200</v>
      </c>
      <c r="M148" s="2" t="inlineStr">
        <is>
          <t>150.00%</t>
        </is>
      </c>
      <c r="N148" t="n">
        <v>4</v>
      </c>
      <c r="O148" t="n">
        <v>49</v>
      </c>
      <c r="Q148" t="inlineStr">
        <is>
          <t>InStock</t>
        </is>
      </c>
      <c r="R148" t="inlineStr">
        <is>
          <t>265.0</t>
        </is>
      </c>
      <c r="S148" t="inlineStr">
        <is>
          <t>1647597284577644</t>
        </is>
      </c>
    </row>
    <row r="149" ht="75" customHeight="1">
      <c r="A149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B149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C149" t="inlineStr">
        <is>
          <t>APL ATHLETIC PROPULSION LABS</t>
        </is>
      </c>
      <c r="D149" t="inlineStr">
        <is>
          <t>Athletic Propulsion Labs (APL) Techloom Bliss</t>
        </is>
      </c>
      <c r="E149" s="1">
        <f>HYPERLINK("https://www.amazon.com/Athletic-Propulsion-Labs-APL-Parchment/dp/B0B9K3DS37/ref=sr_1_7?keywords=APL+ATHLETIC+PROPULSION+LABS&amp;qid=1695343258&amp;sr=8-7", "https://www.amazon.com/Athletic-Propulsion-Labs-APL-Parchment/dp/B0B9K3DS37/ref=sr_1_7?keywords=APL+ATHLETIC+PROPULSION+LABS&amp;qid=1695343258&amp;sr=8-7")</f>
        <v/>
      </c>
      <c r="F149" t="inlineStr">
        <is>
          <t>B0B9K3DS37</t>
        </is>
      </c>
      <c r="G149">
        <f>_xlfn.IMAGE("https://www.theoutnet.com/variants/images/1647597284577644/F/w1020_q80.jpg")</f>
        <v/>
      </c>
      <c r="H149">
        <f>_xlfn.IMAGE("https://m.media-amazon.com/images/I/61h2GDygaWL._AC_UL320_.jpg")</f>
        <v/>
      </c>
      <c r="K149" t="inlineStr">
        <is>
          <t>80.0</t>
        </is>
      </c>
      <c r="L149" t="n">
        <v>199.98</v>
      </c>
      <c r="M149" s="2" t="inlineStr">
        <is>
          <t>149.97%</t>
        </is>
      </c>
      <c r="N149" t="n">
        <v>5</v>
      </c>
      <c r="O149" t="n">
        <v>4</v>
      </c>
      <c r="Q149" t="inlineStr">
        <is>
          <t>InStock</t>
        </is>
      </c>
      <c r="R149" t="inlineStr">
        <is>
          <t>265.0</t>
        </is>
      </c>
      <c r="S149" t="inlineStr">
        <is>
          <t>1647597284577644</t>
        </is>
      </c>
    </row>
    <row r="150" ht="75" customHeight="1">
      <c r="A150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B150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C150" t="inlineStr">
        <is>
          <t>APL ATHLETIC PROPULSION LABS</t>
        </is>
      </c>
      <c r="D150" t="inlineStr">
        <is>
          <t>APL: Athletic Propulsion Labs Women's Techloom Phantom Running Shoe</t>
        </is>
      </c>
      <c r="E150" s="1">
        <f>HYPERLINK("https://www.amazon.com/APL-Athletic-Propulsion-Techloom-Sneakers/dp/B077ZC7WK9/ref=sr_1_2?keywords=APL+ATHLETIC+PROPULSION+LABS&amp;qid=1695343258&amp;sr=8-2", "https://www.amazon.com/APL-Athletic-Propulsion-Techloom-Sneakers/dp/B077ZC7WK9/ref=sr_1_2?keywords=APL+ATHLETIC+PROPULSION+LABS&amp;qid=1695343258&amp;sr=8-2")</f>
        <v/>
      </c>
      <c r="F150" t="inlineStr">
        <is>
          <t>B077ZC7WK9</t>
        </is>
      </c>
      <c r="G150">
        <f>_xlfn.IMAGE("https://www.theoutnet.com/variants/images/1647597284577644/F/w1020_q80.jpg")</f>
        <v/>
      </c>
      <c r="H150">
        <f>_xlfn.IMAGE("https://m.media-amazon.com/images/I/81-FgCIB-fL._AC_UL320_.jpg")</f>
        <v/>
      </c>
      <c r="K150" t="inlineStr">
        <is>
          <t>80.0</t>
        </is>
      </c>
      <c r="L150" t="n">
        <v>140</v>
      </c>
      <c r="M150" s="2" t="inlineStr">
        <is>
          <t>75.00%</t>
        </is>
      </c>
      <c r="N150" t="n">
        <v>4.3</v>
      </c>
      <c r="O150" t="n">
        <v>461</v>
      </c>
      <c r="Q150" t="inlineStr">
        <is>
          <t>InStock</t>
        </is>
      </c>
      <c r="R150" t="inlineStr">
        <is>
          <t>265.0</t>
        </is>
      </c>
      <c r="S150" t="inlineStr">
        <is>
          <t>1647597284577644</t>
        </is>
      </c>
    </row>
    <row r="151" ht="75" customHeight="1">
      <c r="A151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B151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C151" t="inlineStr">
        <is>
          <t>APL ATHLETIC PROPULSION LABS</t>
        </is>
      </c>
      <c r="D151" t="inlineStr">
        <is>
          <t>APL: Athletic Propulsion Labs Men's Techloom Tracer Running Sneakers</t>
        </is>
      </c>
      <c r="E151" s="1">
        <f>HYPERLINK("https://www.amazon.com/APL-Athletic-Propulsion-Techloom-Sneakers/dp/B08QDNDT8C/ref=sr_1_8?keywords=APL+ATHLETIC+PROPULSION+LABS&amp;qid=1695343258&amp;sr=8-8", "https://www.amazon.com/APL-Athletic-Propulsion-Techloom-Sneakers/dp/B08QDNDT8C/ref=sr_1_8?keywords=APL+ATHLETIC+PROPULSION+LABS&amp;qid=1695343258&amp;sr=8-8")</f>
        <v/>
      </c>
      <c r="F151" t="inlineStr">
        <is>
          <t>B08QDNDT8C</t>
        </is>
      </c>
      <c r="G151">
        <f>_xlfn.IMAGE("https://www.theoutnet.com/variants/images/1647597284577644/F/w1020_q80.jpg")</f>
        <v/>
      </c>
      <c r="H151">
        <f>_xlfn.IMAGE("https://m.media-amazon.com/images/I/61SNdNDao6L._AC_UL320_.jpg")</f>
        <v/>
      </c>
      <c r="K151" t="inlineStr">
        <is>
          <t>80.0</t>
        </is>
      </c>
      <c r="L151" t="n">
        <v>137.5</v>
      </c>
      <c r="M151" s="2" t="inlineStr">
        <is>
          <t>71.88%</t>
        </is>
      </c>
      <c r="N151" t="n">
        <v>3.9</v>
      </c>
      <c r="O151" t="n">
        <v>13</v>
      </c>
      <c r="Q151" t="inlineStr">
        <is>
          <t>InStock</t>
        </is>
      </c>
      <c r="R151" t="inlineStr">
        <is>
          <t>265.0</t>
        </is>
      </c>
      <c r="S151" t="inlineStr">
        <is>
          <t>1647597284577644</t>
        </is>
      </c>
    </row>
    <row r="152" ht="75" customHeight="1">
      <c r="A152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B152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C152" t="inlineStr">
        <is>
          <t>APL ATHLETIC PROPULSION LABS</t>
        </is>
      </c>
      <c r="D152" t="inlineStr">
        <is>
          <t>APL: Athletic Propulsion Labs Women's Zipline Sneakers</t>
        </is>
      </c>
      <c r="E152" s="1">
        <f>HYPERLINK("https://www.amazon.com/APL-Athletic-Propulsion-Techloom-Zipline/dp/B09NTNTLJ9/ref=sr_1_8?keywords=APL+ATHLETIC+PROPULSION+LABS&amp;qid=1695343526&amp;sr=8-8", "https://www.amazon.com/APL-Athletic-Propulsion-Techloom-Zipline/dp/B09NTNTLJ9/ref=sr_1_8?keywords=APL+ATHLETIC+PROPULSION+LABS&amp;qid=1695343526&amp;sr=8-8")</f>
        <v/>
      </c>
      <c r="F152" t="inlineStr">
        <is>
          <t>B09NTNTLJ9</t>
        </is>
      </c>
      <c r="G152">
        <f>_xlfn.IMAGE("https://www.theoutnet.com/variants/images/1647597284577644/F/w1020_q80.jpg")</f>
        <v/>
      </c>
      <c r="H152">
        <f>_xlfn.IMAGE("https://m.media-amazon.com/images/I/51uNAMjB3VL._AC_UL320_.jpg")</f>
        <v/>
      </c>
      <c r="K152" t="inlineStr">
        <is>
          <t>80.0</t>
        </is>
      </c>
      <c r="L152" t="n">
        <v>255.99</v>
      </c>
      <c r="M152" s="2" t="inlineStr">
        <is>
          <t>219.99%</t>
        </is>
      </c>
      <c r="N152" t="n">
        <v>4.1</v>
      </c>
      <c r="O152" t="n">
        <v>7</v>
      </c>
      <c r="Q152" t="inlineStr">
        <is>
          <t>InStock</t>
        </is>
      </c>
      <c r="R152" t="inlineStr">
        <is>
          <t>265.0</t>
        </is>
      </c>
      <c r="S152" t="inlineStr">
        <is>
          <t>1647597284577644</t>
        </is>
      </c>
    </row>
    <row r="153" ht="75" customHeight="1">
      <c r="A153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B153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C153" t="inlineStr">
        <is>
          <t>APL ATHLETIC PROPULSION LABS</t>
        </is>
      </c>
      <c r="D153" t="inlineStr">
        <is>
          <t>APL: Athletic Propulsion Labs Men's Techloom Breeze Running Sneakers</t>
        </is>
      </c>
      <c r="E153" s="1">
        <f>HYPERLINK("https://www.amazon.com/APL-Athletic-Propulsion-Techloom-Sneakers/dp/B07FL56MBW/ref=sr_1_5?keywords=APL+ATHLETIC+PROPULSION+LABS&amp;qid=1695343526&amp;sr=8-5", "https://www.amazon.com/APL-Athletic-Propulsion-Techloom-Sneakers/dp/B07FL56MBW/ref=sr_1_5?keywords=APL+ATHLETIC+PROPULSION+LABS&amp;qid=1695343526&amp;sr=8-5")</f>
        <v/>
      </c>
      <c r="F153" t="inlineStr">
        <is>
          <t>B07FL56MBW</t>
        </is>
      </c>
      <c r="G153">
        <f>_xlfn.IMAGE("https://www.theoutnet.com/variants/images/1647597284577644/F/w1020_q80.jpg")</f>
        <v/>
      </c>
      <c r="H153">
        <f>_xlfn.IMAGE("https://m.media-amazon.com/images/I/816hhuxOQLL._AC_UL320_.jpg")</f>
        <v/>
      </c>
      <c r="K153" t="inlineStr">
        <is>
          <t>80.0</t>
        </is>
      </c>
      <c r="L153" t="n">
        <v>220</v>
      </c>
      <c r="M153" s="2" t="inlineStr">
        <is>
          <t>175.00%</t>
        </is>
      </c>
      <c r="N153" t="n">
        <v>4.2</v>
      </c>
      <c r="O153" t="n">
        <v>45</v>
      </c>
      <c r="Q153" t="inlineStr">
        <is>
          <t>InStock</t>
        </is>
      </c>
      <c r="R153" t="inlineStr">
        <is>
          <t>265.0</t>
        </is>
      </c>
      <c r="S153" t="inlineStr">
        <is>
          <t>1647597284577644</t>
        </is>
      </c>
    </row>
    <row r="154" ht="75" customHeight="1">
      <c r="A154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B154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C154" t="inlineStr">
        <is>
          <t>APL ATHLETIC PROPULSION LABS</t>
        </is>
      </c>
      <c r="D154" t="inlineStr">
        <is>
          <t>APL: Athletic Propulsion Labs Women's Techloom Bliss Sneakers</t>
        </is>
      </c>
      <c r="E154" s="1">
        <f>HYPERLINK("https://www.amazon.com/APL-Athletic-Propulsion-Techloom-Sneakers/dp/B07TJJHL2Y/ref=sr_1_3?keywords=APL+ATHLETIC+PROPULSION+LABS&amp;qid=1695343526&amp;sr=8-3", "https://www.amazon.com/APL-Athletic-Propulsion-Techloom-Sneakers/dp/B07TJJHL2Y/ref=sr_1_3?keywords=APL+ATHLETIC+PROPULSION+LABS&amp;qid=1695343526&amp;sr=8-3")</f>
        <v/>
      </c>
      <c r="F154" t="inlineStr">
        <is>
          <t>B07TJJHL2Y</t>
        </is>
      </c>
      <c r="G154">
        <f>_xlfn.IMAGE("https://www.theoutnet.com/variants/images/1647597284577644/F/w1020_q80.jpg")</f>
        <v/>
      </c>
      <c r="H154">
        <f>_xlfn.IMAGE("https://m.media-amazon.com/images/I/71ndGcXsH-L._AC_UL320_.jpg")</f>
        <v/>
      </c>
      <c r="K154" t="inlineStr">
        <is>
          <t>80.0</t>
        </is>
      </c>
      <c r="L154" t="n">
        <v>220</v>
      </c>
      <c r="M154" s="2" t="inlineStr">
        <is>
          <t>175.00%</t>
        </is>
      </c>
      <c r="N154" t="n">
        <v>4.4</v>
      </c>
      <c r="O154" t="n">
        <v>186</v>
      </c>
      <c r="Q154" t="inlineStr">
        <is>
          <t>InStock</t>
        </is>
      </c>
      <c r="R154" t="inlineStr">
        <is>
          <t>265.0</t>
        </is>
      </c>
      <c r="S154" t="inlineStr">
        <is>
          <t>1647597284577644</t>
        </is>
      </c>
    </row>
    <row r="155" ht="75" customHeight="1">
      <c r="A155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B155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C155" t="inlineStr">
        <is>
          <t>APL ATHLETIC PROPULSION LABS</t>
        </is>
      </c>
      <c r="D155" t="inlineStr">
        <is>
          <t>APL: Athletic Propulsion Labs Women's Techloom Breeze Sneakers</t>
        </is>
      </c>
      <c r="E155" s="1">
        <f>HYPERLINK("https://www.amazon.com/APL-Athletic-Propulsion-Techloom-Sneakers/dp/B07WP8YPKF/ref=sr_1_9?keywords=APL+ATHLETIC+PROPULSION+LABS&amp;qid=1695343526&amp;sr=8-9", "https://www.amazon.com/APL-Athletic-Propulsion-Techloom-Sneakers/dp/B07WP8YPKF/ref=sr_1_9?keywords=APL+ATHLETIC+PROPULSION+LABS&amp;qid=1695343526&amp;sr=8-9")</f>
        <v/>
      </c>
      <c r="F155" t="inlineStr">
        <is>
          <t>B07WP8YPKF</t>
        </is>
      </c>
      <c r="G155">
        <f>_xlfn.IMAGE("https://www.theoutnet.com/variants/images/1647597284577644/F/w1020_q80.jpg")</f>
        <v/>
      </c>
      <c r="H155">
        <f>_xlfn.IMAGE("https://m.media-amazon.com/images/I/71hlLYidLDL._AC_UL320_.jpg")</f>
        <v/>
      </c>
      <c r="K155" t="inlineStr">
        <is>
          <t>80.0</t>
        </is>
      </c>
      <c r="L155" t="n">
        <v>200</v>
      </c>
      <c r="M155" s="2" t="inlineStr">
        <is>
          <t>150.00%</t>
        </is>
      </c>
      <c r="N155" t="n">
        <v>4</v>
      </c>
      <c r="O155" t="n">
        <v>49</v>
      </c>
      <c r="Q155" t="inlineStr">
        <is>
          <t>InStock</t>
        </is>
      </c>
      <c r="R155" t="inlineStr">
        <is>
          <t>265.0</t>
        </is>
      </c>
      <c r="S155" t="inlineStr">
        <is>
          <t>1647597284577644</t>
        </is>
      </c>
    </row>
    <row r="156" ht="75" customHeight="1">
      <c r="A156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B156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C156" t="inlineStr">
        <is>
          <t>APL ATHLETIC PROPULSION LABS</t>
        </is>
      </c>
      <c r="D156" t="inlineStr">
        <is>
          <t>APL: Athletic Propulsion Labs Women's Techloom Phantom Running Shoe</t>
        </is>
      </c>
      <c r="E156" s="1">
        <f>HYPERLINK("https://www.amazon.com/APL-Athletic-Propulsion-Techloom-Sneakers/dp/B077ZC7WK9/ref=sr_1_2?keywords=APL+ATHLETIC+PROPULSION+LABS&amp;qid=1695343526&amp;sr=8-2", "https://www.amazon.com/APL-Athletic-Propulsion-Techloom-Sneakers/dp/B077ZC7WK9/ref=sr_1_2?keywords=APL+ATHLETIC+PROPULSION+LABS&amp;qid=1695343526&amp;sr=8-2")</f>
        <v/>
      </c>
      <c r="F156" t="inlineStr">
        <is>
          <t>B077ZC7WK9</t>
        </is>
      </c>
      <c r="G156">
        <f>_xlfn.IMAGE("https://www.theoutnet.com/variants/images/1647597284577644/F/w1020_q80.jpg")</f>
        <v/>
      </c>
      <c r="H156">
        <f>_xlfn.IMAGE("https://m.media-amazon.com/images/I/81-FgCIB-fL._AC_UL320_.jpg")</f>
        <v/>
      </c>
      <c r="K156" t="inlineStr">
        <is>
          <t>80.0</t>
        </is>
      </c>
      <c r="L156" t="n">
        <v>140</v>
      </c>
      <c r="M156" s="2" t="inlineStr">
        <is>
          <t>75.00%</t>
        </is>
      </c>
      <c r="N156" t="n">
        <v>4.3</v>
      </c>
      <c r="O156" t="n">
        <v>461</v>
      </c>
      <c r="Q156" t="inlineStr">
        <is>
          <t>InStock</t>
        </is>
      </c>
      <c r="R156" t="inlineStr">
        <is>
          <t>265.0</t>
        </is>
      </c>
      <c r="S156" t="inlineStr">
        <is>
          <t>1647597284577644</t>
        </is>
      </c>
    </row>
    <row r="157" ht="75" customHeight="1">
      <c r="A157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B157" s="1">
        <f>HYPERLINK("https://www.theoutnet.com/en-us/shop/product/apl-athletic-propulsion-labs/sneakers/sport-sneakers/techloom-phantom-metallic-mesh-sneakers/1647597284577644", "https://www.theoutnet.com/en-us/shop/product/apl-athletic-propulsion-labs/sneakers/sport-sneakers/techloom-phantom-metallic-mesh-sneakers/1647597284577644")</f>
        <v/>
      </c>
      <c r="C157" t="inlineStr">
        <is>
          <t>APL ATHLETIC PROPULSION LABS</t>
        </is>
      </c>
      <c r="D157" t="inlineStr">
        <is>
          <t>APL: Athletic Propulsion Labs Men's Techloom Tracer Running Sneakers</t>
        </is>
      </c>
      <c r="E157" s="1">
        <f>HYPERLINK("https://www.amazon.com/APL-Athletic-Propulsion-Techloom-Sneakers/dp/B08QDNDT8C/ref=sr_1_10?keywords=APL+ATHLETIC+PROPULSION+LABS&amp;qid=1695343526&amp;sr=8-10", "https://www.amazon.com/APL-Athletic-Propulsion-Techloom-Sneakers/dp/B08QDNDT8C/ref=sr_1_10?keywords=APL+ATHLETIC+PROPULSION+LABS&amp;qid=1695343526&amp;sr=8-10")</f>
        <v/>
      </c>
      <c r="F157" t="inlineStr">
        <is>
          <t>B08QDNDT8C</t>
        </is>
      </c>
      <c r="G157">
        <f>_xlfn.IMAGE("https://www.theoutnet.com/variants/images/1647597284577644/F/w1020_q80.jpg")</f>
        <v/>
      </c>
      <c r="H157">
        <f>_xlfn.IMAGE("https://m.media-amazon.com/images/I/61SNdNDao6L._AC_UL320_.jpg")</f>
        <v/>
      </c>
      <c r="K157" t="inlineStr">
        <is>
          <t>80.0</t>
        </is>
      </c>
      <c r="L157" t="n">
        <v>137.5</v>
      </c>
      <c r="M157" s="2" t="inlineStr">
        <is>
          <t>71.88%</t>
        </is>
      </c>
      <c r="N157" t="n">
        <v>3.9</v>
      </c>
      <c r="O157" t="n">
        <v>13</v>
      </c>
      <c r="Q157" t="inlineStr">
        <is>
          <t>InStock</t>
        </is>
      </c>
      <c r="R157" t="inlineStr">
        <is>
          <t>265.0</t>
        </is>
      </c>
      <c r="S157" t="inlineStr">
        <is>
          <t>1647597284577644</t>
        </is>
      </c>
    </row>
    <row r="158" ht="75" customHeight="1">
      <c r="A158" s="1">
        <f>HYPERLINK("https://www.theoutnet.com/en-us/shop/product/atm-anthony-thomas-melillo/tops/evening/ruched-pima-cotton-blend-jersey-tank/1647597301372972", "https://www.theoutnet.com/en-us/shop/product/atm-anthony-thomas-melillo/tops/evening/ruched-pima-cotton-blend-jersey-tank/1647597301372972")</f>
        <v/>
      </c>
      <c r="B158" s="1">
        <f>HYPERLINK("https://www.theoutnet.com/en-us/shop/product/atm-anthony-thomas-melillo/tops/evening/ruched-pima-cotton-blend-jersey-tank/1647597301372972", "https://www.theoutnet.com/en-us/shop/product/atm-anthony-thomas-melillo/tops/evening/ruched-pima-cotton-blend-jersey-tank/1647597301372972")</f>
        <v/>
      </c>
      <c r="C158" t="inlineStr">
        <is>
          <t>ATM ANTHONY THOMAS MELILLO</t>
        </is>
      </c>
      <c r="D158" t="inlineStr">
        <is>
          <t>ATM Anthony Thomas Melillo Women's Slub Jersey Long Sleeve Crew Neck</t>
        </is>
      </c>
      <c r="E158" s="1">
        <f>HYPERLINK("https://www.amazon.com/ATM-Anthony-Thomas-Melillo-Destroyed/dp/B07BGGQ51Z/ref=sr_1_2?keywords=ATM+ANTHONY+THOMAS+MELILLO&amp;qid=1695343334&amp;sr=8-2", "https://www.amazon.com/ATM-Anthony-Thomas-Melillo-Destroyed/dp/B07BGGQ51Z/ref=sr_1_2?keywords=ATM+ANTHONY+THOMAS+MELILLO&amp;qid=1695343334&amp;sr=8-2")</f>
        <v/>
      </c>
      <c r="F158" t="inlineStr">
        <is>
          <t>B07BGGQ51Z</t>
        </is>
      </c>
      <c r="G158">
        <f>_xlfn.IMAGE("https://www.theoutnet.com/variants/images/1647597301372972/F/w1020_q80.jpg")</f>
        <v/>
      </c>
      <c r="H158">
        <f>_xlfn.IMAGE("https://m.media-amazon.com/images/I/91t2XIb3CHL._AC_UL320_.jpg")</f>
        <v/>
      </c>
      <c r="K158" t="inlineStr">
        <is>
          <t>68.0</t>
        </is>
      </c>
      <c r="L158" t="n">
        <v>120</v>
      </c>
      <c r="M158" s="2" t="inlineStr">
        <is>
          <t>76.47%</t>
        </is>
      </c>
      <c r="N158" t="n">
        <v>4.3</v>
      </c>
      <c r="O158" t="n">
        <v>13</v>
      </c>
      <c r="Q158" t="inlineStr">
        <is>
          <t>InStock</t>
        </is>
      </c>
      <c r="R158" t="inlineStr">
        <is>
          <t>135.0</t>
        </is>
      </c>
      <c r="S158" t="inlineStr">
        <is>
          <t>1647597301372972</t>
        </is>
      </c>
    </row>
    <row r="159" ht="75" customHeight="1">
      <c r="A159" s="1">
        <f>HYPERLINK("https://www.theoutnet.com/en-us/shop/product/atm-anthony-thomas-melillo/tops/long-sleeved-top/cotton-jersey-top/1647597320449610", "https://www.theoutnet.com/en-us/shop/product/atm-anthony-thomas-melillo/tops/long-sleeved-top/cotton-jersey-top/1647597320449610")</f>
        <v/>
      </c>
      <c r="B159" s="1">
        <f>HYPERLINK("https://www.theoutnet.com/en-us/shop/product/atm-anthony-thomas-melillo/tops/long-sleeved-top/cotton-jersey-top/1647597320449610", "https://www.theoutnet.com/en-us/shop/product/atm-anthony-thomas-melillo/tops/long-sleeved-top/cotton-jersey-top/1647597320449610")</f>
        <v/>
      </c>
      <c r="C159" t="inlineStr">
        <is>
          <t>ATM ANTHONY THOMAS MELILLO</t>
        </is>
      </c>
      <c r="D159" t="inlineStr">
        <is>
          <t>ATM Anthony Thomas Melillo Women's Slub Jersey Long Sleeve Crew Neck</t>
        </is>
      </c>
      <c r="E159" s="1">
        <f>HYPERLINK("https://www.amazon.com/ATM-Anthony-Thomas-Melillo-Destroyed/dp/B07BGGQ51Z/ref=sr_1_2?keywords=ATM+ANTHONY+THOMAS+MELILLO&amp;qid=1695343331&amp;sr=8-2", "https://www.amazon.com/ATM-Anthony-Thomas-Melillo-Destroyed/dp/B07BGGQ51Z/ref=sr_1_2?keywords=ATM+ANTHONY+THOMAS+MELILLO&amp;qid=1695343331&amp;sr=8-2")</f>
        <v/>
      </c>
      <c r="F159" t="inlineStr">
        <is>
          <t>B07BGGQ51Z</t>
        </is>
      </c>
      <c r="G159">
        <f>_xlfn.IMAGE("https://www.theoutnet.com/variants/images/1647597320449610/F/w1020_q80.jpg")</f>
        <v/>
      </c>
      <c r="H159">
        <f>_xlfn.IMAGE("https://m.media-amazon.com/images/I/91t2XIb3CHL._AC_UL320_.jpg")</f>
        <v/>
      </c>
      <c r="K159" t="inlineStr">
        <is>
          <t>49.0</t>
        </is>
      </c>
      <c r="L159" t="n">
        <v>120</v>
      </c>
      <c r="M159" s="2" t="inlineStr">
        <is>
          <t>144.90%</t>
        </is>
      </c>
      <c r="N159" t="n">
        <v>4.3</v>
      </c>
      <c r="O159" t="n">
        <v>13</v>
      </c>
      <c r="Q159" t="inlineStr">
        <is>
          <t>InStock</t>
        </is>
      </c>
      <c r="R159" t="inlineStr">
        <is>
          <t>98.0</t>
        </is>
      </c>
      <c r="S159" t="inlineStr">
        <is>
          <t>1647597320449610</t>
        </is>
      </c>
    </row>
    <row r="160" ht="75" customHeight="1">
      <c r="A160" s="1">
        <f>HYPERLINK("https://www.theoutnet.com/en-us/shop/product/atm-anthony-thomas-melillo/tops/long-sleeved-top/cotton-jersey-top/1647597320449610", "https://www.theoutnet.com/en-us/shop/product/atm-anthony-thomas-melillo/tops/long-sleeved-top/cotton-jersey-top/1647597320449610")</f>
        <v/>
      </c>
      <c r="B160" s="1">
        <f>HYPERLINK("https://www.theoutnet.com/en-us/shop/product/atm-anthony-thomas-melillo/tops/long-sleeved-top/cotton-jersey-top/1647597320449610", "https://www.theoutnet.com/en-us/shop/product/atm-anthony-thomas-melillo/tops/long-sleeved-top/cotton-jersey-top/1647597320449610")</f>
        <v/>
      </c>
      <c r="C160" t="inlineStr">
        <is>
          <t>ATM ANTHONY THOMAS MELILLO</t>
        </is>
      </c>
      <c r="D160" t="inlineStr">
        <is>
          <t>ATM Anthony Thomas Melillo Women's School Boy Stripe Tee</t>
        </is>
      </c>
      <c r="E160" s="1">
        <f>HYPERLINK("https://www.amazon.com/ATM-Anthony-Thomas-Melillo-Womens/dp/B07YVMGR48/ref=sr_1_9?keywords=ATM+ANTHONY+THOMAS+MELILLO&amp;qid=1695343331&amp;sr=8-9", "https://www.amazon.com/ATM-Anthony-Thomas-Melillo-Womens/dp/B07YVMGR48/ref=sr_1_9?keywords=ATM+ANTHONY+THOMAS+MELILLO&amp;qid=1695343331&amp;sr=8-9")</f>
        <v/>
      </c>
      <c r="F160" t="inlineStr">
        <is>
          <t>B07YVMGR48</t>
        </is>
      </c>
      <c r="G160">
        <f>_xlfn.IMAGE("https://www.theoutnet.com/variants/images/1647597320449610/F/w1020_q80.jpg")</f>
        <v/>
      </c>
      <c r="H160">
        <f>_xlfn.IMAGE("https://m.media-amazon.com/images/I/71+Tbj864RL._AC_UL320_.jpg")</f>
        <v/>
      </c>
      <c r="K160" t="inlineStr">
        <is>
          <t>49.0</t>
        </is>
      </c>
      <c r="L160" t="n">
        <v>98</v>
      </c>
      <c r="M160" s="2" t="inlineStr">
        <is>
          <t>100.00%</t>
        </is>
      </c>
      <c r="N160" t="n">
        <v>5</v>
      </c>
      <c r="O160" t="n">
        <v>1</v>
      </c>
      <c r="Q160" t="inlineStr">
        <is>
          <t>InStock</t>
        </is>
      </c>
      <c r="R160" t="inlineStr">
        <is>
          <t>98.0</t>
        </is>
      </c>
      <c r="S160" t="inlineStr">
        <is>
          <t>1647597320449610</t>
        </is>
      </c>
    </row>
    <row r="161" ht="75" customHeight="1">
      <c r="A161" s="1">
        <f>HYPERLINK("https://www.theoutnet.com/en-us/shop/product/atm-anthony-thomas-melillo/tops/long-sleeved-top/cotton-jersey-top/1647597320449610", "https://www.theoutnet.com/en-us/shop/product/atm-anthony-thomas-melillo/tops/long-sleeved-top/cotton-jersey-top/1647597320449610")</f>
        <v/>
      </c>
      <c r="B161" s="1">
        <f>HYPERLINK("https://www.theoutnet.com/en-us/shop/product/atm-anthony-thomas-melillo/tops/long-sleeved-top/cotton-jersey-top/1647597320449610", "https://www.theoutnet.com/en-us/shop/product/atm-anthony-thomas-melillo/tops/long-sleeved-top/cotton-jersey-top/1647597320449610")</f>
        <v/>
      </c>
      <c r="C161" t="inlineStr">
        <is>
          <t>ATM ANTHONY THOMAS MELILLO</t>
        </is>
      </c>
      <c r="D161" t="inlineStr">
        <is>
          <t>ATM Anthony Thomas Melillo Women's Long Sleeve Boy Tee</t>
        </is>
      </c>
      <c r="E161" s="1">
        <f>HYPERLINK("https://www.amazon.com/ATM-Anthony-Thomas-Melillo-X-Small/dp/B07YVMC1RW/ref=sr_1_8?keywords=ATM+ANTHONY+THOMAS+MELILLO&amp;qid=1695343331&amp;sr=8-8", "https://www.amazon.com/ATM-Anthony-Thomas-Melillo-X-Small/dp/B07YVMC1RW/ref=sr_1_8?keywords=ATM+ANTHONY+THOMAS+MELILLO&amp;qid=1695343331&amp;sr=8-8")</f>
        <v/>
      </c>
      <c r="F161" t="inlineStr">
        <is>
          <t>B07YVMC1RW</t>
        </is>
      </c>
      <c r="G161">
        <f>_xlfn.IMAGE("https://www.theoutnet.com/variants/images/1647597320449610/F/w1020_q80.jpg")</f>
        <v/>
      </c>
      <c r="H161">
        <f>_xlfn.IMAGE("https://m.media-amazon.com/images/I/91aXrEiyCYL._AC_UL320_.jpg")</f>
        <v/>
      </c>
      <c r="K161" t="inlineStr">
        <is>
          <t>49.0</t>
        </is>
      </c>
      <c r="L161" t="n">
        <v>98</v>
      </c>
      <c r="M161" s="2" t="inlineStr">
        <is>
          <t>100.00%</t>
        </is>
      </c>
      <c r="N161" t="n">
        <v>4.3</v>
      </c>
      <c r="O161" t="n">
        <v>4</v>
      </c>
      <c r="Q161" t="inlineStr">
        <is>
          <t>InStock</t>
        </is>
      </c>
      <c r="R161" t="inlineStr">
        <is>
          <t>98.0</t>
        </is>
      </c>
      <c r="S161" t="inlineStr">
        <is>
          <t>1647597320449610</t>
        </is>
      </c>
    </row>
    <row r="162" ht="75" customHeight="1">
      <c r="A162" s="1">
        <f>HYPERLINK("https://www.theoutnet.com/en-us/shop/product/atm-anthony-thomas-melillo/tops/long-sleeved-top/cotton-jersey-top/1647597320449610", "https://www.theoutnet.com/en-us/shop/product/atm-anthony-thomas-melillo/tops/long-sleeved-top/cotton-jersey-top/1647597320449610")</f>
        <v/>
      </c>
      <c r="B162" s="1">
        <f>HYPERLINK("https://www.theoutnet.com/en-us/shop/product/atm-anthony-thomas-melillo/tops/long-sleeved-top/cotton-jersey-top/1647597320449610", "https://www.theoutnet.com/en-us/shop/product/atm-anthony-thomas-melillo/tops/long-sleeved-top/cotton-jersey-top/1647597320449610")</f>
        <v/>
      </c>
      <c r="C162" t="inlineStr">
        <is>
          <t>ATM ANTHONY THOMAS MELILLO</t>
        </is>
      </c>
      <c r="D162" t="inlineStr">
        <is>
          <t>ATM Anthony Thomas Melillo Women's Sleeveless Schoolboy Tee</t>
        </is>
      </c>
      <c r="E162" s="1">
        <f>HYPERLINK("https://www.amazon.com/ATM-Anthony-Thomas-Melillo-Sleeveless/dp/B0BL79T329/ref=sr_1_5?keywords=ATM+ANTHONY+THOMAS+MELILLO&amp;qid=1695343331&amp;sr=8-5", "https://www.amazon.com/ATM-Anthony-Thomas-Melillo-Sleeveless/dp/B0BL79T329/ref=sr_1_5?keywords=ATM+ANTHONY+THOMAS+MELILLO&amp;qid=1695343331&amp;sr=8-5")</f>
        <v/>
      </c>
      <c r="F162" t="inlineStr">
        <is>
          <t>B0BL79T329</t>
        </is>
      </c>
      <c r="G162">
        <f>_xlfn.IMAGE("https://www.theoutnet.com/variants/images/1647597320449610/F/w1020_q80.jpg")</f>
        <v/>
      </c>
      <c r="H162">
        <f>_xlfn.IMAGE("https://m.media-amazon.com/images/I/71P23mMBggL._AC_UL320_.jpg")</f>
        <v/>
      </c>
      <c r="K162" t="inlineStr">
        <is>
          <t>49.0</t>
        </is>
      </c>
      <c r="L162" t="n">
        <v>90</v>
      </c>
      <c r="M162" s="2" t="inlineStr">
        <is>
          <t>83.67%</t>
        </is>
      </c>
      <c r="N162" t="n">
        <v>4</v>
      </c>
      <c r="O162" t="n">
        <v>1</v>
      </c>
      <c r="Q162" t="inlineStr">
        <is>
          <t>InStock</t>
        </is>
      </c>
      <c r="R162" t="inlineStr">
        <is>
          <t>98.0</t>
        </is>
      </c>
      <c r="S162" t="inlineStr">
        <is>
          <t>1647597320449610</t>
        </is>
      </c>
    </row>
    <row r="163" ht="75" customHeight="1">
      <c r="A163" s="1">
        <f>HYPERLINK("https://www.theoutnet.com/en-us/shop/product/atm-anthony-thomas-melillo/tops/sleeveless-top/ruched-pima-cotton-blend-jersey-tank/1647597301588680", "https://www.theoutnet.com/en-us/shop/product/atm-anthony-thomas-melillo/tops/sleeveless-top/ruched-pima-cotton-blend-jersey-tank/1647597301588680")</f>
        <v/>
      </c>
      <c r="B163" s="1">
        <f>HYPERLINK("https://www.theoutnet.com/en-us/shop/product/atm-anthony-thomas-melillo/tops/sleeveless-top/ruched-pima-cotton-blend-jersey-tank/1647597301588680", "https://www.theoutnet.com/en-us/shop/product/atm-anthony-thomas-melillo/tops/sleeveless-top/ruched-pima-cotton-blend-jersey-tank/1647597301588680")</f>
        <v/>
      </c>
      <c r="C163" t="inlineStr">
        <is>
          <t>ATM ANTHONY THOMAS MELILLO</t>
        </is>
      </c>
      <c r="D163" t="inlineStr">
        <is>
          <t>ATM Anthony Thomas Melillo Women's Slub Jersey Long Sleeve Crew Neck</t>
        </is>
      </c>
      <c r="E163" s="1">
        <f>HYPERLINK("https://www.amazon.com/ATM-Anthony-Thomas-Melillo-Destroyed/dp/B07BGGQ51Z/ref=sr_1_2?keywords=ATM+ANTHONY+THOMAS+MELILLO&amp;qid=1695343341&amp;sr=8-2", "https://www.amazon.com/ATM-Anthony-Thomas-Melillo-Destroyed/dp/B07BGGQ51Z/ref=sr_1_2?keywords=ATM+ANTHONY+THOMAS+MELILLO&amp;qid=1695343341&amp;sr=8-2")</f>
        <v/>
      </c>
      <c r="F163" t="inlineStr">
        <is>
          <t>B07BGGQ51Z</t>
        </is>
      </c>
      <c r="G163">
        <f>_xlfn.IMAGE("https://www.theoutnet.com/variants/images/1647597301588680/F/w1020_q80.jpg")</f>
        <v/>
      </c>
      <c r="H163">
        <f>_xlfn.IMAGE("https://m.media-amazon.com/images/I/91t2XIb3CHL._AC_UL320_.jpg")</f>
        <v/>
      </c>
      <c r="K163" t="inlineStr">
        <is>
          <t>67.0</t>
        </is>
      </c>
      <c r="L163" t="n">
        <v>120</v>
      </c>
      <c r="M163" s="2" t="inlineStr">
        <is>
          <t>79.10%</t>
        </is>
      </c>
      <c r="N163" t="n">
        <v>4.3</v>
      </c>
      <c r="O163" t="n">
        <v>13</v>
      </c>
      <c r="Q163" t="inlineStr">
        <is>
          <t>InStock</t>
        </is>
      </c>
      <c r="R163" t="inlineStr">
        <is>
          <t>135.0</t>
        </is>
      </c>
      <c r="S163" t="inlineStr">
        <is>
          <t>6</t>
        </is>
      </c>
    </row>
    <row r="164" ht="75" customHeight="1">
      <c r="A164" s="1">
        <f>HYPERLINK("https://www.theoutnet.com/en-us/shop/product/atm-anthony-thomas-melillo/tops/t-shirts/cotton-jersey-t-shirt/1647597320447117", "https://www.theoutnet.com/en-us/shop/product/atm-anthony-thomas-melillo/tops/t-shirts/cotton-jersey-t-shirt/1647597320447117")</f>
        <v/>
      </c>
      <c r="B164" s="1">
        <f>HYPERLINK("https://www.theoutnet.com/en-us/shop/product/atm-anthony-thomas-melillo/tops/t-shirts/cotton-jersey-t-shirt/1647597320447117", "https://www.theoutnet.com/en-us/shop/product/atm-anthony-thomas-melillo/tops/t-shirts/cotton-jersey-t-shirt/1647597320447117")</f>
        <v/>
      </c>
      <c r="C164" t="inlineStr">
        <is>
          <t>ATM ANTHONY THOMAS MELILLO</t>
        </is>
      </c>
      <c r="D164" t="inlineStr">
        <is>
          <t>ATM Anthony Thomas Melillo Women's Slub Jersey Long Sleeve Crew Neck</t>
        </is>
      </c>
      <c r="E164" s="1">
        <f>HYPERLINK("https://www.amazon.com/ATM-Anthony-Thomas-Melillo-Destroyed/dp/B07BGGQ51Z/ref=sr_1_2?keywords=ATM+ANTHONY+THOMAS+MELILLO&amp;qid=1695343332&amp;sr=8-2", "https://www.amazon.com/ATM-Anthony-Thomas-Melillo-Destroyed/dp/B07BGGQ51Z/ref=sr_1_2?keywords=ATM+ANTHONY+THOMAS+MELILLO&amp;qid=1695343332&amp;sr=8-2")</f>
        <v/>
      </c>
      <c r="F164" t="inlineStr">
        <is>
          <t>B07BGGQ51Z</t>
        </is>
      </c>
      <c r="G164">
        <f>_xlfn.IMAGE("https://www.theoutnet.com/variants/images/1647597320447117/F/w1020_q80.jpg")</f>
        <v/>
      </c>
      <c r="H164">
        <f>_xlfn.IMAGE("https://m.media-amazon.com/images/I/91t2XIb3CHL._AC_UL320_.jpg")</f>
        <v/>
      </c>
      <c r="K164" t="inlineStr">
        <is>
          <t>49.0</t>
        </is>
      </c>
      <c r="L164" t="n">
        <v>120</v>
      </c>
      <c r="M164" s="2" t="inlineStr">
        <is>
          <t>144.90%</t>
        </is>
      </c>
      <c r="N164" t="n">
        <v>4.3</v>
      </c>
      <c r="O164" t="n">
        <v>13</v>
      </c>
      <c r="Q164" t="inlineStr">
        <is>
          <t>InStock</t>
        </is>
      </c>
      <c r="R164" t="inlineStr">
        <is>
          <t>95.0</t>
        </is>
      </c>
      <c r="S164" t="inlineStr">
        <is>
          <t>1647597320447117</t>
        </is>
      </c>
    </row>
    <row r="165" ht="75" customHeight="1">
      <c r="A165" s="1">
        <f>HYPERLINK("https://www.theoutnet.com/en-us/shop/product/atm-anthony-thomas-melillo/tops/t-shirts/cotton-jersey-t-shirt/1647597320447117", "https://www.theoutnet.com/en-us/shop/product/atm-anthony-thomas-melillo/tops/t-shirts/cotton-jersey-t-shirt/1647597320447117")</f>
        <v/>
      </c>
      <c r="B165" s="1">
        <f>HYPERLINK("https://www.theoutnet.com/en-us/shop/product/atm-anthony-thomas-melillo/tops/t-shirts/cotton-jersey-t-shirt/1647597320447117", "https://www.theoutnet.com/en-us/shop/product/atm-anthony-thomas-melillo/tops/t-shirts/cotton-jersey-t-shirt/1647597320447117")</f>
        <v/>
      </c>
      <c r="C165" t="inlineStr">
        <is>
          <t>ATM ANTHONY THOMAS MELILLO</t>
        </is>
      </c>
      <c r="D165" t="inlineStr">
        <is>
          <t>ATM Anthony Thomas Melillo Women's School Boy Stripe Tee</t>
        </is>
      </c>
      <c r="E165" s="1">
        <f>HYPERLINK("https://www.amazon.com/ATM-Anthony-Thomas-Melillo-Womens/dp/B07YVMGR48/ref=sr_1_9?keywords=ATM+ANTHONY+THOMAS+MELILLO&amp;qid=1695343332&amp;sr=8-9", "https://www.amazon.com/ATM-Anthony-Thomas-Melillo-Womens/dp/B07YVMGR48/ref=sr_1_9?keywords=ATM+ANTHONY+THOMAS+MELILLO&amp;qid=1695343332&amp;sr=8-9")</f>
        <v/>
      </c>
      <c r="F165" t="inlineStr">
        <is>
          <t>B07YVMGR48</t>
        </is>
      </c>
      <c r="G165">
        <f>_xlfn.IMAGE("https://www.theoutnet.com/variants/images/1647597320447117/F/w1020_q80.jpg")</f>
        <v/>
      </c>
      <c r="H165">
        <f>_xlfn.IMAGE("https://m.media-amazon.com/images/I/71+Tbj864RL._AC_UL320_.jpg")</f>
        <v/>
      </c>
      <c r="K165" t="inlineStr">
        <is>
          <t>49.0</t>
        </is>
      </c>
      <c r="L165" t="n">
        <v>98</v>
      </c>
      <c r="M165" s="2" t="inlineStr">
        <is>
          <t>100.00%</t>
        </is>
      </c>
      <c r="N165" t="n">
        <v>5</v>
      </c>
      <c r="O165" t="n">
        <v>1</v>
      </c>
      <c r="Q165" t="inlineStr">
        <is>
          <t>InStock</t>
        </is>
      </c>
      <c r="R165" t="inlineStr">
        <is>
          <t>95.0</t>
        </is>
      </c>
      <c r="S165" t="inlineStr">
        <is>
          <t>1647597320447117</t>
        </is>
      </c>
    </row>
    <row r="166" ht="75" customHeight="1">
      <c r="A166" s="1">
        <f>HYPERLINK("https://www.theoutnet.com/en-us/shop/product/atm-anthony-thomas-melillo/tops/t-shirts/cotton-jersey-t-shirt/1647597320447117", "https://www.theoutnet.com/en-us/shop/product/atm-anthony-thomas-melillo/tops/t-shirts/cotton-jersey-t-shirt/1647597320447117")</f>
        <v/>
      </c>
      <c r="B166" s="1">
        <f>HYPERLINK("https://www.theoutnet.com/en-us/shop/product/atm-anthony-thomas-melillo/tops/t-shirts/cotton-jersey-t-shirt/1647597320447117", "https://www.theoutnet.com/en-us/shop/product/atm-anthony-thomas-melillo/tops/t-shirts/cotton-jersey-t-shirt/1647597320447117")</f>
        <v/>
      </c>
      <c r="C166" t="inlineStr">
        <is>
          <t>ATM ANTHONY THOMAS MELILLO</t>
        </is>
      </c>
      <c r="D166" t="inlineStr">
        <is>
          <t>ATM Anthony Thomas Melillo Women's Long Sleeve Boy Tee</t>
        </is>
      </c>
      <c r="E166" s="1">
        <f>HYPERLINK("https://www.amazon.com/ATM-Anthony-Thomas-Melillo-X-Small/dp/B07YVMC1RW/ref=sr_1_8?keywords=ATM+ANTHONY+THOMAS+MELILLO&amp;qid=1695343332&amp;sr=8-8", "https://www.amazon.com/ATM-Anthony-Thomas-Melillo-X-Small/dp/B07YVMC1RW/ref=sr_1_8?keywords=ATM+ANTHONY+THOMAS+MELILLO&amp;qid=1695343332&amp;sr=8-8")</f>
        <v/>
      </c>
      <c r="F166" t="inlineStr">
        <is>
          <t>B07YVMC1RW</t>
        </is>
      </c>
      <c r="G166">
        <f>_xlfn.IMAGE("https://www.theoutnet.com/variants/images/1647597320447117/F/w1020_q80.jpg")</f>
        <v/>
      </c>
      <c r="H166">
        <f>_xlfn.IMAGE("https://m.media-amazon.com/images/I/91aXrEiyCYL._AC_UL320_.jpg")</f>
        <v/>
      </c>
      <c r="K166" t="inlineStr">
        <is>
          <t>49.0</t>
        </is>
      </c>
      <c r="L166" t="n">
        <v>98</v>
      </c>
      <c r="M166" s="2" t="inlineStr">
        <is>
          <t>100.00%</t>
        </is>
      </c>
      <c r="N166" t="n">
        <v>4.3</v>
      </c>
      <c r="O166" t="n">
        <v>4</v>
      </c>
      <c r="Q166" t="inlineStr">
        <is>
          <t>InStock</t>
        </is>
      </c>
      <c r="R166" t="inlineStr">
        <is>
          <t>95.0</t>
        </is>
      </c>
      <c r="S166" t="inlineStr">
        <is>
          <t>1647597320447117</t>
        </is>
      </c>
    </row>
    <row r="167" ht="75" customHeight="1">
      <c r="A167" s="1">
        <f>HYPERLINK("https://www.theoutnet.com/en-us/shop/product/atm-anthony-thomas-melillo/tops/t-shirts/cotton-jersey-t-shirt/1647597320447117", "https://www.theoutnet.com/en-us/shop/product/atm-anthony-thomas-melillo/tops/t-shirts/cotton-jersey-t-shirt/1647597320447117")</f>
        <v/>
      </c>
      <c r="B167" s="1">
        <f>HYPERLINK("https://www.theoutnet.com/en-us/shop/product/atm-anthony-thomas-melillo/tops/t-shirts/cotton-jersey-t-shirt/1647597320447117", "https://www.theoutnet.com/en-us/shop/product/atm-anthony-thomas-melillo/tops/t-shirts/cotton-jersey-t-shirt/1647597320447117")</f>
        <v/>
      </c>
      <c r="C167" t="inlineStr">
        <is>
          <t>ATM ANTHONY THOMAS MELILLO</t>
        </is>
      </c>
      <c r="D167" t="inlineStr">
        <is>
          <t>ATM Anthony Thomas Melillo Women's Sleeveless Schoolboy Tee</t>
        </is>
      </c>
      <c r="E167" s="1">
        <f>HYPERLINK("https://www.amazon.com/ATM-Anthony-Thomas-Melillo-Sleeveless/dp/B0BL79T329/ref=sr_1_5?keywords=ATM+ANTHONY+THOMAS+MELILLO&amp;qid=1695343332&amp;sr=8-5", "https://www.amazon.com/ATM-Anthony-Thomas-Melillo-Sleeveless/dp/B0BL79T329/ref=sr_1_5?keywords=ATM+ANTHONY+THOMAS+MELILLO&amp;qid=1695343332&amp;sr=8-5")</f>
        <v/>
      </c>
      <c r="F167" t="inlineStr">
        <is>
          <t>B0BL79T329</t>
        </is>
      </c>
      <c r="G167">
        <f>_xlfn.IMAGE("https://www.theoutnet.com/variants/images/1647597320447117/F/w1020_q80.jpg")</f>
        <v/>
      </c>
      <c r="H167">
        <f>_xlfn.IMAGE("https://m.media-amazon.com/images/I/71P23mMBggL._AC_UL320_.jpg")</f>
        <v/>
      </c>
      <c r="K167" t="inlineStr">
        <is>
          <t>49.0</t>
        </is>
      </c>
      <c r="L167" t="n">
        <v>90</v>
      </c>
      <c r="M167" s="2" t="inlineStr">
        <is>
          <t>83.67%</t>
        </is>
      </c>
      <c r="N167" t="n">
        <v>4</v>
      </c>
      <c r="O167" t="n">
        <v>1</v>
      </c>
      <c r="Q167" t="inlineStr">
        <is>
          <t>InStock</t>
        </is>
      </c>
      <c r="R167" t="inlineStr">
        <is>
          <t>95.0</t>
        </is>
      </c>
      <c r="S167" t="inlineStr">
        <is>
          <t>1647597320447117</t>
        </is>
      </c>
    </row>
    <row r="168" ht="75" customHeight="1">
      <c r="A168" s="1">
        <f>HYPERLINK("https://www.theoutnet.com/en-us/shop/product/atm-anthony-thomas-melillo/tops/t-shirts/tie-dyed-slub-cotton-jersey-t-shirt/1647597321337893", "https://www.theoutnet.com/en-us/shop/product/atm-anthony-thomas-melillo/tops/t-shirts/tie-dyed-slub-cotton-jersey-t-shirt/1647597321337893")</f>
        <v/>
      </c>
      <c r="B168" s="1">
        <f>HYPERLINK("https://www.theoutnet.com/en-us/shop/product/atm-anthony-thomas-melillo/tops/t-shirts/tie-dyed-slub-cotton-jersey-t-shirt/1647597321337893", "https://www.theoutnet.com/en-us/shop/product/atm-anthony-thomas-melillo/tops/t-shirts/tie-dyed-slub-cotton-jersey-t-shirt/1647597321337893")</f>
        <v/>
      </c>
      <c r="C168" t="inlineStr">
        <is>
          <t>ATM ANTHONY THOMAS MELILLO</t>
        </is>
      </c>
      <c r="D168" t="inlineStr">
        <is>
          <t>ATM Anthony Thomas Melillo Women's Slub Jersey Long Sleeve Crew Neck</t>
        </is>
      </c>
      <c r="E168" s="1">
        <f>HYPERLINK("https://www.amazon.com/ATM-Anthony-Thomas-Melillo-Destroyed/dp/B07BGGQ51Z/ref=sr_1_2?keywords=ATM+ANTHONY+THOMAS+MELILLO&amp;qid=1695343334&amp;sr=8-2", "https://www.amazon.com/ATM-Anthony-Thomas-Melillo-Destroyed/dp/B07BGGQ51Z/ref=sr_1_2?keywords=ATM+ANTHONY+THOMAS+MELILLO&amp;qid=1695343334&amp;sr=8-2")</f>
        <v/>
      </c>
      <c r="F168" t="inlineStr">
        <is>
          <t>B07BGGQ51Z</t>
        </is>
      </c>
      <c r="G168">
        <f>_xlfn.IMAGE("https://www.theoutnet.com/variants/images/1647597321337893/F/w1020_q80.jpg")</f>
        <v/>
      </c>
      <c r="H168">
        <f>_xlfn.IMAGE("https://m.media-amazon.com/images/I/91t2XIb3CHL._AC_UL320_.jpg")</f>
        <v/>
      </c>
      <c r="K168" t="inlineStr">
        <is>
          <t>67.0</t>
        </is>
      </c>
      <c r="L168" t="n">
        <v>120</v>
      </c>
      <c r="M168" s="2" t="inlineStr">
        <is>
          <t>79.10%</t>
        </is>
      </c>
      <c r="N168" t="n">
        <v>4.3</v>
      </c>
      <c r="O168" t="n">
        <v>13</v>
      </c>
      <c r="Q168" t="inlineStr">
        <is>
          <t>InStock</t>
        </is>
      </c>
      <c r="R168" t="inlineStr">
        <is>
          <t>145.0</t>
        </is>
      </c>
      <c r="S168" t="inlineStr">
        <is>
          <t>1647597321337893</t>
        </is>
      </c>
    </row>
    <row r="169" ht="75" customHeight="1">
      <c r="A169" s="1">
        <f>HYPERLINK("https://www.theoutnet.com/en-us/shop/product/australia-luxe-collective/sandals/flat-sandals/shearling-sandals/1647597292659285", "https://www.theoutnet.com/en-us/shop/product/australia-luxe-collective/sandals/flat-sandals/shearling-sandals/1647597292659285")</f>
        <v/>
      </c>
      <c r="B169" s="1">
        <f>HYPERLINK("https://www.theoutnet.com/en-us/shop/product/australia-luxe-collective/sandals/flat-sandals/shearling-sandals/1647597292659285", "https://www.theoutnet.com/en-us/shop/product/australia-luxe-collective/sandals/flat-sandals/shearling-sandals/1647597292659285")</f>
        <v/>
      </c>
      <c r="C169" t="inlineStr">
        <is>
          <t>AUSTRALIA LUXE COLLECTIVE</t>
        </is>
      </c>
      <c r="D169" t="inlineStr">
        <is>
          <t>Australia Luxe Collective Women's Nordic Tall Tuscany Fashion Boot</t>
        </is>
      </c>
      <c r="E169" s="1">
        <f>HYPERLINK("https://www.amazon.com/Australia-Luxe-Collective-Tuscany-Fashion/dp/B0B395T9MK/ref=sr_1_8?keywords=AUSTRALIA+LUXE+COLLECTIVE&amp;qid=1695343509&amp;sr=8-8", "https://www.amazon.com/Australia-Luxe-Collective-Tuscany-Fashion/dp/B0B395T9MK/ref=sr_1_8?keywords=AUSTRALIA+LUXE+COLLECTIVE&amp;qid=1695343509&amp;sr=8-8")</f>
        <v/>
      </c>
      <c r="F169" t="inlineStr">
        <is>
          <t>B0B395T9MK</t>
        </is>
      </c>
      <c r="G169">
        <f>_xlfn.IMAGE("https://www.theoutnet.com/variants/images/1647597292659285/F/w1020_q80.jpg")</f>
        <v/>
      </c>
      <c r="H169">
        <f>_xlfn.IMAGE("https://m.media-amazon.com/images/I/81Q-GA1RZFL._AC_UL320_.jpg")</f>
        <v/>
      </c>
      <c r="K169" t="inlineStr">
        <is>
          <t>63.0</t>
        </is>
      </c>
      <c r="L169" t="n">
        <v>214.96</v>
      </c>
      <c r="M169" s="2" t="inlineStr">
        <is>
          <t>241.21%</t>
        </is>
      </c>
      <c r="N169" t="n">
        <v>4</v>
      </c>
      <c r="O169" t="n">
        <v>1</v>
      </c>
      <c r="Q169" t="inlineStr">
        <is>
          <t>InStock</t>
        </is>
      </c>
      <c r="R169" t="inlineStr">
        <is>
          <t>140.0</t>
        </is>
      </c>
      <c r="S169" t="inlineStr">
        <is>
          <t>1647597292659285</t>
        </is>
      </c>
    </row>
    <row r="170" ht="75" customHeight="1">
      <c r="A170" s="1">
        <f>HYPERLINK("https://www.theoutnet.com/en-us/shop/product/casadei/pumps/high-heel-pumps/suede-pumps/1647597277972411", "https://www.theoutnet.com/en-us/shop/product/casadei/pumps/high-heel-pumps/suede-pumps/1647597277972411")</f>
        <v/>
      </c>
      <c r="B170" s="1">
        <f>HYPERLINK("https://www.theoutnet.com/en-us/shop/product/casadei/pumps/high-heel-pumps/suede-pumps/1647597277972411", "https://www.theoutnet.com/en-us/shop/product/casadei/pumps/high-heel-pumps/suede-pumps/1647597277972411")</f>
        <v/>
      </c>
      <c r="C170" t="inlineStr">
        <is>
          <t>CASADEI</t>
        </is>
      </c>
      <c r="D170" t="inlineStr">
        <is>
          <t>Casadei Women's 8725 Ankle Boot</t>
        </is>
      </c>
      <c r="E170" s="1">
        <f>HYPERLINK("https://www.amazon.com/Casadei-Womens-8725-Ankle-Boot/dp/B004O0UFHU/ref=sr_1_6?keywords=CASADEI&amp;qid=1695343277&amp;sr=8-6", "https://www.amazon.com/Casadei-Womens-8725-Ankle-Boot/dp/B004O0UFHU/ref=sr_1_6?keywords=CASADEI&amp;qid=1695343277&amp;sr=8-6")</f>
        <v/>
      </c>
      <c r="F170" t="inlineStr">
        <is>
          <t>B004O0UFHU</t>
        </is>
      </c>
      <c r="G170">
        <f>_xlfn.IMAGE("https://www.theoutnet.com/variants/images/1647597277972411/F/w1020_q80.jpg")</f>
        <v/>
      </c>
      <c r="H170">
        <f>_xlfn.IMAGE("https://m.media-amazon.com/images/I/8165GjxjECL._AC_UL320_.jpg")</f>
        <v/>
      </c>
      <c r="K170" t="inlineStr">
        <is>
          <t>239.0</t>
        </is>
      </c>
      <c r="L170" t="n">
        <v>855.98</v>
      </c>
      <c r="M170" s="2" t="inlineStr">
        <is>
          <t>258.15%</t>
        </is>
      </c>
      <c r="N170" t="n">
        <v>5</v>
      </c>
      <c r="O170" t="n">
        <v>1</v>
      </c>
      <c r="Q170" t="inlineStr">
        <is>
          <t>InStock</t>
        </is>
      </c>
      <c r="R170" t="inlineStr">
        <is>
          <t>795.0</t>
        </is>
      </c>
      <c r="S170" t="inlineStr">
        <is>
          <t>1647597277972411</t>
        </is>
      </c>
    </row>
    <row r="171" ht="75" customHeight="1">
      <c r="A171" s="1">
        <f>HYPERLINK("https://www.theoutnet.com/en-us/shop/product/casadei/pumps/high-heel-pumps/suede-pumps/1647597277972411", "https://www.theoutnet.com/en-us/shop/product/casadei/pumps/high-heel-pumps/suede-pumps/1647597277972411")</f>
        <v/>
      </c>
      <c r="B171" s="1">
        <f>HYPERLINK("https://www.theoutnet.com/en-us/shop/product/casadei/pumps/high-heel-pumps/suede-pumps/1647597277972411", "https://www.theoutnet.com/en-us/shop/product/casadei/pumps/high-heel-pumps/suede-pumps/1647597277972411")</f>
        <v/>
      </c>
      <c r="C171" t="inlineStr">
        <is>
          <t>CASADEI</t>
        </is>
      </c>
      <c r="D171" t="inlineStr">
        <is>
          <t>Casadei Women's 3910 Over The Knee Boot</t>
        </is>
      </c>
      <c r="E171" s="1">
        <f>HYPERLINK("https://www.amazon.com/Casadei-Womens-3910-Over-Peplum/dp/B001U88F4Y/ref=sr_1_5?keywords=CASADEI&amp;qid=1695343277&amp;sr=8-5", "https://www.amazon.com/Casadei-Womens-3910-Over-Peplum/dp/B001U88F4Y/ref=sr_1_5?keywords=CASADEI&amp;qid=1695343277&amp;sr=8-5")</f>
        <v/>
      </c>
      <c r="F171" t="inlineStr">
        <is>
          <t>B001U88F4Y</t>
        </is>
      </c>
      <c r="G171">
        <f>_xlfn.IMAGE("https://www.theoutnet.com/variants/images/1647597277972411/F/w1020_q80.jpg")</f>
        <v/>
      </c>
      <c r="H171">
        <f>_xlfn.IMAGE("https://m.media-amazon.com/images/I/71CmEWoLCEL._AC_UL320_.jpg")</f>
        <v/>
      </c>
      <c r="K171" t="inlineStr">
        <is>
          <t>239.0</t>
        </is>
      </c>
      <c r="L171" t="n">
        <v>769.12</v>
      </c>
      <c r="M171" s="2" t="inlineStr">
        <is>
          <t>221.81%</t>
        </is>
      </c>
      <c r="N171" t="n">
        <v>5</v>
      </c>
      <c r="O171" t="n">
        <v>1</v>
      </c>
      <c r="Q171" t="inlineStr">
        <is>
          <t>InStock</t>
        </is>
      </c>
      <c r="R171" t="inlineStr">
        <is>
          <t>795.0</t>
        </is>
      </c>
      <c r="S171" t="inlineStr">
        <is>
          <t>1647597277972411</t>
        </is>
      </c>
    </row>
    <row r="172" ht="75" customHeight="1">
      <c r="A172" s="1">
        <f>HYPERLINK("https://www.theoutnet.com/en-us/shop/product/casadei/pumps/high-heel-pumps/suede-pumps/1647597277972411", "https://www.theoutnet.com/en-us/shop/product/casadei/pumps/high-heel-pumps/suede-pumps/1647597277972411")</f>
        <v/>
      </c>
      <c r="B172" s="1">
        <f>HYPERLINK("https://www.theoutnet.com/en-us/shop/product/casadei/pumps/high-heel-pumps/suede-pumps/1647597277972411", "https://www.theoutnet.com/en-us/shop/product/casadei/pumps/high-heel-pumps/suede-pumps/1647597277972411")</f>
        <v/>
      </c>
      <c r="C172" t="inlineStr">
        <is>
          <t>CASADEI</t>
        </is>
      </c>
      <c r="D172" t="inlineStr">
        <is>
          <t>Casadei Women's 1071 Wedge Sandal</t>
        </is>
      </c>
      <c r="E172" s="1">
        <f>HYPERLINK("https://www.amazon.com/Casadei-Womens-1071-Sandal-Sabbia/dp/B005GYKDK2/ref=sr_1_4?keywords=CASADEI&amp;qid=1695343277&amp;sr=8-4", "https://www.amazon.com/Casadei-Womens-1071-Sandal-Sabbia/dp/B005GYKDK2/ref=sr_1_4?keywords=CASADEI&amp;qid=1695343277&amp;sr=8-4")</f>
        <v/>
      </c>
      <c r="F172" t="inlineStr">
        <is>
          <t>B005GYKDK2</t>
        </is>
      </c>
      <c r="G172">
        <f>_xlfn.IMAGE("https://www.theoutnet.com/variants/images/1647597277972411/F/w1020_q80.jpg")</f>
        <v/>
      </c>
      <c r="H172">
        <f>_xlfn.IMAGE("https://m.media-amazon.com/images/I/711D97HPU+L._AC_UL320_.jpg")</f>
        <v/>
      </c>
      <c r="K172" t="inlineStr">
        <is>
          <t>239.0</t>
        </is>
      </c>
      <c r="L172" t="n">
        <v>748.84</v>
      </c>
      <c r="M172" s="2" t="inlineStr">
        <is>
          <t>213.32%</t>
        </is>
      </c>
      <c r="N172" t="n">
        <v>4.5</v>
      </c>
      <c r="O172" t="n">
        <v>3</v>
      </c>
      <c r="Q172" t="inlineStr">
        <is>
          <t>InStock</t>
        </is>
      </c>
      <c r="R172" t="inlineStr">
        <is>
          <t>795.0</t>
        </is>
      </c>
      <c r="S172" t="inlineStr">
        <is>
          <t>1647597277972411</t>
        </is>
      </c>
    </row>
    <row r="173" ht="75" customHeight="1">
      <c r="A173" s="1">
        <f>HYPERLINK("https://www.theoutnet.com/en-us/shop/product/casadei/pumps/high-heel-pumps/suede-pumps/1647597277972411", "https://www.theoutnet.com/en-us/shop/product/casadei/pumps/high-heel-pumps/suede-pumps/1647597277972411")</f>
        <v/>
      </c>
      <c r="B173" s="1">
        <f>HYPERLINK("https://www.theoutnet.com/en-us/shop/product/casadei/pumps/high-heel-pumps/suede-pumps/1647597277972411", "https://www.theoutnet.com/en-us/shop/product/casadei/pumps/high-heel-pumps/suede-pumps/1647597277972411")</f>
        <v/>
      </c>
      <c r="C173" t="inlineStr">
        <is>
          <t>CASADEI</t>
        </is>
      </c>
      <c r="D173" t="inlineStr">
        <is>
          <t>Casadei Women's 1508 Platform Pump</t>
        </is>
      </c>
      <c r="E173" s="1">
        <f>HYPERLINK("https://www.amazon.com/Casadei-Womens-1508-Platform-Sabbia/dp/B005APCTUO/ref=sr_1_9?keywords=CASADEI&amp;qid=1695343277&amp;sr=8-9", "https://www.amazon.com/Casadei-Womens-1508-Platform-Sabbia/dp/B005APCTUO/ref=sr_1_9?keywords=CASADEI&amp;qid=1695343277&amp;sr=8-9")</f>
        <v/>
      </c>
      <c r="F173" t="inlineStr">
        <is>
          <t>B005APCTUO</t>
        </is>
      </c>
      <c r="G173">
        <f>_xlfn.IMAGE("https://www.theoutnet.com/variants/images/1647597277972411/F/w1020_q80.jpg")</f>
        <v/>
      </c>
      <c r="H173">
        <f>_xlfn.IMAGE("https://m.media-amazon.com/images/I/81QigjOiACL._AC_UL320_.jpg")</f>
        <v/>
      </c>
      <c r="K173" t="inlineStr">
        <is>
          <t>239.0</t>
        </is>
      </c>
      <c r="L173" t="n">
        <v>505.18</v>
      </c>
      <c r="M173" s="2" t="inlineStr">
        <is>
          <t>111.37%</t>
        </is>
      </c>
      <c r="N173" t="n">
        <v>5</v>
      </c>
      <c r="O173" t="n">
        <v>1</v>
      </c>
      <c r="Q173" t="inlineStr">
        <is>
          <t>InStock</t>
        </is>
      </c>
      <c r="R173" t="inlineStr">
        <is>
          <t>795.0</t>
        </is>
      </c>
      <c r="S173" t="inlineStr">
        <is>
          <t>1647597277972411</t>
        </is>
      </c>
    </row>
    <row r="174" ht="75" customHeight="1">
      <c r="A174" s="1">
        <f>HYPERLINK("https://www.theoutnet.com/en-us/shop/product/casadei/pumps/high-heel-pumps/suede-pumps/1647597277972411", "https://www.theoutnet.com/en-us/shop/product/casadei/pumps/high-heel-pumps/suede-pumps/1647597277972411")</f>
        <v/>
      </c>
      <c r="B174" s="1">
        <f>HYPERLINK("https://www.theoutnet.com/en-us/shop/product/casadei/pumps/high-heel-pumps/suede-pumps/1647597277972411", "https://www.theoutnet.com/en-us/shop/product/casadei/pumps/high-heel-pumps/suede-pumps/1647597277972411")</f>
        <v/>
      </c>
      <c r="C174" t="inlineStr">
        <is>
          <t>CASADEI</t>
        </is>
      </c>
      <c r="D174" t="inlineStr">
        <is>
          <t>Casadei Women's 8725 Ankle Boot</t>
        </is>
      </c>
      <c r="E174" s="1">
        <f>HYPERLINK("https://www.amazon.com/Casadei-Womens-8725-Ankle-Boot/dp/B004O0UFHU/ref=sr_1_6?keywords=CASADEI&amp;qid=1695343781&amp;sr=8-6", "https://www.amazon.com/Casadei-Womens-8725-Ankle-Boot/dp/B004O0UFHU/ref=sr_1_6?keywords=CASADEI&amp;qid=1695343781&amp;sr=8-6")</f>
        <v/>
      </c>
      <c r="F174" t="inlineStr">
        <is>
          <t>B004O0UFHU</t>
        </is>
      </c>
      <c r="G174">
        <f>_xlfn.IMAGE("https://www.theoutnet.com/variants/images/1647597277972411/F/w1020_q80.jpg")</f>
        <v/>
      </c>
      <c r="H174">
        <f>_xlfn.IMAGE("https://m.media-amazon.com/images/I/8165GjxjECL._AC_UL320_.jpg")</f>
        <v/>
      </c>
      <c r="K174" t="inlineStr">
        <is>
          <t>239.0</t>
        </is>
      </c>
      <c r="L174" t="n">
        <v>855.98</v>
      </c>
      <c r="M174" s="2" t="inlineStr">
        <is>
          <t>258.15%</t>
        </is>
      </c>
      <c r="N174" t="n">
        <v>5</v>
      </c>
      <c r="O174" t="n">
        <v>1</v>
      </c>
      <c r="Q174" t="inlineStr">
        <is>
          <t>InStock</t>
        </is>
      </c>
      <c r="R174" t="inlineStr">
        <is>
          <t>795.0</t>
        </is>
      </c>
      <c r="S174" t="inlineStr">
        <is>
          <t>1647597277972411</t>
        </is>
      </c>
    </row>
    <row r="175" ht="75" customHeight="1">
      <c r="A175" s="1">
        <f>HYPERLINK("https://www.theoutnet.com/en-us/shop/product/casadei/pumps/high-heel-pumps/suede-pumps/1647597277972411", "https://www.theoutnet.com/en-us/shop/product/casadei/pumps/high-heel-pumps/suede-pumps/1647597277972411")</f>
        <v/>
      </c>
      <c r="B175" s="1">
        <f>HYPERLINK("https://www.theoutnet.com/en-us/shop/product/casadei/pumps/high-heel-pumps/suede-pumps/1647597277972411", "https://www.theoutnet.com/en-us/shop/product/casadei/pumps/high-heel-pumps/suede-pumps/1647597277972411")</f>
        <v/>
      </c>
      <c r="C175" t="inlineStr">
        <is>
          <t>CASADEI</t>
        </is>
      </c>
      <c r="D175" t="inlineStr">
        <is>
          <t>Casadei Women's 3910 Over The Knee Boot</t>
        </is>
      </c>
      <c r="E175" s="1">
        <f>HYPERLINK("https://www.amazon.com/Casadei-Womens-3910-Over-Peplum/dp/B001U88F4Y/ref=sr_1_4?keywords=CASADEI&amp;qid=1695343781&amp;sr=8-4", "https://www.amazon.com/Casadei-Womens-3910-Over-Peplum/dp/B001U88F4Y/ref=sr_1_4?keywords=CASADEI&amp;qid=1695343781&amp;sr=8-4")</f>
        <v/>
      </c>
      <c r="F175" t="inlineStr">
        <is>
          <t>B001U88F4Y</t>
        </is>
      </c>
      <c r="G175">
        <f>_xlfn.IMAGE("https://www.theoutnet.com/variants/images/1647597277972411/F/w1020_q80.jpg")</f>
        <v/>
      </c>
      <c r="H175">
        <f>_xlfn.IMAGE("https://m.media-amazon.com/images/I/71CmEWoLCEL._AC_UL320_.jpg")</f>
        <v/>
      </c>
      <c r="K175" t="inlineStr">
        <is>
          <t>239.0</t>
        </is>
      </c>
      <c r="L175" t="n">
        <v>769.12</v>
      </c>
      <c r="M175" s="2" t="inlineStr">
        <is>
          <t>221.81%</t>
        </is>
      </c>
      <c r="N175" t="n">
        <v>5</v>
      </c>
      <c r="O175" t="n">
        <v>1</v>
      </c>
      <c r="Q175" t="inlineStr">
        <is>
          <t>InStock</t>
        </is>
      </c>
      <c r="R175" t="inlineStr">
        <is>
          <t>795.0</t>
        </is>
      </c>
      <c r="S175" t="inlineStr">
        <is>
          <t>1647597277972411</t>
        </is>
      </c>
    </row>
    <row r="176" ht="75" customHeight="1">
      <c r="A176" s="1">
        <f>HYPERLINK("https://www.theoutnet.com/en-us/shop/product/casadei/pumps/high-heel-pumps/suede-pumps/1647597277972411", "https://www.theoutnet.com/en-us/shop/product/casadei/pumps/high-heel-pumps/suede-pumps/1647597277972411")</f>
        <v/>
      </c>
      <c r="B176" s="1">
        <f>HYPERLINK("https://www.theoutnet.com/en-us/shop/product/casadei/pumps/high-heel-pumps/suede-pumps/1647597277972411", "https://www.theoutnet.com/en-us/shop/product/casadei/pumps/high-heel-pumps/suede-pumps/1647597277972411")</f>
        <v/>
      </c>
      <c r="C176" t="inlineStr">
        <is>
          <t>CASADEI</t>
        </is>
      </c>
      <c r="D176" t="inlineStr">
        <is>
          <t>Casadei Women's 1071 Wedge Sandal</t>
        </is>
      </c>
      <c r="E176" s="1">
        <f>HYPERLINK("https://www.amazon.com/Casadei-Womens-1071-Sandal-Sabbia/dp/B005GYKDK2/ref=sr_1_7?keywords=CASADEI&amp;qid=1695343781&amp;sr=8-7", "https://www.amazon.com/Casadei-Womens-1071-Sandal-Sabbia/dp/B005GYKDK2/ref=sr_1_7?keywords=CASADEI&amp;qid=1695343781&amp;sr=8-7")</f>
        <v/>
      </c>
      <c r="F176" t="inlineStr">
        <is>
          <t>B005GYKDK2</t>
        </is>
      </c>
      <c r="G176">
        <f>_xlfn.IMAGE("https://www.theoutnet.com/variants/images/1647597277972411/F/w1020_q80.jpg")</f>
        <v/>
      </c>
      <c r="H176">
        <f>_xlfn.IMAGE("https://m.media-amazon.com/images/I/711D97HPU+L._AC_UL320_.jpg")</f>
        <v/>
      </c>
      <c r="K176" t="inlineStr">
        <is>
          <t>239.0</t>
        </is>
      </c>
      <c r="L176" t="n">
        <v>748.84</v>
      </c>
      <c r="M176" s="2" t="inlineStr">
        <is>
          <t>213.32%</t>
        </is>
      </c>
      <c r="N176" t="n">
        <v>4.5</v>
      </c>
      <c r="O176" t="n">
        <v>3</v>
      </c>
      <c r="Q176" t="inlineStr">
        <is>
          <t>InStock</t>
        </is>
      </c>
      <c r="R176" t="inlineStr">
        <is>
          <t>795.0</t>
        </is>
      </c>
      <c r="S176" t="inlineStr">
        <is>
          <t>1647597277972411</t>
        </is>
      </c>
    </row>
    <row r="177" ht="75" customHeight="1">
      <c r="A177" s="1">
        <f>HYPERLINK("https://www.theoutnet.com/en-us/shop/product/casadei/pumps/high-heel-pumps/suede-pumps/1647597277972411", "https://www.theoutnet.com/en-us/shop/product/casadei/pumps/high-heel-pumps/suede-pumps/1647597277972411")</f>
        <v/>
      </c>
      <c r="B177" s="1">
        <f>HYPERLINK("https://www.theoutnet.com/en-us/shop/product/casadei/pumps/high-heel-pumps/suede-pumps/1647597277972411", "https://www.theoutnet.com/en-us/shop/product/casadei/pumps/high-heel-pumps/suede-pumps/1647597277972411")</f>
        <v/>
      </c>
      <c r="C177" t="inlineStr">
        <is>
          <t>CASADEI</t>
        </is>
      </c>
      <c r="D177" t="inlineStr">
        <is>
          <t>Casadei Women's 1508 Platform Pump</t>
        </is>
      </c>
      <c r="E177" s="1">
        <f>HYPERLINK("https://www.amazon.com/Casadei-Womens-1508-Platform-Sabbia/dp/B005APCTUO/ref=sr_1_5?keywords=CASADEI&amp;qid=1695343781&amp;sr=8-5", "https://www.amazon.com/Casadei-Womens-1508-Platform-Sabbia/dp/B005APCTUO/ref=sr_1_5?keywords=CASADEI&amp;qid=1695343781&amp;sr=8-5")</f>
        <v/>
      </c>
      <c r="F177" t="inlineStr">
        <is>
          <t>B005APCTUO</t>
        </is>
      </c>
      <c r="G177">
        <f>_xlfn.IMAGE("https://www.theoutnet.com/variants/images/1647597277972411/F/w1020_q80.jpg")</f>
        <v/>
      </c>
      <c r="H177">
        <f>_xlfn.IMAGE("https://m.media-amazon.com/images/I/81QigjOiACL._AC_UL320_.jpg")</f>
        <v/>
      </c>
      <c r="K177" t="inlineStr">
        <is>
          <t>239.0</t>
        </is>
      </c>
      <c r="L177" t="n">
        <v>505.18</v>
      </c>
      <c r="M177" s="2" t="inlineStr">
        <is>
          <t>111.37%</t>
        </is>
      </c>
      <c r="N177" t="n">
        <v>5</v>
      </c>
      <c r="O177" t="n">
        <v>1</v>
      </c>
      <c r="Q177" t="inlineStr">
        <is>
          <t>InStock</t>
        </is>
      </c>
      <c r="R177" t="inlineStr">
        <is>
          <t>795.0</t>
        </is>
      </c>
      <c r="S177" t="inlineStr">
        <is>
          <t>1647597277972411</t>
        </is>
      </c>
    </row>
    <row r="178" ht="75" customHeight="1">
      <c r="A178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B178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C178" t="inlineStr">
        <is>
          <t>CASADEI</t>
        </is>
      </c>
      <c r="D178" t="inlineStr">
        <is>
          <t>Casadei Women's 8725 Ankle Boot</t>
        </is>
      </c>
      <c r="E178" s="1">
        <f>HYPERLINK("https://www.amazon.com/Casadei-Womens-8725-Ankle-Boot/dp/B004O0UFHU/ref=sr_1_6?keywords=CASADEI&amp;qid=1695343278&amp;sr=8-6", "https://www.amazon.com/Casadei-Womens-8725-Ankle-Boot/dp/B004O0UFHU/ref=sr_1_6?keywords=CASADEI&amp;qid=1695343278&amp;sr=8-6")</f>
        <v/>
      </c>
      <c r="F178" t="inlineStr">
        <is>
          <t>B004O0UFHU</t>
        </is>
      </c>
      <c r="G178">
        <f>_xlfn.IMAGE("https://www.theoutnet.com/variants/images/1647597300424824/F/w1020_q80.jpg")</f>
        <v/>
      </c>
      <c r="H178">
        <f>_xlfn.IMAGE("https://m.media-amazon.com/images/I/8165GjxjECL._AC_UL320_.jpg")</f>
        <v/>
      </c>
      <c r="K178" t="inlineStr">
        <is>
          <t>222.0</t>
        </is>
      </c>
      <c r="L178" t="n">
        <v>855.98</v>
      </c>
      <c r="M178" s="2" t="inlineStr">
        <is>
          <t>285.58%</t>
        </is>
      </c>
      <c r="N178" t="n">
        <v>5</v>
      </c>
      <c r="O178" t="n">
        <v>1</v>
      </c>
      <c r="Q178" t="inlineStr">
        <is>
          <t>InStock</t>
        </is>
      </c>
      <c r="R178" t="inlineStr">
        <is>
          <t>740.0</t>
        </is>
      </c>
      <c r="S178" t="inlineStr">
        <is>
          <t>1</t>
        </is>
      </c>
    </row>
    <row r="179" ht="75" customHeight="1">
      <c r="A179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B179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C179" t="inlineStr">
        <is>
          <t>CASADEI</t>
        </is>
      </c>
      <c r="D179" t="inlineStr">
        <is>
          <t>Casadei Women's 3910 Over The Knee Boot</t>
        </is>
      </c>
      <c r="E179" s="1">
        <f>HYPERLINK("https://www.amazon.com/Casadei-Womens-3910-Over-Peplum/dp/B001U88F4Y/ref=sr_1_5?keywords=CASADEI&amp;qid=1695343278&amp;sr=8-5", "https://www.amazon.com/Casadei-Womens-3910-Over-Peplum/dp/B001U88F4Y/ref=sr_1_5?keywords=CASADEI&amp;qid=1695343278&amp;sr=8-5")</f>
        <v/>
      </c>
      <c r="F179" t="inlineStr">
        <is>
          <t>B001U88F4Y</t>
        </is>
      </c>
      <c r="G179">
        <f>_xlfn.IMAGE("https://www.theoutnet.com/variants/images/1647597300424824/F/w1020_q80.jpg")</f>
        <v/>
      </c>
      <c r="H179">
        <f>_xlfn.IMAGE("https://m.media-amazon.com/images/I/71CmEWoLCEL._AC_UL320_.jpg")</f>
        <v/>
      </c>
      <c r="K179" t="inlineStr">
        <is>
          <t>222.0</t>
        </is>
      </c>
      <c r="L179" t="n">
        <v>769.12</v>
      </c>
      <c r="M179" s="2" t="inlineStr">
        <is>
          <t>246.45%</t>
        </is>
      </c>
      <c r="N179" t="n">
        <v>5</v>
      </c>
      <c r="O179" t="n">
        <v>1</v>
      </c>
      <c r="Q179" t="inlineStr">
        <is>
          <t>InStock</t>
        </is>
      </c>
      <c r="R179" t="inlineStr">
        <is>
          <t>740.0</t>
        </is>
      </c>
      <c r="S179" t="inlineStr">
        <is>
          <t>1</t>
        </is>
      </c>
    </row>
    <row r="180" ht="75" customHeight="1">
      <c r="A180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B180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C180" t="inlineStr">
        <is>
          <t>CASADEI</t>
        </is>
      </c>
      <c r="D180" t="inlineStr">
        <is>
          <t>Casadei Women's 1071 Wedge Sandal</t>
        </is>
      </c>
      <c r="E180" s="1">
        <f>HYPERLINK("https://www.amazon.com/Casadei-Womens-1071-Sandal-Sabbia/dp/B005GYKDK2/ref=sr_1_4?keywords=CASADEI&amp;qid=1695343278&amp;sr=8-4", "https://www.amazon.com/Casadei-Womens-1071-Sandal-Sabbia/dp/B005GYKDK2/ref=sr_1_4?keywords=CASADEI&amp;qid=1695343278&amp;sr=8-4")</f>
        <v/>
      </c>
      <c r="F180" t="inlineStr">
        <is>
          <t>B005GYKDK2</t>
        </is>
      </c>
      <c r="G180">
        <f>_xlfn.IMAGE("https://www.theoutnet.com/variants/images/1647597300424824/F/w1020_q80.jpg")</f>
        <v/>
      </c>
      <c r="H180">
        <f>_xlfn.IMAGE("https://m.media-amazon.com/images/I/711D97HPU+L._AC_UL320_.jpg")</f>
        <v/>
      </c>
      <c r="K180" t="inlineStr">
        <is>
          <t>222.0</t>
        </is>
      </c>
      <c r="L180" t="n">
        <v>748.84</v>
      </c>
      <c r="M180" s="2" t="inlineStr">
        <is>
          <t>237.32%</t>
        </is>
      </c>
      <c r="N180" t="n">
        <v>4.5</v>
      </c>
      <c r="O180" t="n">
        <v>3</v>
      </c>
      <c r="Q180" t="inlineStr">
        <is>
          <t>InStock</t>
        </is>
      </c>
      <c r="R180" t="inlineStr">
        <is>
          <t>740.0</t>
        </is>
      </c>
      <c r="S180" t="inlineStr">
        <is>
          <t>1</t>
        </is>
      </c>
    </row>
    <row r="181" ht="75" customHeight="1">
      <c r="A181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B181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C181" t="inlineStr">
        <is>
          <t>CASADEI</t>
        </is>
      </c>
      <c r="D181" t="inlineStr">
        <is>
          <t>Casadei Women's 1508 Platform Pump</t>
        </is>
      </c>
      <c r="E181" s="1">
        <f>HYPERLINK("https://www.amazon.com/Casadei-Womens-1508-Platform-Sabbia/dp/B005APCTUO/ref=sr_1_9?keywords=CASADEI&amp;qid=1695343278&amp;sr=8-9", "https://www.amazon.com/Casadei-Womens-1508-Platform-Sabbia/dp/B005APCTUO/ref=sr_1_9?keywords=CASADEI&amp;qid=1695343278&amp;sr=8-9")</f>
        <v/>
      </c>
      <c r="F181" t="inlineStr">
        <is>
          <t>B005APCTUO</t>
        </is>
      </c>
      <c r="G181">
        <f>_xlfn.IMAGE("https://www.theoutnet.com/variants/images/1647597300424824/F/w1020_q80.jpg")</f>
        <v/>
      </c>
      <c r="H181">
        <f>_xlfn.IMAGE("https://m.media-amazon.com/images/I/81QigjOiACL._AC_UL320_.jpg")</f>
        <v/>
      </c>
      <c r="K181" t="inlineStr">
        <is>
          <t>222.0</t>
        </is>
      </c>
      <c r="L181" t="n">
        <v>505.18</v>
      </c>
      <c r="M181" s="2" t="inlineStr">
        <is>
          <t>127.56%</t>
        </is>
      </c>
      <c r="N181" t="n">
        <v>5</v>
      </c>
      <c r="O181" t="n">
        <v>1</v>
      </c>
      <c r="Q181" t="inlineStr">
        <is>
          <t>InStock</t>
        </is>
      </c>
      <c r="R181" t="inlineStr">
        <is>
          <t>740.0</t>
        </is>
      </c>
      <c r="S181" t="inlineStr">
        <is>
          <t>1</t>
        </is>
      </c>
    </row>
    <row r="182" ht="75" customHeight="1">
      <c r="A182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B182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C182" t="inlineStr">
        <is>
          <t>CASADEI</t>
        </is>
      </c>
      <c r="D182" t="inlineStr">
        <is>
          <t>Casadei Women's 8725 Ankle Boot</t>
        </is>
      </c>
      <c r="E182" s="1">
        <f>HYPERLINK("https://www.amazon.com/Casadei-Womens-8725-Ankle-Boot/dp/B004O0UFHU/ref=sr_1_6?keywords=CASADEI&amp;qid=1695343738&amp;sr=8-6", "https://www.amazon.com/Casadei-Womens-8725-Ankle-Boot/dp/B004O0UFHU/ref=sr_1_6?keywords=CASADEI&amp;qid=1695343738&amp;sr=8-6")</f>
        <v/>
      </c>
      <c r="F182" t="inlineStr">
        <is>
          <t>B004O0UFHU</t>
        </is>
      </c>
      <c r="G182">
        <f>_xlfn.IMAGE("https://www.theoutnet.com/variants/images/1647597300424824/F/w1020_q80.jpg")</f>
        <v/>
      </c>
      <c r="H182">
        <f>_xlfn.IMAGE("https://m.media-amazon.com/images/I/8165GjxjECL._AC_UL320_.jpg")</f>
        <v/>
      </c>
      <c r="K182" t="inlineStr">
        <is>
          <t>222.0</t>
        </is>
      </c>
      <c r="L182" t="n">
        <v>855.98</v>
      </c>
      <c r="M182" s="2" t="inlineStr">
        <is>
          <t>285.58%</t>
        </is>
      </c>
      <c r="N182" t="n">
        <v>5</v>
      </c>
      <c r="O182" t="n">
        <v>1</v>
      </c>
      <c r="Q182" t="inlineStr">
        <is>
          <t>InStock</t>
        </is>
      </c>
      <c r="R182" t="inlineStr">
        <is>
          <t>740.0</t>
        </is>
      </c>
      <c r="S182" t="inlineStr">
        <is>
          <t>1</t>
        </is>
      </c>
    </row>
    <row r="183" ht="75" customHeight="1">
      <c r="A183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B183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C183" t="inlineStr">
        <is>
          <t>CASADEI</t>
        </is>
      </c>
      <c r="D183" t="inlineStr">
        <is>
          <t>Casadei Women's 3910 Over The Knee Boot</t>
        </is>
      </c>
      <c r="E183" s="1">
        <f>HYPERLINK("https://www.amazon.com/Casadei-Womens-3910-Over-Peplum/dp/B001U88F4Y/ref=sr_1_4?keywords=CASADEI&amp;qid=1695343738&amp;sr=8-4", "https://www.amazon.com/Casadei-Womens-3910-Over-Peplum/dp/B001U88F4Y/ref=sr_1_4?keywords=CASADEI&amp;qid=1695343738&amp;sr=8-4")</f>
        <v/>
      </c>
      <c r="F183" t="inlineStr">
        <is>
          <t>B001U88F4Y</t>
        </is>
      </c>
      <c r="G183">
        <f>_xlfn.IMAGE("https://www.theoutnet.com/variants/images/1647597300424824/F/w1020_q80.jpg")</f>
        <v/>
      </c>
      <c r="H183">
        <f>_xlfn.IMAGE("https://m.media-amazon.com/images/I/71CmEWoLCEL._AC_UL320_.jpg")</f>
        <v/>
      </c>
      <c r="K183" t="inlineStr">
        <is>
          <t>222.0</t>
        </is>
      </c>
      <c r="L183" t="n">
        <v>769.12</v>
      </c>
      <c r="M183" s="2" t="inlineStr">
        <is>
          <t>246.45%</t>
        </is>
      </c>
      <c r="N183" t="n">
        <v>5</v>
      </c>
      <c r="O183" t="n">
        <v>1</v>
      </c>
      <c r="Q183" t="inlineStr">
        <is>
          <t>InStock</t>
        </is>
      </c>
      <c r="R183" t="inlineStr">
        <is>
          <t>740.0</t>
        </is>
      </c>
      <c r="S183" t="inlineStr">
        <is>
          <t>1</t>
        </is>
      </c>
    </row>
    <row r="184" ht="75" customHeight="1">
      <c r="A184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B184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C184" t="inlineStr">
        <is>
          <t>CASADEI</t>
        </is>
      </c>
      <c r="D184" t="inlineStr">
        <is>
          <t>Casadei Women's 1071 Wedge Sandal</t>
        </is>
      </c>
      <c r="E184" s="1">
        <f>HYPERLINK("https://www.amazon.com/Casadei-Womens-1071-Sandal-Sabbia/dp/B005GYKDK2/ref=sr_1_7?keywords=CASADEI&amp;qid=1695343738&amp;sr=8-7", "https://www.amazon.com/Casadei-Womens-1071-Sandal-Sabbia/dp/B005GYKDK2/ref=sr_1_7?keywords=CASADEI&amp;qid=1695343738&amp;sr=8-7")</f>
        <v/>
      </c>
      <c r="F184" t="inlineStr">
        <is>
          <t>B005GYKDK2</t>
        </is>
      </c>
      <c r="G184">
        <f>_xlfn.IMAGE("https://www.theoutnet.com/variants/images/1647597300424824/F/w1020_q80.jpg")</f>
        <v/>
      </c>
      <c r="H184">
        <f>_xlfn.IMAGE("https://m.media-amazon.com/images/I/711D97HPU+L._AC_UL320_.jpg")</f>
        <v/>
      </c>
      <c r="K184" t="inlineStr">
        <is>
          <t>222.0</t>
        </is>
      </c>
      <c r="L184" t="n">
        <v>748.84</v>
      </c>
      <c r="M184" s="2" t="inlineStr">
        <is>
          <t>237.32%</t>
        </is>
      </c>
      <c r="N184" t="n">
        <v>4.5</v>
      </c>
      <c r="O184" t="n">
        <v>3</v>
      </c>
      <c r="Q184" t="inlineStr">
        <is>
          <t>InStock</t>
        </is>
      </c>
      <c r="R184" t="inlineStr">
        <is>
          <t>740.0</t>
        </is>
      </c>
      <c r="S184" t="inlineStr">
        <is>
          <t>1</t>
        </is>
      </c>
    </row>
    <row r="185" ht="75" customHeight="1">
      <c r="A185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B185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C185" t="inlineStr">
        <is>
          <t>CASADEI</t>
        </is>
      </c>
      <c r="D185" t="inlineStr">
        <is>
          <t>Casadei Women's 1508 Platform Pump</t>
        </is>
      </c>
      <c r="E185" s="1">
        <f>HYPERLINK("https://www.amazon.com/Casadei-Womens-1508-Platform-Sabbia/dp/B005APCTUO/ref=sr_1_5?keywords=CASADEI&amp;qid=1695343738&amp;sr=8-5", "https://www.amazon.com/Casadei-Womens-1508-Platform-Sabbia/dp/B005APCTUO/ref=sr_1_5?keywords=CASADEI&amp;qid=1695343738&amp;sr=8-5")</f>
        <v/>
      </c>
      <c r="F185" t="inlineStr">
        <is>
          <t>B005APCTUO</t>
        </is>
      </c>
      <c r="G185">
        <f>_xlfn.IMAGE("https://www.theoutnet.com/variants/images/1647597300424824/F/w1020_q80.jpg")</f>
        <v/>
      </c>
      <c r="H185">
        <f>_xlfn.IMAGE("https://m.media-amazon.com/images/I/81QigjOiACL._AC_UL320_.jpg")</f>
        <v/>
      </c>
      <c r="K185" t="inlineStr">
        <is>
          <t>222.0</t>
        </is>
      </c>
      <c r="L185" t="n">
        <v>505.18</v>
      </c>
      <c r="M185" s="2" t="inlineStr">
        <is>
          <t>127.56%</t>
        </is>
      </c>
      <c r="N185" t="n">
        <v>5</v>
      </c>
      <c r="O185" t="n">
        <v>1</v>
      </c>
      <c r="Q185" t="inlineStr">
        <is>
          <t>InStock</t>
        </is>
      </c>
      <c r="R185" t="inlineStr">
        <is>
          <t>740.0</t>
        </is>
      </c>
      <c r="S185" t="inlineStr">
        <is>
          <t>1</t>
        </is>
      </c>
    </row>
    <row r="186" ht="75" customHeight="1">
      <c r="A186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B186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C186" t="inlineStr">
        <is>
          <t>CASTAÑER</t>
        </is>
      </c>
      <c r="D186" t="inlineStr">
        <is>
          <t>Castañer Castaner Women's Carina Tall Canvas Espadrilles</t>
        </is>
      </c>
      <c r="E186" s="1">
        <f>HYPERLINK("https://www.amazon.com/Casta%C3%B1er-Womens-Espadrilles-Sneaker-Black/dp/B08BVV3LVG/ref=sr_1_2?keywords=CASTA%C3%91ER&amp;qid=1695343305&amp;sr=8-2", "https://www.amazon.com/Casta%C3%B1er-Womens-Espadrilles-Sneaker-Black/dp/B08BVV3LVG/ref=sr_1_2?keywords=CASTA%C3%91ER&amp;qid=1695343305&amp;sr=8-2")</f>
        <v/>
      </c>
      <c r="F186" t="inlineStr">
        <is>
          <t>B08BVV3LVG</t>
        </is>
      </c>
      <c r="G186">
        <f>_xlfn.IMAGE("https://www.theoutnet.com/variants/images/15546005221969596/F/w1020_q80.jpg")</f>
        <v/>
      </c>
      <c r="H186">
        <f>_xlfn.IMAGE("https://m.media-amazon.com/images/I/81m3J5kbGXL._AC_UL320_.jpg")</f>
        <v/>
      </c>
      <c r="K186" t="inlineStr">
        <is>
          <t>42.0</t>
        </is>
      </c>
      <c r="L186" t="n">
        <v>175</v>
      </c>
      <c r="M186" s="2" t="inlineStr">
        <is>
          <t>316.67%</t>
        </is>
      </c>
      <c r="N186" t="n">
        <v>4.2</v>
      </c>
      <c r="O186" t="n">
        <v>8</v>
      </c>
      <c r="Q186" t="inlineStr">
        <is>
          <t>InStock</t>
        </is>
      </c>
      <c r="R186" t="inlineStr">
        <is>
          <t>140.0</t>
        </is>
      </c>
      <c r="S186" t="inlineStr">
        <is>
          <t>15546005221969596</t>
        </is>
      </c>
    </row>
    <row r="187" ht="75" customHeight="1">
      <c r="A187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B187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C187" t="inlineStr">
        <is>
          <t>CASTAÑER</t>
        </is>
      </c>
      <c r="D187" t="inlineStr">
        <is>
          <t>Castañer Women's Espadrilles Sneaker</t>
        </is>
      </c>
      <c r="E187" s="1">
        <f>HYPERLINK("https://www.amazon.com/Casta%C3%B1er-CASTANER-Chiarita-Espadrille-Oscuro/dp/B0BJDL4Z9Z/ref=sr_1_9?keywords=CASTA%C3%91ER&amp;qid=1695343305&amp;sr=8-9", "https://www.amazon.com/Casta%C3%B1er-CASTANER-Chiarita-Espadrille-Oscuro/dp/B0BJDL4Z9Z/ref=sr_1_9?keywords=CASTA%C3%91ER&amp;qid=1695343305&amp;sr=8-9")</f>
        <v/>
      </c>
      <c r="F187" t="inlineStr">
        <is>
          <t>B0BJDL4Z9Z</t>
        </is>
      </c>
      <c r="G187">
        <f>_xlfn.IMAGE("https://www.theoutnet.com/variants/images/15546005221969596/F/w1020_q80.jpg")</f>
        <v/>
      </c>
      <c r="H187">
        <f>_xlfn.IMAGE("https://m.media-amazon.com/images/I/81+CvnZUztL._AC_UL320_.jpg")</f>
        <v/>
      </c>
      <c r="K187" t="inlineStr">
        <is>
          <t>42.0</t>
        </is>
      </c>
      <c r="L187" t="n">
        <v>150</v>
      </c>
      <c r="M187" s="2" t="inlineStr">
        <is>
          <t>257.14%</t>
        </is>
      </c>
      <c r="N187" t="n">
        <v>4.6</v>
      </c>
      <c r="O187" t="n">
        <v>23</v>
      </c>
      <c r="Q187" t="inlineStr">
        <is>
          <t>InStock</t>
        </is>
      </c>
      <c r="R187" t="inlineStr">
        <is>
          <t>140.0</t>
        </is>
      </c>
      <c r="S187" t="inlineStr">
        <is>
          <t>15546005221969596</t>
        </is>
      </c>
    </row>
    <row r="188" ht="75" customHeight="1">
      <c r="A188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B188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C188" t="inlineStr">
        <is>
          <t>CASTAÑER</t>
        </is>
      </c>
      <c r="D188" t="inlineStr">
        <is>
          <t>Castañer Women's Espadrilles</t>
        </is>
      </c>
      <c r="E188" s="1">
        <f>HYPERLINK("https://www.amazon.com/Castaner-Womens-Carina-Wedge-Espadrilles/dp/B07NPQRPP2/ref=sr_1_5?keywords=CASTA%C3%91ER&amp;qid=1695343305&amp;sr=8-5", "https://www.amazon.com/Castaner-Womens-Carina-Wedge-Espadrilles/dp/B07NPQRPP2/ref=sr_1_5?keywords=CASTA%C3%91ER&amp;qid=1695343305&amp;sr=8-5")</f>
        <v/>
      </c>
      <c r="F188" t="inlineStr">
        <is>
          <t>B07NPQRPP2</t>
        </is>
      </c>
      <c r="G188">
        <f>_xlfn.IMAGE("https://www.theoutnet.com/variants/images/15546005221969596/F/w1020_q80.jpg")</f>
        <v/>
      </c>
      <c r="H188">
        <f>_xlfn.IMAGE("https://m.media-amazon.com/images/I/81gtfldz-7L._AC_UL320_.jpg")</f>
        <v/>
      </c>
      <c r="K188" t="inlineStr">
        <is>
          <t>42.0</t>
        </is>
      </c>
      <c r="L188" t="n">
        <v>150</v>
      </c>
      <c r="M188" s="2" t="inlineStr">
        <is>
          <t>257.14%</t>
        </is>
      </c>
      <c r="N188" t="n">
        <v>4.4</v>
      </c>
      <c r="O188" t="n">
        <v>115</v>
      </c>
      <c r="Q188" t="inlineStr">
        <is>
          <t>InStock</t>
        </is>
      </c>
      <c r="R188" t="inlineStr">
        <is>
          <t>140.0</t>
        </is>
      </c>
      <c r="S188" t="inlineStr">
        <is>
          <t>15546005221969596</t>
        </is>
      </c>
    </row>
    <row r="189" ht="75" customHeight="1">
      <c r="A189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B189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C189" t="inlineStr">
        <is>
          <t>CASTAÑER</t>
        </is>
      </c>
      <c r="D189" t="inlineStr">
        <is>
          <t>Castañer Women's Wedge Espadrilles</t>
        </is>
      </c>
      <c r="E189" s="1">
        <f>HYPERLINK("https://www.amazon.com/Casta%C3%B1er-Womenss-Carina-Espadrilles-Black/dp/B07KGMPB17/ref=sr_1_1?keywords=CASTA%C3%91ER&amp;qid=1695343305&amp;sr=8-1", "https://www.amazon.com/Casta%C3%B1er-Womenss-Carina-Espadrilles-Black/dp/B07KGMPB17/ref=sr_1_1?keywords=CASTA%C3%91ER&amp;qid=1695343305&amp;sr=8-1")</f>
        <v/>
      </c>
      <c r="F189" t="inlineStr">
        <is>
          <t>B07KGMPB17</t>
        </is>
      </c>
      <c r="G189">
        <f>_xlfn.IMAGE("https://www.theoutnet.com/variants/images/15546005221969596/F/w1020_q80.jpg")</f>
        <v/>
      </c>
      <c r="H189">
        <f>_xlfn.IMAGE("https://m.media-amazon.com/images/I/81m3J5kbGXL._AC_UL320_.jpg")</f>
        <v/>
      </c>
      <c r="K189" t="inlineStr">
        <is>
          <t>42.0</t>
        </is>
      </c>
      <c r="L189" t="n">
        <v>140</v>
      </c>
      <c r="M189" s="2" t="inlineStr">
        <is>
          <t>233.33%</t>
        </is>
      </c>
      <c r="N189" t="n">
        <v>4.4</v>
      </c>
      <c r="O189" t="n">
        <v>180</v>
      </c>
      <c r="Q189" t="inlineStr">
        <is>
          <t>InStock</t>
        </is>
      </c>
      <c r="R189" t="inlineStr">
        <is>
          <t>140.0</t>
        </is>
      </c>
      <c r="S189" t="inlineStr">
        <is>
          <t>15546005221969596</t>
        </is>
      </c>
    </row>
    <row r="190" ht="75" customHeight="1">
      <c r="A190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B190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C190" t="inlineStr">
        <is>
          <t>CASTAÑER</t>
        </is>
      </c>
      <c r="D190" t="inlineStr">
        <is>
          <t>Castañer CASTANER Carina 30 Wedge Espadrille</t>
        </is>
      </c>
      <c r="E190" s="1">
        <f>HYPERLINK("https://www.amazon.com/CASTANER-Carina-Espadrille-Empolvado-Womens/dp/B0BJDKCHH3/ref=sr_1_3?keywords=CASTA%C3%91ER&amp;qid=1695343305&amp;sr=8-3", "https://www.amazon.com/CASTANER-Carina-Espadrille-Empolvado-Womens/dp/B0BJDKCHH3/ref=sr_1_3?keywords=CASTA%C3%91ER&amp;qid=1695343305&amp;sr=8-3")</f>
        <v/>
      </c>
      <c r="F190" t="inlineStr">
        <is>
          <t>B0BJDKCHH3</t>
        </is>
      </c>
      <c r="G190">
        <f>_xlfn.IMAGE("https://www.theoutnet.com/variants/images/15546005221969596/F/w1020_q80.jpg")</f>
        <v/>
      </c>
      <c r="H190">
        <f>_xlfn.IMAGE("https://m.media-amazon.com/images/I/71hFMk7u0yL._AC_UL320_.jpg")</f>
        <v/>
      </c>
      <c r="K190" t="inlineStr">
        <is>
          <t>42.0</t>
        </is>
      </c>
      <c r="L190" t="n">
        <v>140</v>
      </c>
      <c r="M190" s="2" t="inlineStr">
        <is>
          <t>233.33%</t>
        </is>
      </c>
      <c r="N190" t="n">
        <v>5</v>
      </c>
      <c r="O190" t="n">
        <v>5</v>
      </c>
      <c r="Q190" t="inlineStr">
        <is>
          <t>InStock</t>
        </is>
      </c>
      <c r="R190" t="inlineStr">
        <is>
          <t>140.0</t>
        </is>
      </c>
      <c r="S190" t="inlineStr">
        <is>
          <t>15546005221969596</t>
        </is>
      </c>
    </row>
    <row r="191" ht="75" customHeight="1">
      <c r="A191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B191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C191" t="inlineStr">
        <is>
          <t>CASTAÑER</t>
        </is>
      </c>
      <c r="D191" t="inlineStr">
        <is>
          <t>Castañer Women's Carina C/6/001 Espadrilles</t>
        </is>
      </c>
      <c r="E191" s="1">
        <f>HYPERLINK("https://www.amazon.com/Casta%C3%B1er-Womens-Carina-Espadrilles-Black/dp/B07KGV788Q/ref=sr_1_10?keywords=CASTA%C3%91ER&amp;qid=1695343305&amp;sr=8-10", "https://www.amazon.com/Casta%C3%B1er-Womens-Carina-Espadrilles-Black/dp/B07KGV788Q/ref=sr_1_10?keywords=CASTA%C3%91ER&amp;qid=1695343305&amp;sr=8-10")</f>
        <v/>
      </c>
      <c r="F191" t="inlineStr">
        <is>
          <t>B07KGV788Q</t>
        </is>
      </c>
      <c r="G191">
        <f>_xlfn.IMAGE("https://www.theoutnet.com/variants/images/15546005221969596/F/w1020_q80.jpg")</f>
        <v/>
      </c>
      <c r="H191">
        <f>_xlfn.IMAGE("https://m.media-amazon.com/images/I/81pw66Omk1L._AC_UL320_.jpg")</f>
        <v/>
      </c>
      <c r="K191" t="inlineStr">
        <is>
          <t>42.0</t>
        </is>
      </c>
      <c r="L191" t="n">
        <v>140</v>
      </c>
      <c r="M191" s="2" t="inlineStr">
        <is>
          <t>233.33%</t>
        </is>
      </c>
      <c r="N191" t="n">
        <v>4.3</v>
      </c>
      <c r="O191" t="n">
        <v>73</v>
      </c>
      <c r="Q191" t="inlineStr">
        <is>
          <t>InStock</t>
        </is>
      </c>
      <c r="R191" t="inlineStr">
        <is>
          <t>140.0</t>
        </is>
      </c>
      <c r="S191" t="inlineStr">
        <is>
          <t>15546005221969596</t>
        </is>
      </c>
    </row>
    <row r="192" ht="75" customHeight="1">
      <c r="A192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B192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C192" t="inlineStr">
        <is>
          <t>CASTAÑER</t>
        </is>
      </c>
      <c r="D192" t="inlineStr">
        <is>
          <t>Castañer Castaner Women's Tina Jute Wrap Mid Espadrilles</t>
        </is>
      </c>
      <c r="E192" s="1">
        <f>HYPERLINK("https://www.amazon.com/Castaner-Womens-Espadrille-Brown-Medium/dp/B0B8B73MZQ/ref=sr_1_6?keywords=CASTA%C3%91ER&amp;qid=1695343305&amp;sr=8-6", "https://www.amazon.com/Castaner-Womens-Espadrille-Brown-Medium/dp/B0B8B73MZQ/ref=sr_1_6?keywords=CASTA%C3%91ER&amp;qid=1695343305&amp;sr=8-6")</f>
        <v/>
      </c>
      <c r="F192" t="inlineStr">
        <is>
          <t>B0B8B73MZQ</t>
        </is>
      </c>
      <c r="G192">
        <f>_xlfn.IMAGE("https://www.theoutnet.com/variants/images/15546005221969596/F/w1020_q80.jpg")</f>
        <v/>
      </c>
      <c r="H192">
        <f>_xlfn.IMAGE("https://m.media-amazon.com/images/I/61wq-6+furL._AC_UL320_.jpg")</f>
        <v/>
      </c>
      <c r="K192" t="inlineStr">
        <is>
          <t>42.0</t>
        </is>
      </c>
      <c r="L192" t="n">
        <v>107.5</v>
      </c>
      <c r="M192" s="2" t="inlineStr">
        <is>
          <t>155.95%</t>
        </is>
      </c>
      <c r="N192" t="n">
        <v>5</v>
      </c>
      <c r="O192" t="n">
        <v>1</v>
      </c>
      <c r="Q192" t="inlineStr">
        <is>
          <t>InStock</t>
        </is>
      </c>
      <c r="R192" t="inlineStr">
        <is>
          <t>140.0</t>
        </is>
      </c>
      <c r="S192" t="inlineStr">
        <is>
          <t>15546005221969596</t>
        </is>
      </c>
    </row>
    <row r="193" ht="75" customHeight="1">
      <c r="A193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B193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C193" t="inlineStr">
        <is>
          <t>CASTAÑER</t>
        </is>
      </c>
      <c r="D193" t="inlineStr">
        <is>
          <t>Castañer Castaner Women's Carina Tall Canvas Espadrilles</t>
        </is>
      </c>
      <c r="E193" s="1">
        <f>HYPERLINK("https://www.amazon.com/Casta%C3%B1er-Womens-Espadrilles-Sneaker-Black/dp/B08BVV3LVG/ref=sr_1_2?keywords=CASTA%C3%91ER&amp;qid=1695343512&amp;sr=8-2", "https://www.amazon.com/Casta%C3%B1er-Womens-Espadrilles-Sneaker-Black/dp/B08BVV3LVG/ref=sr_1_2?keywords=CASTA%C3%91ER&amp;qid=1695343512&amp;sr=8-2")</f>
        <v/>
      </c>
      <c r="F193" t="inlineStr">
        <is>
          <t>B08BVV3LVG</t>
        </is>
      </c>
      <c r="G193">
        <f>_xlfn.IMAGE("https://www.theoutnet.com/variants/images/15546005221969596/F/w1020_q80.jpg")</f>
        <v/>
      </c>
      <c r="H193">
        <f>_xlfn.IMAGE("https://m.media-amazon.com/images/I/81m3J5kbGXL._AC_UL320_.jpg")</f>
        <v/>
      </c>
      <c r="K193" t="inlineStr">
        <is>
          <t>42.0</t>
        </is>
      </c>
      <c r="L193" t="n">
        <v>175</v>
      </c>
      <c r="M193" s="2" t="inlineStr">
        <is>
          <t>316.67%</t>
        </is>
      </c>
      <c r="N193" t="n">
        <v>4.2</v>
      </c>
      <c r="O193" t="n">
        <v>8</v>
      </c>
      <c r="Q193" t="inlineStr">
        <is>
          <t>InStock</t>
        </is>
      </c>
      <c r="R193" t="inlineStr">
        <is>
          <t>140.0</t>
        </is>
      </c>
      <c r="S193" t="inlineStr">
        <is>
          <t>15546005221969596</t>
        </is>
      </c>
    </row>
    <row r="194" ht="75" customHeight="1">
      <c r="A194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B194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C194" t="inlineStr">
        <is>
          <t>CASTAÑER</t>
        </is>
      </c>
      <c r="D194" t="inlineStr">
        <is>
          <t>Castañer Women's Espadrilles</t>
        </is>
      </c>
      <c r="E194" s="1">
        <f>HYPERLINK("https://www.amazon.com/Castaner-Womens-Carina-Wedge-Espadrilles/dp/B07NPQRPP2/ref=sr_1_6?keywords=CASTA%C3%91ER&amp;qid=1695343512&amp;sr=8-6", "https://www.amazon.com/Castaner-Womens-Carina-Wedge-Espadrilles/dp/B07NPQRPP2/ref=sr_1_6?keywords=CASTA%C3%91ER&amp;qid=1695343512&amp;sr=8-6")</f>
        <v/>
      </c>
      <c r="F194" t="inlineStr">
        <is>
          <t>B07NPQRPP2</t>
        </is>
      </c>
      <c r="G194">
        <f>_xlfn.IMAGE("https://www.theoutnet.com/variants/images/15546005221969596/F/w1020_q80.jpg")</f>
        <v/>
      </c>
      <c r="H194">
        <f>_xlfn.IMAGE("https://m.media-amazon.com/images/I/81gtfldz-7L._AC_UL320_.jpg")</f>
        <v/>
      </c>
      <c r="K194" t="inlineStr">
        <is>
          <t>42.0</t>
        </is>
      </c>
      <c r="L194" t="n">
        <v>150</v>
      </c>
      <c r="M194" s="2" t="inlineStr">
        <is>
          <t>257.14%</t>
        </is>
      </c>
      <c r="N194" t="n">
        <v>4.4</v>
      </c>
      <c r="O194" t="n">
        <v>115</v>
      </c>
      <c r="Q194" t="inlineStr">
        <is>
          <t>InStock</t>
        </is>
      </c>
      <c r="R194" t="inlineStr">
        <is>
          <t>140.0</t>
        </is>
      </c>
      <c r="S194" t="inlineStr">
        <is>
          <t>15546005221969596</t>
        </is>
      </c>
    </row>
    <row r="195" ht="75" customHeight="1">
      <c r="A195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B195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C195" t="inlineStr">
        <is>
          <t>CASTAÑER</t>
        </is>
      </c>
      <c r="D195" t="inlineStr">
        <is>
          <t>Castañer Women's Espadrilles Sneaker</t>
        </is>
      </c>
      <c r="E195" s="1">
        <f>HYPERLINK("https://www.amazon.com/Casta%C3%B1er-CASTANER-Chiarita-Espadrille-Oscuro/dp/B0BJDL4Z9Z/ref=sr_1_8?keywords=CASTA%C3%91ER&amp;qid=1695343512&amp;sr=8-8", "https://www.amazon.com/Casta%C3%B1er-CASTANER-Chiarita-Espadrille-Oscuro/dp/B0BJDL4Z9Z/ref=sr_1_8?keywords=CASTA%C3%91ER&amp;qid=1695343512&amp;sr=8-8")</f>
        <v/>
      </c>
      <c r="F195" t="inlineStr">
        <is>
          <t>B0BJDL4Z9Z</t>
        </is>
      </c>
      <c r="G195">
        <f>_xlfn.IMAGE("https://www.theoutnet.com/variants/images/15546005221969596/F/w1020_q80.jpg")</f>
        <v/>
      </c>
      <c r="H195">
        <f>_xlfn.IMAGE("https://m.media-amazon.com/images/I/81+CvnZUztL._AC_UL320_.jpg")</f>
        <v/>
      </c>
      <c r="K195" t="inlineStr">
        <is>
          <t>42.0</t>
        </is>
      </c>
      <c r="L195" t="n">
        <v>150</v>
      </c>
      <c r="M195" s="2" t="inlineStr">
        <is>
          <t>257.14%</t>
        </is>
      </c>
      <c r="N195" t="n">
        <v>4.6</v>
      </c>
      <c r="O195" t="n">
        <v>23</v>
      </c>
      <c r="Q195" t="inlineStr">
        <is>
          <t>InStock</t>
        </is>
      </c>
      <c r="R195" t="inlineStr">
        <is>
          <t>140.0</t>
        </is>
      </c>
      <c r="S195" t="inlineStr">
        <is>
          <t>15546005221969596</t>
        </is>
      </c>
    </row>
    <row r="196" ht="75" customHeight="1">
      <c r="A196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B196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C196" t="inlineStr">
        <is>
          <t>CASTAÑER</t>
        </is>
      </c>
      <c r="D196" t="inlineStr">
        <is>
          <t>Castañer Women's Wedge Espadrilles</t>
        </is>
      </c>
      <c r="E196" s="1">
        <f>HYPERLINK("https://www.amazon.com/Casta%C3%B1er-Womenss-Carina-Espadrilles-Black/dp/B07KGMPB17/ref=sr_1_1?keywords=CASTA%C3%91ER&amp;qid=1695343512&amp;sr=8-1", "https://www.amazon.com/Casta%C3%B1er-Womenss-Carina-Espadrilles-Black/dp/B07KGMPB17/ref=sr_1_1?keywords=CASTA%C3%91ER&amp;qid=1695343512&amp;sr=8-1")</f>
        <v/>
      </c>
      <c r="F196" t="inlineStr">
        <is>
          <t>B07KGMPB17</t>
        </is>
      </c>
      <c r="G196">
        <f>_xlfn.IMAGE("https://www.theoutnet.com/variants/images/15546005221969596/F/w1020_q80.jpg")</f>
        <v/>
      </c>
      <c r="H196">
        <f>_xlfn.IMAGE("https://m.media-amazon.com/images/I/81m3J5kbGXL._AC_UL320_.jpg")</f>
        <v/>
      </c>
      <c r="K196" t="inlineStr">
        <is>
          <t>42.0</t>
        </is>
      </c>
      <c r="L196" t="n">
        <v>140</v>
      </c>
      <c r="M196" s="2" t="inlineStr">
        <is>
          <t>233.33%</t>
        </is>
      </c>
      <c r="N196" t="n">
        <v>4.4</v>
      </c>
      <c r="O196" t="n">
        <v>180</v>
      </c>
      <c r="Q196" t="inlineStr">
        <is>
          <t>InStock</t>
        </is>
      </c>
      <c r="R196" t="inlineStr">
        <is>
          <t>140.0</t>
        </is>
      </c>
      <c r="S196" t="inlineStr">
        <is>
          <t>15546005221969596</t>
        </is>
      </c>
    </row>
    <row r="197" ht="75" customHeight="1">
      <c r="A197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B197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C197" t="inlineStr">
        <is>
          <t>CASTAÑER</t>
        </is>
      </c>
      <c r="D197" t="inlineStr">
        <is>
          <t>Castañer CASTANER Carina 30 Wedge Espadrille</t>
        </is>
      </c>
      <c r="E197" s="1">
        <f>HYPERLINK("https://www.amazon.com/CASTANER-Carina-Espadrille-Empolvado-Womens/dp/B0BJDKCHH3/ref=sr_1_3?keywords=CASTA%C3%91ER&amp;qid=1695343512&amp;sr=8-3", "https://www.amazon.com/CASTANER-Carina-Espadrille-Empolvado-Womens/dp/B0BJDKCHH3/ref=sr_1_3?keywords=CASTA%C3%91ER&amp;qid=1695343512&amp;sr=8-3")</f>
        <v/>
      </c>
      <c r="F197" t="inlineStr">
        <is>
          <t>B0BJDKCHH3</t>
        </is>
      </c>
      <c r="G197">
        <f>_xlfn.IMAGE("https://www.theoutnet.com/variants/images/15546005221969596/F/w1020_q80.jpg")</f>
        <v/>
      </c>
      <c r="H197">
        <f>_xlfn.IMAGE("https://m.media-amazon.com/images/I/71hFMk7u0yL._AC_UL320_.jpg")</f>
        <v/>
      </c>
      <c r="K197" t="inlineStr">
        <is>
          <t>42.0</t>
        </is>
      </c>
      <c r="L197" t="n">
        <v>140</v>
      </c>
      <c r="M197" s="2" t="inlineStr">
        <is>
          <t>233.33%</t>
        </is>
      </c>
      <c r="N197" t="n">
        <v>5</v>
      </c>
      <c r="O197" t="n">
        <v>5</v>
      </c>
      <c r="Q197" t="inlineStr">
        <is>
          <t>InStock</t>
        </is>
      </c>
      <c r="R197" t="inlineStr">
        <is>
          <t>140.0</t>
        </is>
      </c>
      <c r="S197" t="inlineStr">
        <is>
          <t>15546005221969596</t>
        </is>
      </c>
    </row>
    <row r="198" ht="75" customHeight="1">
      <c r="A198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B198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C198" t="inlineStr">
        <is>
          <t>CASTAÑER</t>
        </is>
      </c>
      <c r="D198" t="inlineStr">
        <is>
          <t>Castañer Women's Carina C/6/001 Espadrilles</t>
        </is>
      </c>
      <c r="E198" s="1">
        <f>HYPERLINK("https://www.amazon.com/Casta%C3%B1er-Womens-Carina-Espadrilles-Black/dp/B07KGV788Q/ref=sr_1_10?keywords=CASTA%C3%91ER&amp;qid=1695343512&amp;sr=8-10", "https://www.amazon.com/Casta%C3%B1er-Womens-Carina-Espadrilles-Black/dp/B07KGV788Q/ref=sr_1_10?keywords=CASTA%C3%91ER&amp;qid=1695343512&amp;sr=8-10")</f>
        <v/>
      </c>
      <c r="F198" t="inlineStr">
        <is>
          <t>B07KGV788Q</t>
        </is>
      </c>
      <c r="G198">
        <f>_xlfn.IMAGE("https://www.theoutnet.com/variants/images/15546005221969596/F/w1020_q80.jpg")</f>
        <v/>
      </c>
      <c r="H198">
        <f>_xlfn.IMAGE("https://m.media-amazon.com/images/I/81pw66Omk1L._AC_UL320_.jpg")</f>
        <v/>
      </c>
      <c r="K198" t="inlineStr">
        <is>
          <t>42.0</t>
        </is>
      </c>
      <c r="L198" t="n">
        <v>140</v>
      </c>
      <c r="M198" s="2" t="inlineStr">
        <is>
          <t>233.33%</t>
        </is>
      </c>
      <c r="N198" t="n">
        <v>4.3</v>
      </c>
      <c r="O198" t="n">
        <v>73</v>
      </c>
      <c r="Q198" t="inlineStr">
        <is>
          <t>InStock</t>
        </is>
      </c>
      <c r="R198" t="inlineStr">
        <is>
          <t>140.0</t>
        </is>
      </c>
      <c r="S198" t="inlineStr">
        <is>
          <t>15546005221969596</t>
        </is>
      </c>
    </row>
    <row r="199" ht="75" customHeight="1">
      <c r="A199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B199" s="1">
        <f>HYPERLINK("https://www.theoutnet.com/en-us/shop/product/castaner/espadrilles/flat-espadrilles/pao-twisted-cotton-terry-slides/15546005221969596", "https://www.theoutnet.com/en-us/shop/product/castaner/espadrilles/flat-espadrilles/pao-twisted-cotton-terry-slides/15546005221969596")</f>
        <v/>
      </c>
      <c r="C199" t="inlineStr">
        <is>
          <t>CASTAÑER</t>
        </is>
      </c>
      <c r="D199" t="inlineStr">
        <is>
          <t>Castañer Castaner Women's Tina Jute Wrap Mid Espadrilles</t>
        </is>
      </c>
      <c r="E199" s="1">
        <f>HYPERLINK("https://www.amazon.com/Castaner-Womens-Espadrille-Brown-Medium/dp/B0B8B73MZQ/ref=sr_1_5?keywords=CASTA%C3%91ER&amp;qid=1695343512&amp;sr=8-5", "https://www.amazon.com/Castaner-Womens-Espadrille-Brown-Medium/dp/B0B8B73MZQ/ref=sr_1_5?keywords=CASTA%C3%91ER&amp;qid=1695343512&amp;sr=8-5")</f>
        <v/>
      </c>
      <c r="F199" t="inlineStr">
        <is>
          <t>B0B8B73MZQ</t>
        </is>
      </c>
      <c r="G199">
        <f>_xlfn.IMAGE("https://www.theoutnet.com/variants/images/15546005221969596/F/w1020_q80.jpg")</f>
        <v/>
      </c>
      <c r="H199">
        <f>_xlfn.IMAGE("https://m.media-amazon.com/images/I/61wq-6+furL._AC_UL320_.jpg")</f>
        <v/>
      </c>
      <c r="K199" t="inlineStr">
        <is>
          <t>42.0</t>
        </is>
      </c>
      <c r="L199" t="n">
        <v>107.5</v>
      </c>
      <c r="M199" s="2" t="inlineStr">
        <is>
          <t>155.95%</t>
        </is>
      </c>
      <c r="N199" t="n">
        <v>5</v>
      </c>
      <c r="O199" t="n">
        <v>1</v>
      </c>
      <c r="Q199" t="inlineStr">
        <is>
          <t>InStock</t>
        </is>
      </c>
      <c r="R199" t="inlineStr">
        <is>
          <t>140.0</t>
        </is>
      </c>
      <c r="S199" t="inlineStr">
        <is>
          <t>15546005221969596</t>
        </is>
      </c>
    </row>
    <row r="200" ht="75" customHeight="1">
      <c r="A200" s="1">
        <f>HYPERLINK("https://www.theoutnet.com/en-us/shop/product/cinq-a-sept/tops/t-shirts/printed-cotton-jersey-t-shirt/1647597296859143", "https://www.theoutnet.com/en-us/shop/product/cinq-a-sept/tops/t-shirts/printed-cotton-jersey-t-shirt/1647597296859143")</f>
        <v/>
      </c>
      <c r="B200" s="1">
        <f>HYPERLINK("https://www.theoutnet.com/en-us/shop/product/cinq-a-sept/tops/t-shirts/printed-cotton-jersey-t-shirt/1647597296859143", "https://www.theoutnet.com/en-us/shop/product/cinq-a-sept/tops/t-shirts/printed-cotton-jersey-t-shirt/1647597296859143")</f>
        <v/>
      </c>
      <c r="C200" t="inlineStr">
        <is>
          <t>CINQ À SEPT</t>
        </is>
      </c>
      <c r="D200" t="inlineStr">
        <is>
          <t>Cinq à Sept Cinq a Sept Women's Tous Les Jours Giles Pants</t>
        </is>
      </c>
      <c r="E200" s="1">
        <f>HYPERLINK("https://www.amazon.com/Cinq-Sept-Womens-Pewter-X-Large/dp/B08N683GD2/ref=sr_1_6?keywords=CINQ+%C3%80+SEPT&amp;qid=1695343336&amp;sr=8-6", "https://www.amazon.com/Cinq-Sept-Womens-Pewter-X-Large/dp/B08N683GD2/ref=sr_1_6?keywords=CINQ+%C3%80+SEPT&amp;qid=1695343336&amp;sr=8-6")</f>
        <v/>
      </c>
      <c r="F200" t="inlineStr">
        <is>
          <t>B08N683GD2</t>
        </is>
      </c>
      <c r="G200">
        <f>_xlfn.IMAGE("https://www.theoutnet.com/variants/images/1647597296859143/F/w1020_q80.jpg")</f>
        <v/>
      </c>
      <c r="H200">
        <f>_xlfn.IMAGE("https://m.media-amazon.com/images/I/81H2xIMHakL._AC_UL320_.jpg")</f>
        <v/>
      </c>
      <c r="K200" t="inlineStr">
        <is>
          <t>44.0</t>
        </is>
      </c>
      <c r="L200" t="n">
        <v>265</v>
      </c>
      <c r="M200" s="2" t="inlineStr">
        <is>
          <t>502.27%</t>
        </is>
      </c>
      <c r="N200" t="n">
        <v>4.7</v>
      </c>
      <c r="O200" t="n">
        <v>5</v>
      </c>
      <c r="Q200" t="inlineStr">
        <is>
          <t>InStock</t>
        </is>
      </c>
      <c r="R200" t="inlineStr">
        <is>
          <t>85.0</t>
        </is>
      </c>
      <c r="S200" t="inlineStr">
        <is>
          <t>1</t>
        </is>
      </c>
    </row>
    <row r="201" ht="75" customHeight="1">
      <c r="A201" s="1">
        <f>HYPERLINK("https://www.theoutnet.com/en-us/shop/product/circus-by-sam-edelman/boots/ankle-boots/iris-faux-leather-chelsea-boots/1647597283883061", "https://www.theoutnet.com/en-us/shop/product/circus-by-sam-edelman/boots/ankle-boots/iris-faux-leather-chelsea-boots/1647597283883061")</f>
        <v/>
      </c>
      <c r="B201" s="1">
        <f>HYPERLINK("https://www.theoutnet.com/en-us/shop/product/circus-by-sam-edelman/boots/ankle-boots/iris-faux-leather-chelsea-boots/1647597283883061", "https://www.theoutnet.com/en-us/shop/product/circus-by-sam-edelman/boots/ankle-boots/iris-faux-leather-chelsea-boots/1647597283883061")</f>
        <v/>
      </c>
      <c r="C201" t="inlineStr">
        <is>
          <t>CIRCUS BY SAM EDELMAN</t>
        </is>
      </c>
      <c r="D201" t="inlineStr">
        <is>
          <t>Circus Sam Edelman Women's Lauren Fashion Boot</t>
        </is>
      </c>
      <c r="E201" s="1">
        <f>HYPERLINK("https://www.amazon.com/Circus-Sam-Edelman-Fashion-Egghsell/dp/B09S41P2F5/ref=sr_1_10?keywords=CIRCUS+BY+SAM+EDELMAN&amp;qid=1695343220&amp;sr=8-10", "https://www.amazon.com/Circus-Sam-Edelman-Fashion-Egghsell/dp/B09S41P2F5/ref=sr_1_10?keywords=CIRCUS+BY+SAM+EDELMAN&amp;qid=1695343220&amp;sr=8-10")</f>
        <v/>
      </c>
      <c r="F201" t="inlineStr">
        <is>
          <t>B09S41P2F5</t>
        </is>
      </c>
      <c r="G201">
        <f>_xlfn.IMAGE("https://www.theoutnet.com/variants/images/1647597283883061/F/w1020_q80.jpg")</f>
        <v/>
      </c>
      <c r="H201">
        <f>_xlfn.IMAGE("https://m.media-amazon.com/images/I/61CZr390BCL._AC_UL320_.jpg")</f>
        <v/>
      </c>
      <c r="K201" t="inlineStr">
        <is>
          <t>30.0</t>
        </is>
      </c>
      <c r="L201" t="n">
        <v>59.99</v>
      </c>
      <c r="M201" s="2" t="inlineStr">
        <is>
          <t>99.97%</t>
        </is>
      </c>
      <c r="N201" t="n">
        <v>3.8</v>
      </c>
      <c r="O201" t="n">
        <v>23</v>
      </c>
      <c r="Q201" t="inlineStr">
        <is>
          <t>InStock</t>
        </is>
      </c>
      <c r="R201" t="inlineStr">
        <is>
          <t>99.0</t>
        </is>
      </c>
      <c r="S201" t="inlineStr">
        <is>
          <t>1</t>
        </is>
      </c>
    </row>
    <row r="202" ht="75" customHeight="1">
      <c r="A202" s="1">
        <f>HYPERLINK("https://www.theoutnet.com/en-us/shop/product/circus-by-sam-edelman/boots/ankle-boots/iris-faux-leather-chelsea-boots/1647597283883061", "https://www.theoutnet.com/en-us/shop/product/circus-by-sam-edelman/boots/ankle-boots/iris-faux-leather-chelsea-boots/1647597283883061")</f>
        <v/>
      </c>
      <c r="B202" s="1">
        <f>HYPERLINK("https://www.theoutnet.com/en-us/shop/product/circus-by-sam-edelman/boots/ankle-boots/iris-faux-leather-chelsea-boots/1647597283883061", "https://www.theoutnet.com/en-us/shop/product/circus-by-sam-edelman/boots/ankle-boots/iris-faux-leather-chelsea-boots/1647597283883061")</f>
        <v/>
      </c>
      <c r="C202" t="inlineStr">
        <is>
          <t>CIRCUS BY SAM EDELMAN</t>
        </is>
      </c>
      <c r="D202" t="inlineStr">
        <is>
          <t>Sam Edelman Robyn</t>
        </is>
      </c>
      <c r="E202" s="1" t="n"/>
      <c r="F202" t="inlineStr">
        <is>
          <t>B0B7G7MX8K</t>
        </is>
      </c>
      <c r="G202">
        <f>_xlfn.IMAGE("https://www.theoutnet.com/variants/images/1647597283883061/F/w1020_q80.jpg")</f>
        <v/>
      </c>
      <c r="H202">
        <f>_xlfn.IMAGE("https://m.media-amazon.com/images/I/615PVJvW0jL._AC_UL320_.jpg")</f>
        <v/>
      </c>
      <c r="K202" t="inlineStr">
        <is>
          <t>30.0</t>
        </is>
      </c>
      <c r="L202" t="n">
        <v>51.98</v>
      </c>
      <c r="M202" s="2" t="inlineStr">
        <is>
          <t>73.27%</t>
        </is>
      </c>
      <c r="N202" t="n">
        <v>3.8</v>
      </c>
      <c r="O202" t="n">
        <v>12</v>
      </c>
      <c r="Q202" t="inlineStr">
        <is>
          <t>InStock</t>
        </is>
      </c>
      <c r="R202" t="inlineStr">
        <is>
          <t>99.0</t>
        </is>
      </c>
      <c r="S202" t="inlineStr">
        <is>
          <t>1</t>
        </is>
      </c>
    </row>
    <row r="203" ht="75" customHeight="1">
      <c r="A203" s="1">
        <f>HYPERLINK("https://www.theoutnet.com/en-us/shop/product/desmond-dempsey/underwear-sleepwear/sleepwear/printed-linen-pajama-set/1647597299118714", "https://www.theoutnet.com/en-us/shop/product/desmond-dempsey/underwear-sleepwear/sleepwear/printed-linen-pajama-set/1647597299118714")</f>
        <v/>
      </c>
      <c r="B203" s="1">
        <f>HYPERLINK("https://www.theoutnet.com/en-us/shop/product/desmond-dempsey/underwear-sleepwear/sleepwear/printed-linen-pajama-set/1647597299118714", "https://www.theoutnet.com/en-us/shop/product/desmond-dempsey/underwear-sleepwear/sleepwear/printed-linen-pajama-set/1647597299118714")</f>
        <v/>
      </c>
      <c r="C203" t="inlineStr">
        <is>
          <t>DESMOND &amp; DEMPSEY</t>
        </is>
      </c>
      <c r="D203" t="inlineStr">
        <is>
          <t>Desmond &amp; Dempsey Women's Signature PJ Set</t>
        </is>
      </c>
      <c r="E203" s="1">
        <f>HYPERLINK("https://www.amazon.com/Desmond-Dempsey-Womens-Signature-Cream/dp/B09MSNXQKW/ref=sr_1_5?keywords=DESMOND+%26+DEMPSEY&amp;qid=1695343353&amp;sr=8-5", "https://www.amazon.com/Desmond-Dempsey-Womens-Signature-Cream/dp/B09MSNXQKW/ref=sr_1_5?keywords=DESMOND+%26+DEMPSEY&amp;qid=1695343353&amp;sr=8-5")</f>
        <v/>
      </c>
      <c r="F203" t="inlineStr">
        <is>
          <t>B09MSNXQKW</t>
        </is>
      </c>
      <c r="G203">
        <f>_xlfn.IMAGE("https://www.theoutnet.com/variants/images/1647597299118714/F/w1020_q80.jpg")</f>
        <v/>
      </c>
      <c r="H203">
        <f>_xlfn.IMAGE("https://m.media-amazon.com/images/I/81WEcu4VdtL._AC_UY218_.jpg")</f>
        <v/>
      </c>
      <c r="K203" t="inlineStr">
        <is>
          <t>95.0</t>
        </is>
      </c>
      <c r="L203" t="n">
        <v>191</v>
      </c>
      <c r="M203" s="2" t="inlineStr">
        <is>
          <t>101.05%</t>
        </is>
      </c>
      <c r="N203" t="n">
        <v>5</v>
      </c>
      <c r="O203" t="n">
        <v>1</v>
      </c>
      <c r="Q203" t="inlineStr">
        <is>
          <t>InStock</t>
        </is>
      </c>
      <c r="R203" t="inlineStr">
        <is>
          <t>173.0</t>
        </is>
      </c>
      <c r="S203" t="inlineStr">
        <is>
          <t>1647597299118714</t>
        </is>
      </c>
    </row>
    <row r="204" ht="75" customHeight="1">
      <c r="A204" s="1">
        <f>HYPERLINK("https://www.theoutnet.com/en-us/shop/product/desmond-dempsey/underwear-sleepwear/sleepwear/printed-linen-pajama-set/1647597318074994", "https://www.theoutnet.com/en-us/shop/product/desmond-dempsey/underwear-sleepwear/sleepwear/printed-linen-pajama-set/1647597318074994")</f>
        <v/>
      </c>
      <c r="B204" s="1">
        <f>HYPERLINK("https://www.theoutnet.com/en-us/shop/product/desmond-dempsey/underwear-sleepwear/sleepwear/printed-linen-pajama-set/1647597318074994", "https://www.theoutnet.com/en-us/shop/product/desmond-dempsey/underwear-sleepwear/sleepwear/printed-linen-pajama-set/1647597318074994")</f>
        <v/>
      </c>
      <c r="C204" t="inlineStr">
        <is>
          <t>DESMOND &amp; DEMPSEY</t>
        </is>
      </c>
      <c r="D204" t="inlineStr">
        <is>
          <t>Desmond &amp; Dempsey Women's Signature PJ Set</t>
        </is>
      </c>
      <c r="E204" s="1">
        <f>HYPERLINK("https://www.amazon.com/Desmond-Dempsey-Womens-Signature-Cream/dp/B09MSNXQKW/ref=sr_1_4?keywords=DESMOND+%26+DEMPSEY&amp;qid=1695343367&amp;sr=8-4", "https://www.amazon.com/Desmond-Dempsey-Womens-Signature-Cream/dp/B09MSNXQKW/ref=sr_1_4?keywords=DESMOND+%26+DEMPSEY&amp;qid=1695343367&amp;sr=8-4")</f>
        <v/>
      </c>
      <c r="F204" t="inlineStr">
        <is>
          <t>B09MSNXQKW</t>
        </is>
      </c>
      <c r="G204">
        <f>_xlfn.IMAGE("https://www.theoutnet.com/variants/images/1647597318074994/F/w1020_q80.jpg")</f>
        <v/>
      </c>
      <c r="H204">
        <f>_xlfn.IMAGE("https://m.media-amazon.com/images/I/81WEcu4VdtL._AC_UY218_.jpg")</f>
        <v/>
      </c>
      <c r="K204" t="inlineStr">
        <is>
          <t>112.0</t>
        </is>
      </c>
      <c r="L204" t="n">
        <v>191</v>
      </c>
      <c r="M204" s="2" t="inlineStr">
        <is>
          <t>70.54%</t>
        </is>
      </c>
      <c r="N204" t="n">
        <v>5</v>
      </c>
      <c r="O204" t="n">
        <v>1</v>
      </c>
      <c r="Q204" t="inlineStr">
        <is>
          <t>InStock</t>
        </is>
      </c>
      <c r="R204" t="inlineStr">
        <is>
          <t>202.0</t>
        </is>
      </c>
      <c r="S204" t="inlineStr">
        <is>
          <t>1647597318074994</t>
        </is>
      </c>
    </row>
    <row r="205" ht="75" customHeight="1">
      <c r="A205" s="1">
        <f>HYPERLINK("https://www.theoutnet.com/en-us/shop/product/diane-von-furstenberg/dresses/knee-length-dress/ana-printed-crepe-wrap-dress/1647597305976606", "https://www.theoutnet.com/en-us/shop/product/diane-von-furstenberg/dresses/knee-length-dress/ana-printed-crepe-wrap-dress/1647597305976606")</f>
        <v/>
      </c>
      <c r="B205" s="1">
        <f>HYPERLINK("https://www.theoutnet.com/en-us/shop/product/diane-von-furstenberg/dresses/knee-length-dress/ana-printed-crepe-wrap-dress/1647597305976606", "https://www.theoutnet.com/en-us/shop/product/diane-von-furstenberg/dresses/knee-length-dress/ana-printed-crepe-wrap-dress/1647597305976606")</f>
        <v/>
      </c>
      <c r="C205" t="inlineStr">
        <is>
          <t>DIANE VON FURSTENBERG</t>
        </is>
      </c>
      <c r="D205" t="inlineStr">
        <is>
          <t>Diane von Furstenberg Rent The Runway Pre-Loved Anissa Sheath Dress</t>
        </is>
      </c>
      <c r="E205" s="1">
        <f>HYPERLINK("https://www.amazon.com/Diane-von-Furstenberg-Pre-Loved-Multicolor/dp/B0B9ZHJYC7/ref=sr_1_3?keywords=DIANE+VON+FURSTENBERG&amp;qid=1695343094&amp;sr=8-3", "https://www.amazon.com/Diane-von-Furstenberg-Pre-Loved-Multicolor/dp/B0B9ZHJYC7/ref=sr_1_3?keywords=DIANE+VON+FURSTENBERG&amp;qid=1695343094&amp;sr=8-3")</f>
        <v/>
      </c>
      <c r="F205" t="inlineStr">
        <is>
          <t>B0B9ZHJYC7</t>
        </is>
      </c>
      <c r="G205">
        <f>_xlfn.IMAGE("https://www.theoutnet.com/variants/images/1647597305976606/F/w1020_q80.jpg")</f>
        <v/>
      </c>
      <c r="H205">
        <f>_xlfn.IMAGE("https://m.media-amazon.com/images/I/71brjBQlSIL._MCnd_AC_UL320_.jpg")</f>
        <v/>
      </c>
      <c r="K205" t="inlineStr">
        <is>
          <t>189.0</t>
        </is>
      </c>
      <c r="L205" t="n">
        <v>428</v>
      </c>
      <c r="M205" s="2" t="inlineStr">
        <is>
          <t>126.46%</t>
        </is>
      </c>
      <c r="N205" t="n">
        <v>4.1</v>
      </c>
      <c r="O205" t="n">
        <v>8</v>
      </c>
      <c r="Q205" t="inlineStr">
        <is>
          <t>InStock</t>
        </is>
      </c>
      <c r="R205" t="inlineStr">
        <is>
          <t>378.0</t>
        </is>
      </c>
      <c r="S205" t="inlineStr">
        <is>
          <t>1</t>
        </is>
      </c>
    </row>
    <row r="206" ht="75" customHeight="1">
      <c r="A206" s="1">
        <f>HYPERLINK("https://www.theoutnet.com/en-us/shop/product/diane-von-furstenberg/dresses/knee-length-dress/david-ruched-printed-jersey-dress/1647597305548640", "https://www.theoutnet.com/en-us/shop/product/diane-von-furstenberg/dresses/knee-length-dress/david-ruched-printed-jersey-dress/1647597305548640")</f>
        <v/>
      </c>
      <c r="B206" s="1">
        <f>HYPERLINK("https://www.theoutnet.com/en-us/shop/product/diane-von-furstenberg/dresses/knee-length-dress/david-ruched-printed-jersey-dress/1647597305548640", "https://www.theoutnet.com/en-us/shop/product/diane-von-furstenberg/dresses/knee-length-dress/david-ruched-printed-jersey-dress/1647597305548640")</f>
        <v/>
      </c>
      <c r="C206" t="inlineStr">
        <is>
          <t>DIANE VON FURSTENBERG</t>
        </is>
      </c>
      <c r="D206" t="inlineStr">
        <is>
          <t>Diane von Furstenberg Rent The Runway Pre-Loved Anissa Sheath Dress</t>
        </is>
      </c>
      <c r="E206" s="1">
        <f>HYPERLINK("https://www.amazon.com/Diane-von-Furstenberg-Pre-Loved-Multicolor/dp/B0B9ZHJYC7/ref=sr_1_3?keywords=DIANE+VON+FURSTENBERG&amp;qid=1695343091&amp;sr=8-3", "https://www.amazon.com/Diane-von-Furstenberg-Pre-Loved-Multicolor/dp/B0B9ZHJYC7/ref=sr_1_3?keywords=DIANE+VON+FURSTENBERG&amp;qid=1695343091&amp;sr=8-3")</f>
        <v/>
      </c>
      <c r="F206" t="inlineStr">
        <is>
          <t>B0B9ZHJYC7</t>
        </is>
      </c>
      <c r="G206">
        <f>_xlfn.IMAGE("https://www.theoutnet.com/variants/images/1647597305548640/F/w1020_q80.jpg")</f>
        <v/>
      </c>
      <c r="H206">
        <f>_xlfn.IMAGE("https://m.media-amazon.com/images/I/71brjBQlSIL._MCnd_AC_UL320_.jpg")</f>
        <v/>
      </c>
      <c r="K206" t="inlineStr">
        <is>
          <t>181.0</t>
        </is>
      </c>
      <c r="L206" t="n">
        <v>428</v>
      </c>
      <c r="M206" s="2" t="inlineStr">
        <is>
          <t>136.46%</t>
        </is>
      </c>
      <c r="N206" t="n">
        <v>4.1</v>
      </c>
      <c r="O206" t="n">
        <v>8</v>
      </c>
      <c r="Q206" t="inlineStr">
        <is>
          <t>InStock</t>
        </is>
      </c>
      <c r="R206" t="inlineStr">
        <is>
          <t>348.0</t>
        </is>
      </c>
      <c r="S206" t="inlineStr">
        <is>
          <t>1647597305548640</t>
        </is>
      </c>
    </row>
    <row r="207" ht="75" customHeight="1">
      <c r="A207" s="1">
        <f>HYPERLINK("https://www.theoutnet.com/en-us/shop/product/diane-von-furstenberg/dresses/knee-length-dress/david-ruched-printed-jersey-dress/1647597305548640", "https://www.theoutnet.com/en-us/shop/product/diane-von-furstenberg/dresses/knee-length-dress/david-ruched-printed-jersey-dress/1647597305548640")</f>
        <v/>
      </c>
      <c r="B207" s="1">
        <f>HYPERLINK("https://www.theoutnet.com/en-us/shop/product/diane-von-furstenberg/dresses/knee-length-dress/david-ruched-printed-jersey-dress/1647597305548640", "https://www.theoutnet.com/en-us/shop/product/diane-von-furstenberg/dresses/knee-length-dress/david-ruched-printed-jersey-dress/1647597305548640")</f>
        <v/>
      </c>
      <c r="C207" t="inlineStr">
        <is>
          <t>DIANE VON FURSTENBERG</t>
        </is>
      </c>
      <c r="D207" t="inlineStr">
        <is>
          <t>Diane von Furstenberg Rent The Runway Pre-Loved Landon Wrap Sweater</t>
        </is>
      </c>
      <c r="E207" s="1">
        <f>HYPERLINK("https://www.amazon.com/Diane-von-Furstenberg-Pre-Loved-Sweater/dp/B0BB18TPF7/ref=sr_1_4?keywords=DIANE+VON+FURSTENBERG&amp;qid=1695343091&amp;sr=8-4", "https://www.amazon.com/Diane-von-Furstenberg-Pre-Loved-Sweater/dp/B0BB18TPF7/ref=sr_1_4?keywords=DIANE+VON+FURSTENBERG&amp;qid=1695343091&amp;sr=8-4")</f>
        <v/>
      </c>
      <c r="F207" t="inlineStr">
        <is>
          <t>B0BB18TPF7</t>
        </is>
      </c>
      <c r="G207">
        <f>_xlfn.IMAGE("https://www.theoutnet.com/variants/images/1647597305548640/F/w1020_q80.jpg")</f>
        <v/>
      </c>
      <c r="H207">
        <f>_xlfn.IMAGE("https://m.media-amazon.com/images/I/61AADp5sGoL._AC_UL320_.jpg")</f>
        <v/>
      </c>
      <c r="K207" t="inlineStr">
        <is>
          <t>181.0</t>
        </is>
      </c>
      <c r="L207" t="n">
        <v>298</v>
      </c>
      <c r="M207" s="2" t="inlineStr">
        <is>
          <t>64.64%</t>
        </is>
      </c>
      <c r="N207" t="n">
        <v>4.4</v>
      </c>
      <c r="O207" t="n">
        <v>4</v>
      </c>
      <c r="Q207" t="inlineStr">
        <is>
          <t>InStock</t>
        </is>
      </c>
      <c r="R207" t="inlineStr">
        <is>
          <t>348.0</t>
        </is>
      </c>
      <c r="S207" t="inlineStr">
        <is>
          <t>1647597305548640</t>
        </is>
      </c>
    </row>
    <row r="208" ht="75" customHeight="1">
      <c r="A208" s="1">
        <f>HYPERLINK("https://www.theoutnet.com/en-us/shop/product/diane-von-furstenberg/dresses/knee-length-dress/tracy-jacquard-knit-wrap-dress/43769801095148499", "https://www.theoutnet.com/en-us/shop/product/diane-von-furstenberg/dresses/knee-length-dress/tracy-jacquard-knit-wrap-dress/43769801095148499")</f>
        <v/>
      </c>
      <c r="B208" s="1">
        <f>HYPERLINK("https://www.theoutnet.com/en-us/shop/product/diane-von-furstenberg/dresses/knee-length-dress/tracy-jacquard-knit-wrap-dress/43769801095148499", "https://www.theoutnet.com/en-us/shop/product/diane-von-furstenberg/dresses/knee-length-dress/tracy-jacquard-knit-wrap-dress/43769801095148499")</f>
        <v/>
      </c>
      <c r="C208" t="inlineStr">
        <is>
          <t>DIANE VON FURSTENBERG</t>
        </is>
      </c>
      <c r="D208" t="inlineStr">
        <is>
          <t>Diane von Furstenberg Rent The Runway Pre-Loved Anissa Sheath Dress</t>
        </is>
      </c>
      <c r="E208" s="1">
        <f>HYPERLINK("https://www.amazon.com/Diane-von-Furstenberg-Pre-Loved-Multicolor/dp/B0B9ZHJYC7/ref=sr_1_3?keywords=DIANE+VON+FURSTENBERG&amp;qid=1695343099&amp;sr=8-3", "https://www.amazon.com/Diane-von-Furstenberg-Pre-Loved-Multicolor/dp/B0B9ZHJYC7/ref=sr_1_3?keywords=DIANE+VON+FURSTENBERG&amp;qid=1695343099&amp;sr=8-3")</f>
        <v/>
      </c>
      <c r="F208" t="inlineStr">
        <is>
          <t>B0B9ZHJYC7</t>
        </is>
      </c>
      <c r="G208">
        <f>_xlfn.IMAGE("https://www.theoutnet.com/variants/images/43769801095148499/F/w1020_q80.jpg")</f>
        <v/>
      </c>
      <c r="H208">
        <f>_xlfn.IMAGE("https://m.media-amazon.com/images/I/71brjBQlSIL._MCnd_AC_UL320_.jpg")</f>
        <v/>
      </c>
      <c r="K208" t="inlineStr">
        <is>
          <t>211.0</t>
        </is>
      </c>
      <c r="L208" t="n">
        <v>428</v>
      </c>
      <c r="M208" s="2" t="inlineStr">
        <is>
          <t>102.84%</t>
        </is>
      </c>
      <c r="N208" t="n">
        <v>4.1</v>
      </c>
      <c r="O208" t="n">
        <v>8</v>
      </c>
      <c r="Q208" t="inlineStr">
        <is>
          <t>InStock</t>
        </is>
      </c>
      <c r="R208" t="inlineStr">
        <is>
          <t>468.0</t>
        </is>
      </c>
      <c r="S208" t="inlineStr">
        <is>
          <t>43769801095148499</t>
        </is>
      </c>
    </row>
    <row r="209" ht="75" customHeight="1">
      <c r="A209" s="1">
        <f>HYPERLINK("https://www.theoutnet.com/en-us/shop/product/diane-von-furstenberg/dresses/maxi-dress/lily-floral-print-woven-maxi-dress/1647597305547252", "https://www.theoutnet.com/en-us/shop/product/diane-von-furstenberg/dresses/maxi-dress/lily-floral-print-woven-maxi-dress/1647597305547252")</f>
        <v/>
      </c>
      <c r="B209" s="1">
        <f>HYPERLINK("https://www.theoutnet.com/en-us/shop/product/diane-von-furstenberg/dresses/maxi-dress/lily-floral-print-woven-maxi-dress/1647597305547252", "https://www.theoutnet.com/en-us/shop/product/diane-von-furstenberg/dresses/maxi-dress/lily-floral-print-woven-maxi-dress/1647597305547252")</f>
        <v/>
      </c>
      <c r="C209" t="inlineStr">
        <is>
          <t>DIANE VON FURSTENBERG</t>
        </is>
      </c>
      <c r="D209" t="inlineStr">
        <is>
          <t>Diane von Furstenberg Rent The Runway Pre-Loved Anissa Sheath Dress</t>
        </is>
      </c>
      <c r="E209" s="1">
        <f>HYPERLINK("https://www.amazon.com/Diane-von-Furstenberg-Pre-Loved-Multicolor/dp/B0B9ZHJYC7/ref=sr_1_2?keywords=DIANE+VON+FURSTENBERG&amp;qid=1695343109&amp;sr=8-2", "https://www.amazon.com/Diane-von-Furstenberg-Pre-Loved-Multicolor/dp/B0B9ZHJYC7/ref=sr_1_2?keywords=DIANE+VON+FURSTENBERG&amp;qid=1695343109&amp;sr=8-2")</f>
        <v/>
      </c>
      <c r="F209" t="inlineStr">
        <is>
          <t>B0B9ZHJYC7</t>
        </is>
      </c>
      <c r="G209">
        <f>_xlfn.IMAGE("https://www.theoutnet.com/variants/images/1647597305547252/F/w1020_q80.jpg")</f>
        <v/>
      </c>
      <c r="H209">
        <f>_xlfn.IMAGE("https://m.media-amazon.com/images/I/71brjBQlSIL._MCnd_AC_UL320_.jpg")</f>
        <v/>
      </c>
      <c r="K209" t="inlineStr">
        <is>
          <t>229.0</t>
        </is>
      </c>
      <c r="L209" t="n">
        <v>428</v>
      </c>
      <c r="M209" s="2" t="inlineStr">
        <is>
          <t>86.90%</t>
        </is>
      </c>
      <c r="N209" t="n">
        <v>4.1</v>
      </c>
      <c r="O209" t="n">
        <v>8</v>
      </c>
      <c r="Q209" t="inlineStr">
        <is>
          <t>InStock</t>
        </is>
      </c>
      <c r="R209" t="inlineStr">
        <is>
          <t>458.0</t>
        </is>
      </c>
      <c r="S209" t="inlineStr">
        <is>
          <t>1647597305547252</t>
        </is>
      </c>
    </row>
    <row r="210" ht="75" customHeight="1">
      <c r="A210" s="1">
        <f>HYPERLINK("https://www.theoutnet.com/en-us/shop/product/diane-von-furstenberg/dresses/maxi-dress/poppy-pleated-floral-print-cotton-gauze-maxi-dress/1647597283533381", "https://www.theoutnet.com/en-us/shop/product/diane-von-furstenberg/dresses/maxi-dress/poppy-pleated-floral-print-cotton-gauze-maxi-dress/1647597283533381")</f>
        <v/>
      </c>
      <c r="B210" s="1">
        <f>HYPERLINK("https://www.theoutnet.com/en-us/shop/product/diane-von-furstenberg/dresses/maxi-dress/poppy-pleated-floral-print-cotton-gauze-maxi-dress/1647597283533381", "https://www.theoutnet.com/en-us/shop/product/diane-von-furstenberg/dresses/maxi-dress/poppy-pleated-floral-print-cotton-gauze-maxi-dress/1647597283533381")</f>
        <v/>
      </c>
      <c r="C210" t="inlineStr">
        <is>
          <t>DIANE VON FURSTENBERG</t>
        </is>
      </c>
      <c r="D210" t="inlineStr">
        <is>
          <t>Diane von Furstenberg Rent The Runway Pre-Loved Anissa Sheath Dress</t>
        </is>
      </c>
      <c r="E210" s="1">
        <f>HYPERLINK("https://www.amazon.com/Diane-von-Furstenberg-Pre-Loved-Multicolor/dp/B0B9ZHJYC7/ref=sr_1_3?keywords=DIANE+VON+FURSTENBERG&amp;qid=1695343073&amp;sr=8-3", "https://www.amazon.com/Diane-von-Furstenberg-Pre-Loved-Multicolor/dp/B0B9ZHJYC7/ref=sr_1_3?keywords=DIANE+VON+FURSTENBERG&amp;qid=1695343073&amp;sr=8-3")</f>
        <v/>
      </c>
      <c r="F210" t="inlineStr">
        <is>
          <t>B0B9ZHJYC7</t>
        </is>
      </c>
      <c r="G210">
        <f>_xlfn.IMAGE("https://www.theoutnet.com/variants/images/1647597283533381/F/w1020_q80.jpg")</f>
        <v/>
      </c>
      <c r="H210">
        <f>_xlfn.IMAGE("https://m.media-amazon.com/images/I/71brjBQlSIL._MCnd_AC_UL320_.jpg")</f>
        <v/>
      </c>
      <c r="K210" t="inlineStr">
        <is>
          <t>135.0</t>
        </is>
      </c>
      <c r="L210" t="n">
        <v>428</v>
      </c>
      <c r="M210" s="2" t="inlineStr">
        <is>
          <t>217.04%</t>
        </is>
      </c>
      <c r="N210" t="n">
        <v>4.1</v>
      </c>
      <c r="O210" t="n">
        <v>8</v>
      </c>
      <c r="Q210" t="inlineStr">
        <is>
          <t>InStock</t>
        </is>
      </c>
      <c r="R210" t="inlineStr">
        <is>
          <t>448.0</t>
        </is>
      </c>
      <c r="S210" t="inlineStr">
        <is>
          <t>1647597283533381</t>
        </is>
      </c>
    </row>
    <row r="211" ht="75" customHeight="1">
      <c r="A211" s="1">
        <f>HYPERLINK("https://www.theoutnet.com/en-us/shop/product/diane-von-furstenberg/dresses/maxi-dress/poppy-pleated-floral-print-cotton-gauze-maxi-dress/1647597283533381", "https://www.theoutnet.com/en-us/shop/product/diane-von-furstenberg/dresses/maxi-dress/poppy-pleated-floral-print-cotton-gauze-maxi-dress/1647597283533381")</f>
        <v/>
      </c>
      <c r="B211" s="1">
        <f>HYPERLINK("https://www.theoutnet.com/en-us/shop/product/diane-von-furstenberg/dresses/maxi-dress/poppy-pleated-floral-print-cotton-gauze-maxi-dress/1647597283533381", "https://www.theoutnet.com/en-us/shop/product/diane-von-furstenberg/dresses/maxi-dress/poppy-pleated-floral-print-cotton-gauze-maxi-dress/1647597283533381")</f>
        <v/>
      </c>
      <c r="C211" t="inlineStr">
        <is>
          <t>DIANE VON FURSTENBERG</t>
        </is>
      </c>
      <c r="D211" t="inlineStr">
        <is>
          <t>Diane von Furstenberg Rent The Runway Pre-Loved Landon Wrap Sweater</t>
        </is>
      </c>
      <c r="E211" s="1">
        <f>HYPERLINK("https://www.amazon.com/Diane-von-Furstenberg-Pre-Loved-Sweater/dp/B0BB18TPF7/ref=sr_1_4?keywords=DIANE+VON+FURSTENBERG&amp;qid=1695343073&amp;sr=8-4", "https://www.amazon.com/Diane-von-Furstenberg-Pre-Loved-Sweater/dp/B0BB18TPF7/ref=sr_1_4?keywords=DIANE+VON+FURSTENBERG&amp;qid=1695343073&amp;sr=8-4")</f>
        <v/>
      </c>
      <c r="F211" t="inlineStr">
        <is>
          <t>B0BB18TPF7</t>
        </is>
      </c>
      <c r="G211">
        <f>_xlfn.IMAGE("https://www.theoutnet.com/variants/images/1647597283533381/F/w1020_q80.jpg")</f>
        <v/>
      </c>
      <c r="H211">
        <f>_xlfn.IMAGE("https://m.media-amazon.com/images/I/61AADp5sGoL._AC_UL320_.jpg")</f>
        <v/>
      </c>
      <c r="K211" t="inlineStr">
        <is>
          <t>135.0</t>
        </is>
      </c>
      <c r="L211" t="n">
        <v>298</v>
      </c>
      <c r="M211" s="2" t="inlineStr">
        <is>
          <t>120.74%</t>
        </is>
      </c>
      <c r="N211" t="n">
        <v>4.4</v>
      </c>
      <c r="O211" t="n">
        <v>4</v>
      </c>
      <c r="Q211" t="inlineStr">
        <is>
          <t>InStock</t>
        </is>
      </c>
      <c r="R211" t="inlineStr">
        <is>
          <t>448.0</t>
        </is>
      </c>
      <c r="S211" t="inlineStr">
        <is>
          <t>1647597283533381</t>
        </is>
      </c>
    </row>
    <row r="212" ht="75" customHeight="1">
      <c r="A212" s="1">
        <f>HYPERLINK("https://www.theoutnet.com/en-us/shop/product/diane-von-furstenberg/dresses/midi-dress/iva-ruffled-printed-crepe-midi-dress/1647597322201459", "https://www.theoutnet.com/en-us/shop/product/diane-von-furstenberg/dresses/midi-dress/iva-ruffled-printed-crepe-midi-dress/1647597322201459")</f>
        <v/>
      </c>
      <c r="B212" s="1">
        <f>HYPERLINK("https://www.theoutnet.com/en-us/shop/product/diane-von-furstenberg/dresses/midi-dress/iva-ruffled-printed-crepe-midi-dress/1647597322201459", "https://www.theoutnet.com/en-us/shop/product/diane-von-furstenberg/dresses/midi-dress/iva-ruffled-printed-crepe-midi-dress/1647597322201459")</f>
        <v/>
      </c>
      <c r="C212" t="inlineStr">
        <is>
          <t>DIANE VON FURSTENBERG</t>
        </is>
      </c>
      <c r="D212" t="inlineStr">
        <is>
          <t>Diane von Furstenberg Rent The Runway Pre-Loved Anissa Sheath Dress</t>
        </is>
      </c>
      <c r="E212" s="1">
        <f>HYPERLINK("https://www.amazon.com/Diane-von-Furstenberg-Pre-Loved-Multicolor/dp/B0B9ZHJYC7/ref=sr_1_2?keywords=DIANE+VON+FURSTENBERG&amp;qid=1695343101&amp;sr=8-2", "https://www.amazon.com/Diane-von-Furstenberg-Pre-Loved-Multicolor/dp/B0B9ZHJYC7/ref=sr_1_2?keywords=DIANE+VON+FURSTENBERG&amp;qid=1695343101&amp;sr=8-2")</f>
        <v/>
      </c>
      <c r="F212" t="inlineStr">
        <is>
          <t>B0B9ZHJYC7</t>
        </is>
      </c>
      <c r="G212">
        <f>_xlfn.IMAGE("https://www.theoutnet.com/variants/images/1647597322201459/F/w1020_q80.jpg")</f>
        <v/>
      </c>
      <c r="H212">
        <f>_xlfn.IMAGE("https://m.media-amazon.com/images/I/71brjBQlSIL._MCnd_AC_UL320_.jpg")</f>
        <v/>
      </c>
      <c r="K212" t="inlineStr">
        <is>
          <t>220.0</t>
        </is>
      </c>
      <c r="L212" t="n">
        <v>428</v>
      </c>
      <c r="M212" s="2" t="inlineStr">
        <is>
          <t>94.55%</t>
        </is>
      </c>
      <c r="N212" t="n">
        <v>4.1</v>
      </c>
      <c r="O212" t="n">
        <v>8</v>
      </c>
      <c r="Q212" t="inlineStr">
        <is>
          <t>InStock</t>
        </is>
      </c>
      <c r="R212" t="inlineStr">
        <is>
          <t>498.0</t>
        </is>
      </c>
      <c r="S212" t="inlineStr">
        <is>
          <t>1647597322201459</t>
        </is>
      </c>
    </row>
    <row r="213" ht="75" customHeight="1">
      <c r="A213" s="1">
        <f>HYPERLINK("https://www.theoutnet.com/en-us/shop/product/diane-von-furstenberg/dresses/midi-dress/natalia-cold-shoulder-broderie-anglaise-cotton-blend-midi-dress/1647597283942801", "https://www.theoutnet.com/en-us/shop/product/diane-von-furstenberg/dresses/midi-dress/natalia-cold-shoulder-broderie-anglaise-cotton-blend-midi-dress/1647597283942801")</f>
        <v/>
      </c>
      <c r="B213" s="1">
        <f>HYPERLINK("https://www.theoutnet.com/en-us/shop/product/diane-von-furstenberg/dresses/midi-dress/natalia-cold-shoulder-broderie-anglaise-cotton-blend-midi-dress/1647597283942801", "https://www.theoutnet.com/en-us/shop/product/diane-von-furstenberg/dresses/midi-dress/natalia-cold-shoulder-broderie-anglaise-cotton-blend-midi-dress/1647597283942801")</f>
        <v/>
      </c>
      <c r="C213" t="inlineStr">
        <is>
          <t>DIANE VON FURSTENBERG</t>
        </is>
      </c>
      <c r="D213" t="inlineStr">
        <is>
          <t>Diane von Furstenberg Rent The Runway Pre-Loved Anissa Sheath Dress</t>
        </is>
      </c>
      <c r="E213" s="1">
        <f>HYPERLINK("https://www.amazon.com/Diane-von-Furstenberg-Pre-Loved-Multicolor/dp/B0B9ZHJYC7/ref=sr_1_2?keywords=DIANE+VON+FURSTENBERG&amp;qid=1695343112&amp;sr=8-2", "https://www.amazon.com/Diane-von-Furstenberg-Pre-Loved-Multicolor/dp/B0B9ZHJYC7/ref=sr_1_2?keywords=DIANE+VON+FURSTENBERG&amp;qid=1695343112&amp;sr=8-2")</f>
        <v/>
      </c>
      <c r="F213" t="inlineStr">
        <is>
          <t>B0B9ZHJYC7</t>
        </is>
      </c>
      <c r="G213">
        <f>_xlfn.IMAGE("https://www.theoutnet.com/variants/images/1647597283942801/F/w1020_q80.jpg")</f>
        <v/>
      </c>
      <c r="H213">
        <f>_xlfn.IMAGE("https://m.media-amazon.com/images/I/71brjBQlSIL._MCnd_AC_UL320_.jpg")</f>
        <v/>
      </c>
      <c r="K213" t="inlineStr">
        <is>
          <t>248.0</t>
        </is>
      </c>
      <c r="L213" t="n">
        <v>428</v>
      </c>
      <c r="M213" s="2" t="inlineStr">
        <is>
          <t>72.58%</t>
        </is>
      </c>
      <c r="N213" t="n">
        <v>4.1</v>
      </c>
      <c r="O213" t="n">
        <v>8</v>
      </c>
      <c r="Q213" t="inlineStr">
        <is>
          <t>InStock</t>
        </is>
      </c>
      <c r="R213" t="inlineStr">
        <is>
          <t>618.0</t>
        </is>
      </c>
      <c r="S213" t="inlineStr">
        <is>
          <t>1647597283942801</t>
        </is>
      </c>
    </row>
    <row r="214" ht="75" customHeight="1">
      <c r="A214" s="1">
        <f>HYPERLINK("https://www.theoutnet.com/en-us/shop/product/diane-von-furstenberg/dresses/mini-dress/burton-ruched-floral-print-mesh-mini-dress/1647597305446576", "https://www.theoutnet.com/en-us/shop/product/diane-von-furstenberg/dresses/mini-dress/burton-ruched-floral-print-mesh-mini-dress/1647597305446576")</f>
        <v/>
      </c>
      <c r="B214" s="1">
        <f>HYPERLINK("https://www.theoutnet.com/en-us/shop/product/diane-von-furstenberg/dresses/mini-dress/burton-ruched-floral-print-mesh-mini-dress/1647597305446576", "https://www.theoutnet.com/en-us/shop/product/diane-von-furstenberg/dresses/mini-dress/burton-ruched-floral-print-mesh-mini-dress/1647597305446576")</f>
        <v/>
      </c>
      <c r="C214" t="inlineStr">
        <is>
          <t>DIANE VON FURSTENBERG</t>
        </is>
      </c>
      <c r="D214" t="inlineStr">
        <is>
          <t>Diane von Furstenberg Rent The Runway Pre-Loved Anissa Sheath Dress</t>
        </is>
      </c>
      <c r="E214" s="1">
        <f>HYPERLINK("https://www.amazon.com/Diane-von-Furstenberg-Pre-Loved-Multicolor/dp/B0B9ZHJYC7/ref=sr_1_2?keywords=DIANE+VON+FURSTENBERG&amp;qid=1695343116&amp;sr=8-2", "https://www.amazon.com/Diane-von-Furstenberg-Pre-Loved-Multicolor/dp/B0B9ZHJYC7/ref=sr_1_2?keywords=DIANE+VON+FURSTENBERG&amp;qid=1695343116&amp;sr=8-2")</f>
        <v/>
      </c>
      <c r="F214" t="inlineStr">
        <is>
          <t>B0B9ZHJYC7</t>
        </is>
      </c>
      <c r="G214">
        <f>_xlfn.IMAGE("https://www.theoutnet.com/variants/images/1647597305446576/F/w1020_q80.jpg")</f>
        <v/>
      </c>
      <c r="H214">
        <f>_xlfn.IMAGE("https://m.media-amazon.com/images/I/71brjBQlSIL._MCnd_AC_UL320_.jpg")</f>
        <v/>
      </c>
      <c r="K214" t="inlineStr">
        <is>
          <t>259.0</t>
        </is>
      </c>
      <c r="L214" t="n">
        <v>428</v>
      </c>
      <c r="M214" s="2" t="inlineStr">
        <is>
          <t>65.25%</t>
        </is>
      </c>
      <c r="N214" t="n">
        <v>4.1</v>
      </c>
      <c r="O214" t="n">
        <v>8</v>
      </c>
      <c r="Q214" t="inlineStr">
        <is>
          <t>InStock</t>
        </is>
      </c>
      <c r="R214" t="inlineStr">
        <is>
          <t>498.0</t>
        </is>
      </c>
      <c r="S214" t="inlineStr">
        <is>
          <t>1647597305446576</t>
        </is>
      </c>
    </row>
    <row r="215" ht="75" customHeight="1">
      <c r="A215" s="1">
        <f>HYPERLINK("https://www.theoutnet.com/en-us/shop/product/diane-von-furstenberg/dresses/mini-dress/comet-wrap-effect-polka-dot-satin-jacquard-mini-dress/1647597305544814", "https://www.theoutnet.com/en-us/shop/product/diane-von-furstenberg/dresses/mini-dress/comet-wrap-effect-polka-dot-satin-jacquard-mini-dress/1647597305544814")</f>
        <v/>
      </c>
      <c r="B215" s="1">
        <f>HYPERLINK("https://www.theoutnet.com/en-us/shop/product/diane-von-furstenberg/dresses/mini-dress/comet-wrap-effect-polka-dot-satin-jacquard-mini-dress/1647597305544814", "https://www.theoutnet.com/en-us/shop/product/diane-von-furstenberg/dresses/mini-dress/comet-wrap-effect-polka-dot-satin-jacquard-mini-dress/1647597305544814")</f>
        <v/>
      </c>
      <c r="C215" t="inlineStr">
        <is>
          <t>DIANE VON FURSTENBERG</t>
        </is>
      </c>
      <c r="D215" t="inlineStr">
        <is>
          <t>Diane von Furstenberg Rent The Runway Pre-Loved Anissa Sheath Dress</t>
        </is>
      </c>
      <c r="E215" s="1">
        <f>HYPERLINK("https://www.amazon.com/Diane-von-Furstenberg-Pre-Loved-Multicolor/dp/B0B9ZHJYC7/ref=sr_1_3?keywords=DIANE+VON+FURSTENBERG&amp;qid=1695343099&amp;sr=8-3", "https://www.amazon.com/Diane-von-Furstenberg-Pre-Loved-Multicolor/dp/B0B9ZHJYC7/ref=sr_1_3?keywords=DIANE+VON+FURSTENBERG&amp;qid=1695343099&amp;sr=8-3")</f>
        <v/>
      </c>
      <c r="F215" t="inlineStr">
        <is>
          <t>B0B9ZHJYC7</t>
        </is>
      </c>
      <c r="G215">
        <f>_xlfn.IMAGE("https://www.theoutnet.com/variants/images/1647597305544814/F/w1020_q80.jpg")</f>
        <v/>
      </c>
      <c r="H215">
        <f>_xlfn.IMAGE("https://m.media-amazon.com/images/I/71brjBQlSIL._MCnd_AC_UL320_.jpg")</f>
        <v/>
      </c>
      <c r="K215" t="inlineStr">
        <is>
          <t>207.0</t>
        </is>
      </c>
      <c r="L215" t="n">
        <v>428</v>
      </c>
      <c r="M215" s="2" t="inlineStr">
        <is>
          <t>106.76%</t>
        </is>
      </c>
      <c r="N215" t="n">
        <v>4.1</v>
      </c>
      <c r="O215" t="n">
        <v>8</v>
      </c>
      <c r="Q215" t="inlineStr">
        <is>
          <t>InStock</t>
        </is>
      </c>
      <c r="R215" t="inlineStr">
        <is>
          <t>398.0</t>
        </is>
      </c>
      <c r="S215" t="inlineStr">
        <is>
          <t>6</t>
        </is>
      </c>
    </row>
    <row r="216" ht="75" customHeight="1">
      <c r="A216" s="1">
        <f>HYPERLINK("https://www.theoutnet.com/en-us/shop/product/diane-von-furstenberg/dresses/mini-dress/emilia-printed-crepe-mini-wrap-dress/1647597292974934", "https://www.theoutnet.com/en-us/shop/product/diane-von-furstenberg/dresses/mini-dress/emilia-printed-crepe-mini-wrap-dress/1647597292974934")</f>
        <v/>
      </c>
      <c r="B216" s="1">
        <f>HYPERLINK("https://www.theoutnet.com/en-us/shop/product/diane-von-furstenberg/dresses/mini-dress/emilia-printed-crepe-mini-wrap-dress/1647597292974934", "https://www.theoutnet.com/en-us/shop/product/diane-von-furstenberg/dresses/mini-dress/emilia-printed-crepe-mini-wrap-dress/1647597292974934")</f>
        <v/>
      </c>
      <c r="C216" t="inlineStr">
        <is>
          <t>DIANE VON FURSTENBERG</t>
        </is>
      </c>
      <c r="D216" t="inlineStr">
        <is>
          <t>Diane von Furstenberg Rent The Runway Pre-Loved Anissa Sheath Dress</t>
        </is>
      </c>
      <c r="E216" s="1">
        <f>HYPERLINK("https://www.amazon.com/Diane-von-Furstenberg-Pre-Loved-Multicolor/dp/B0B9ZHJYC7/ref=sr_1_2?keywords=DIANE+VON+FURSTENBERG&amp;qid=1695343081&amp;sr=8-2", "https://www.amazon.com/Diane-von-Furstenberg-Pre-Loved-Multicolor/dp/B0B9ZHJYC7/ref=sr_1_2?keywords=DIANE+VON+FURSTENBERG&amp;qid=1695343081&amp;sr=8-2")</f>
        <v/>
      </c>
      <c r="F216" t="inlineStr">
        <is>
          <t>B0B9ZHJYC7</t>
        </is>
      </c>
      <c r="G216">
        <f>_xlfn.IMAGE("https://www.theoutnet.com/variants/images/1647597292974934/F/w1020_q80.jpg")</f>
        <v/>
      </c>
      <c r="H216">
        <f>_xlfn.IMAGE("https://m.media-amazon.com/images/I/71brjBQlSIL._MCnd_AC_UL320_.jpg")</f>
        <v/>
      </c>
      <c r="K216" t="inlineStr">
        <is>
          <t>164.0</t>
        </is>
      </c>
      <c r="L216" t="n">
        <v>428</v>
      </c>
      <c r="M216" s="2" t="inlineStr">
        <is>
          <t>160.98%</t>
        </is>
      </c>
      <c r="N216" t="n">
        <v>4.1</v>
      </c>
      <c r="O216" t="n">
        <v>8</v>
      </c>
      <c r="Q216" t="inlineStr">
        <is>
          <t>InStock</t>
        </is>
      </c>
      <c r="R216" t="inlineStr">
        <is>
          <t>298.0</t>
        </is>
      </c>
      <c r="S216" t="inlineStr">
        <is>
          <t>1647597292974934</t>
        </is>
      </c>
    </row>
    <row r="217" ht="75" customHeight="1">
      <c r="A217" s="1">
        <f>HYPERLINK("https://www.theoutnet.com/en-us/shop/product/diane-von-furstenberg/dresses/mini-dress/emilia-printed-crepe-mini-wrap-dress/1647597292974934", "https://www.theoutnet.com/en-us/shop/product/diane-von-furstenberg/dresses/mini-dress/emilia-printed-crepe-mini-wrap-dress/1647597292974934")</f>
        <v/>
      </c>
      <c r="B217" s="1">
        <f>HYPERLINK("https://www.theoutnet.com/en-us/shop/product/diane-von-furstenberg/dresses/mini-dress/emilia-printed-crepe-mini-wrap-dress/1647597292974934", "https://www.theoutnet.com/en-us/shop/product/diane-von-furstenberg/dresses/mini-dress/emilia-printed-crepe-mini-wrap-dress/1647597292974934")</f>
        <v/>
      </c>
      <c r="C217" t="inlineStr">
        <is>
          <t>DIANE VON FURSTENBERG</t>
        </is>
      </c>
      <c r="D217" t="inlineStr">
        <is>
          <t>Diane von Furstenberg Rent The Runway Pre-Loved Landon Wrap Sweater</t>
        </is>
      </c>
      <c r="E217" s="1">
        <f>HYPERLINK("https://www.amazon.com/Diane-von-Furstenberg-Pre-Loved-Sweater/dp/B0BB18TPF7/ref=sr_1_4?keywords=DIANE+VON+FURSTENBERG&amp;qid=1695343081&amp;sr=8-4", "https://www.amazon.com/Diane-von-Furstenberg-Pre-Loved-Sweater/dp/B0BB18TPF7/ref=sr_1_4?keywords=DIANE+VON+FURSTENBERG&amp;qid=1695343081&amp;sr=8-4")</f>
        <v/>
      </c>
      <c r="F217" t="inlineStr">
        <is>
          <t>B0BB18TPF7</t>
        </is>
      </c>
      <c r="G217">
        <f>_xlfn.IMAGE("https://www.theoutnet.com/variants/images/1647597292974934/F/w1020_q80.jpg")</f>
        <v/>
      </c>
      <c r="H217">
        <f>_xlfn.IMAGE("https://m.media-amazon.com/images/I/61AADp5sGoL._AC_UL320_.jpg")</f>
        <v/>
      </c>
      <c r="K217" t="inlineStr">
        <is>
          <t>164.0</t>
        </is>
      </c>
      <c r="L217" t="n">
        <v>298</v>
      </c>
      <c r="M217" s="2" t="inlineStr">
        <is>
          <t>81.71%</t>
        </is>
      </c>
      <c r="N217" t="n">
        <v>4.4</v>
      </c>
      <c r="O217" t="n">
        <v>4</v>
      </c>
      <c r="Q217" t="inlineStr">
        <is>
          <t>InStock</t>
        </is>
      </c>
      <c r="R217" t="inlineStr">
        <is>
          <t>298.0</t>
        </is>
      </c>
      <c r="S217" t="inlineStr">
        <is>
          <t>1647597292974934</t>
        </is>
      </c>
    </row>
    <row r="218" ht="75" customHeight="1">
      <c r="A218" s="1">
        <f>HYPERLINK("https://www.theoutnet.com/en-us/shop/product/diane-von-furstenberg/dresses/mini-dress/santiago-paneled-denim-mini-dress/1647597305546462", "https://www.theoutnet.com/en-us/shop/product/diane-von-furstenberg/dresses/mini-dress/santiago-paneled-denim-mini-dress/1647597305546462")</f>
        <v/>
      </c>
      <c r="B218" s="1">
        <f>HYPERLINK("https://www.theoutnet.com/en-us/shop/product/diane-von-furstenberg/dresses/mini-dress/santiago-paneled-denim-mini-dress/1647597305546462", "https://www.theoutnet.com/en-us/shop/product/diane-von-furstenberg/dresses/mini-dress/santiago-paneled-denim-mini-dress/1647597305546462")</f>
        <v/>
      </c>
      <c r="C218" t="inlineStr">
        <is>
          <t>DIANE VON FURSTENBERG</t>
        </is>
      </c>
      <c r="D218" t="inlineStr">
        <is>
          <t>Diane von Furstenberg Rent The Runway Pre-Loved Anissa Sheath Dress</t>
        </is>
      </c>
      <c r="E218" s="1">
        <f>HYPERLINK("https://www.amazon.com/Diane-von-Furstenberg-Pre-Loved-Multicolor/dp/B0B9ZHJYC7/ref=sr_1_3?keywords=DIANE+VON+FURSTENBERG&amp;qid=1695343083&amp;sr=8-3", "https://www.amazon.com/Diane-von-Furstenberg-Pre-Loved-Multicolor/dp/B0B9ZHJYC7/ref=sr_1_3?keywords=DIANE+VON+FURSTENBERG&amp;qid=1695343083&amp;sr=8-3")</f>
        <v/>
      </c>
      <c r="F218" t="inlineStr">
        <is>
          <t>B0B9ZHJYC7</t>
        </is>
      </c>
      <c r="G218">
        <f>_xlfn.IMAGE("https://www.theoutnet.com/variants/images/1647597305546462/F/w1020_q80.jpg")</f>
        <v/>
      </c>
      <c r="H218">
        <f>_xlfn.IMAGE("https://m.media-amazon.com/images/I/71brjBQlSIL._MCnd_AC_UL320_.jpg")</f>
        <v/>
      </c>
      <c r="K218" t="inlineStr">
        <is>
          <t>168.0</t>
        </is>
      </c>
      <c r="L218" t="n">
        <v>428</v>
      </c>
      <c r="M218" s="2" t="inlineStr">
        <is>
          <t>154.76%</t>
        </is>
      </c>
      <c r="N218" t="n">
        <v>4.1</v>
      </c>
      <c r="O218" t="n">
        <v>8</v>
      </c>
      <c r="Q218" t="inlineStr">
        <is>
          <t>InStock</t>
        </is>
      </c>
      <c r="R218" t="inlineStr">
        <is>
          <t>348.0</t>
        </is>
      </c>
      <c r="S218" t="inlineStr">
        <is>
          <t>1647597305546462</t>
        </is>
      </c>
    </row>
    <row r="219" ht="75" customHeight="1">
      <c r="A219" s="1">
        <f>HYPERLINK("https://www.theoutnet.com/en-us/shop/product/diane-von-furstenberg/dresses/mini-dress/santiago-paneled-denim-mini-dress/1647597305546462", "https://www.theoutnet.com/en-us/shop/product/diane-von-furstenberg/dresses/mini-dress/santiago-paneled-denim-mini-dress/1647597305546462")</f>
        <v/>
      </c>
      <c r="B219" s="1">
        <f>HYPERLINK("https://www.theoutnet.com/en-us/shop/product/diane-von-furstenberg/dresses/mini-dress/santiago-paneled-denim-mini-dress/1647597305546462", "https://www.theoutnet.com/en-us/shop/product/diane-von-furstenberg/dresses/mini-dress/santiago-paneled-denim-mini-dress/1647597305546462")</f>
        <v/>
      </c>
      <c r="C219" t="inlineStr">
        <is>
          <t>DIANE VON FURSTENBERG</t>
        </is>
      </c>
      <c r="D219" t="inlineStr">
        <is>
          <t>Diane von Furstenberg Rent The Runway Pre-Loved Landon Wrap Sweater</t>
        </is>
      </c>
      <c r="E219" s="1">
        <f>HYPERLINK("https://www.amazon.com/Diane-von-Furstenberg-Pre-Loved-Sweater/dp/B0BB18TPF7/ref=sr_1_4?keywords=DIANE+VON+FURSTENBERG&amp;qid=1695343083&amp;sr=8-4", "https://www.amazon.com/Diane-von-Furstenberg-Pre-Loved-Sweater/dp/B0BB18TPF7/ref=sr_1_4?keywords=DIANE+VON+FURSTENBERG&amp;qid=1695343083&amp;sr=8-4")</f>
        <v/>
      </c>
      <c r="F219" t="inlineStr">
        <is>
          <t>B0BB18TPF7</t>
        </is>
      </c>
      <c r="G219">
        <f>_xlfn.IMAGE("https://www.theoutnet.com/variants/images/1647597305546462/F/w1020_q80.jpg")</f>
        <v/>
      </c>
      <c r="H219">
        <f>_xlfn.IMAGE("https://m.media-amazon.com/images/I/61AADp5sGoL._AC_UL320_.jpg")</f>
        <v/>
      </c>
      <c r="K219" t="inlineStr">
        <is>
          <t>168.0</t>
        </is>
      </c>
      <c r="L219" t="n">
        <v>298</v>
      </c>
      <c r="M219" s="2" t="inlineStr">
        <is>
          <t>77.38%</t>
        </is>
      </c>
      <c r="N219" t="n">
        <v>4.4</v>
      </c>
      <c r="O219" t="n">
        <v>4</v>
      </c>
      <c r="Q219" t="inlineStr">
        <is>
          <t>InStock</t>
        </is>
      </c>
      <c r="R219" t="inlineStr">
        <is>
          <t>348.0</t>
        </is>
      </c>
      <c r="S219" t="inlineStr">
        <is>
          <t>1647597305546462</t>
        </is>
      </c>
    </row>
    <row r="220" ht="75" customHeight="1">
      <c r="A220" s="1">
        <f>HYPERLINK("https://www.theoutnet.com/en-us/shop/product/diane-von-furstenberg/knitwear/cardigans-zip-throughs/lyric-striped-ribbed-knit-wrap-top/1647597322323839", "https://www.theoutnet.com/en-us/shop/product/diane-von-furstenberg/knitwear/cardigans-zip-throughs/lyric-striped-ribbed-knit-wrap-top/1647597322323839")</f>
        <v/>
      </c>
      <c r="B220" s="1">
        <f>HYPERLINK("https://www.theoutnet.com/en-us/shop/product/diane-von-furstenberg/knitwear/cardigans-zip-throughs/lyric-striped-ribbed-knit-wrap-top/1647597322323839", "https://www.theoutnet.com/en-us/shop/product/diane-von-furstenberg/knitwear/cardigans-zip-throughs/lyric-striped-ribbed-knit-wrap-top/1647597322323839")</f>
        <v/>
      </c>
      <c r="C220" t="inlineStr">
        <is>
          <t>DIANE VON FURSTENBERG</t>
        </is>
      </c>
      <c r="D220" t="inlineStr">
        <is>
          <t>Diane von Furstenberg Rent The Runway Pre-Loved Anissa Sheath Dress</t>
        </is>
      </c>
      <c r="E220" s="1">
        <f>HYPERLINK("https://www.amazon.com/Diane-von-Furstenberg-Pre-Loved-Multicolor/dp/B0B9ZHJYC7/ref=sr_1_2?keywords=DIANE+VON+FURSTENBERG&amp;qid=1695343442&amp;sr=8-2", "https://www.amazon.com/Diane-von-Furstenberg-Pre-Loved-Multicolor/dp/B0B9ZHJYC7/ref=sr_1_2?keywords=DIANE+VON+FURSTENBERG&amp;qid=1695343442&amp;sr=8-2")</f>
        <v/>
      </c>
      <c r="F220" t="inlineStr">
        <is>
          <t>B0B9ZHJYC7</t>
        </is>
      </c>
      <c r="G220">
        <f>_xlfn.IMAGE("https://www.theoutnet.com/variants/images/1647597322323839/F/w1020_q80.jpg")</f>
        <v/>
      </c>
      <c r="H220">
        <f>_xlfn.IMAGE("https://m.media-amazon.com/images/I/71brjBQlSIL._MCnd_AC_UL320_.jpg")</f>
        <v/>
      </c>
      <c r="K220" t="inlineStr">
        <is>
          <t>162.0</t>
        </is>
      </c>
      <c r="L220" t="n">
        <v>428</v>
      </c>
      <c r="M220" s="2" t="inlineStr">
        <is>
          <t>164.20%</t>
        </is>
      </c>
      <c r="N220" t="n">
        <v>4.1</v>
      </c>
      <c r="O220" t="n">
        <v>8</v>
      </c>
      <c r="Q220" t="inlineStr">
        <is>
          <t>OutOfStock</t>
        </is>
      </c>
      <c r="R220" t="inlineStr">
        <is>
          <t>368.0</t>
        </is>
      </c>
      <c r="S220" t="inlineStr">
        <is>
          <t>1647597322323839</t>
        </is>
      </c>
    </row>
    <row r="221" ht="75" customHeight="1">
      <c r="A221" s="1">
        <f>HYPERLINK("https://www.theoutnet.com/en-us/shop/product/diane-von-furstenberg/knitwear/cardigans-zip-throughs/lyric-striped-ribbed-knit-wrap-top/1647597322323839", "https://www.theoutnet.com/en-us/shop/product/diane-von-furstenberg/knitwear/cardigans-zip-throughs/lyric-striped-ribbed-knit-wrap-top/1647597322323839")</f>
        <v/>
      </c>
      <c r="B221" s="1">
        <f>HYPERLINK("https://www.theoutnet.com/en-us/shop/product/diane-von-furstenberg/knitwear/cardigans-zip-throughs/lyric-striped-ribbed-knit-wrap-top/1647597322323839", "https://www.theoutnet.com/en-us/shop/product/diane-von-furstenberg/knitwear/cardigans-zip-throughs/lyric-striped-ribbed-knit-wrap-top/1647597322323839")</f>
        <v/>
      </c>
      <c r="C221" t="inlineStr">
        <is>
          <t>DIANE VON FURSTENBERG</t>
        </is>
      </c>
      <c r="D221" t="inlineStr">
        <is>
          <t>Diane von Furstenberg Rent The Runway Pre-Loved Landon Wrap Sweater</t>
        </is>
      </c>
      <c r="E221" s="1">
        <f>HYPERLINK("https://www.amazon.com/Diane-von-Furstenberg-Pre-Loved-Sweater/dp/B0BB18TPF7/ref=sr_1_4?keywords=DIANE+VON+FURSTENBERG&amp;qid=1695343442&amp;sr=8-4", "https://www.amazon.com/Diane-von-Furstenberg-Pre-Loved-Sweater/dp/B0BB18TPF7/ref=sr_1_4?keywords=DIANE+VON+FURSTENBERG&amp;qid=1695343442&amp;sr=8-4")</f>
        <v/>
      </c>
      <c r="F221" t="inlineStr">
        <is>
          <t>B0BB18TPF7</t>
        </is>
      </c>
      <c r="G221">
        <f>_xlfn.IMAGE("https://www.theoutnet.com/variants/images/1647597322323839/F/w1020_q80.jpg")</f>
        <v/>
      </c>
      <c r="H221">
        <f>_xlfn.IMAGE("https://m.media-amazon.com/images/I/61AADp5sGoL._AC_UL320_.jpg")</f>
        <v/>
      </c>
      <c r="K221" t="inlineStr">
        <is>
          <t>162.0</t>
        </is>
      </c>
      <c r="L221" t="n">
        <v>298</v>
      </c>
      <c r="M221" s="2" t="inlineStr">
        <is>
          <t>83.95%</t>
        </is>
      </c>
      <c r="N221" t="n">
        <v>4.4</v>
      </c>
      <c r="O221" t="n">
        <v>4</v>
      </c>
      <c r="Q221" t="inlineStr">
        <is>
          <t>OutOfStock</t>
        </is>
      </c>
      <c r="R221" t="inlineStr">
        <is>
          <t>368.0</t>
        </is>
      </c>
      <c r="S221" t="inlineStr">
        <is>
          <t>1647597322323839</t>
        </is>
      </c>
    </row>
    <row r="222" ht="75" customHeight="1">
      <c r="A222" s="1">
        <f>HYPERLINK("https://www.theoutnet.com/en-us/shop/product/diane-von-furstenberg/pants/flared-pants/brooklyn-printed-jersey-flared-pants/1647597305679537", "https://www.theoutnet.com/en-us/shop/product/diane-von-furstenberg/pants/flared-pants/brooklyn-printed-jersey-flared-pants/1647597305679537")</f>
        <v/>
      </c>
      <c r="B222" s="1">
        <f>HYPERLINK("https://www.theoutnet.com/en-us/shop/product/diane-von-furstenberg/pants/flared-pants/brooklyn-printed-jersey-flared-pants/1647597305679537", "https://www.theoutnet.com/en-us/shop/product/diane-von-furstenberg/pants/flared-pants/brooklyn-printed-jersey-flared-pants/1647597305679537")</f>
        <v/>
      </c>
      <c r="C222" t="inlineStr">
        <is>
          <t>DIANE VON FURSTENBERG</t>
        </is>
      </c>
      <c r="D222" t="inlineStr">
        <is>
          <t>Diane von Furstenberg Rent The Runway Pre-Loved Anissa Sheath Dress</t>
        </is>
      </c>
      <c r="E222" s="1">
        <f>HYPERLINK("https://www.amazon.com/Diane-von-Furstenberg-Pre-Loved-Multicolor/dp/B0B9ZHJYC7/ref=sr_1_2?keywords=DIANE+VON+FURSTENBERG&amp;qid=1695343069&amp;sr=8-2", "https://www.amazon.com/Diane-von-Furstenberg-Pre-Loved-Multicolor/dp/B0B9ZHJYC7/ref=sr_1_2?keywords=DIANE+VON+FURSTENBERG&amp;qid=1695343069&amp;sr=8-2")</f>
        <v/>
      </c>
      <c r="F222" t="inlineStr">
        <is>
          <t>B0B9ZHJYC7</t>
        </is>
      </c>
      <c r="G222">
        <f>_xlfn.IMAGE("https://www.theoutnet.com/variants/images/1647597305679537/F/w1020_q80.jpg")</f>
        <v/>
      </c>
      <c r="H222">
        <f>_xlfn.IMAGE("https://m.media-amazon.com/images/I/71brjBQlSIL._MCnd_AC_UL320_.jpg")</f>
        <v/>
      </c>
      <c r="K222" t="inlineStr">
        <is>
          <t>121.0</t>
        </is>
      </c>
      <c r="L222" t="n">
        <v>428</v>
      </c>
      <c r="M222" s="2" t="inlineStr">
        <is>
          <t>253.72%</t>
        </is>
      </c>
      <c r="N222" t="n">
        <v>4.1</v>
      </c>
      <c r="O222" t="n">
        <v>8</v>
      </c>
      <c r="Q222" t="inlineStr">
        <is>
          <t>InStock</t>
        </is>
      </c>
      <c r="R222" t="inlineStr">
        <is>
          <t>268.0</t>
        </is>
      </c>
      <c r="S222" t="inlineStr">
        <is>
          <t>1647597305679537</t>
        </is>
      </c>
    </row>
    <row r="223" ht="75" customHeight="1">
      <c r="A223" s="1">
        <f>HYPERLINK("https://www.theoutnet.com/en-us/shop/product/diane-von-furstenberg/pants/flared-pants/brooklyn-printed-jersey-flared-pants/1647597305679537", "https://www.theoutnet.com/en-us/shop/product/diane-von-furstenberg/pants/flared-pants/brooklyn-printed-jersey-flared-pants/1647597305679537")</f>
        <v/>
      </c>
      <c r="B223" s="1">
        <f>HYPERLINK("https://www.theoutnet.com/en-us/shop/product/diane-von-furstenberg/pants/flared-pants/brooklyn-printed-jersey-flared-pants/1647597305679537", "https://www.theoutnet.com/en-us/shop/product/diane-von-furstenberg/pants/flared-pants/brooklyn-printed-jersey-flared-pants/1647597305679537")</f>
        <v/>
      </c>
      <c r="C223" t="inlineStr">
        <is>
          <t>DIANE VON FURSTENBERG</t>
        </is>
      </c>
      <c r="D223" t="inlineStr">
        <is>
          <t>Diane von Furstenberg Rent The Runway Pre-Loved Landon Wrap Sweater</t>
        </is>
      </c>
      <c r="E223" s="1">
        <f>HYPERLINK("https://www.amazon.com/Diane-von-Furstenberg-Pre-Loved-Sweater/dp/B0BB18TPF7/ref=sr_1_3?keywords=DIANE+VON+FURSTENBERG&amp;qid=1695343069&amp;sr=8-3", "https://www.amazon.com/Diane-von-Furstenberg-Pre-Loved-Sweater/dp/B0BB18TPF7/ref=sr_1_3?keywords=DIANE+VON+FURSTENBERG&amp;qid=1695343069&amp;sr=8-3")</f>
        <v/>
      </c>
      <c r="F223" t="inlineStr">
        <is>
          <t>B0BB18TPF7</t>
        </is>
      </c>
      <c r="G223">
        <f>_xlfn.IMAGE("https://www.theoutnet.com/variants/images/1647597305679537/F/w1020_q80.jpg")</f>
        <v/>
      </c>
      <c r="H223">
        <f>_xlfn.IMAGE("https://m.media-amazon.com/images/I/61AADp5sGoL._AC_UL320_.jpg")</f>
        <v/>
      </c>
      <c r="K223" t="inlineStr">
        <is>
          <t>121.0</t>
        </is>
      </c>
      <c r="L223" t="n">
        <v>298</v>
      </c>
      <c r="M223" s="2" t="inlineStr">
        <is>
          <t>146.28%</t>
        </is>
      </c>
      <c r="N223" t="n">
        <v>4.4</v>
      </c>
      <c r="O223" t="n">
        <v>4</v>
      </c>
      <c r="Q223" t="inlineStr">
        <is>
          <t>InStock</t>
        </is>
      </c>
      <c r="R223" t="inlineStr">
        <is>
          <t>268.0</t>
        </is>
      </c>
      <c r="S223" t="inlineStr">
        <is>
          <t>1647597305679537</t>
        </is>
      </c>
    </row>
    <row r="224" ht="75" customHeight="1">
      <c r="A224" s="1">
        <f>HYPERLINK("https://www.theoutnet.com/en-us/shop/product/diane-von-furstenberg/pants/flared-pants/verdi-metallic-jacquard-knit-flared-pants/1647597306059630", "https://www.theoutnet.com/en-us/shop/product/diane-von-furstenberg/pants/flared-pants/verdi-metallic-jacquard-knit-flared-pants/1647597306059630")</f>
        <v/>
      </c>
      <c r="B224" s="1">
        <f>HYPERLINK("https://www.theoutnet.com/en-us/shop/product/diane-von-furstenberg/pants/flared-pants/verdi-metallic-jacquard-knit-flared-pants/1647597306059630", "https://www.theoutnet.com/en-us/shop/product/diane-von-furstenberg/pants/flared-pants/verdi-metallic-jacquard-knit-flared-pants/1647597306059630")</f>
        <v/>
      </c>
      <c r="C224" t="inlineStr">
        <is>
          <t>DIANE VON FURSTENBERG</t>
        </is>
      </c>
      <c r="D224" t="inlineStr">
        <is>
          <t>Diane von Furstenberg Rent The Runway Pre-Loved Anissa Sheath Dress</t>
        </is>
      </c>
      <c r="E224" s="1">
        <f>HYPERLINK("https://www.amazon.com/Diane-von-Furstenberg-Pre-Loved-Multicolor/dp/B0B9ZHJYC7/ref=sr_1_2?keywords=DIANE+VON+FURSTENBERG&amp;qid=1695343103&amp;sr=8-2", "https://www.amazon.com/Diane-von-Furstenberg-Pre-Loved-Multicolor/dp/B0B9ZHJYC7/ref=sr_1_2?keywords=DIANE+VON+FURSTENBERG&amp;qid=1695343103&amp;sr=8-2")</f>
        <v/>
      </c>
      <c r="F224" t="inlineStr">
        <is>
          <t>B0B9ZHJYC7</t>
        </is>
      </c>
      <c r="G224">
        <f>_xlfn.IMAGE("https://www.theoutnet.com/variants/images/1647597306059630/F/w1020_q80.jpg")</f>
        <v/>
      </c>
      <c r="H224">
        <f>_xlfn.IMAGE("https://m.media-amazon.com/images/I/71brjBQlSIL._MCnd_AC_UL320_.jpg")</f>
        <v/>
      </c>
      <c r="K224" t="inlineStr">
        <is>
          <t>216.0</t>
        </is>
      </c>
      <c r="L224" t="n">
        <v>428</v>
      </c>
      <c r="M224" s="2" t="inlineStr">
        <is>
          <t>98.15%</t>
        </is>
      </c>
      <c r="N224" t="n">
        <v>4.1</v>
      </c>
      <c r="O224" t="n">
        <v>8</v>
      </c>
      <c r="Q224" t="inlineStr">
        <is>
          <t>InStock</t>
        </is>
      </c>
      <c r="R224" t="inlineStr">
        <is>
          <t>478.0</t>
        </is>
      </c>
      <c r="S224" t="inlineStr">
        <is>
          <t>1</t>
        </is>
      </c>
    </row>
    <row r="225" ht="75" customHeight="1">
      <c r="A225" s="1">
        <f>HYPERLINK("https://www.theoutnet.com/en-us/shop/product/diane-von-furstenberg/sandals/flat-sandals/santi-shearling-slides/7789028785191161", "https://www.theoutnet.com/en-us/shop/product/diane-von-furstenberg/sandals/flat-sandals/santi-shearling-slides/7789028785191161")</f>
        <v/>
      </c>
      <c r="B225" s="1">
        <f>HYPERLINK("https://www.theoutnet.com/en-us/shop/product/diane-von-furstenberg/sandals/flat-sandals/santi-shearling-slides/7789028785191161", "https://www.theoutnet.com/en-us/shop/product/diane-von-furstenberg/sandals/flat-sandals/santi-shearling-slides/7789028785191161")</f>
        <v/>
      </c>
      <c r="C225" t="inlineStr">
        <is>
          <t>DIANE VON FURSTENBERG</t>
        </is>
      </c>
      <c r="D225" t="inlineStr">
        <is>
          <t>Diane von Furstenberg Rent The Runway Pre-Loved Anissa Sheath Dress</t>
        </is>
      </c>
      <c r="E225" s="1">
        <f>HYPERLINK("https://www.amazon.com/Diane-von-Furstenberg-Pre-Loved-Multicolor/dp/B0B9ZHJYC7/ref=sr_1_2?keywords=DIANE+VON+FURSTENBERG&amp;qid=1695343597&amp;sr=8-2", "https://www.amazon.com/Diane-von-Furstenberg-Pre-Loved-Multicolor/dp/B0B9ZHJYC7/ref=sr_1_2?keywords=DIANE+VON+FURSTENBERG&amp;qid=1695343597&amp;sr=8-2")</f>
        <v/>
      </c>
      <c r="F225" t="inlineStr">
        <is>
          <t>B0B9ZHJYC7</t>
        </is>
      </c>
      <c r="G225">
        <f>_xlfn.IMAGE("https://www.theoutnet.com/variants/images/7789028785191161/F/w1020_q80.jpg")</f>
        <v/>
      </c>
      <c r="H225">
        <f>_xlfn.IMAGE("https://m.media-amazon.com/images/I/71brjBQlSIL._MCnd_AC_UL320_.jpg")</f>
        <v/>
      </c>
      <c r="K225" t="inlineStr">
        <is>
          <t>125.0</t>
        </is>
      </c>
      <c r="L225" t="n">
        <v>428</v>
      </c>
      <c r="M225" s="2" t="inlineStr">
        <is>
          <t>242.40%</t>
        </is>
      </c>
      <c r="N225" t="n">
        <v>4.1</v>
      </c>
      <c r="O225" t="n">
        <v>8</v>
      </c>
      <c r="Q225" t="inlineStr">
        <is>
          <t>InStock</t>
        </is>
      </c>
      <c r="R225" t="inlineStr">
        <is>
          <t>228.0</t>
        </is>
      </c>
      <c r="S225" t="inlineStr">
        <is>
          <t>7789028785191161</t>
        </is>
      </c>
    </row>
    <row r="226" ht="75" customHeight="1">
      <c r="A226" s="1">
        <f>HYPERLINK("https://www.theoutnet.com/en-us/shop/product/diane-von-furstenberg/sandals/flat-sandals/santi-shearling-slides/7789028785191161", "https://www.theoutnet.com/en-us/shop/product/diane-von-furstenberg/sandals/flat-sandals/santi-shearling-slides/7789028785191161")</f>
        <v/>
      </c>
      <c r="B226" s="1">
        <f>HYPERLINK("https://www.theoutnet.com/en-us/shop/product/diane-von-furstenberg/sandals/flat-sandals/santi-shearling-slides/7789028785191161", "https://www.theoutnet.com/en-us/shop/product/diane-von-furstenberg/sandals/flat-sandals/santi-shearling-slides/7789028785191161")</f>
        <v/>
      </c>
      <c r="C226" t="inlineStr">
        <is>
          <t>DIANE VON FURSTENBERG</t>
        </is>
      </c>
      <c r="D226" t="inlineStr">
        <is>
          <t>Diane von Furstenberg Rent The Runway Pre-Loved Landon Wrap Sweater</t>
        </is>
      </c>
      <c r="E226" s="1">
        <f>HYPERLINK("https://www.amazon.com/Diane-von-Furstenberg-Pre-Loved-Sweater/dp/B0BB18TPF7/ref=sr_1_4?keywords=DIANE+VON+FURSTENBERG&amp;qid=1695343597&amp;sr=8-4", "https://www.amazon.com/Diane-von-Furstenberg-Pre-Loved-Sweater/dp/B0BB18TPF7/ref=sr_1_4?keywords=DIANE+VON+FURSTENBERG&amp;qid=1695343597&amp;sr=8-4")</f>
        <v/>
      </c>
      <c r="F226" t="inlineStr">
        <is>
          <t>B0BB18TPF7</t>
        </is>
      </c>
      <c r="G226">
        <f>_xlfn.IMAGE("https://www.theoutnet.com/variants/images/7789028785191161/F/w1020_q80.jpg")</f>
        <v/>
      </c>
      <c r="H226">
        <f>_xlfn.IMAGE("https://m.media-amazon.com/images/I/61AADp5sGoL._AC_UL320_.jpg")</f>
        <v/>
      </c>
      <c r="K226" t="inlineStr">
        <is>
          <t>125.0</t>
        </is>
      </c>
      <c r="L226" t="n">
        <v>298</v>
      </c>
      <c r="M226" s="2" t="inlineStr">
        <is>
          <t>138.40%</t>
        </is>
      </c>
      <c r="N226" t="n">
        <v>4.4</v>
      </c>
      <c r="O226" t="n">
        <v>4</v>
      </c>
      <c r="Q226" t="inlineStr">
        <is>
          <t>InStock</t>
        </is>
      </c>
      <c r="R226" t="inlineStr">
        <is>
          <t>228.0</t>
        </is>
      </c>
      <c r="S226" t="inlineStr">
        <is>
          <t>7789028785191161</t>
        </is>
      </c>
    </row>
    <row r="227" ht="75" customHeight="1">
      <c r="A227" s="1">
        <f>HYPERLINK("https://www.theoutnet.com/en-us/shop/product/diane-von-furstenberg/skirts/evening/delphine-printed-crepe-midi-skirt/43769801095283493", "https://www.theoutnet.com/en-us/shop/product/diane-von-furstenberg/skirts/evening/delphine-printed-crepe-midi-skirt/43769801095283493")</f>
        <v/>
      </c>
      <c r="B227" s="1">
        <f>HYPERLINK("https://www.theoutnet.com/en-us/shop/product/diane-von-furstenberg/skirts/evening/delphine-printed-crepe-midi-skirt/43769801095283493", "https://www.theoutnet.com/en-us/shop/product/diane-von-furstenberg/skirts/evening/delphine-printed-crepe-midi-skirt/43769801095283493")</f>
        <v/>
      </c>
      <c r="C227" t="inlineStr">
        <is>
          <t>DIANE VON FURSTENBERG</t>
        </is>
      </c>
      <c r="D227" t="inlineStr">
        <is>
          <t>Diane von Furstenberg Rent The Runway Pre-Loved Anissa Sheath Dress</t>
        </is>
      </c>
      <c r="E227" s="1">
        <f>HYPERLINK("https://www.amazon.com/Diane-von-Furstenberg-Pre-Loved-Multicolor/dp/B0B9ZHJYC7/ref=sr_1_3?keywords=DIANE+VON+FURSTENBERG&amp;qid=1695343394&amp;sr=8-3", "https://www.amazon.com/Diane-von-Furstenberg-Pre-Loved-Multicolor/dp/B0B9ZHJYC7/ref=sr_1_3?keywords=DIANE+VON+FURSTENBERG&amp;qid=1695343394&amp;sr=8-3")</f>
        <v/>
      </c>
      <c r="F227" t="inlineStr">
        <is>
          <t>B0B9ZHJYC7</t>
        </is>
      </c>
      <c r="G227">
        <f>_xlfn.IMAGE("https://www.theoutnet.com/variants/images/43769801095283493/F/w1020_q80.jpg")</f>
        <v/>
      </c>
      <c r="H227">
        <f>_xlfn.IMAGE("https://m.media-amazon.com/images/I/71brjBQlSIL._MCnd_AC_UL320_.jpg")</f>
        <v/>
      </c>
      <c r="K227" t="inlineStr">
        <is>
          <t>129.0</t>
        </is>
      </c>
      <c r="L227" t="n">
        <v>428</v>
      </c>
      <c r="M227" s="2" t="inlineStr">
        <is>
          <t>231.78%</t>
        </is>
      </c>
      <c r="N227" t="n">
        <v>4.1</v>
      </c>
      <c r="O227" t="n">
        <v>8</v>
      </c>
      <c r="Q227" t="inlineStr">
        <is>
          <t>InStock</t>
        </is>
      </c>
      <c r="R227" t="inlineStr">
        <is>
          <t>258.0</t>
        </is>
      </c>
      <c r="S227" t="inlineStr">
        <is>
          <t>43769801095283493</t>
        </is>
      </c>
    </row>
    <row r="228" ht="75" customHeight="1">
      <c r="A228" s="1">
        <f>HYPERLINK("https://www.theoutnet.com/en-us/shop/product/diane-von-furstenberg/skirts/evening/delphine-printed-crepe-midi-skirt/43769801095283493", "https://www.theoutnet.com/en-us/shop/product/diane-von-furstenberg/skirts/evening/delphine-printed-crepe-midi-skirt/43769801095283493")</f>
        <v/>
      </c>
      <c r="B228" s="1">
        <f>HYPERLINK("https://www.theoutnet.com/en-us/shop/product/diane-von-furstenberg/skirts/evening/delphine-printed-crepe-midi-skirt/43769801095283493", "https://www.theoutnet.com/en-us/shop/product/diane-von-furstenberg/skirts/evening/delphine-printed-crepe-midi-skirt/43769801095283493")</f>
        <v/>
      </c>
      <c r="C228" t="inlineStr">
        <is>
          <t>DIANE VON FURSTENBERG</t>
        </is>
      </c>
      <c r="D228" t="inlineStr">
        <is>
          <t>Diane von Furstenberg Rent The Runway Pre-Loved Landon Wrap Sweater</t>
        </is>
      </c>
      <c r="E228" s="1">
        <f>HYPERLINK("https://www.amazon.com/Diane-von-Furstenberg-Pre-Loved-Sweater/dp/B0BB18TPF7/ref=sr_1_4?keywords=DIANE+VON+FURSTENBERG&amp;qid=1695343394&amp;sr=8-4", "https://www.amazon.com/Diane-von-Furstenberg-Pre-Loved-Sweater/dp/B0BB18TPF7/ref=sr_1_4?keywords=DIANE+VON+FURSTENBERG&amp;qid=1695343394&amp;sr=8-4")</f>
        <v/>
      </c>
      <c r="F228" t="inlineStr">
        <is>
          <t>B0BB18TPF7</t>
        </is>
      </c>
      <c r="G228">
        <f>_xlfn.IMAGE("https://www.theoutnet.com/variants/images/43769801095283493/F/w1020_q80.jpg")</f>
        <v/>
      </c>
      <c r="H228">
        <f>_xlfn.IMAGE("https://m.media-amazon.com/images/I/61AADp5sGoL._AC_UL320_.jpg")</f>
        <v/>
      </c>
      <c r="K228" t="inlineStr">
        <is>
          <t>129.0</t>
        </is>
      </c>
      <c r="L228" t="n">
        <v>298</v>
      </c>
      <c r="M228" s="2" t="inlineStr">
        <is>
          <t>131.01%</t>
        </is>
      </c>
      <c r="N228" t="n">
        <v>4.4</v>
      </c>
      <c r="O228" t="n">
        <v>4</v>
      </c>
      <c r="Q228" t="inlineStr">
        <is>
          <t>InStock</t>
        </is>
      </c>
      <c r="R228" t="inlineStr">
        <is>
          <t>258.0</t>
        </is>
      </c>
      <c r="S228" t="inlineStr">
        <is>
          <t>43769801095283493</t>
        </is>
      </c>
    </row>
    <row r="229" ht="75" customHeight="1">
      <c r="A229" s="1">
        <f>HYPERLINK("https://www.theoutnet.com/en-us/shop/product/diane-von-furstenberg/skirts/knee-length-skirts/ava-fluted-cable-knit-skirt/1647597325037266", "https://www.theoutnet.com/en-us/shop/product/diane-von-furstenberg/skirts/knee-length-skirts/ava-fluted-cable-knit-skirt/1647597325037266")</f>
        <v/>
      </c>
      <c r="B229" s="1">
        <f>HYPERLINK("https://www.theoutnet.com/en-us/shop/product/diane-von-furstenberg/skirts/knee-length-skirts/ava-fluted-cable-knit-skirt/1647597325037266", "https://www.theoutnet.com/en-us/shop/product/diane-von-furstenberg/skirts/knee-length-skirts/ava-fluted-cable-knit-skirt/1647597325037266")</f>
        <v/>
      </c>
      <c r="C229" t="inlineStr">
        <is>
          <t>DIANE VON FURSTENBERG</t>
        </is>
      </c>
      <c r="D229" t="inlineStr">
        <is>
          <t>Diane von Furstenberg Rent The Runway Pre-Loved Anissa Sheath Dress</t>
        </is>
      </c>
      <c r="E229" s="1">
        <f>HYPERLINK("https://www.amazon.com/Diane-von-Furstenberg-Pre-Loved-Multicolor/dp/B0B9ZHJYC7/ref=sr_1_2?keywords=DIANE+VON+FURSTENBERG&amp;qid=1695343404&amp;sr=8-2", "https://www.amazon.com/Diane-von-Furstenberg-Pre-Loved-Multicolor/dp/B0B9ZHJYC7/ref=sr_1_2?keywords=DIANE+VON+FURSTENBERG&amp;qid=1695343404&amp;sr=8-2")</f>
        <v/>
      </c>
      <c r="F229" t="inlineStr">
        <is>
          <t>B0B9ZHJYC7</t>
        </is>
      </c>
      <c r="G229">
        <f>_xlfn.IMAGE("https://www.theoutnet.com/variants/images/1647597325037266/F/w1020_q80.jpg")</f>
        <v/>
      </c>
      <c r="H229">
        <f>_xlfn.IMAGE("https://m.media-amazon.com/images/I/71brjBQlSIL._MCnd_AC_UL320_.jpg")</f>
        <v/>
      </c>
      <c r="K229" t="inlineStr">
        <is>
          <t>135.0</t>
        </is>
      </c>
      <c r="L229" t="n">
        <v>428</v>
      </c>
      <c r="M229" s="2" t="inlineStr">
        <is>
          <t>217.04%</t>
        </is>
      </c>
      <c r="N229" t="n">
        <v>4.1</v>
      </c>
      <c r="O229" t="n">
        <v>8</v>
      </c>
      <c r="Q229" t="inlineStr">
        <is>
          <t>InStock</t>
        </is>
      </c>
      <c r="R229" t="inlineStr">
        <is>
          <t>298.0</t>
        </is>
      </c>
      <c r="S229" t="inlineStr">
        <is>
          <t>1647597325037266</t>
        </is>
      </c>
    </row>
    <row r="230" ht="75" customHeight="1">
      <c r="A230" s="1">
        <f>HYPERLINK("https://www.theoutnet.com/en-us/shop/product/diane-von-furstenberg/skirts/knee-length-skirts/ava-fluted-cable-knit-skirt/1647597325037266", "https://www.theoutnet.com/en-us/shop/product/diane-von-furstenberg/skirts/knee-length-skirts/ava-fluted-cable-knit-skirt/1647597325037266")</f>
        <v/>
      </c>
      <c r="B230" s="1">
        <f>HYPERLINK("https://www.theoutnet.com/en-us/shop/product/diane-von-furstenberg/skirts/knee-length-skirts/ava-fluted-cable-knit-skirt/1647597325037266", "https://www.theoutnet.com/en-us/shop/product/diane-von-furstenberg/skirts/knee-length-skirts/ava-fluted-cable-knit-skirt/1647597325037266")</f>
        <v/>
      </c>
      <c r="C230" t="inlineStr">
        <is>
          <t>DIANE VON FURSTENBERG</t>
        </is>
      </c>
      <c r="D230" t="inlineStr">
        <is>
          <t>Diane von Furstenberg Rent The Runway Pre-Loved Landon Wrap Sweater</t>
        </is>
      </c>
      <c r="E230" s="1">
        <f>HYPERLINK("https://www.amazon.com/Diane-von-Furstenberg-Pre-Loved-Sweater/dp/B0BB18TPF7/ref=sr_1_3?keywords=DIANE+VON+FURSTENBERG&amp;qid=1695343404&amp;sr=8-3", "https://www.amazon.com/Diane-von-Furstenberg-Pre-Loved-Sweater/dp/B0BB18TPF7/ref=sr_1_3?keywords=DIANE+VON+FURSTENBERG&amp;qid=1695343404&amp;sr=8-3")</f>
        <v/>
      </c>
      <c r="F230" t="inlineStr">
        <is>
          <t>B0BB18TPF7</t>
        </is>
      </c>
      <c r="G230">
        <f>_xlfn.IMAGE("https://www.theoutnet.com/variants/images/1647597325037266/F/w1020_q80.jpg")</f>
        <v/>
      </c>
      <c r="H230">
        <f>_xlfn.IMAGE("https://m.media-amazon.com/images/I/61AADp5sGoL._AC_UL320_.jpg")</f>
        <v/>
      </c>
      <c r="K230" t="inlineStr">
        <is>
          <t>135.0</t>
        </is>
      </c>
      <c r="L230" t="n">
        <v>298</v>
      </c>
      <c r="M230" s="2" t="inlineStr">
        <is>
          <t>120.74%</t>
        </is>
      </c>
      <c r="N230" t="n">
        <v>4.4</v>
      </c>
      <c r="O230" t="n">
        <v>4</v>
      </c>
      <c r="Q230" t="inlineStr">
        <is>
          <t>InStock</t>
        </is>
      </c>
      <c r="R230" t="inlineStr">
        <is>
          <t>298.0</t>
        </is>
      </c>
      <c r="S230" t="inlineStr">
        <is>
          <t>1647597325037266</t>
        </is>
      </c>
    </row>
    <row r="231" ht="75" customHeight="1">
      <c r="A231" s="1">
        <f>HYPERLINK("https://www.theoutnet.com/en-us/shop/product/diane-von-furstenberg/skirts/knee-length-skirts/hazel-jacquard-knit-skirt/1647597322319254", "https://www.theoutnet.com/en-us/shop/product/diane-von-furstenberg/skirts/knee-length-skirts/hazel-jacquard-knit-skirt/1647597322319254")</f>
        <v/>
      </c>
      <c r="B231" s="1">
        <f>HYPERLINK("https://www.theoutnet.com/en-us/shop/product/diane-von-furstenberg/skirts/knee-length-skirts/hazel-jacquard-knit-skirt/1647597322319254", "https://www.theoutnet.com/en-us/shop/product/diane-von-furstenberg/skirts/knee-length-skirts/hazel-jacquard-knit-skirt/1647597322319254")</f>
        <v/>
      </c>
      <c r="C231" t="inlineStr">
        <is>
          <t>DIANE VON FURSTENBERG</t>
        </is>
      </c>
      <c r="D231" t="inlineStr">
        <is>
          <t>Diane von Furstenberg Rent The Runway Pre-Loved Anissa Sheath Dress</t>
        </is>
      </c>
      <c r="E231" s="1">
        <f>HYPERLINK("https://www.amazon.com/Diane-von-Furstenberg-Pre-Loved-Multicolor/dp/B0B9ZHJYC7/ref=sr_1_3?keywords=DIANE+VON+FURSTENBERG&amp;qid=1695343451&amp;sr=8-3", "https://www.amazon.com/Diane-von-Furstenberg-Pre-Loved-Multicolor/dp/B0B9ZHJYC7/ref=sr_1_3?keywords=DIANE+VON+FURSTENBERG&amp;qid=1695343451&amp;sr=8-3")</f>
        <v/>
      </c>
      <c r="F231" t="inlineStr">
        <is>
          <t>B0B9ZHJYC7</t>
        </is>
      </c>
      <c r="G231">
        <f>_xlfn.IMAGE("https://www.theoutnet.com/variants/images/1647597322319254/F/w1020_q80.jpg")</f>
        <v/>
      </c>
      <c r="H231">
        <f>_xlfn.IMAGE("https://m.media-amazon.com/images/I/71brjBQlSIL._MCnd_AC_UL320_.jpg")</f>
        <v/>
      </c>
      <c r="K231" t="inlineStr">
        <is>
          <t>159.0</t>
        </is>
      </c>
      <c r="L231" t="n">
        <v>428</v>
      </c>
      <c r="M231" s="2" t="inlineStr">
        <is>
          <t>169.18%</t>
        </is>
      </c>
      <c r="N231" t="n">
        <v>4.1</v>
      </c>
      <c r="O231" t="n">
        <v>8</v>
      </c>
      <c r="Q231" t="inlineStr">
        <is>
          <t>InStock</t>
        </is>
      </c>
      <c r="R231" t="inlineStr">
        <is>
          <t>318.0</t>
        </is>
      </c>
      <c r="S231" t="inlineStr">
        <is>
          <t>6</t>
        </is>
      </c>
    </row>
    <row r="232" ht="75" customHeight="1">
      <c r="A232" s="1">
        <f>HYPERLINK("https://www.theoutnet.com/en-us/shop/product/diane-von-furstenberg/skirts/knee-length-skirts/hazel-jacquard-knit-skirt/1647597322319254", "https://www.theoutnet.com/en-us/shop/product/diane-von-furstenberg/skirts/knee-length-skirts/hazel-jacquard-knit-skirt/1647597322319254")</f>
        <v/>
      </c>
      <c r="B232" s="1">
        <f>HYPERLINK("https://www.theoutnet.com/en-us/shop/product/diane-von-furstenberg/skirts/knee-length-skirts/hazel-jacquard-knit-skirt/1647597322319254", "https://www.theoutnet.com/en-us/shop/product/diane-von-furstenberg/skirts/knee-length-skirts/hazel-jacquard-knit-skirt/1647597322319254")</f>
        <v/>
      </c>
      <c r="C232" t="inlineStr">
        <is>
          <t>DIANE VON FURSTENBERG</t>
        </is>
      </c>
      <c r="D232" t="inlineStr">
        <is>
          <t>Diane von Furstenberg Rent The Runway Pre-Loved Landon Wrap Sweater</t>
        </is>
      </c>
      <c r="E232" s="1">
        <f>HYPERLINK("https://www.amazon.com/Diane-von-Furstenberg-Pre-Loved-Sweater/dp/B0BB18TPF7/ref=sr_1_4?keywords=DIANE+VON+FURSTENBERG&amp;qid=1695343451&amp;sr=8-4", "https://www.amazon.com/Diane-von-Furstenberg-Pre-Loved-Sweater/dp/B0BB18TPF7/ref=sr_1_4?keywords=DIANE+VON+FURSTENBERG&amp;qid=1695343451&amp;sr=8-4")</f>
        <v/>
      </c>
      <c r="F232" t="inlineStr">
        <is>
          <t>B0BB18TPF7</t>
        </is>
      </c>
      <c r="G232">
        <f>_xlfn.IMAGE("https://www.theoutnet.com/variants/images/1647597322319254/F/w1020_q80.jpg")</f>
        <v/>
      </c>
      <c r="H232">
        <f>_xlfn.IMAGE("https://m.media-amazon.com/images/I/61AADp5sGoL._AC_UL320_.jpg")</f>
        <v/>
      </c>
      <c r="K232" t="inlineStr">
        <is>
          <t>159.0</t>
        </is>
      </c>
      <c r="L232" t="n">
        <v>298</v>
      </c>
      <c r="M232" s="2" t="inlineStr">
        <is>
          <t>87.42%</t>
        </is>
      </c>
      <c r="N232" t="n">
        <v>4.4</v>
      </c>
      <c r="O232" t="n">
        <v>4</v>
      </c>
      <c r="Q232" t="inlineStr">
        <is>
          <t>InStock</t>
        </is>
      </c>
      <c r="R232" t="inlineStr">
        <is>
          <t>318.0</t>
        </is>
      </c>
      <c r="S232" t="inlineStr">
        <is>
          <t>6</t>
        </is>
      </c>
    </row>
    <row r="233" ht="75" customHeight="1">
      <c r="A233" s="1">
        <f>HYPERLINK("https://www.theoutnet.com/en-us/shop/product/diane-von-furstenberg/skirts/knee-length-skirts/hazel-metallic-jacquard-knit-skirt/43769801095283234", "https://www.theoutnet.com/en-us/shop/product/diane-von-furstenberg/skirts/knee-length-skirts/hazel-metallic-jacquard-knit-skirt/43769801095283234")</f>
        <v/>
      </c>
      <c r="B233" s="1">
        <f>HYPERLINK("https://www.theoutnet.com/en-us/shop/product/diane-von-furstenberg/skirts/knee-length-skirts/hazel-metallic-jacquard-knit-skirt/43769801095283234", "https://www.theoutnet.com/en-us/shop/product/diane-von-furstenberg/skirts/knee-length-skirts/hazel-metallic-jacquard-knit-skirt/43769801095283234")</f>
        <v/>
      </c>
      <c r="C233" t="inlineStr">
        <is>
          <t>DIANE VON FURSTENBERG</t>
        </is>
      </c>
      <c r="D233" t="inlineStr">
        <is>
          <t>Diane von Furstenberg Rent The Runway Pre-Loved Anissa Sheath Dress</t>
        </is>
      </c>
      <c r="E233" s="1">
        <f>HYPERLINK("https://www.amazon.com/Diane-von-Furstenberg-Pre-Loved-Multicolor/dp/B0B9ZHJYC7/ref=sr_1_3?keywords=DIANE+VON+FURSTENBERG&amp;qid=1695343402&amp;sr=8-3", "https://www.amazon.com/Diane-von-Furstenberg-Pre-Loved-Multicolor/dp/B0B9ZHJYC7/ref=sr_1_3?keywords=DIANE+VON+FURSTENBERG&amp;qid=1695343402&amp;sr=8-3")</f>
        <v/>
      </c>
      <c r="F233" t="inlineStr">
        <is>
          <t>B0B9ZHJYC7</t>
        </is>
      </c>
      <c r="G233">
        <f>_xlfn.IMAGE("https://www.theoutnet.com/variants/images/43769801095283234/F/w1020_q80.jpg")</f>
        <v/>
      </c>
      <c r="H233">
        <f>_xlfn.IMAGE("https://m.media-amazon.com/images/I/71brjBQlSIL._MCnd_AC_UL320_.jpg")</f>
        <v/>
      </c>
      <c r="K233" t="inlineStr">
        <is>
          <t>135.0</t>
        </is>
      </c>
      <c r="L233" t="n">
        <v>428</v>
      </c>
      <c r="M233" s="2" t="inlineStr">
        <is>
          <t>217.04%</t>
        </is>
      </c>
      <c r="N233" t="n">
        <v>4.1</v>
      </c>
      <c r="O233" t="n">
        <v>8</v>
      </c>
      <c r="Q233" t="inlineStr">
        <is>
          <t>InStock</t>
        </is>
      </c>
      <c r="R233" t="inlineStr">
        <is>
          <t>298.0</t>
        </is>
      </c>
      <c r="S233" t="inlineStr">
        <is>
          <t>43769801095283234</t>
        </is>
      </c>
    </row>
    <row r="234" ht="75" customHeight="1">
      <c r="A234" s="1">
        <f>HYPERLINK("https://www.theoutnet.com/en-us/shop/product/diane-von-furstenberg/skirts/knee-length-skirts/hazel-metallic-jacquard-knit-skirt/43769801095283234", "https://www.theoutnet.com/en-us/shop/product/diane-von-furstenberg/skirts/knee-length-skirts/hazel-metallic-jacquard-knit-skirt/43769801095283234")</f>
        <v/>
      </c>
      <c r="B234" s="1">
        <f>HYPERLINK("https://www.theoutnet.com/en-us/shop/product/diane-von-furstenberg/skirts/knee-length-skirts/hazel-metallic-jacquard-knit-skirt/43769801095283234", "https://www.theoutnet.com/en-us/shop/product/diane-von-furstenberg/skirts/knee-length-skirts/hazel-metallic-jacquard-knit-skirt/43769801095283234")</f>
        <v/>
      </c>
      <c r="C234" t="inlineStr">
        <is>
          <t>DIANE VON FURSTENBERG</t>
        </is>
      </c>
      <c r="D234" t="inlineStr">
        <is>
          <t>Diane von Furstenberg Rent The Runway Pre-Loved Landon Wrap Sweater</t>
        </is>
      </c>
      <c r="E234" s="1">
        <f>HYPERLINK("https://www.amazon.com/Diane-von-Furstenberg-Pre-Loved-Sweater/dp/B0BB18TPF7/ref=sr_1_4?keywords=DIANE+VON+FURSTENBERG&amp;qid=1695343402&amp;sr=8-4", "https://www.amazon.com/Diane-von-Furstenberg-Pre-Loved-Sweater/dp/B0BB18TPF7/ref=sr_1_4?keywords=DIANE+VON+FURSTENBERG&amp;qid=1695343402&amp;sr=8-4")</f>
        <v/>
      </c>
      <c r="F234" t="inlineStr">
        <is>
          <t>B0BB18TPF7</t>
        </is>
      </c>
      <c r="G234">
        <f>_xlfn.IMAGE("https://www.theoutnet.com/variants/images/43769801095283234/F/w1020_q80.jpg")</f>
        <v/>
      </c>
      <c r="H234">
        <f>_xlfn.IMAGE("https://m.media-amazon.com/images/I/61AADp5sGoL._AC_UL320_.jpg")</f>
        <v/>
      </c>
      <c r="K234" t="inlineStr">
        <is>
          <t>135.0</t>
        </is>
      </c>
      <c r="L234" t="n">
        <v>298</v>
      </c>
      <c r="M234" s="2" t="inlineStr">
        <is>
          <t>120.74%</t>
        </is>
      </c>
      <c r="N234" t="n">
        <v>4.4</v>
      </c>
      <c r="O234" t="n">
        <v>4</v>
      </c>
      <c r="Q234" t="inlineStr">
        <is>
          <t>InStock</t>
        </is>
      </c>
      <c r="R234" t="inlineStr">
        <is>
          <t>298.0</t>
        </is>
      </c>
      <c r="S234" t="inlineStr">
        <is>
          <t>43769801095283234</t>
        </is>
      </c>
    </row>
    <row r="235" ht="75" customHeight="1">
      <c r="A235" s="1">
        <f>HYPERLINK("https://www.theoutnet.com/en-us/shop/product/diane-von-furstenberg/tops/bodysuits/abbie-printed-stretch-mesh-bodysuit/1647597322323838", "https://www.theoutnet.com/en-us/shop/product/diane-von-furstenberg/tops/bodysuits/abbie-printed-stretch-mesh-bodysuit/1647597322323838")</f>
        <v/>
      </c>
      <c r="B235" s="1">
        <f>HYPERLINK("https://www.theoutnet.com/en-us/shop/product/diane-von-furstenberg/tops/bodysuits/abbie-printed-stretch-mesh-bodysuit/1647597322323838", "https://www.theoutnet.com/en-us/shop/product/diane-von-furstenberg/tops/bodysuits/abbie-printed-stretch-mesh-bodysuit/1647597322323838")</f>
        <v/>
      </c>
      <c r="C235" t="inlineStr">
        <is>
          <t>DIANE VON FURSTENBERG</t>
        </is>
      </c>
      <c r="D235" t="inlineStr">
        <is>
          <t>Diane von Furstenberg Rent The Runway Pre-Loved Anissa Sheath Dress</t>
        </is>
      </c>
      <c r="E235" s="1">
        <f>HYPERLINK("https://www.amazon.com/Diane-von-Furstenberg-Pre-Loved-Multicolor/dp/B0B9ZHJYC7/ref=sr_1_2?keywords=DIANE+VON+FURSTENBERG&amp;qid=1695343400&amp;sr=8-2", "https://www.amazon.com/Diane-von-Furstenberg-Pre-Loved-Multicolor/dp/B0B9ZHJYC7/ref=sr_1_2?keywords=DIANE+VON+FURSTENBERG&amp;qid=1695343400&amp;sr=8-2")</f>
        <v/>
      </c>
      <c r="F235" t="inlineStr">
        <is>
          <t>B0B9ZHJYC7</t>
        </is>
      </c>
      <c r="G235">
        <f>_xlfn.IMAGE("https://www.theoutnet.com/variants/images/1647597322323838/F/w1020_q80.jpg")</f>
        <v/>
      </c>
      <c r="H235">
        <f>_xlfn.IMAGE("https://m.media-amazon.com/images/I/71brjBQlSIL._MCnd_AC_UL320_.jpg")</f>
        <v/>
      </c>
      <c r="K235" t="inlineStr">
        <is>
          <t>137.0</t>
        </is>
      </c>
      <c r="L235" t="n">
        <v>428</v>
      </c>
      <c r="M235" s="2" t="inlineStr">
        <is>
          <t>212.41%</t>
        </is>
      </c>
      <c r="N235" t="n">
        <v>4.1</v>
      </c>
      <c r="O235" t="n">
        <v>8</v>
      </c>
      <c r="Q235" t="inlineStr">
        <is>
          <t>InStock</t>
        </is>
      </c>
      <c r="R235" t="inlineStr">
        <is>
          <t>278.0</t>
        </is>
      </c>
      <c r="S235" t="inlineStr">
        <is>
          <t>1647597322323838</t>
        </is>
      </c>
    </row>
    <row r="236" ht="75" customHeight="1">
      <c r="A236" s="1">
        <f>HYPERLINK("https://www.theoutnet.com/en-us/shop/product/diane-von-furstenberg/tops/bodysuits/abbie-printed-stretch-mesh-bodysuit/1647597322323838", "https://www.theoutnet.com/en-us/shop/product/diane-von-furstenberg/tops/bodysuits/abbie-printed-stretch-mesh-bodysuit/1647597322323838")</f>
        <v/>
      </c>
      <c r="B236" s="1">
        <f>HYPERLINK("https://www.theoutnet.com/en-us/shop/product/diane-von-furstenberg/tops/bodysuits/abbie-printed-stretch-mesh-bodysuit/1647597322323838", "https://www.theoutnet.com/en-us/shop/product/diane-von-furstenberg/tops/bodysuits/abbie-printed-stretch-mesh-bodysuit/1647597322323838")</f>
        <v/>
      </c>
      <c r="C236" t="inlineStr">
        <is>
          <t>DIANE VON FURSTENBERG</t>
        </is>
      </c>
      <c r="D236" t="inlineStr">
        <is>
          <t>Diane von Furstenberg Rent The Runway Pre-Loved Landon Wrap Sweater</t>
        </is>
      </c>
      <c r="E236" s="1">
        <f>HYPERLINK("https://www.amazon.com/Diane-von-Furstenberg-Pre-Loved-Sweater/dp/B0BB18TPF7/ref=sr_1_4?keywords=DIANE+VON+FURSTENBERG&amp;qid=1695343400&amp;sr=8-4", "https://www.amazon.com/Diane-von-Furstenberg-Pre-Loved-Sweater/dp/B0BB18TPF7/ref=sr_1_4?keywords=DIANE+VON+FURSTENBERG&amp;qid=1695343400&amp;sr=8-4")</f>
        <v/>
      </c>
      <c r="F236" t="inlineStr">
        <is>
          <t>B0BB18TPF7</t>
        </is>
      </c>
      <c r="G236">
        <f>_xlfn.IMAGE("https://www.theoutnet.com/variants/images/1647597322323838/F/w1020_q80.jpg")</f>
        <v/>
      </c>
      <c r="H236">
        <f>_xlfn.IMAGE("https://m.media-amazon.com/images/I/61AADp5sGoL._AC_UL320_.jpg")</f>
        <v/>
      </c>
      <c r="K236" t="inlineStr">
        <is>
          <t>137.0</t>
        </is>
      </c>
      <c r="L236" t="n">
        <v>298</v>
      </c>
      <c r="M236" s="2" t="inlineStr">
        <is>
          <t>117.52%</t>
        </is>
      </c>
      <c r="N236" t="n">
        <v>4.4</v>
      </c>
      <c r="O236" t="n">
        <v>4</v>
      </c>
      <c r="Q236" t="inlineStr">
        <is>
          <t>InStock</t>
        </is>
      </c>
      <c r="R236" t="inlineStr">
        <is>
          <t>278.0</t>
        </is>
      </c>
      <c r="S236" t="inlineStr">
        <is>
          <t>1647597322323838</t>
        </is>
      </c>
    </row>
    <row r="237" ht="75" customHeight="1">
      <c r="A237" s="1">
        <f>HYPERLINK("https://www.theoutnet.com/en-us/shop/product/diane-von-furstenberg/tops/bodysuits/erik-twist-front-floral-print-stretch-mesh-bodysuit/1647597306040727", "https://www.theoutnet.com/en-us/shop/product/diane-von-furstenberg/tops/bodysuits/erik-twist-front-floral-print-stretch-mesh-bodysuit/1647597306040727")</f>
        <v/>
      </c>
      <c r="B237" s="1">
        <f>HYPERLINK("https://www.theoutnet.com/en-us/shop/product/diane-von-furstenberg/tops/bodysuits/erik-twist-front-floral-print-stretch-mesh-bodysuit/1647597306040727", "https://www.theoutnet.com/en-us/shop/product/diane-von-furstenberg/tops/bodysuits/erik-twist-front-floral-print-stretch-mesh-bodysuit/1647597306040727")</f>
        <v/>
      </c>
      <c r="C237" t="inlineStr">
        <is>
          <t>DIANE VON FURSTENBERG</t>
        </is>
      </c>
      <c r="D237" t="inlineStr">
        <is>
          <t>Diane von Furstenberg Rent The Runway Pre-Loved Anissa Sheath Dress</t>
        </is>
      </c>
      <c r="E237" s="1">
        <f>HYPERLINK("https://www.amazon.com/Diane-von-Furstenberg-Pre-Loved-Multicolor/dp/B0B9ZHJYC7/ref=sr_1_3?keywords=DIANE+VON+FURSTENBERG&amp;qid=1695343067&amp;sr=8-3", "https://www.amazon.com/Diane-von-Furstenberg-Pre-Loved-Multicolor/dp/B0B9ZHJYC7/ref=sr_1_3?keywords=DIANE+VON+FURSTENBERG&amp;qid=1695343067&amp;sr=8-3")</f>
        <v/>
      </c>
      <c r="F237" t="inlineStr">
        <is>
          <t>B0B9ZHJYC7</t>
        </is>
      </c>
      <c r="G237">
        <f>_xlfn.IMAGE("https://www.theoutnet.com/variants/images/1647597306040727/F/w1020_q80.jpg")</f>
        <v/>
      </c>
      <c r="H237">
        <f>_xlfn.IMAGE("https://m.media-amazon.com/images/I/71brjBQlSIL._MCnd_AC_UL320_.jpg")</f>
        <v/>
      </c>
      <c r="K237" t="inlineStr">
        <is>
          <t>112.0</t>
        </is>
      </c>
      <c r="L237" t="n">
        <v>428</v>
      </c>
      <c r="M237" s="2" t="inlineStr">
        <is>
          <t>282.14%</t>
        </is>
      </c>
      <c r="N237" t="n">
        <v>4.1</v>
      </c>
      <c r="O237" t="n">
        <v>8</v>
      </c>
      <c r="Q237" t="inlineStr">
        <is>
          <t>InStock</t>
        </is>
      </c>
      <c r="R237" t="inlineStr">
        <is>
          <t>248.0</t>
        </is>
      </c>
      <c r="S237" t="inlineStr">
        <is>
          <t>1</t>
        </is>
      </c>
    </row>
    <row r="238" ht="75" customHeight="1">
      <c r="A238" s="1">
        <f>HYPERLINK("https://www.theoutnet.com/en-us/shop/product/diane-von-furstenberg/tops/bodysuits/erik-twist-front-floral-print-stretch-mesh-bodysuit/1647597306040727", "https://www.theoutnet.com/en-us/shop/product/diane-von-furstenberg/tops/bodysuits/erik-twist-front-floral-print-stretch-mesh-bodysuit/1647597306040727")</f>
        <v/>
      </c>
      <c r="B238" s="1">
        <f>HYPERLINK("https://www.theoutnet.com/en-us/shop/product/diane-von-furstenberg/tops/bodysuits/erik-twist-front-floral-print-stretch-mesh-bodysuit/1647597306040727", "https://www.theoutnet.com/en-us/shop/product/diane-von-furstenberg/tops/bodysuits/erik-twist-front-floral-print-stretch-mesh-bodysuit/1647597306040727")</f>
        <v/>
      </c>
      <c r="C238" t="inlineStr">
        <is>
          <t>DIANE VON FURSTENBERG</t>
        </is>
      </c>
      <c r="D238" t="inlineStr">
        <is>
          <t>Diane von Furstenberg Rent The Runway Pre-Loved Landon Wrap Sweater</t>
        </is>
      </c>
      <c r="E238" s="1">
        <f>HYPERLINK("https://www.amazon.com/Diane-von-Furstenberg-Pre-Loved-Sweater/dp/B0BB18TPF7/ref=sr_1_4?keywords=DIANE+VON+FURSTENBERG&amp;qid=1695343067&amp;sr=8-4", "https://www.amazon.com/Diane-von-Furstenberg-Pre-Loved-Sweater/dp/B0BB18TPF7/ref=sr_1_4?keywords=DIANE+VON+FURSTENBERG&amp;qid=1695343067&amp;sr=8-4")</f>
        <v/>
      </c>
      <c r="F238" t="inlineStr">
        <is>
          <t>B0BB18TPF7</t>
        </is>
      </c>
      <c r="G238">
        <f>_xlfn.IMAGE("https://www.theoutnet.com/variants/images/1647597306040727/F/w1020_q80.jpg")</f>
        <v/>
      </c>
      <c r="H238">
        <f>_xlfn.IMAGE("https://m.media-amazon.com/images/I/61AADp5sGoL._AC_UL320_.jpg")</f>
        <v/>
      </c>
      <c r="K238" t="inlineStr">
        <is>
          <t>112.0</t>
        </is>
      </c>
      <c r="L238" t="n">
        <v>298</v>
      </c>
      <c r="M238" s="2" t="inlineStr">
        <is>
          <t>166.07%</t>
        </is>
      </c>
      <c r="N238" t="n">
        <v>4.4</v>
      </c>
      <c r="O238" t="n">
        <v>4</v>
      </c>
      <c r="Q238" t="inlineStr">
        <is>
          <t>InStock</t>
        </is>
      </c>
      <c r="R238" t="inlineStr">
        <is>
          <t>248.0</t>
        </is>
      </c>
      <c r="S238" t="inlineStr">
        <is>
          <t>1</t>
        </is>
      </c>
    </row>
    <row r="239" ht="75" customHeight="1">
      <c r="A239" s="1">
        <f>HYPERLINK("https://www.theoutnet.com/en-us/shop/product/donna-karan/sneakers/fashion-sneakers/cristin-faux-fur-trimmed-suede-wedge-sneakers/4225173821054019", "https://www.theoutnet.com/en-us/shop/product/donna-karan/sneakers/fashion-sneakers/cristin-faux-fur-trimmed-suede-wedge-sneakers/4225173821054019")</f>
        <v/>
      </c>
      <c r="B239" s="1">
        <f>HYPERLINK("https://www.theoutnet.com/en-us/shop/product/donna-karan/sneakers/fashion-sneakers/cristin-faux-fur-trimmed-suede-wedge-sneakers/4225173821054019", "https://www.theoutnet.com/en-us/shop/product/donna-karan/sneakers/fashion-sneakers/cristin-faux-fur-trimmed-suede-wedge-sneakers/4225173821054019")</f>
        <v/>
      </c>
      <c r="C239" t="inlineStr">
        <is>
          <t>DONNA KARAN</t>
        </is>
      </c>
      <c r="D239" t="inlineStr">
        <is>
          <t>Donna Karan Cashmere Mist Eau de Parfum</t>
        </is>
      </c>
      <c r="E239" s="1">
        <f>HYPERLINK("https://www.amazon.com/Cashmere-Donna-Karan-Women-3-4-Ounces/dp/B0012RST8K/ref=sr_1_6?keywords=DONNA+KARAN&amp;qid=1695343531&amp;sr=8-6", "https://www.amazon.com/Cashmere-Donna-Karan-Women-3-4-Ounces/dp/B0012RST8K/ref=sr_1_6?keywords=DONNA+KARAN&amp;qid=1695343531&amp;sr=8-6")</f>
        <v/>
      </c>
      <c r="F239" t="inlineStr">
        <is>
          <t>B0012RST8K</t>
        </is>
      </c>
      <c r="G239">
        <f>_xlfn.IMAGE("https://www.theoutnet.com/variants/images/4225173821054019/F/w1020_q80.jpg")</f>
        <v/>
      </c>
      <c r="H239">
        <f>_xlfn.IMAGE("https://m.media-amazon.com/images/I/71SfrrMjPML._AC_UL320_.jpg")</f>
        <v/>
      </c>
      <c r="K239" t="inlineStr">
        <is>
          <t>78.0</t>
        </is>
      </c>
      <c r="L239" t="n">
        <v>130</v>
      </c>
      <c r="M239" s="2" t="inlineStr">
        <is>
          <t>66.67%</t>
        </is>
      </c>
      <c r="N239" t="n">
        <v>4.6</v>
      </c>
      <c r="O239" t="n">
        <v>4291</v>
      </c>
      <c r="Q239" t="inlineStr">
        <is>
          <t>InStock</t>
        </is>
      </c>
      <c r="R239" t="inlineStr">
        <is>
          <t>175.0</t>
        </is>
      </c>
      <c r="S239" t="inlineStr">
        <is>
          <t>4</t>
        </is>
      </c>
    </row>
    <row r="240" ht="75" customHeight="1">
      <c r="A240" s="1">
        <f>HYPERLINK("https://www.theoutnet.com/en-us/shop/product/eberjey/swimwear-beachwear/bikini-bottoms/lena-printed-low-rise-bikini-briefs/29419655932774743", "https://www.theoutnet.com/en-us/shop/product/eberjey/swimwear-beachwear/bikini-bottoms/lena-printed-low-rise-bikini-briefs/29419655932774743")</f>
        <v/>
      </c>
      <c r="B240" s="1">
        <f>HYPERLINK("https://www.theoutnet.com/en-us/shop/product/eberjey/swimwear-beachwear/bikini-bottoms/lena-printed-low-rise-bikini-briefs/29419655932774743", "https://www.theoutnet.com/en-us/shop/product/eberjey/swimwear-beachwear/bikini-bottoms/lena-printed-low-rise-bikini-briefs/29419655932774743")</f>
        <v/>
      </c>
      <c r="C240" t="inlineStr">
        <is>
          <t>EBERJEY</t>
        </is>
      </c>
      <c r="D240" t="inlineStr">
        <is>
          <t>Eberjey Gisele Modal Women's Pajama Slouchy Set | Long Sleeve Top w Scoop Neckline</t>
        </is>
      </c>
      <c r="E240" s="1">
        <f>HYPERLINK("https://www.amazon.com/Gisele-Modal-Slouchy-Black-Ivory/dp/B08CS5XV7M/ref=sr_1_7?keywords=EBERJEY&amp;qid=1695343028&amp;sr=8-7", "https://www.amazon.com/Gisele-Modal-Slouchy-Black-Ivory/dp/B08CS5XV7M/ref=sr_1_7?keywords=EBERJEY&amp;qid=1695343028&amp;sr=8-7")</f>
        <v/>
      </c>
      <c r="F240" t="inlineStr">
        <is>
          <t>B08CS5XV7M</t>
        </is>
      </c>
      <c r="G240">
        <f>_xlfn.IMAGE("https://www.theoutnet.com/variants/images/29419655932774743/F/w1020_q80.jpg")</f>
        <v/>
      </c>
      <c r="H240">
        <f>_xlfn.IMAGE("https://m.media-amazon.com/images/I/61MOgS2KxxL._AC_UL320_.jpg")</f>
        <v/>
      </c>
      <c r="K240" t="inlineStr">
        <is>
          <t>23.0</t>
        </is>
      </c>
      <c r="L240" t="n">
        <v>148</v>
      </c>
      <c r="M240" s="2" t="inlineStr">
        <is>
          <t>543.48%</t>
        </is>
      </c>
      <c r="N240" t="n">
        <v>4.3</v>
      </c>
      <c r="O240" t="n">
        <v>80</v>
      </c>
      <c r="Q240" t="inlineStr">
        <is>
          <t>InStock</t>
        </is>
      </c>
      <c r="R240" t="inlineStr">
        <is>
          <t>75.0</t>
        </is>
      </c>
      <c r="S240" t="inlineStr">
        <is>
          <t>2</t>
        </is>
      </c>
    </row>
    <row r="241" ht="75" customHeight="1">
      <c r="A241" s="1">
        <f>HYPERLINK("https://www.theoutnet.com/en-us/shop/product/eberjey/swimwear-beachwear/bikini-bottoms/lena-printed-low-rise-bikini-briefs/29419655932774743", "https://www.theoutnet.com/en-us/shop/product/eberjey/swimwear-beachwear/bikini-bottoms/lena-printed-low-rise-bikini-briefs/29419655932774743")</f>
        <v/>
      </c>
      <c r="B241" s="1">
        <f>HYPERLINK("https://www.theoutnet.com/en-us/shop/product/eberjey/swimwear-beachwear/bikini-bottoms/lena-printed-low-rise-bikini-briefs/29419655932774743", "https://www.theoutnet.com/en-us/shop/product/eberjey/swimwear-beachwear/bikini-bottoms/lena-printed-low-rise-bikini-briefs/29419655932774743")</f>
        <v/>
      </c>
      <c r="C241" t="inlineStr">
        <is>
          <t>EBERJEY</t>
        </is>
      </c>
      <c r="D241" t="inlineStr">
        <is>
          <t>Eberjey Women's Gisele Short Sleeve PJ Set</t>
        </is>
      </c>
      <c r="E241" s="1">
        <f>HYPERLINK("https://www.amazon.com/Eberjey-Womens-Gisele-Two-Piece-Sleepwear/dp/B0185W45ZA/ref=sr_1_3?keywords=EBERJEY&amp;qid=1695343028&amp;sr=8-3", "https://www.amazon.com/Eberjey-Womens-Gisele-Two-Piece-Sleepwear/dp/B0185W45ZA/ref=sr_1_3?keywords=EBERJEY&amp;qid=1695343028&amp;sr=8-3")</f>
        <v/>
      </c>
      <c r="F241" t="inlineStr">
        <is>
          <t>B0185W45ZA</t>
        </is>
      </c>
      <c r="G241">
        <f>_xlfn.IMAGE("https://www.theoutnet.com/variants/images/29419655932774743/F/w1020_q80.jpg")</f>
        <v/>
      </c>
      <c r="H241">
        <f>_xlfn.IMAGE("https://m.media-amazon.com/images/I/71ADFKgy0yL._AC_UL320_.jpg")</f>
        <v/>
      </c>
      <c r="K241" t="inlineStr">
        <is>
          <t>23.0</t>
        </is>
      </c>
      <c r="L241" t="n">
        <v>138</v>
      </c>
      <c r="M241" s="2" t="inlineStr">
        <is>
          <t>500.00%</t>
        </is>
      </c>
      <c r="N241" t="n">
        <v>4.7</v>
      </c>
      <c r="O241" t="n">
        <v>80</v>
      </c>
      <c r="Q241" t="inlineStr">
        <is>
          <t>InStock</t>
        </is>
      </c>
      <c r="R241" t="inlineStr">
        <is>
          <t>75.0</t>
        </is>
      </c>
      <c r="S241" t="inlineStr">
        <is>
          <t>2</t>
        </is>
      </c>
    </row>
    <row r="242" ht="75" customHeight="1">
      <c r="A242" s="1">
        <f>HYPERLINK("https://www.theoutnet.com/en-us/shop/product/eberjey/swimwear-beachwear/bikini-bottoms/lena-printed-low-rise-bikini-briefs/29419655932774743", "https://www.theoutnet.com/en-us/shop/product/eberjey/swimwear-beachwear/bikini-bottoms/lena-printed-low-rise-bikini-briefs/29419655932774743")</f>
        <v/>
      </c>
      <c r="B242" s="1">
        <f>HYPERLINK("https://www.theoutnet.com/en-us/shop/product/eberjey/swimwear-beachwear/bikini-bottoms/lena-printed-low-rise-bikini-briefs/29419655932774743", "https://www.theoutnet.com/en-us/shop/product/eberjey/swimwear-beachwear/bikini-bottoms/lena-printed-low-rise-bikini-briefs/29419655932774743")</f>
        <v/>
      </c>
      <c r="C242" t="inlineStr">
        <is>
          <t>EBERJEY</t>
        </is>
      </c>
      <c r="D242" t="inlineStr">
        <is>
          <t>Eberjey Women's Gisele Long PJ Set</t>
        </is>
      </c>
      <c r="E242" s="1">
        <f>HYPERLINK("https://www.amazon.com/Eberjey-Gisele-Set-Black-Medium/dp/B005LC8EOQ/ref=sr_1_1?keywords=EBERJEY&amp;qid=1695343028&amp;sr=8-1", "https://www.amazon.com/Eberjey-Gisele-Set-Black-Medium/dp/B005LC8EOQ/ref=sr_1_1?keywords=EBERJEY&amp;qid=1695343028&amp;sr=8-1")</f>
        <v/>
      </c>
      <c r="F242" t="inlineStr">
        <is>
          <t>B005LC8EOQ</t>
        </is>
      </c>
      <c r="G242">
        <f>_xlfn.IMAGE("https://www.theoutnet.com/variants/images/29419655932774743/F/w1020_q80.jpg")</f>
        <v/>
      </c>
      <c r="H242">
        <f>_xlfn.IMAGE("https://m.media-amazon.com/images/I/61l4a078mrL._MCnd_AC_UL320_.jpg")</f>
        <v/>
      </c>
      <c r="K242" t="inlineStr">
        <is>
          <t>23.0</t>
        </is>
      </c>
      <c r="L242" t="n">
        <v>129</v>
      </c>
      <c r="M242" s="2" t="inlineStr">
        <is>
          <t>460.87%</t>
        </is>
      </c>
      <c r="N242" t="n">
        <v>4.5</v>
      </c>
      <c r="O242" t="n">
        <v>572</v>
      </c>
      <c r="Q242" t="inlineStr">
        <is>
          <t>InStock</t>
        </is>
      </c>
      <c r="R242" t="inlineStr">
        <is>
          <t>75.0</t>
        </is>
      </c>
      <c r="S242" t="inlineStr">
        <is>
          <t>2</t>
        </is>
      </c>
    </row>
    <row r="243" ht="75" customHeight="1">
      <c r="A243" s="1">
        <f>HYPERLINK("https://www.theoutnet.com/en-us/shop/product/eberjey/swimwear-beachwear/bikini-bottoms/lena-printed-low-rise-bikini-briefs/29419655932774743", "https://www.theoutnet.com/en-us/shop/product/eberjey/swimwear-beachwear/bikini-bottoms/lena-printed-low-rise-bikini-briefs/29419655932774743")</f>
        <v/>
      </c>
      <c r="B243" s="1">
        <f>HYPERLINK("https://www.theoutnet.com/en-us/shop/product/eberjey/swimwear-beachwear/bikini-bottoms/lena-printed-low-rise-bikini-briefs/29419655932774743", "https://www.theoutnet.com/en-us/shop/product/eberjey/swimwear-beachwear/bikini-bottoms/lena-printed-low-rise-bikini-briefs/29419655932774743")</f>
        <v/>
      </c>
      <c r="C243" t="inlineStr">
        <is>
          <t>EBERJEY</t>
        </is>
      </c>
      <c r="D243" t="inlineStr">
        <is>
          <t>Eberjey Gisele Relaxed Women's Short PJ Set</t>
        </is>
      </c>
      <c r="E243" s="1">
        <f>HYPERLINK("https://www.amazon.com/Eberjey-Womens-Tencel-Relaxed-Italian/dp/B0BTHPLGWT/ref=sr_1_2?keywords=EBERJEY&amp;qid=1695343028&amp;sr=8-2", "https://www.amazon.com/Eberjey-Womens-Tencel-Relaxed-Italian/dp/B0BTHPLGWT/ref=sr_1_2?keywords=EBERJEY&amp;qid=1695343028&amp;sr=8-2")</f>
        <v/>
      </c>
      <c r="F243" t="inlineStr">
        <is>
          <t>B0BTHPLGWT</t>
        </is>
      </c>
      <c r="G243">
        <f>_xlfn.IMAGE("https://www.theoutnet.com/variants/images/29419655932774743/F/w1020_q80.jpg")</f>
        <v/>
      </c>
      <c r="H243">
        <f>_xlfn.IMAGE("https://m.media-amazon.com/images/I/71RMpQiedqL._AC_UL320_.jpg")</f>
        <v/>
      </c>
      <c r="K243" t="inlineStr">
        <is>
          <t>23.0</t>
        </is>
      </c>
      <c r="L243" t="n">
        <v>128</v>
      </c>
      <c r="M243" s="2" t="inlineStr">
        <is>
          <t>456.52%</t>
        </is>
      </c>
      <c r="N243" t="n">
        <v>4.6</v>
      </c>
      <c r="O243" t="n">
        <v>44</v>
      </c>
      <c r="Q243" t="inlineStr">
        <is>
          <t>InStock</t>
        </is>
      </c>
      <c r="R243" t="inlineStr">
        <is>
          <t>75.0</t>
        </is>
      </c>
      <c r="S243" t="inlineStr">
        <is>
          <t>2</t>
        </is>
      </c>
    </row>
    <row r="244" ht="75" customHeight="1">
      <c r="A244" s="1">
        <f>HYPERLINK("https://www.theoutnet.com/en-us/shop/product/eberjey/swimwear-beachwear/bikini-bottoms/lena-printed-low-rise-bikini-briefs/29419655932774743", "https://www.theoutnet.com/en-us/shop/product/eberjey/swimwear-beachwear/bikini-bottoms/lena-printed-low-rise-bikini-briefs/29419655932774743")</f>
        <v/>
      </c>
      <c r="B244" s="1">
        <f>HYPERLINK("https://www.theoutnet.com/en-us/shop/product/eberjey/swimwear-beachwear/bikini-bottoms/lena-printed-low-rise-bikini-briefs/29419655932774743", "https://www.theoutnet.com/en-us/shop/product/eberjey/swimwear-beachwear/bikini-bottoms/lena-printed-low-rise-bikini-briefs/29419655932774743")</f>
        <v/>
      </c>
      <c r="C244" t="inlineStr">
        <is>
          <t>EBERJEY</t>
        </is>
      </c>
      <c r="D244" t="inlineStr">
        <is>
          <t>Eberjey Naya - The Double Inset Teddy</t>
        </is>
      </c>
      <c r="E244" s="1">
        <f>HYPERLINK("https://www.amazon.com/Eberjey-Womens-Double-Inset-Teddy/dp/B082LFQRL7/ref=sr_1_5?keywords=EBERJEY&amp;qid=1695343028&amp;sr=8-5", "https://www.amazon.com/Eberjey-Womens-Double-Inset-Teddy/dp/B082LFQRL7/ref=sr_1_5?keywords=EBERJEY&amp;qid=1695343028&amp;sr=8-5")</f>
        <v/>
      </c>
      <c r="F244" t="inlineStr">
        <is>
          <t>B082LFQRL7</t>
        </is>
      </c>
      <c r="G244">
        <f>_xlfn.IMAGE("https://www.theoutnet.com/variants/images/29419655932774743/F/w1020_q80.jpg")</f>
        <v/>
      </c>
      <c r="H244">
        <f>_xlfn.IMAGE("https://m.media-amazon.com/images/I/71X3q23h9vL._AC_UL320_.jpg")</f>
        <v/>
      </c>
      <c r="K244" t="inlineStr">
        <is>
          <t>23.0</t>
        </is>
      </c>
      <c r="L244" t="n">
        <v>128</v>
      </c>
      <c r="M244" s="2" t="inlineStr">
        <is>
          <t>456.52%</t>
        </is>
      </c>
      <c r="N244" t="n">
        <v>4.6</v>
      </c>
      <c r="O244" t="n">
        <v>3</v>
      </c>
      <c r="Q244" t="inlineStr">
        <is>
          <t>InStock</t>
        </is>
      </c>
      <c r="R244" t="inlineStr">
        <is>
          <t>75.0</t>
        </is>
      </c>
      <c r="S244" t="inlineStr">
        <is>
          <t>2</t>
        </is>
      </c>
    </row>
    <row r="245" ht="75" customHeight="1">
      <c r="A245" s="1">
        <f>HYPERLINK("https://www.theoutnet.com/en-us/shop/product/eberjey/swimwear-beachwear/bikini-bottoms/lena-printed-low-rise-bikini-briefs/29419655932774743", "https://www.theoutnet.com/en-us/shop/product/eberjey/swimwear-beachwear/bikini-bottoms/lena-printed-low-rise-bikini-briefs/29419655932774743")</f>
        <v/>
      </c>
      <c r="B245" s="1">
        <f>HYPERLINK("https://www.theoutnet.com/en-us/shop/product/eberjey/swimwear-beachwear/bikini-bottoms/lena-printed-low-rise-bikini-briefs/29419655932774743", "https://www.theoutnet.com/en-us/shop/product/eberjey/swimwear-beachwear/bikini-bottoms/lena-printed-low-rise-bikini-briefs/29419655932774743")</f>
        <v/>
      </c>
      <c r="C245" t="inlineStr">
        <is>
          <t>EBERJEY</t>
        </is>
      </c>
      <c r="D245" t="inlineStr">
        <is>
          <t>Eberjey Women's Mariana Chemise</t>
        </is>
      </c>
      <c r="E245" s="1">
        <f>HYPERLINK("https://www.amazon.com/Eberjey-Mariana-Mademoiselle-Chemise-Women/dp/B0BQ345ZZL/ref=sr_1_10?keywords=EBERJEY&amp;qid=1695343028&amp;sr=8-10", "https://www.amazon.com/Eberjey-Mariana-Mademoiselle-Chemise-Women/dp/B0BQ345ZZL/ref=sr_1_10?keywords=EBERJEY&amp;qid=1695343028&amp;sr=8-10")</f>
        <v/>
      </c>
      <c r="F245" t="inlineStr">
        <is>
          <t>B0BQ345ZZL</t>
        </is>
      </c>
      <c r="G245">
        <f>_xlfn.IMAGE("https://www.theoutnet.com/variants/images/29419655932774743/F/w1020_q80.jpg")</f>
        <v/>
      </c>
      <c r="H245">
        <f>_xlfn.IMAGE("https://m.media-amazon.com/images/I/71K1hrF5gkL._AC_UL320_.jpg")</f>
        <v/>
      </c>
      <c r="K245" t="inlineStr">
        <is>
          <t>23.0</t>
        </is>
      </c>
      <c r="L245" t="n">
        <v>128</v>
      </c>
      <c r="M245" s="2" t="inlineStr">
        <is>
          <t>456.52%</t>
        </is>
      </c>
      <c r="N245" t="n">
        <v>5</v>
      </c>
      <c r="O245" t="n">
        <v>2</v>
      </c>
      <c r="Q245" t="inlineStr">
        <is>
          <t>InStock</t>
        </is>
      </c>
      <c r="R245" t="inlineStr">
        <is>
          <t>75.0</t>
        </is>
      </c>
      <c r="S245" t="inlineStr">
        <is>
          <t>2</t>
        </is>
      </c>
    </row>
    <row r="246" ht="75" customHeight="1">
      <c r="A246" s="1">
        <f>HYPERLINK("https://www.theoutnet.com/en-us/shop/product/eberjey/swimwear-beachwear/bikini-bottoms/lena-printed-low-rise-bikini-briefs/29419655932774743", "https://www.theoutnet.com/en-us/shop/product/eberjey/swimwear-beachwear/bikini-bottoms/lena-printed-low-rise-bikini-briefs/29419655932774743")</f>
        <v/>
      </c>
      <c r="B246" s="1">
        <f>HYPERLINK("https://www.theoutnet.com/en-us/shop/product/eberjey/swimwear-beachwear/bikini-bottoms/lena-printed-low-rise-bikini-briefs/29419655932774743", "https://www.theoutnet.com/en-us/shop/product/eberjey/swimwear-beachwear/bikini-bottoms/lena-printed-low-rise-bikini-briefs/29419655932774743")</f>
        <v/>
      </c>
      <c r="C246" t="inlineStr">
        <is>
          <t>EBERJEY</t>
        </is>
      </c>
      <c r="D246" t="inlineStr">
        <is>
          <t>Eberjey Gisele Classic Women's Pajama Set | Short Sleeve Button Down Shirt w Front Pocket, Shorts w Elastic Waist</t>
        </is>
      </c>
      <c r="E246" s="1">
        <f>HYPERLINK("https://www.amazon.com/eberjey-Womens-Gisele-Two-Piece-Sleepwear/dp/B007U35MSU/ref=sr_1_9?keywords=EBERJEY&amp;qid=1695343028&amp;sr=8-9", "https://www.amazon.com/eberjey-Womens-Gisele-Two-Piece-Sleepwear/dp/B007U35MSU/ref=sr_1_9?keywords=EBERJEY&amp;qid=1695343028&amp;sr=8-9")</f>
        <v/>
      </c>
      <c r="F246" t="inlineStr">
        <is>
          <t>B007U35MSU</t>
        </is>
      </c>
      <c r="G246">
        <f>_xlfn.IMAGE("https://www.theoutnet.com/variants/images/29419655932774743/F/w1020_q80.jpg")</f>
        <v/>
      </c>
      <c r="H246">
        <f>_xlfn.IMAGE("https://m.media-amazon.com/images/I/91a1ghL7A0L._AC_UL320_.jpg")</f>
        <v/>
      </c>
      <c r="K246" t="inlineStr">
        <is>
          <t>23.0</t>
        </is>
      </c>
      <c r="L246" t="n">
        <v>118</v>
      </c>
      <c r="M246" s="2" t="inlineStr">
        <is>
          <t>413.04%</t>
        </is>
      </c>
      <c r="N246" t="n">
        <v>4.3</v>
      </c>
      <c r="O246" t="n">
        <v>183</v>
      </c>
      <c r="Q246" t="inlineStr">
        <is>
          <t>InStock</t>
        </is>
      </c>
      <c r="R246" t="inlineStr">
        <is>
          <t>75.0</t>
        </is>
      </c>
      <c r="S246" t="inlineStr">
        <is>
          <t>2</t>
        </is>
      </c>
    </row>
    <row r="247" ht="75" customHeight="1">
      <c r="A247" s="1">
        <f>HYPERLINK("https://www.theoutnet.com/en-us/shop/product/enza-costa/knitwear/crew-neck-sweaters/off-the-shoulder-ribbed-knit-sweater/1647597327049146", "https://www.theoutnet.com/en-us/shop/product/enza-costa/knitwear/crew-neck-sweaters/off-the-shoulder-ribbed-knit-sweater/1647597327049146")</f>
        <v/>
      </c>
      <c r="B247" s="1">
        <f>HYPERLINK("https://www.theoutnet.com/en-us/shop/product/enza-costa/knitwear/crew-neck-sweaters/off-the-shoulder-ribbed-knit-sweater/1647597327049146", "https://www.theoutnet.com/en-us/shop/product/enza-costa/knitwear/crew-neck-sweaters/off-the-shoulder-ribbed-knit-sweater/1647597327049146")</f>
        <v/>
      </c>
      <c r="C247" t="inlineStr">
        <is>
          <t>ENZA COSTA</t>
        </is>
      </c>
      <c r="D247" t="inlineStr">
        <is>
          <t>Enza Costa Women’s Cashmere Blend Cuffed Crew Top with Thumbholes</t>
        </is>
      </c>
      <c r="E247" s="1">
        <f>HYPERLINK("https://www.amazon.com/Enza-Costa-Womens-Cashmere-Thumbhole/dp/B075WKZWGM/ref=sr_1_2?keywords=ENZA+COSTA&amp;qid=1695343354&amp;sr=8-2", "https://www.amazon.com/Enza-Costa-Womens-Cashmere-Thumbhole/dp/B075WKZWGM/ref=sr_1_2?keywords=ENZA+COSTA&amp;qid=1695343354&amp;sr=8-2")</f>
        <v/>
      </c>
      <c r="F247" t="inlineStr">
        <is>
          <t>B075WKZWGM</t>
        </is>
      </c>
      <c r="G247">
        <f>_xlfn.IMAGE("https://www.theoutnet.com/variants/images/1647597327049146/F/w1020_q80.jpg")</f>
        <v/>
      </c>
      <c r="H247">
        <f>_xlfn.IMAGE("https://m.media-amazon.com/images/I/91S7f0wl2CL._AC_UL320_.jpg")</f>
        <v/>
      </c>
      <c r="K247" t="inlineStr">
        <is>
          <t>99.0</t>
        </is>
      </c>
      <c r="L247" t="n">
        <v>163</v>
      </c>
      <c r="M247" s="2" t="inlineStr">
        <is>
          <t>64.65%</t>
        </is>
      </c>
      <c r="N247" t="n">
        <v>4.1</v>
      </c>
      <c r="O247" t="n">
        <v>158</v>
      </c>
      <c r="Q247" t="inlineStr">
        <is>
          <t>InStock</t>
        </is>
      </c>
      <c r="R247" t="inlineStr">
        <is>
          <t>198.0</t>
        </is>
      </c>
      <c r="S247" t="inlineStr">
        <is>
          <t>6</t>
        </is>
      </c>
    </row>
    <row r="248" ht="75" customHeight="1">
      <c r="A248" s="1">
        <f>HYPERLINK("https://www.theoutnet.com/en-us/shop/product/enza-costa/knitwear/crew-neck-sweaters/one-shoulder-ribbed-knit-top/1647597327068477", "https://www.theoutnet.com/en-us/shop/product/enza-costa/knitwear/crew-neck-sweaters/one-shoulder-ribbed-knit-top/1647597327068477")</f>
        <v/>
      </c>
      <c r="B248" s="1">
        <f>HYPERLINK("https://www.theoutnet.com/en-us/shop/product/enza-costa/knitwear/crew-neck-sweaters/one-shoulder-ribbed-knit-top/1647597327068477", "https://www.theoutnet.com/en-us/shop/product/enza-costa/knitwear/crew-neck-sweaters/one-shoulder-ribbed-knit-top/1647597327068477")</f>
        <v/>
      </c>
      <c r="C248" t="inlineStr">
        <is>
          <t>ENZA COSTA</t>
        </is>
      </c>
      <c r="D248" t="inlineStr">
        <is>
          <t>Enza Costa Women’s Cashmere Blend Cuffed Crew Top with Thumbholes</t>
        </is>
      </c>
      <c r="E248" s="1">
        <f>HYPERLINK("https://www.amazon.com/Enza-Costa-Womens-Cashmere-Thumbhole/dp/B075WKZWGM/ref=sr_1_4?keywords=ENZA+COSTA&amp;qid=1695343338&amp;sr=8-4", "https://www.amazon.com/Enza-Costa-Womens-Cashmere-Thumbhole/dp/B075WKZWGM/ref=sr_1_4?keywords=ENZA+COSTA&amp;qid=1695343338&amp;sr=8-4")</f>
        <v/>
      </c>
      <c r="F248" t="inlineStr">
        <is>
          <t>B075WKZWGM</t>
        </is>
      </c>
      <c r="G248">
        <f>_xlfn.IMAGE("https://www.theoutnet.com/variants/images/1647597327068477/F/w1020_q80.jpg")</f>
        <v/>
      </c>
      <c r="H248">
        <f>_xlfn.IMAGE("https://m.media-amazon.com/images/I/91S7f0wl2CL._AC_UL320_.jpg")</f>
        <v/>
      </c>
      <c r="K248" t="inlineStr">
        <is>
          <t>83.0</t>
        </is>
      </c>
      <c r="L248" t="n">
        <v>163</v>
      </c>
      <c r="M248" s="2" t="inlineStr">
        <is>
          <t>96.39%</t>
        </is>
      </c>
      <c r="N248" t="n">
        <v>4.1</v>
      </c>
      <c r="O248" t="n">
        <v>158</v>
      </c>
      <c r="Q248" t="inlineStr">
        <is>
          <t>InStock</t>
        </is>
      </c>
      <c r="R248" t="inlineStr">
        <is>
          <t>165.0</t>
        </is>
      </c>
      <c r="S248" t="inlineStr">
        <is>
          <t>1647597327068477</t>
        </is>
      </c>
    </row>
    <row r="249" ht="75" customHeight="1">
      <c r="A249" s="1">
        <f>HYPERLINK("https://www.theoutnet.com/en-us/shop/product/enza-costa/tops/long-sleeved-top/ribbed-jersey-top/1647597318003174", "https://www.theoutnet.com/en-us/shop/product/enza-costa/tops/long-sleeved-top/ribbed-jersey-top/1647597318003174")</f>
        <v/>
      </c>
      <c r="B249" s="1">
        <f>HYPERLINK("https://www.theoutnet.com/en-us/shop/product/enza-costa/tops/long-sleeved-top/ribbed-jersey-top/1647597318003174", "https://www.theoutnet.com/en-us/shop/product/enza-costa/tops/long-sleeved-top/ribbed-jersey-top/1647597318003174")</f>
        <v/>
      </c>
      <c r="C249" t="inlineStr">
        <is>
          <t>ENZA COSTA</t>
        </is>
      </c>
      <c r="D249" t="inlineStr">
        <is>
          <t>Enza Costa Women’s Cashmere Blend Cuffed Crew Top with Thumbholes</t>
        </is>
      </c>
      <c r="E249" s="1">
        <f>HYPERLINK("https://www.amazon.com/Enza-Costa-Womens-Cashmere-Thumbhole/dp/B075WKZWGM/ref=sr_1_3?keywords=ENZA+COSTA&amp;qid=1695343335&amp;sr=8-3", "https://www.amazon.com/Enza-Costa-Womens-Cashmere-Thumbhole/dp/B075WKZWGM/ref=sr_1_3?keywords=ENZA+COSTA&amp;qid=1695343335&amp;sr=8-3")</f>
        <v/>
      </c>
      <c r="F249" t="inlineStr">
        <is>
          <t>B075WKZWGM</t>
        </is>
      </c>
      <c r="G249">
        <f>_xlfn.IMAGE("https://www.theoutnet.com/variants/images/1647597318003174/F/w1020_q80.jpg")</f>
        <v/>
      </c>
      <c r="H249">
        <f>_xlfn.IMAGE("https://m.media-amazon.com/images/I/91S7f0wl2CL._AC_UL320_.jpg")</f>
        <v/>
      </c>
      <c r="K249" t="inlineStr">
        <is>
          <t>70.0</t>
        </is>
      </c>
      <c r="L249" t="n">
        <v>163</v>
      </c>
      <c r="M249" s="2" t="inlineStr">
        <is>
          <t>132.86%</t>
        </is>
      </c>
      <c r="N249" t="n">
        <v>4.1</v>
      </c>
      <c r="O249" t="n">
        <v>158</v>
      </c>
      <c r="Q249" t="inlineStr">
        <is>
          <t>InStock</t>
        </is>
      </c>
      <c r="R249" t="inlineStr">
        <is>
          <t>154.0</t>
        </is>
      </c>
      <c r="S249" t="inlineStr">
        <is>
          <t>1</t>
        </is>
      </c>
    </row>
    <row r="250" ht="75" customHeight="1">
      <c r="A250" s="1">
        <f>HYPERLINK("https://www.theoutnet.com/en-us/shop/product/frame/tops/short-sleeved-top/twill-shirt/1647597299338673", "https://www.theoutnet.com/en-us/shop/product/frame/tops/short-sleeved-top/twill-shirt/1647597299338673")</f>
        <v/>
      </c>
      <c r="B250" s="1">
        <f>HYPERLINK("https://www.theoutnet.com/en-us/shop/product/frame/tops/short-sleeved-top/twill-shirt/1647597299338673", "https://www.theoutnet.com/en-us/shop/product/frame/tops/short-sleeved-top/twill-shirt/1647597299338673")</f>
        <v/>
      </c>
      <c r="C250" t="inlineStr">
        <is>
          <t>Twill shirt</t>
        </is>
      </c>
      <c r="D250" t="inlineStr">
        <is>
          <t>Vince Men's Cotton Twill Shirt Jacket</t>
        </is>
      </c>
      <c r="E250" s="1">
        <f>HYPERLINK("https://www.amazon.com/Vince-Cotton-Twill-Shirt-Jacket/dp/B094DXGKK7/ref=sr_1_6?keywords=Twill+shirt&amp;qid=1695343074&amp;sr=8-6", "https://www.amazon.com/Vince-Cotton-Twill-Shirt-Jacket/dp/B094DXGKK7/ref=sr_1_6?keywords=Twill+shirt&amp;qid=1695343074&amp;sr=8-6")</f>
        <v/>
      </c>
      <c r="F250" t="inlineStr">
        <is>
          <t>B094DXGKK7</t>
        </is>
      </c>
      <c r="G250">
        <f>_xlfn.IMAGE("https://www.theoutnet.com/variants/images/1647597299338673/F/w1020_q80.jpg")</f>
        <v/>
      </c>
      <c r="H250">
        <f>_xlfn.IMAGE("https://m.media-amazon.com/images/I/81+fhtpmnVL._AC_UL320_.jpg")</f>
        <v/>
      </c>
      <c r="K250" t="inlineStr">
        <is>
          <t>140.0</t>
        </is>
      </c>
      <c r="L250" t="n">
        <v>322.71</v>
      </c>
      <c r="M250" s="2" t="inlineStr">
        <is>
          <t>130.51%</t>
        </is>
      </c>
      <c r="N250" t="n">
        <v>5</v>
      </c>
      <c r="O250" t="n">
        <v>1</v>
      </c>
      <c r="Q250" t="inlineStr">
        <is>
          <t>InStock</t>
        </is>
      </c>
      <c r="R250" t="inlineStr">
        <is>
          <t>313.0</t>
        </is>
      </c>
      <c r="S250" t="inlineStr">
        <is>
          <t>1647597299338673</t>
        </is>
      </c>
    </row>
    <row r="251" ht="75" customHeight="1">
      <c r="A251" s="1">
        <f>HYPERLINK("https://www.theoutnet.com/en-us/shop/product/french-sole/flat-shoes/ballet-flats/amelia-croc-effect-patent-leather-ballet-flats/1647597282977885", "https://www.theoutnet.com/en-us/shop/product/french-sole/flat-shoes/ballet-flats/amelia-croc-effect-patent-leather-ballet-flats/1647597282977885")</f>
        <v/>
      </c>
      <c r="B251" s="1">
        <f>HYPERLINK("https://www.theoutnet.com/en-us/shop/product/french-sole/flat-shoes/ballet-flats/amelia-croc-effect-patent-leather-ballet-flats/1647597282977885", "https://www.theoutnet.com/en-us/shop/product/french-sole/flat-shoes/ballet-flats/amelia-croc-effect-patent-leather-ballet-flats/1647597282977885")</f>
        <v/>
      </c>
      <c r="C251" t="inlineStr">
        <is>
          <t>FRENCH SOLE</t>
        </is>
      </c>
      <c r="D251" t="inlineStr">
        <is>
          <t>French Sole FS/NY Women's Passport Ballet Flat</t>
        </is>
      </c>
      <c r="E251" s="1">
        <f>HYPERLINK("https://www.amazon.com/French-Sole-FS-NY-Passport/dp/B001A6FFYO/ref=sr_1_2?keywords=FRENCH+SOLE&amp;qid=1695343541&amp;sr=8-2", "https://www.amazon.com/French-Sole-FS-NY-Passport/dp/B001A6FFYO/ref=sr_1_2?keywords=FRENCH+SOLE&amp;qid=1695343541&amp;sr=8-2")</f>
        <v/>
      </c>
      <c r="F251" t="inlineStr">
        <is>
          <t>B001A6FFYO</t>
        </is>
      </c>
      <c r="G251">
        <f>_xlfn.IMAGE("https://www.theoutnet.com/variants/images/1647597282977885/F/w1020_q80.jpg")</f>
        <v/>
      </c>
      <c r="H251">
        <f>_xlfn.IMAGE("https://m.media-amazon.com/images/I/8164Dxr0MuL._AC_UL320_.jpg")</f>
        <v/>
      </c>
      <c r="K251" t="inlineStr">
        <is>
          <t>90.0</t>
        </is>
      </c>
      <c r="L251" t="n">
        <v>204.95</v>
      </c>
      <c r="M251" s="2" t="inlineStr">
        <is>
          <t>127.72%</t>
        </is>
      </c>
      <c r="N251" t="n">
        <v>4.4</v>
      </c>
      <c r="O251" t="n">
        <v>105</v>
      </c>
      <c r="Q251" t="inlineStr">
        <is>
          <t>InStock</t>
        </is>
      </c>
      <c r="R251" t="inlineStr">
        <is>
          <t>179.0</t>
        </is>
      </c>
      <c r="S251" t="inlineStr">
        <is>
          <t>1647597282977885</t>
        </is>
      </c>
    </row>
    <row r="252" ht="75" customHeight="1">
      <c r="A252" s="1">
        <f>HYPERLINK("https://www.theoutnet.com/en-us/shop/product/french-sole/flat-shoes/ballet-flats/amelia-croc-effect-patent-leather-ballet-flats/1647597282977885", "https://www.theoutnet.com/en-us/shop/product/french-sole/flat-shoes/ballet-flats/amelia-croc-effect-patent-leather-ballet-flats/1647597282977885")</f>
        <v/>
      </c>
      <c r="B252" s="1">
        <f>HYPERLINK("https://www.theoutnet.com/en-us/shop/product/french-sole/flat-shoes/ballet-flats/amelia-croc-effect-patent-leather-ballet-flats/1647597282977885", "https://www.theoutnet.com/en-us/shop/product/french-sole/flat-shoes/ballet-flats/amelia-croc-effect-patent-leather-ballet-flats/1647597282977885")</f>
        <v/>
      </c>
      <c r="C252" t="inlineStr">
        <is>
          <t>FRENCH SOLE</t>
        </is>
      </c>
      <c r="D252" t="inlineStr">
        <is>
          <t>French Sole FS/NY Women's Jigsaw Ballet Flat</t>
        </is>
      </c>
      <c r="E252" s="1">
        <f>HYPERLINK("https://www.amazon.com/French-Sole-FS-NY-Jigsaw/dp/B00FRGQKH4/ref=sr_1_10?keywords=FRENCH+SOLE&amp;qid=1695343541&amp;sr=8-10", "https://www.amazon.com/French-Sole-FS-NY-Jigsaw/dp/B00FRGQKH4/ref=sr_1_10?keywords=FRENCH+SOLE&amp;qid=1695343541&amp;sr=8-10")</f>
        <v/>
      </c>
      <c r="F252" t="inlineStr">
        <is>
          <t>B00FRGQKH4</t>
        </is>
      </c>
      <c r="G252">
        <f>_xlfn.IMAGE("https://www.theoutnet.com/variants/images/1647597282977885/F/w1020_q80.jpg")</f>
        <v/>
      </c>
      <c r="H252">
        <f>_xlfn.IMAGE("https://m.media-amazon.com/images/I/61KJQz42DJL._AC_UL320_.jpg")</f>
        <v/>
      </c>
      <c r="K252" t="inlineStr">
        <is>
          <t>90.0</t>
        </is>
      </c>
      <c r="L252" t="n">
        <v>199.95</v>
      </c>
      <c r="M252" s="2" t="inlineStr">
        <is>
          <t>122.17%</t>
        </is>
      </c>
      <c r="N252" t="n">
        <v>4.6</v>
      </c>
      <c r="O252" t="n">
        <v>56</v>
      </c>
      <c r="Q252" t="inlineStr">
        <is>
          <t>InStock</t>
        </is>
      </c>
      <c r="R252" t="inlineStr">
        <is>
          <t>179.0</t>
        </is>
      </c>
      <c r="S252" t="inlineStr">
        <is>
          <t>1647597282977885</t>
        </is>
      </c>
    </row>
    <row r="253" ht="75" customHeight="1">
      <c r="A253" s="1">
        <f>HYPERLINK("https://www.theoutnet.com/en-us/shop/product/french-sole/flat-shoes/ballet-flats/amelia-croc-effect-patent-leather-ballet-flats/1647597282977885", "https://www.theoutnet.com/en-us/shop/product/french-sole/flat-shoes/ballet-flats/amelia-croc-effect-patent-leather-ballet-flats/1647597282977885")</f>
        <v/>
      </c>
      <c r="B253" s="1">
        <f>HYPERLINK("https://www.theoutnet.com/en-us/shop/product/french-sole/flat-shoes/ballet-flats/amelia-croc-effect-patent-leather-ballet-flats/1647597282977885", "https://www.theoutnet.com/en-us/shop/product/french-sole/flat-shoes/ballet-flats/amelia-croc-effect-patent-leather-ballet-flats/1647597282977885")</f>
        <v/>
      </c>
      <c r="C253" t="inlineStr">
        <is>
          <t>FRENCH SOLE</t>
        </is>
      </c>
      <c r="D253" t="inlineStr">
        <is>
          <t>French Sole Nicky Hilton- Paris</t>
        </is>
      </c>
      <c r="E253" s="1">
        <f>HYPERLINK("https://www.amazon.com/French-Sole-Nicky-Hilton-Cheetah/dp/B07RFSFS5R/ref=sr_1_5?keywords=FRENCH+SOLE&amp;qid=1695343541&amp;sr=8-5", "https://www.amazon.com/French-Sole-Nicky-Hilton-Cheetah/dp/B07RFSFS5R/ref=sr_1_5?keywords=FRENCH+SOLE&amp;qid=1695343541&amp;sr=8-5")</f>
        <v/>
      </c>
      <c r="F253" t="inlineStr">
        <is>
          <t>B07RFSFS5R</t>
        </is>
      </c>
      <c r="G253">
        <f>_xlfn.IMAGE("https://www.theoutnet.com/variants/images/1647597282977885/F/w1020_q80.jpg")</f>
        <v/>
      </c>
      <c r="H253">
        <f>_xlfn.IMAGE("https://m.media-amazon.com/images/I/61PbekW2FpL._AC_UL320_.jpg")</f>
        <v/>
      </c>
      <c r="K253" t="inlineStr">
        <is>
          <t>90.0</t>
        </is>
      </c>
      <c r="L253" t="n">
        <v>165</v>
      </c>
      <c r="M253" s="2" t="inlineStr">
        <is>
          <t>83.33%</t>
        </is>
      </c>
      <c r="N253" t="n">
        <v>5</v>
      </c>
      <c r="O253" t="n">
        <v>2</v>
      </c>
      <c r="Q253" t="inlineStr">
        <is>
          <t>InStock</t>
        </is>
      </c>
      <c r="R253" t="inlineStr">
        <is>
          <t>179.0</t>
        </is>
      </c>
      <c r="S253" t="inlineStr">
        <is>
          <t>1647597282977885</t>
        </is>
      </c>
    </row>
    <row r="254" ht="75" customHeight="1">
      <c r="A254" s="1">
        <f>HYPERLINK("https://www.theoutnet.com/en-us/shop/product/french-sole/flat-shoes/ballet-flats/amelia-croc-effect-patent-leather-ballet-flats/1647597282977885", "https://www.theoutnet.com/en-us/shop/product/french-sole/flat-shoes/ballet-flats/amelia-croc-effect-patent-leather-ballet-flats/1647597282977885")</f>
        <v/>
      </c>
      <c r="B254" s="1">
        <f>HYPERLINK("https://www.theoutnet.com/en-us/shop/product/french-sole/flat-shoes/ballet-flats/amelia-croc-effect-patent-leather-ballet-flats/1647597282977885", "https://www.theoutnet.com/en-us/shop/product/french-sole/flat-shoes/ballet-flats/amelia-croc-effect-patent-leather-ballet-flats/1647597282977885")</f>
        <v/>
      </c>
      <c r="C254" t="inlineStr">
        <is>
          <t>FRENCH SOLE</t>
        </is>
      </c>
      <c r="D254" t="inlineStr">
        <is>
          <t>French Sole Women's Trance Pump</t>
        </is>
      </c>
      <c r="E254" s="1">
        <f>HYPERLINK("https://www.amazon.com/French-Sole-Trance-Gold-Glimmer/dp/B0B9Y5VHR8/ref=sr_1_3?keywords=FRENCH+SOLE&amp;qid=1695343541&amp;sr=8-3", "https://www.amazon.com/French-Sole-Trance-Gold-Glimmer/dp/B0B9Y5VHR8/ref=sr_1_3?keywords=FRENCH+SOLE&amp;qid=1695343541&amp;sr=8-3")</f>
        <v/>
      </c>
      <c r="F254" t="inlineStr">
        <is>
          <t>B0B9Y5VHR8</t>
        </is>
      </c>
      <c r="G254">
        <f>_xlfn.IMAGE("https://www.theoutnet.com/variants/images/1647597282977885/F/w1020_q80.jpg")</f>
        <v/>
      </c>
      <c r="H254">
        <f>_xlfn.IMAGE("https://m.media-amazon.com/images/I/61mA3OFubiL._AC_UL320_.jpg")</f>
        <v/>
      </c>
      <c r="K254" t="inlineStr">
        <is>
          <t>90.0</t>
        </is>
      </c>
      <c r="L254" t="n">
        <v>151.7</v>
      </c>
      <c r="M254" s="2" t="inlineStr">
        <is>
          <t>68.56%</t>
        </is>
      </c>
      <c r="N254" t="n">
        <v>3.9</v>
      </c>
      <c r="O254" t="n">
        <v>7</v>
      </c>
      <c r="Q254" t="inlineStr">
        <is>
          <t>InStock</t>
        </is>
      </c>
      <c r="R254" t="inlineStr">
        <is>
          <t>179.0</t>
        </is>
      </c>
      <c r="S254" t="inlineStr">
        <is>
          <t>1647597282977885</t>
        </is>
      </c>
    </row>
    <row r="255" ht="75" customHeight="1">
      <c r="A255" s="1">
        <f>HYPERLINK("https://www.theoutnet.com/en-us/shop/product/french-sole/flat-shoes/ballet-flats/amelia-croc-effect-patent-leather-ballet-flats/1647597282977885", "https://www.theoutnet.com/en-us/shop/product/french-sole/flat-shoes/ballet-flats/amelia-croc-effect-patent-leather-ballet-flats/1647597282977885")</f>
        <v/>
      </c>
      <c r="B255" s="1">
        <f>HYPERLINK("https://www.theoutnet.com/en-us/shop/product/french-sole/flat-shoes/ballet-flats/amelia-croc-effect-patent-leather-ballet-flats/1647597282977885", "https://www.theoutnet.com/en-us/shop/product/french-sole/flat-shoes/ballet-flats/amelia-croc-effect-patent-leather-ballet-flats/1647597282977885")</f>
        <v/>
      </c>
      <c r="C255" t="inlineStr">
        <is>
          <t>FRENCH SOLE</t>
        </is>
      </c>
      <c r="D255" t="inlineStr">
        <is>
          <t>French Sole Nicky Hilton - Kathy</t>
        </is>
      </c>
      <c r="E255" s="1">
        <f>HYPERLINK("https://www.amazon.com/French-Sole-Nicky-Hilton-Kathy/dp/B07RJYFYVL/ref=sr_1_6?keywords=FRENCH+SOLE&amp;qid=1695343541&amp;sr=8-6", "https://www.amazon.com/French-Sole-Nicky-Hilton-Kathy/dp/B07RJYFYVL/ref=sr_1_6?keywords=FRENCH+SOLE&amp;qid=1695343541&amp;sr=8-6")</f>
        <v/>
      </c>
      <c r="F255" t="inlineStr">
        <is>
          <t>B07RJYFYVL</t>
        </is>
      </c>
      <c r="G255">
        <f>_xlfn.IMAGE("https://www.theoutnet.com/variants/images/1647597282977885/F/w1020_q80.jpg")</f>
        <v/>
      </c>
      <c r="H255">
        <f>_xlfn.IMAGE("https://m.media-amazon.com/images/I/61nIhSFiJLL._AC_UL320_.jpg")</f>
        <v/>
      </c>
      <c r="K255" t="inlineStr">
        <is>
          <t>90.0</t>
        </is>
      </c>
      <c r="L255" t="n">
        <v>150</v>
      </c>
      <c r="M255" s="2" t="inlineStr">
        <is>
          <t>66.67%</t>
        </is>
      </c>
      <c r="N255" t="n">
        <v>4</v>
      </c>
      <c r="O255" t="n">
        <v>17</v>
      </c>
      <c r="Q255" t="inlineStr">
        <is>
          <t>InStock</t>
        </is>
      </c>
      <c r="R255" t="inlineStr">
        <is>
          <t>179.0</t>
        </is>
      </c>
      <c r="S255" t="inlineStr">
        <is>
          <t>1647597282977885</t>
        </is>
      </c>
    </row>
    <row r="256" ht="75" customHeight="1">
      <c r="A256" s="1">
        <f>HYPERLINK("https://www.theoutnet.com/en-us/shop/product/holden/sandals/flat-sandals/puffy-quilted-shell-slides/1647597287423358", "https://www.theoutnet.com/en-us/shop/product/holden/sandals/flat-sandals/puffy-quilted-shell-slides/1647597287423358")</f>
        <v/>
      </c>
      <c r="B256" s="1">
        <f>HYPERLINK("https://www.theoutnet.com/en-us/shop/product/holden/sandals/flat-sandals/puffy-quilted-shell-slides/1647597287423358", "https://www.theoutnet.com/en-us/shop/product/holden/sandals/flat-sandals/puffy-quilted-shell-slides/1647597287423358")</f>
        <v/>
      </c>
      <c r="C256" t="inlineStr">
        <is>
          <t>HOLDEN</t>
        </is>
      </c>
      <c r="D256" t="inlineStr">
        <is>
          <t>Shoes for Crews Men's Holden Sneaker</t>
        </is>
      </c>
      <c r="E256" s="1">
        <f>HYPERLINK("https://www.amazon.com/Shoes-Crews-Mens-Holden-Black/dp/B07L2CW7J8/ref=sr_1_1?keywords=HOLDEN&amp;qid=1695343257&amp;sr=8-1", "https://www.amazon.com/Shoes-Crews-Mens-Holden-Black/dp/B07L2CW7J8/ref=sr_1_1?keywords=HOLDEN&amp;qid=1695343257&amp;sr=8-1")</f>
        <v/>
      </c>
      <c r="F256" t="inlineStr">
        <is>
          <t>B07L2CW7J8</t>
        </is>
      </c>
      <c r="G256">
        <f>_xlfn.IMAGE("https://www.theoutnet.com/variants/images/1647597287423358/F/w1020_q80.jpg")</f>
        <v/>
      </c>
      <c r="H256">
        <f>_xlfn.IMAGE("https://m.media-amazon.com/images/I/81q1PhrZEfL._AC_UL320_.jpg")</f>
        <v/>
      </c>
      <c r="K256" t="inlineStr">
        <is>
          <t>39.0</t>
        </is>
      </c>
      <c r="L256" t="n">
        <v>91.98</v>
      </c>
      <c r="M256" s="2" t="inlineStr">
        <is>
          <t>135.85%</t>
        </is>
      </c>
      <c r="N256" t="n">
        <v>4.2</v>
      </c>
      <c r="O256" t="n">
        <v>90</v>
      </c>
      <c r="Q256" t="inlineStr">
        <is>
          <t>InStock</t>
        </is>
      </c>
      <c r="R256" t="inlineStr">
        <is>
          <t>130.0</t>
        </is>
      </c>
      <c r="S256" t="inlineStr">
        <is>
          <t>1647597287423358</t>
        </is>
      </c>
    </row>
    <row r="257" ht="75" customHeight="1">
      <c r="A257" s="1">
        <f>HYPERLINK("https://www.theoutnet.com/en-us/shop/product/hvn/swimwear-beachwear/bikini-tops/printed-bandeau-bikini-top/1647597288499030", "https://www.theoutnet.com/en-us/shop/product/hvn/swimwear-beachwear/bikini-tops/printed-bandeau-bikini-top/1647597288499030")</f>
        <v/>
      </c>
      <c r="B257" s="1">
        <f>HYPERLINK("https://www.theoutnet.com/en-us/shop/product/hvn/swimwear-beachwear/bikini-tops/printed-bandeau-bikini-top/1647597288499030", "https://www.theoutnet.com/en-us/shop/product/hvn/swimwear-beachwear/bikini-tops/printed-bandeau-bikini-top/1647597288499030")</f>
        <v/>
      </c>
      <c r="C257" t="inlineStr">
        <is>
          <t>Printed bandeau bikini top</t>
        </is>
      </c>
      <c r="D257" t="inlineStr">
        <is>
          <t>Seafolly Women's Bandeau One Shoulder Bikini Top Swimsuit</t>
        </is>
      </c>
      <c r="E257" s="1">
        <f>HYPERLINK("https://www.amazon.com/Seafolly-Standard-Shoulder-Swimsuit-Poolside/dp/B09H57PQWB/ref=sr_1_10?keywords=Printed+bandeau+bikini+top&amp;qid=1695343039&amp;sr=8-10", "https://www.amazon.com/Seafolly-Standard-Shoulder-Swimsuit-Poolside/dp/B09H57PQWB/ref=sr_1_10?keywords=Printed+bandeau+bikini+top&amp;qid=1695343039&amp;sr=8-10")</f>
        <v/>
      </c>
      <c r="F257" t="inlineStr">
        <is>
          <t>B09H57PQWB</t>
        </is>
      </c>
      <c r="G257">
        <f>_xlfn.IMAGE("https://www.theoutnet.com/variants/images/1647597288499030/F/w1020_q80.jpg")</f>
        <v/>
      </c>
      <c r="H257">
        <f>_xlfn.IMAGE("https://m.media-amazon.com/images/I/81Z-LJwoyYL._MCnd_AC_UL320_.jpg")</f>
        <v/>
      </c>
      <c r="K257" t="inlineStr">
        <is>
          <t>42.0</t>
        </is>
      </c>
      <c r="L257" t="n">
        <v>82.48</v>
      </c>
      <c r="M257" s="2" t="inlineStr">
        <is>
          <t>96.38%</t>
        </is>
      </c>
      <c r="N257" t="n">
        <v>5</v>
      </c>
      <c r="O257" t="n">
        <v>1</v>
      </c>
      <c r="Q257" t="inlineStr">
        <is>
          <t>InStock</t>
        </is>
      </c>
      <c r="R257" t="inlineStr">
        <is>
          <t>95.0</t>
        </is>
      </c>
      <c r="S257" t="inlineStr">
        <is>
          <t>1</t>
        </is>
      </c>
    </row>
    <row r="258" ht="75" customHeight="1">
      <c r="A258" s="1">
        <f>HYPERLINK("https://www.theoutnet.com/en-us/shop/product/iris-ink/boots/tall-boots/oakley-leather-knee-boots/1647597296123775", "https://www.theoutnet.com/en-us/shop/product/iris-ink/boots/tall-boots/oakley-leather-knee-boots/1647597296123775")</f>
        <v/>
      </c>
      <c r="B258" s="1">
        <f>HYPERLINK("https://www.theoutnet.com/en-us/shop/product/iris-ink/boots/tall-boots/oakley-leather-knee-boots/1647597296123775", "https://www.theoutnet.com/en-us/shop/product/iris-ink/boots/tall-boots/oakley-leather-knee-boots/1647597296123775")</f>
        <v/>
      </c>
      <c r="C258" t="inlineStr">
        <is>
          <t>Oakley leather knee boots</t>
        </is>
      </c>
      <c r="D258" t="inlineStr">
        <is>
          <t>Oakley Men's Light Assault Leather Boots,6,Black</t>
        </is>
      </c>
      <c r="E258" s="1">
        <f>HYPERLINK("https://www.amazon.com/Oakley-Light-Assault-Leather-Boots/dp/B01EZQRRIM/ref=sr_1_2?keywords=Oakley+leather+knee+boots&amp;qid=1695343280&amp;sr=8-2", "https://www.amazon.com/Oakley-Light-Assault-Leather-Boots/dp/B01EZQRRIM/ref=sr_1_2?keywords=Oakley+leather+knee+boots&amp;qid=1695343280&amp;sr=8-2")</f>
        <v/>
      </c>
      <c r="F258" t="inlineStr">
        <is>
          <t>B01EZQRRIM</t>
        </is>
      </c>
      <c r="G258">
        <f>_xlfn.IMAGE("https://www.theoutnet.com/variants/images/1647597296123775/F/w1020_q80.jpg")</f>
        <v/>
      </c>
      <c r="H258">
        <f>_xlfn.IMAGE("https://m.media-amazon.com/images/I/61Vb0LKrWgL._AC_UL320_.jpg")</f>
        <v/>
      </c>
      <c r="K258" t="inlineStr">
        <is>
          <t>96.0</t>
        </is>
      </c>
      <c r="L258" t="n">
        <v>170</v>
      </c>
      <c r="M258" s="2" t="inlineStr">
        <is>
          <t>77.08%</t>
        </is>
      </c>
      <c r="N258" t="n">
        <v>5</v>
      </c>
      <c r="O258" t="n">
        <v>1</v>
      </c>
      <c r="Q258" t="inlineStr">
        <is>
          <t>InStock</t>
        </is>
      </c>
      <c r="R258" t="inlineStr">
        <is>
          <t>320.0</t>
        </is>
      </c>
      <c r="S258" t="inlineStr">
        <is>
          <t>1647597296123775</t>
        </is>
      </c>
    </row>
    <row r="259" ht="75" customHeight="1">
      <c r="A259" s="1">
        <f>HYPERLINK("https://www.theoutnet.com/en-us/shop/product/iris-ink/boots/tall-boots/oakley-leather-knee-boots/1647597296123775", "https://www.theoutnet.com/en-us/shop/product/iris-ink/boots/tall-boots/oakley-leather-knee-boots/1647597296123775")</f>
        <v/>
      </c>
      <c r="B259" s="1">
        <f>HYPERLINK("https://www.theoutnet.com/en-us/shop/product/iris-ink/boots/tall-boots/oakley-leather-knee-boots/1647597296123775", "https://www.theoutnet.com/en-us/shop/product/iris-ink/boots/tall-boots/oakley-leather-knee-boots/1647597296123775")</f>
        <v/>
      </c>
      <c r="C259" t="inlineStr">
        <is>
          <t>Oakley leather knee boots</t>
        </is>
      </c>
      <c r="D259" t="inlineStr">
        <is>
          <t>Oakley Men's Light Assault Leather Boots,6,Black</t>
        </is>
      </c>
      <c r="E259" s="1">
        <f>HYPERLINK("https://www.amazon.com/Oakley-Light-Assault-Leather-Boots/dp/B01EZQRRIM/ref=sr_1_2?keywords=Oakley+leather+knee+boots&amp;qid=1695343543&amp;sr=8-2", "https://www.amazon.com/Oakley-Light-Assault-Leather-Boots/dp/B01EZQRRIM/ref=sr_1_2?keywords=Oakley+leather+knee+boots&amp;qid=1695343543&amp;sr=8-2")</f>
        <v/>
      </c>
      <c r="F259" t="inlineStr">
        <is>
          <t>B01EZQRRIM</t>
        </is>
      </c>
      <c r="G259">
        <f>_xlfn.IMAGE("https://www.theoutnet.com/variants/images/1647597296123775/F/w1020_q80.jpg")</f>
        <v/>
      </c>
      <c r="H259">
        <f>_xlfn.IMAGE("https://m.media-amazon.com/images/I/61Vb0LKrWgL._AC_UL320_.jpg")</f>
        <v/>
      </c>
      <c r="K259" t="inlineStr">
        <is>
          <t>96.0</t>
        </is>
      </c>
      <c r="L259" t="n">
        <v>170</v>
      </c>
      <c r="M259" s="2" t="inlineStr">
        <is>
          <t>77.08%</t>
        </is>
      </c>
      <c r="N259" t="n">
        <v>5</v>
      </c>
      <c r="O259" t="n">
        <v>1</v>
      </c>
      <c r="Q259" t="inlineStr">
        <is>
          <t>InStock</t>
        </is>
      </c>
      <c r="R259" t="inlineStr">
        <is>
          <t>320.0</t>
        </is>
      </c>
      <c r="S259" t="inlineStr">
        <is>
          <t>1647597296123775</t>
        </is>
      </c>
    </row>
    <row r="260" ht="75" customHeight="1">
      <c r="A260" s="1">
        <f>HYPERLINK("https://www.theoutnet.com/en-us/shop/product/jets-australia-by-jessika-allen/swimwear-beachwear/bikini-tops/ruched-printed-bikini-top/30629810020063685", "https://www.theoutnet.com/en-us/shop/product/jets-australia-by-jessika-allen/swimwear-beachwear/bikini-tops/ruched-printed-bikini-top/30629810020063685")</f>
        <v/>
      </c>
      <c r="B260" s="1">
        <f>HYPERLINK("https://www.theoutnet.com/en-us/shop/product/jets-australia-by-jessika-allen/swimwear-beachwear/bikini-tops/ruched-printed-bikini-top/30629810020063685", "https://www.theoutnet.com/en-us/shop/product/jets-australia-by-jessika-allen/swimwear-beachwear/bikini-tops/ruched-printed-bikini-top/30629810020063685")</f>
        <v/>
      </c>
      <c r="C260" t="inlineStr">
        <is>
          <t>JETS AUSTRALIA BY JESSIKA ALLEN</t>
        </is>
      </c>
      <c r="D260" t="inlineStr">
        <is>
          <t>Jets by Jessika Allen Women's Standard Jetset Drape Bandeau One Piece Swimsuit</t>
        </is>
      </c>
      <c r="E260" s="1">
        <f>HYPERLINK("https://www.amazon.com/Jets-Jessika-Allen-Bandeau-Swimsuit/dp/B07B3DPPB6/ref=sr_1_2?keywords=JETS+AUSTRALIA+BY+JESSIKA+ALLEN&amp;qid=1695343031&amp;sr=8-2", "https://www.amazon.com/Jets-Jessika-Allen-Bandeau-Swimsuit/dp/B07B3DPPB6/ref=sr_1_2?keywords=JETS+AUSTRALIA+BY+JESSIKA+ALLEN&amp;qid=1695343031&amp;sr=8-2")</f>
        <v/>
      </c>
      <c r="F260" t="inlineStr">
        <is>
          <t>B07B3DPPB6</t>
        </is>
      </c>
      <c r="G260">
        <f>_xlfn.IMAGE("https://www.theoutnet.com/variants/images/30629810020063685/F/w1020_q80.jpg")</f>
        <v/>
      </c>
      <c r="H260">
        <f>_xlfn.IMAGE("https://m.media-amazon.com/images/I/710rxb6VdHL._MCnd_AC_UY218_.jpg")</f>
        <v/>
      </c>
      <c r="K260" t="inlineStr">
        <is>
          <t>42.0</t>
        </is>
      </c>
      <c r="L260" t="n">
        <v>120</v>
      </c>
      <c r="M260" s="2" t="inlineStr">
        <is>
          <t>185.71%</t>
        </is>
      </c>
      <c r="N260" t="n">
        <v>5</v>
      </c>
      <c r="O260" t="n">
        <v>3</v>
      </c>
      <c r="Q260" t="inlineStr">
        <is>
          <t>InStock</t>
        </is>
      </c>
      <c r="R260" t="inlineStr">
        <is>
          <t>140.0</t>
        </is>
      </c>
      <c r="S260" t="inlineStr">
        <is>
          <t>30629810020063685</t>
        </is>
      </c>
    </row>
    <row r="261" ht="75" customHeight="1">
      <c r="A261" s="1">
        <f>HYPERLINK("https://www.theoutnet.com/en-us/shop/product/jets-australia-by-jessika-allen/swimwear-beachwear/coverups/one-sleeve-ruffled-printed-woven-dress/36856120585169672", "https://www.theoutnet.com/en-us/shop/product/jets-australia-by-jessika-allen/swimwear-beachwear/coverups/one-sleeve-ruffled-printed-woven-dress/36856120585169672")</f>
        <v/>
      </c>
      <c r="B261" s="1">
        <f>HYPERLINK("https://www.theoutnet.com/en-us/shop/product/jets-australia-by-jessika-allen/swimwear-beachwear/coverups/one-sleeve-ruffled-printed-woven-dress/36856120585169672", "https://www.theoutnet.com/en-us/shop/product/jets-australia-by-jessika-allen/swimwear-beachwear/coverups/one-sleeve-ruffled-printed-woven-dress/36856120585169672")</f>
        <v/>
      </c>
      <c r="C261" t="inlineStr">
        <is>
          <t>JETS AUSTRALIA BY JESSIKA ALLEN</t>
        </is>
      </c>
      <c r="D261" t="inlineStr">
        <is>
          <t>Jets by Jessika Allen Women's Standard Jetset Drape Bandeau One Piece Swimsuit</t>
        </is>
      </c>
      <c r="E261" s="1">
        <f>HYPERLINK("https://www.amazon.com/Jets-Jessika-Allen-Bandeau-Swimsuit/dp/B07B3DPPB6/ref=sr_1_2?keywords=JETS+AUSTRALIA+BY+JESSIKA+ALLEN&amp;qid=1695343032&amp;sr=8-2", "https://www.amazon.com/Jets-Jessika-Allen-Bandeau-Swimsuit/dp/B07B3DPPB6/ref=sr_1_2?keywords=JETS+AUSTRALIA+BY+JESSIKA+ALLEN&amp;qid=1695343032&amp;sr=8-2")</f>
        <v/>
      </c>
      <c r="F261" t="inlineStr">
        <is>
          <t>B07B3DPPB6</t>
        </is>
      </c>
      <c r="G261">
        <f>_xlfn.IMAGE("https://www.theoutnet.com/variants/images/36856120585169672/F/w1020_q80.jpg")</f>
        <v/>
      </c>
      <c r="H261">
        <f>_xlfn.IMAGE("https://m.media-amazon.com/images/I/710rxb6VdHL._MCnd_AC_UY218_.jpg")</f>
        <v/>
      </c>
      <c r="K261" t="inlineStr">
        <is>
          <t>42.0</t>
        </is>
      </c>
      <c r="L261" t="n">
        <v>120</v>
      </c>
      <c r="M261" s="2" t="inlineStr">
        <is>
          <t>185.71%</t>
        </is>
      </c>
      <c r="N261" t="n">
        <v>5</v>
      </c>
      <c r="O261" t="n">
        <v>3</v>
      </c>
      <c r="Q261" t="inlineStr">
        <is>
          <t>InStock</t>
        </is>
      </c>
      <c r="R261" t="inlineStr">
        <is>
          <t>140.0</t>
        </is>
      </c>
      <c r="S261" t="inlineStr">
        <is>
          <t>36856120585169672</t>
        </is>
      </c>
    </row>
    <row r="262" ht="75" customHeight="1">
      <c r="A262" s="1">
        <f>HYPERLINK("https://www.theoutnet.com/en-us/shop/product/melissa-odabash/swimwear-beachwear/bikini-bottoms/zambia-printed-low-rise-bikini-briefs/2204324140882636", "https://www.theoutnet.com/en-us/shop/product/melissa-odabash/swimwear-beachwear/bikini-bottoms/zambia-printed-low-rise-bikini-briefs/2204324140882636")</f>
        <v/>
      </c>
      <c r="B262" s="1">
        <f>HYPERLINK("https://www.theoutnet.com/en-us/shop/product/melissa-odabash/swimwear-beachwear/bikini-bottoms/zambia-printed-low-rise-bikini-briefs/2204324140882636", "https://www.theoutnet.com/en-us/shop/product/melissa-odabash/swimwear-beachwear/bikini-bottoms/zambia-printed-low-rise-bikini-briefs/2204324140882636")</f>
        <v/>
      </c>
      <c r="C262" t="inlineStr">
        <is>
          <t>MELISSA ODABASH</t>
        </is>
      </c>
      <c r="D262" t="inlineStr">
        <is>
          <t>Melissa Odabash Women's Debbie Dress</t>
        </is>
      </c>
      <c r="E262" s="1">
        <f>HYPERLINK("https://www.amazon.com/Melissa-Odabash-Womens-Debbie-Dress/dp/B09NQDVHD8/ref=sr_1_5?keywords=MELISSA+ODABASH&amp;qid=1695343045&amp;sr=8-5", "https://www.amazon.com/Melissa-Odabash-Womens-Debbie-Dress/dp/B09NQDVHD8/ref=sr_1_5?keywords=MELISSA+ODABASH&amp;qid=1695343045&amp;sr=8-5")</f>
        <v/>
      </c>
      <c r="F262" t="inlineStr">
        <is>
          <t>B09NQDVHD8</t>
        </is>
      </c>
      <c r="G262">
        <f>_xlfn.IMAGE("https://www.theoutnet.com/variants/images/2204324140882636/F/w1020_q80.jpg")</f>
        <v/>
      </c>
      <c r="H262">
        <f>_xlfn.IMAGE("https://m.media-amazon.com/images/I/A1GJ1AOetBL._MCnd_AC_UL320_.jpg")</f>
        <v/>
      </c>
      <c r="K262" t="inlineStr">
        <is>
          <t>63.0</t>
        </is>
      </c>
      <c r="L262" t="n">
        <v>195</v>
      </c>
      <c r="M262" s="2" t="inlineStr">
        <is>
          <t>209.52%</t>
        </is>
      </c>
      <c r="N262" t="n">
        <v>5</v>
      </c>
      <c r="O262" t="n">
        <v>1</v>
      </c>
      <c r="Q262" t="inlineStr">
        <is>
          <t>InStock</t>
        </is>
      </c>
      <c r="R262" t="inlineStr">
        <is>
          <t>135.0</t>
        </is>
      </c>
      <c r="S262" t="inlineStr">
        <is>
          <t>2204324140882636</t>
        </is>
      </c>
    </row>
    <row r="263" ht="75" customHeight="1">
      <c r="A263" s="1">
        <f>HYPERLINK("https://www.theoutnet.com/en-us/shop/product/melissa-odabash/swimwear-beachwear/bikini-bottoms/zambia-printed-low-rise-bikini-briefs/2204324140882636", "https://www.theoutnet.com/en-us/shop/product/melissa-odabash/swimwear-beachwear/bikini-bottoms/zambia-printed-low-rise-bikini-briefs/2204324140882636")</f>
        <v/>
      </c>
      <c r="B263" s="1">
        <f>HYPERLINK("https://www.theoutnet.com/en-us/shop/product/melissa-odabash/swimwear-beachwear/bikini-bottoms/zambia-printed-low-rise-bikini-briefs/2204324140882636", "https://www.theoutnet.com/en-us/shop/product/melissa-odabash/swimwear-beachwear/bikini-bottoms/zambia-printed-low-rise-bikini-briefs/2204324140882636")</f>
        <v/>
      </c>
      <c r="C263" t="inlineStr">
        <is>
          <t>MELISSA ODABASH</t>
        </is>
      </c>
      <c r="D263" t="inlineStr">
        <is>
          <t>Melissa Odabash Women's Chelsea Dress</t>
        </is>
      </c>
      <c r="E263" s="1">
        <f>HYPERLINK("https://www.amazon.com/Melissa-Odabash-Chelsea-Swimwear-Cover/dp/B0BC34S9X3/ref=sr_1_3?keywords=MELISSA+ODABASH&amp;qid=1695343045&amp;sr=8-3", "https://www.amazon.com/Melissa-Odabash-Chelsea-Swimwear-Cover/dp/B0BC34S9X3/ref=sr_1_3?keywords=MELISSA+ODABASH&amp;qid=1695343045&amp;sr=8-3")</f>
        <v/>
      </c>
      <c r="F263" t="inlineStr">
        <is>
          <t>B0BC34S9X3</t>
        </is>
      </c>
      <c r="G263">
        <f>_xlfn.IMAGE("https://www.theoutnet.com/variants/images/2204324140882636/F/w1020_q80.jpg")</f>
        <v/>
      </c>
      <c r="H263">
        <f>_xlfn.IMAGE("https://m.media-amazon.com/images/I/51mKiTrAa1L._MCnd_AC_UL320_.jpg")</f>
        <v/>
      </c>
      <c r="K263" t="inlineStr">
        <is>
          <t>63.0</t>
        </is>
      </c>
      <c r="L263" t="n">
        <v>195</v>
      </c>
      <c r="M263" s="2" t="inlineStr">
        <is>
          <t>209.52%</t>
        </is>
      </c>
      <c r="N263" t="n">
        <v>5</v>
      </c>
      <c r="O263" t="n">
        <v>2</v>
      </c>
      <c r="Q263" t="inlineStr">
        <is>
          <t>InStock</t>
        </is>
      </c>
      <c r="R263" t="inlineStr">
        <is>
          <t>135.0</t>
        </is>
      </c>
      <c r="S263" t="inlineStr">
        <is>
          <t>2204324140882636</t>
        </is>
      </c>
    </row>
    <row r="264" ht="75" customHeight="1">
      <c r="A264" s="1">
        <f>HYPERLINK("https://www.theoutnet.com/en-us/shop/product/norma-kamali/jumpsuits/jumpsuits/printed-stretch-jersey-wide-leg-jumpsuit/1647597301378760", "https://www.theoutnet.com/en-us/shop/product/norma-kamali/jumpsuits/jumpsuits/printed-stretch-jersey-wide-leg-jumpsuit/1647597301378760")</f>
        <v/>
      </c>
      <c r="B264" s="1">
        <f>HYPERLINK("https://www.theoutnet.com/en-us/shop/product/norma-kamali/jumpsuits/jumpsuits/printed-stretch-jersey-wide-leg-jumpsuit/1647597301378760", "https://www.theoutnet.com/en-us/shop/product/norma-kamali/jumpsuits/jumpsuits/printed-stretch-jersey-wide-leg-jumpsuit/1647597301378760")</f>
        <v/>
      </c>
      <c r="C264" t="inlineStr">
        <is>
          <t>NORMA KAMALI</t>
        </is>
      </c>
      <c r="D264" t="inlineStr">
        <is>
          <t>Norma Kamali Women's Diana Gown</t>
        </is>
      </c>
      <c r="E264" s="1">
        <f>HYPERLINK("https://www.amazon.com/Norma-Kamali-Womens-Diana-Black/dp/B07HYSP4ZZ/ref=sr_1_2?keywords=NORMA+KAMALI&amp;qid=1695343354&amp;sr=8-2", "https://www.amazon.com/Norma-Kamali-Womens-Diana-Black/dp/B07HYSP4ZZ/ref=sr_1_2?keywords=NORMA+KAMALI&amp;qid=1695343354&amp;sr=8-2")</f>
        <v/>
      </c>
      <c r="F264" t="inlineStr">
        <is>
          <t>B07HYSP4ZZ</t>
        </is>
      </c>
      <c r="G264">
        <f>_xlfn.IMAGE("https://www.theoutnet.com/variants/images/1647597301378760/F/w1020_q80.jpg")</f>
        <v/>
      </c>
      <c r="H264">
        <f>_xlfn.IMAGE("https://m.media-amazon.com/images/I/81ZvCjhQ23L._MCnd_AC_UL320_.jpg")</f>
        <v/>
      </c>
      <c r="K264" t="inlineStr">
        <is>
          <t>99.0</t>
        </is>
      </c>
      <c r="L264" t="n">
        <v>202.1</v>
      </c>
      <c r="M264" s="2" t="inlineStr">
        <is>
          <t>104.14%</t>
        </is>
      </c>
      <c r="N264" t="n">
        <v>3.8</v>
      </c>
      <c r="O264" t="n">
        <v>222</v>
      </c>
      <c r="Q264" t="inlineStr">
        <is>
          <t>InStock</t>
        </is>
      </c>
      <c r="R264" t="inlineStr">
        <is>
          <t>220.0</t>
        </is>
      </c>
      <c r="S264" t="inlineStr">
        <is>
          <t>1647597301378760</t>
        </is>
      </c>
    </row>
    <row r="265" ht="75" customHeight="1">
      <c r="A265" s="1">
        <f>HYPERLINK("https://www.theoutnet.com/en-us/shop/product/norma-kamali/jumpsuits/jumpsuits/printed-stretch-jersey-wide-leg-jumpsuit/1647597301378760", "https://www.theoutnet.com/en-us/shop/product/norma-kamali/jumpsuits/jumpsuits/printed-stretch-jersey-wide-leg-jumpsuit/1647597301378760")</f>
        <v/>
      </c>
      <c r="B265" s="1">
        <f>HYPERLINK("https://www.theoutnet.com/en-us/shop/product/norma-kamali/jumpsuits/jumpsuits/printed-stretch-jersey-wide-leg-jumpsuit/1647597301378760", "https://www.theoutnet.com/en-us/shop/product/norma-kamali/jumpsuits/jumpsuits/printed-stretch-jersey-wide-leg-jumpsuit/1647597301378760")</f>
        <v/>
      </c>
      <c r="C265" t="inlineStr">
        <is>
          <t>NORMA KAMALI</t>
        </is>
      </c>
      <c r="D265" t="inlineStr">
        <is>
          <t>Norma Kamali Women's Drop Shoulder Side Drape Gown</t>
        </is>
      </c>
      <c r="E265" s="1">
        <f>HYPERLINK("https://www.amazon.com/Norma-Kamali-Womens-Shoulder-Chocolate/dp/B0BVN15F15/ref=sr_1_4?keywords=NORMA+KAMALI&amp;qid=1695343354&amp;sr=8-4", "https://www.amazon.com/Norma-Kamali-Womens-Shoulder-Chocolate/dp/B0BVN15F15/ref=sr_1_4?keywords=NORMA+KAMALI&amp;qid=1695343354&amp;sr=8-4")</f>
        <v/>
      </c>
      <c r="F265" t="inlineStr">
        <is>
          <t>B0BVN15F15</t>
        </is>
      </c>
      <c r="G265">
        <f>_xlfn.IMAGE("https://www.theoutnet.com/variants/images/1647597301378760/F/w1020_q80.jpg")</f>
        <v/>
      </c>
      <c r="H265">
        <f>_xlfn.IMAGE("https://m.media-amazon.com/images/I/71OXTd08pyL._MCnd_AC_UL320_.jpg")</f>
        <v/>
      </c>
      <c r="K265" t="inlineStr">
        <is>
          <t>99.0</t>
        </is>
      </c>
      <c r="L265" t="n">
        <v>195</v>
      </c>
      <c r="M265" s="2" t="inlineStr">
        <is>
          <t>96.97%</t>
        </is>
      </c>
      <c r="N265" t="n">
        <v>5</v>
      </c>
      <c r="O265" t="n">
        <v>1</v>
      </c>
      <c r="Q265" t="inlineStr">
        <is>
          <t>InStock</t>
        </is>
      </c>
      <c r="R265" t="inlineStr">
        <is>
          <t>220.0</t>
        </is>
      </c>
      <c r="S265" t="inlineStr">
        <is>
          <t>1647597301378760</t>
        </is>
      </c>
    </row>
    <row r="266" ht="75" customHeight="1">
      <c r="A266" s="1">
        <f>HYPERLINK("https://www.theoutnet.com/en-us/shop/product/rag-bone/belts/belts/olympus-suede-belt/1647597295375664", "https://www.theoutnet.com/en-us/shop/product/rag-bone/belts/belts/olympus-suede-belt/1647597295375664")</f>
        <v/>
      </c>
      <c r="B266" s="1">
        <f>HYPERLINK("https://www.theoutnet.com/en-us/shop/product/rag-bone/belts/belts/olympus-suede-belt/1647597295375664", "https://www.theoutnet.com/en-us/shop/product/rag-bone/belts/belts/olympus-suede-belt/1647597295375664")</f>
        <v/>
      </c>
      <c r="C266" t="inlineStr">
        <is>
          <t>RAG &amp; BONE</t>
        </is>
      </c>
      <c r="D266" t="inlineStr">
        <is>
          <t>rag &amp; bone Women's Passenger Tote</t>
        </is>
      </c>
      <c r="E266" s="1">
        <f>HYPERLINK("https://www.amazon.com/Womens-Passenger-Olive-Night-Black/dp/B08D5FPRW4/ref=sr_1_7?keywords=RAG+%26+BONE&amp;qid=1695343070&amp;sr=8-7", "https://www.amazon.com/Womens-Passenger-Olive-Night-Black/dp/B08D5FPRW4/ref=sr_1_7?keywords=RAG+%26+BONE&amp;qid=1695343070&amp;sr=8-7")</f>
        <v/>
      </c>
      <c r="F266" t="inlineStr">
        <is>
          <t>B08D5FPRW4</t>
        </is>
      </c>
      <c r="G266">
        <f>_xlfn.IMAGE("https://www.theoutnet.com/variants/images/1647597295375664/F/w1020_q80.jpg")</f>
        <v/>
      </c>
      <c r="H266">
        <f>_xlfn.IMAGE("https://m.media-amazon.com/images/I/91AQzoiSjqL._AC_UL320_.jpg")</f>
        <v/>
      </c>
      <c r="K266" t="inlineStr">
        <is>
          <t>113.0</t>
        </is>
      </c>
      <c r="L266" t="n">
        <v>412.5</v>
      </c>
      <c r="M266" s="2" t="inlineStr">
        <is>
          <t>265.04%</t>
        </is>
      </c>
      <c r="N266" t="n">
        <v>4.6</v>
      </c>
      <c r="O266" t="n">
        <v>4</v>
      </c>
      <c r="Q266" t="inlineStr">
        <is>
          <t>InStock</t>
        </is>
      </c>
      <c r="R266" t="inlineStr">
        <is>
          <t>250.0</t>
        </is>
      </c>
      <c r="S266" t="inlineStr">
        <is>
          <t>1647597295375664</t>
        </is>
      </c>
    </row>
    <row r="267" ht="75" customHeight="1">
      <c r="A267" s="1">
        <f>HYPERLINK("https://www.theoutnet.com/en-us/shop/product/rag-bone/belts/belts/olympus-suede-belt/1647597295375664", "https://www.theoutnet.com/en-us/shop/product/rag-bone/belts/belts/olympus-suede-belt/1647597295375664")</f>
        <v/>
      </c>
      <c r="B267" s="1">
        <f>HYPERLINK("https://www.theoutnet.com/en-us/shop/product/rag-bone/belts/belts/olympus-suede-belt/1647597295375664", "https://www.theoutnet.com/en-us/shop/product/rag-bone/belts/belts/olympus-suede-belt/1647597295375664")</f>
        <v/>
      </c>
      <c r="C267" t="inlineStr">
        <is>
          <t>RAG &amp; BONE</t>
        </is>
      </c>
      <c r="D267" t="inlineStr">
        <is>
          <t>rag &amp; bone Women's Featherweight Logan Jeans</t>
        </is>
      </c>
      <c r="E267" s="1">
        <f>HYPERLINK("https://www.amazon.com/rag-bone-Womens-Featherweight-Audrey/dp/B0BDSM188W/ref=sr_1_3?keywords=RAG+%26+BONE&amp;qid=1695343070&amp;sr=8-3", "https://www.amazon.com/rag-bone-Womens-Featherweight-Audrey/dp/B0BDSM188W/ref=sr_1_3?keywords=RAG+%26+BONE&amp;qid=1695343070&amp;sr=8-3")</f>
        <v/>
      </c>
      <c r="F267" t="inlineStr">
        <is>
          <t>B0BDSM188W</t>
        </is>
      </c>
      <c r="G267">
        <f>_xlfn.IMAGE("https://www.theoutnet.com/variants/images/1647597295375664/F/w1020_q80.jpg")</f>
        <v/>
      </c>
      <c r="H267">
        <f>_xlfn.IMAGE("https://m.media-amazon.com/images/I/71fFHI3My2L._AC_UL320_.jpg")</f>
        <v/>
      </c>
      <c r="K267" t="inlineStr">
        <is>
          <t>113.0</t>
        </is>
      </c>
      <c r="L267" t="n">
        <v>275</v>
      </c>
      <c r="M267" s="2" t="inlineStr">
        <is>
          <t>143.36%</t>
        </is>
      </c>
      <c r="N267" t="n">
        <v>4</v>
      </c>
      <c r="O267" t="n">
        <v>1</v>
      </c>
      <c r="Q267" t="inlineStr">
        <is>
          <t>InStock</t>
        </is>
      </c>
      <c r="R267" t="inlineStr">
        <is>
          <t>250.0</t>
        </is>
      </c>
      <c r="S267" t="inlineStr">
        <is>
          <t>1647597295375664</t>
        </is>
      </c>
    </row>
    <row r="268" ht="75" customHeight="1">
      <c r="A268" s="1">
        <f>HYPERLINK("https://www.theoutnet.com/en-us/shop/product/rag-bone/belts/belts/olympus-suede-belt/1647597295375664", "https://www.theoutnet.com/en-us/shop/product/rag-bone/belts/belts/olympus-suede-belt/1647597295375664")</f>
        <v/>
      </c>
      <c r="B268" s="1">
        <f>HYPERLINK("https://www.theoutnet.com/en-us/shop/product/rag-bone/belts/belts/olympus-suede-belt/1647597295375664", "https://www.theoutnet.com/en-us/shop/product/rag-bone/belts/belts/olympus-suede-belt/1647597295375664")</f>
        <v/>
      </c>
      <c r="C268" t="inlineStr">
        <is>
          <t>RAG &amp; BONE</t>
        </is>
      </c>
      <c r="D268" t="inlineStr">
        <is>
          <t>rag &amp; bone Women's Retro Runners</t>
        </is>
      </c>
      <c r="E268" s="1">
        <f>HYPERLINK("https://www.amazon.com/rag-bone-Womens-Runners-Mustard/dp/B08F46TWGH/ref=sr_1_1?keywords=RAG+%26+BONE&amp;qid=1695343070&amp;sr=8-1", "https://www.amazon.com/rag-bone-Womens-Runners-Mustard/dp/B08F46TWGH/ref=sr_1_1?keywords=RAG+%26+BONE&amp;qid=1695343070&amp;sr=8-1")</f>
        <v/>
      </c>
      <c r="F268" t="inlineStr">
        <is>
          <t>B08F46TWGH</t>
        </is>
      </c>
      <c r="G268">
        <f>_xlfn.IMAGE("https://www.theoutnet.com/variants/images/1647597295375664/F/w1020_q80.jpg")</f>
        <v/>
      </c>
      <c r="H268">
        <f>_xlfn.IMAGE("https://m.media-amazon.com/images/I/81szLAnmDML._AC_UL320_.jpg")</f>
        <v/>
      </c>
      <c r="K268" t="inlineStr">
        <is>
          <t>113.0</t>
        </is>
      </c>
      <c r="L268" t="n">
        <v>245</v>
      </c>
      <c r="M268" s="2" t="inlineStr">
        <is>
          <t>116.81%</t>
        </is>
      </c>
      <c r="N268" t="n">
        <v>4.4</v>
      </c>
      <c r="O268" t="n">
        <v>49</v>
      </c>
      <c r="Q268" t="inlineStr">
        <is>
          <t>InStock</t>
        </is>
      </c>
      <c r="R268" t="inlineStr">
        <is>
          <t>250.0</t>
        </is>
      </c>
      <c r="S268" t="inlineStr">
        <is>
          <t>1647597295375664</t>
        </is>
      </c>
    </row>
    <row r="269" ht="75" customHeight="1">
      <c r="A269" s="1">
        <f>HYPERLINK("https://www.theoutnet.com/en-us/shop/product/rag-bone/boots/ankle-boots/axel-leather-ankle-boots/25185454457145964", "https://www.theoutnet.com/en-us/shop/product/rag-bone/boots/ankle-boots/axel-leather-ankle-boots/25185454457145964")</f>
        <v/>
      </c>
      <c r="B269" s="1">
        <f>HYPERLINK("https://www.theoutnet.com/en-us/shop/product/rag-bone/boots/ankle-boots/axel-leather-ankle-boots/25185454457145964", "https://www.theoutnet.com/en-us/shop/product/rag-bone/boots/ankle-boots/axel-leather-ankle-boots/25185454457145964")</f>
        <v/>
      </c>
      <c r="C269" t="inlineStr">
        <is>
          <t>RAG &amp; BONE</t>
        </is>
      </c>
      <c r="D269" t="inlineStr">
        <is>
          <t>rag &amp; bone Women's Passenger Tote</t>
        </is>
      </c>
      <c r="E269" s="1">
        <f>HYPERLINK("https://www.amazon.com/Womens-Passenger-Olive-Night-Black/dp/B08D5FPRW4/ref=sr_1_7?keywords=RAG+%26+BONE&amp;qid=1695343241&amp;sr=8-7", "https://www.amazon.com/Womens-Passenger-Olive-Night-Black/dp/B08D5FPRW4/ref=sr_1_7?keywords=RAG+%26+BONE&amp;qid=1695343241&amp;sr=8-7")</f>
        <v/>
      </c>
      <c r="F269" t="inlineStr">
        <is>
          <t>B08D5FPRW4</t>
        </is>
      </c>
      <c r="G269">
        <f>_xlfn.IMAGE("https://www.theoutnet.com/variants/images/25185454457145964/F/w1020_q80.jpg")</f>
        <v/>
      </c>
      <c r="H269">
        <f>_xlfn.IMAGE("https://m.media-amazon.com/images/I/91AQzoiSjqL._AC_UL320_.jpg")</f>
        <v/>
      </c>
      <c r="K269" t="inlineStr">
        <is>
          <t>149.0</t>
        </is>
      </c>
      <c r="L269" t="n">
        <v>412.5</v>
      </c>
      <c r="M269" s="2" t="inlineStr">
        <is>
          <t>176.85%</t>
        </is>
      </c>
      <c r="N269" t="n">
        <v>4.6</v>
      </c>
      <c r="O269" t="n">
        <v>4</v>
      </c>
      <c r="Q269" t="inlineStr">
        <is>
          <t>InStock</t>
        </is>
      </c>
      <c r="R269" t="inlineStr">
        <is>
          <t>495.0</t>
        </is>
      </c>
      <c r="S269" t="inlineStr">
        <is>
          <t>25185454457145964</t>
        </is>
      </c>
    </row>
    <row r="270" ht="75" customHeight="1">
      <c r="A270" s="1">
        <f>HYPERLINK("https://www.theoutnet.com/en-us/shop/product/rag-bone/boots/ankle-boots/axel-leather-ankle-boots/25185454457145964", "https://www.theoutnet.com/en-us/shop/product/rag-bone/boots/ankle-boots/axel-leather-ankle-boots/25185454457145964")</f>
        <v/>
      </c>
      <c r="B270" s="1">
        <f>HYPERLINK("https://www.theoutnet.com/en-us/shop/product/rag-bone/boots/ankle-boots/axel-leather-ankle-boots/25185454457145964", "https://www.theoutnet.com/en-us/shop/product/rag-bone/boots/ankle-boots/axel-leather-ankle-boots/25185454457145964")</f>
        <v/>
      </c>
      <c r="C270" t="inlineStr">
        <is>
          <t>RAG &amp; BONE</t>
        </is>
      </c>
      <c r="D270" t="inlineStr">
        <is>
          <t>rag &amp; bone Women's Featherweight Logan Jeans</t>
        </is>
      </c>
      <c r="E270" s="1">
        <f>HYPERLINK("https://www.amazon.com/rag-bone-Womens-Featherweight-Audrey/dp/B0BDSM188W/ref=sr_1_3?keywords=RAG+%26+BONE&amp;qid=1695343241&amp;sr=8-3", "https://www.amazon.com/rag-bone-Womens-Featherweight-Audrey/dp/B0BDSM188W/ref=sr_1_3?keywords=RAG+%26+BONE&amp;qid=1695343241&amp;sr=8-3")</f>
        <v/>
      </c>
      <c r="F270" t="inlineStr">
        <is>
          <t>B0BDSM188W</t>
        </is>
      </c>
      <c r="G270">
        <f>_xlfn.IMAGE("https://www.theoutnet.com/variants/images/25185454457145964/F/w1020_q80.jpg")</f>
        <v/>
      </c>
      <c r="H270">
        <f>_xlfn.IMAGE("https://m.media-amazon.com/images/I/71fFHI3My2L._AC_UL320_.jpg")</f>
        <v/>
      </c>
      <c r="K270" t="inlineStr">
        <is>
          <t>149.0</t>
        </is>
      </c>
      <c r="L270" t="n">
        <v>275</v>
      </c>
      <c r="M270" s="2" t="inlineStr">
        <is>
          <t>84.56%</t>
        </is>
      </c>
      <c r="N270" t="n">
        <v>4</v>
      </c>
      <c r="O270" t="n">
        <v>1</v>
      </c>
      <c r="Q270" t="inlineStr">
        <is>
          <t>InStock</t>
        </is>
      </c>
      <c r="R270" t="inlineStr">
        <is>
          <t>495.0</t>
        </is>
      </c>
      <c r="S270" t="inlineStr">
        <is>
          <t>25185454457145964</t>
        </is>
      </c>
    </row>
    <row r="271" ht="75" customHeight="1">
      <c r="A271" s="1">
        <f>HYPERLINK("https://www.theoutnet.com/en-us/shop/product/rag-bone/boots/ankle-boots/axel-leather-ankle-boots/25185454457145964", "https://www.theoutnet.com/en-us/shop/product/rag-bone/boots/ankle-boots/axel-leather-ankle-boots/25185454457145964")</f>
        <v/>
      </c>
      <c r="B271" s="1">
        <f>HYPERLINK("https://www.theoutnet.com/en-us/shop/product/rag-bone/boots/ankle-boots/axel-leather-ankle-boots/25185454457145964", "https://www.theoutnet.com/en-us/shop/product/rag-bone/boots/ankle-boots/axel-leather-ankle-boots/25185454457145964")</f>
        <v/>
      </c>
      <c r="C271" t="inlineStr">
        <is>
          <t>RAG &amp; BONE</t>
        </is>
      </c>
      <c r="D271" t="inlineStr">
        <is>
          <t>rag &amp; bone Women's Retro Runners</t>
        </is>
      </c>
      <c r="E271" s="1">
        <f>HYPERLINK("https://www.amazon.com/rag-bone-Womens-Runners-Mustard/dp/B08F46TWGH/ref=sr_1_1?keywords=RAG+%26+BONE&amp;qid=1695343241&amp;sr=8-1", "https://www.amazon.com/rag-bone-Womens-Runners-Mustard/dp/B08F46TWGH/ref=sr_1_1?keywords=RAG+%26+BONE&amp;qid=1695343241&amp;sr=8-1")</f>
        <v/>
      </c>
      <c r="F271" t="inlineStr">
        <is>
          <t>B08F46TWGH</t>
        </is>
      </c>
      <c r="G271">
        <f>_xlfn.IMAGE("https://www.theoutnet.com/variants/images/25185454457145964/F/w1020_q80.jpg")</f>
        <v/>
      </c>
      <c r="H271">
        <f>_xlfn.IMAGE("https://m.media-amazon.com/images/I/81szLAnmDML._AC_UL320_.jpg")</f>
        <v/>
      </c>
      <c r="K271" t="inlineStr">
        <is>
          <t>149.0</t>
        </is>
      </c>
      <c r="L271" t="n">
        <v>245</v>
      </c>
      <c r="M271" s="2" t="inlineStr">
        <is>
          <t>64.43%</t>
        </is>
      </c>
      <c r="N271" t="n">
        <v>4.4</v>
      </c>
      <c r="O271" t="n">
        <v>49</v>
      </c>
      <c r="Q271" t="inlineStr">
        <is>
          <t>InStock</t>
        </is>
      </c>
      <c r="R271" t="inlineStr">
        <is>
          <t>495.0</t>
        </is>
      </c>
      <c r="S271" t="inlineStr">
        <is>
          <t>25185454457145964</t>
        </is>
      </c>
    </row>
    <row r="272" ht="75" customHeight="1">
      <c r="A272" s="1">
        <f>HYPERLINK("https://www.theoutnet.com/en-us/shop/product/rag-bone/boots/ankle-boots/axel-leather-ankle-boots/25185454457145964", "https://www.theoutnet.com/en-us/shop/product/rag-bone/boots/ankle-boots/axel-leather-ankle-boots/25185454457145964")</f>
        <v/>
      </c>
      <c r="B272" s="1">
        <f>HYPERLINK("https://www.theoutnet.com/en-us/shop/product/rag-bone/boots/ankle-boots/axel-leather-ankle-boots/25185454457145964", "https://www.theoutnet.com/en-us/shop/product/rag-bone/boots/ankle-boots/axel-leather-ankle-boots/25185454457145964")</f>
        <v/>
      </c>
      <c r="C272" t="inlineStr">
        <is>
          <t>RAG &amp; BONE</t>
        </is>
      </c>
      <c r="D272" t="inlineStr">
        <is>
          <t>rag &amp; bone Women's Passenger Tote</t>
        </is>
      </c>
      <c r="E272" s="1">
        <f>HYPERLINK("https://www.amazon.com/Womens-Passenger-Olive-Night-Black/dp/B08D5FPRW4/ref=sr_1_6?keywords=RAG+%26+BONE&amp;qid=1695343630&amp;sr=8-6", "https://www.amazon.com/Womens-Passenger-Olive-Night-Black/dp/B08D5FPRW4/ref=sr_1_6?keywords=RAG+%26+BONE&amp;qid=1695343630&amp;sr=8-6")</f>
        <v/>
      </c>
      <c r="F272" t="inlineStr">
        <is>
          <t>B08D5FPRW4</t>
        </is>
      </c>
      <c r="G272">
        <f>_xlfn.IMAGE("https://www.theoutnet.com/variants/images/25185454457145964/F/w1020_q80.jpg")</f>
        <v/>
      </c>
      <c r="H272">
        <f>_xlfn.IMAGE("https://m.media-amazon.com/images/I/91AQzoiSjqL._AC_UL320_.jpg")</f>
        <v/>
      </c>
      <c r="K272" t="inlineStr">
        <is>
          <t>149.0</t>
        </is>
      </c>
      <c r="L272" t="n">
        <v>412.5</v>
      </c>
      <c r="M272" s="2" t="inlineStr">
        <is>
          <t>176.85%</t>
        </is>
      </c>
      <c r="N272" t="n">
        <v>4.6</v>
      </c>
      <c r="O272" t="n">
        <v>4</v>
      </c>
      <c r="Q272" t="inlineStr">
        <is>
          <t>InStock</t>
        </is>
      </c>
      <c r="R272" t="inlineStr">
        <is>
          <t>495.0</t>
        </is>
      </c>
      <c r="S272" t="inlineStr">
        <is>
          <t>25185454457145964</t>
        </is>
      </c>
    </row>
    <row r="273" ht="75" customHeight="1">
      <c r="A273" s="1">
        <f>HYPERLINK("https://www.theoutnet.com/en-us/shop/product/rag-bone/boots/ankle-boots/axel-leather-ankle-boots/25185454457145964", "https://www.theoutnet.com/en-us/shop/product/rag-bone/boots/ankle-boots/axel-leather-ankle-boots/25185454457145964")</f>
        <v/>
      </c>
      <c r="B273" s="1">
        <f>HYPERLINK("https://www.theoutnet.com/en-us/shop/product/rag-bone/boots/ankle-boots/axel-leather-ankle-boots/25185454457145964", "https://www.theoutnet.com/en-us/shop/product/rag-bone/boots/ankle-boots/axel-leather-ankle-boots/25185454457145964")</f>
        <v/>
      </c>
      <c r="C273" t="inlineStr">
        <is>
          <t>RAG &amp; BONE</t>
        </is>
      </c>
      <c r="D273" t="inlineStr">
        <is>
          <t>rag &amp; bone Women's Featherweight Logan Jeans</t>
        </is>
      </c>
      <c r="E273" s="1">
        <f>HYPERLINK("https://www.amazon.com/rag-bone-Womens-Featherweight-Audrey/dp/B0BDSM188W/ref=sr_1_3?keywords=RAG+%26+BONE&amp;qid=1695343630&amp;sr=8-3", "https://www.amazon.com/rag-bone-Womens-Featherweight-Audrey/dp/B0BDSM188W/ref=sr_1_3?keywords=RAG+%26+BONE&amp;qid=1695343630&amp;sr=8-3")</f>
        <v/>
      </c>
      <c r="F273" t="inlineStr">
        <is>
          <t>B0BDSM188W</t>
        </is>
      </c>
      <c r="G273">
        <f>_xlfn.IMAGE("https://www.theoutnet.com/variants/images/25185454457145964/F/w1020_q80.jpg")</f>
        <v/>
      </c>
      <c r="H273">
        <f>_xlfn.IMAGE("https://m.media-amazon.com/images/I/71fFHI3My2L._AC_UL320_.jpg")</f>
        <v/>
      </c>
      <c r="K273" t="inlineStr">
        <is>
          <t>149.0</t>
        </is>
      </c>
      <c r="L273" t="n">
        <v>275</v>
      </c>
      <c r="M273" s="2" t="inlineStr">
        <is>
          <t>84.56%</t>
        </is>
      </c>
      <c r="N273" t="n">
        <v>4</v>
      </c>
      <c r="O273" t="n">
        <v>1</v>
      </c>
      <c r="Q273" t="inlineStr">
        <is>
          <t>InStock</t>
        </is>
      </c>
      <c r="R273" t="inlineStr">
        <is>
          <t>495.0</t>
        </is>
      </c>
      <c r="S273" t="inlineStr">
        <is>
          <t>25185454457145964</t>
        </is>
      </c>
    </row>
    <row r="274" ht="75" customHeight="1">
      <c r="A274" s="1">
        <f>HYPERLINK("https://www.theoutnet.com/en-us/shop/product/rag-bone/boots/ankle-boots/axel-leather-ankle-boots/25185454457145964", "https://www.theoutnet.com/en-us/shop/product/rag-bone/boots/ankle-boots/axel-leather-ankle-boots/25185454457145964")</f>
        <v/>
      </c>
      <c r="B274" s="1">
        <f>HYPERLINK("https://www.theoutnet.com/en-us/shop/product/rag-bone/boots/ankle-boots/axel-leather-ankle-boots/25185454457145964", "https://www.theoutnet.com/en-us/shop/product/rag-bone/boots/ankle-boots/axel-leather-ankle-boots/25185454457145964")</f>
        <v/>
      </c>
      <c r="C274" t="inlineStr">
        <is>
          <t>RAG &amp; BONE</t>
        </is>
      </c>
      <c r="D274" t="inlineStr">
        <is>
          <t>rag &amp; bone Women's Retro Runners</t>
        </is>
      </c>
      <c r="E274" s="1">
        <f>HYPERLINK("https://www.amazon.com/rag-bone-Womens-Runners-Mustard/dp/B08F46TWGH/ref=sr_1_1?keywords=RAG+%26+BONE&amp;qid=1695343630&amp;sr=8-1", "https://www.amazon.com/rag-bone-Womens-Runners-Mustard/dp/B08F46TWGH/ref=sr_1_1?keywords=RAG+%26+BONE&amp;qid=1695343630&amp;sr=8-1")</f>
        <v/>
      </c>
      <c r="F274" t="inlineStr">
        <is>
          <t>B08F46TWGH</t>
        </is>
      </c>
      <c r="G274">
        <f>_xlfn.IMAGE("https://www.theoutnet.com/variants/images/25185454457145964/F/w1020_q80.jpg")</f>
        <v/>
      </c>
      <c r="H274">
        <f>_xlfn.IMAGE("https://m.media-amazon.com/images/I/81szLAnmDML._AC_UL320_.jpg")</f>
        <v/>
      </c>
      <c r="K274" t="inlineStr">
        <is>
          <t>149.0</t>
        </is>
      </c>
      <c r="L274" t="n">
        <v>245</v>
      </c>
      <c r="M274" s="2" t="inlineStr">
        <is>
          <t>64.43%</t>
        </is>
      </c>
      <c r="N274" t="n">
        <v>4.4</v>
      </c>
      <c r="O274" t="n">
        <v>49</v>
      </c>
      <c r="Q274" t="inlineStr">
        <is>
          <t>InStock</t>
        </is>
      </c>
      <c r="R274" t="inlineStr">
        <is>
          <t>495.0</t>
        </is>
      </c>
      <c r="S274" t="inlineStr">
        <is>
          <t>25185454457145964</t>
        </is>
      </c>
    </row>
    <row r="275" ht="75" customHeight="1">
      <c r="A275" s="1">
        <f>HYPERLINK("https://www.theoutnet.com/en-us/shop/product/rag-bone/boots/ankle-boots/axis-leather-ankle-boots/1647597286220969", "https://www.theoutnet.com/en-us/shop/product/rag-bone/boots/ankle-boots/axis-leather-ankle-boots/1647597286220969")</f>
        <v/>
      </c>
      <c r="B275" s="1">
        <f>HYPERLINK("https://www.theoutnet.com/en-us/shop/product/rag-bone/boots/ankle-boots/axis-leather-ankle-boots/1647597286220969", "https://www.theoutnet.com/en-us/shop/product/rag-bone/boots/ankle-boots/axis-leather-ankle-boots/1647597286220969")</f>
        <v/>
      </c>
      <c r="C275" t="inlineStr">
        <is>
          <t>RAG &amp; BONE</t>
        </is>
      </c>
      <c r="D275" t="inlineStr">
        <is>
          <t>rag &amp; bone Women's Passenger Tote</t>
        </is>
      </c>
      <c r="E275" s="1">
        <f>HYPERLINK("https://www.amazon.com/Womens-Passenger-Olive-Night-Black/dp/B08D5FPRW4/ref=sr_1_7?keywords=RAG+%26+BONE&amp;qid=1695343107&amp;sr=8-7", "https://www.amazon.com/Womens-Passenger-Olive-Night-Black/dp/B08D5FPRW4/ref=sr_1_7?keywords=RAG+%26+BONE&amp;qid=1695343107&amp;sr=8-7")</f>
        <v/>
      </c>
      <c r="F275" t="inlineStr">
        <is>
          <t>B08D5FPRW4</t>
        </is>
      </c>
      <c r="G275">
        <f>_xlfn.IMAGE("https://www.theoutnet.com/variants/images/1647597286220969/F/w1020_q80.jpg")</f>
        <v/>
      </c>
      <c r="H275">
        <f>_xlfn.IMAGE("https://m.media-amazon.com/images/I/91AQzoiSjqL._AC_UL320_.jpg")</f>
        <v/>
      </c>
      <c r="K275" t="inlineStr">
        <is>
          <t>222.0</t>
        </is>
      </c>
      <c r="L275" t="n">
        <v>412.5</v>
      </c>
      <c r="M275" s="2" t="inlineStr">
        <is>
          <t>85.81%</t>
        </is>
      </c>
      <c r="N275" t="n">
        <v>4.6</v>
      </c>
      <c r="O275" t="n">
        <v>4</v>
      </c>
      <c r="Q275" t="inlineStr">
        <is>
          <t>InStock</t>
        </is>
      </c>
      <c r="R275" t="inlineStr">
        <is>
          <t>495.0</t>
        </is>
      </c>
      <c r="S275" t="inlineStr">
        <is>
          <t>6</t>
        </is>
      </c>
    </row>
    <row r="276" ht="75" customHeight="1">
      <c r="A276" s="1">
        <f>HYPERLINK("https://www.theoutnet.com/en-us/shop/product/rag-bone/boots/ankle-boots/axis-leather-ankle-boots/1647597295199768", "https://www.theoutnet.com/en-us/shop/product/rag-bone/boots/ankle-boots/axis-leather-ankle-boots/1647597295199768")</f>
        <v/>
      </c>
      <c r="B276" s="1">
        <f>HYPERLINK("https://www.theoutnet.com/en-us/shop/product/rag-bone/boots/ankle-boots/axis-leather-ankle-boots/1647597295199768", "https://www.theoutnet.com/en-us/shop/product/rag-bone/boots/ankle-boots/axis-leather-ankle-boots/1647597295199768")</f>
        <v/>
      </c>
      <c r="C276" t="inlineStr">
        <is>
          <t>RAG &amp; BONE</t>
        </is>
      </c>
      <c r="D276" t="inlineStr">
        <is>
          <t>rag &amp; bone Women's Passenger Tote</t>
        </is>
      </c>
      <c r="E276" s="1">
        <f>HYPERLINK("https://www.amazon.com/Womens-Passenger-Olive-Night-Black/dp/B08D5FPRW4/ref=sr_1_7?keywords=RAG+%26+BONE&amp;qid=1695343736&amp;sr=8-7", "https://www.amazon.com/Womens-Passenger-Olive-Night-Black/dp/B08D5FPRW4/ref=sr_1_7?keywords=RAG+%26+BONE&amp;qid=1695343736&amp;sr=8-7")</f>
        <v/>
      </c>
      <c r="F276" t="inlineStr">
        <is>
          <t>B08D5FPRW4</t>
        </is>
      </c>
      <c r="G276">
        <f>_xlfn.IMAGE("https://www.theoutnet.com/variants/images/1647597295199768/F/w1020_q80.jpg")</f>
        <v/>
      </c>
      <c r="H276">
        <f>_xlfn.IMAGE("https://m.media-amazon.com/images/I/91AQzoiSjqL._AC_UL320_.jpg")</f>
        <v/>
      </c>
      <c r="K276" t="inlineStr">
        <is>
          <t>222.0</t>
        </is>
      </c>
      <c r="L276" t="n">
        <v>412.5</v>
      </c>
      <c r="M276" s="2" t="inlineStr">
        <is>
          <t>85.81%</t>
        </is>
      </c>
      <c r="N276" t="n">
        <v>4.6</v>
      </c>
      <c r="O276" t="n">
        <v>4</v>
      </c>
      <c r="Q276" t="inlineStr">
        <is>
          <t>InStock</t>
        </is>
      </c>
      <c r="R276" t="inlineStr">
        <is>
          <t>495.0</t>
        </is>
      </c>
      <c r="S276" t="inlineStr">
        <is>
          <t>1647597295199768</t>
        </is>
      </c>
    </row>
    <row r="277" ht="75" customHeight="1">
      <c r="A277" s="1">
        <f>HYPERLINK("https://www.theoutnet.com/en-us/shop/product/rag-bone/boots/ankle-boots/shaye-embossed-leather-chelsea-boots/18706561955570741", "https://www.theoutnet.com/en-us/shop/product/rag-bone/boots/ankle-boots/shaye-embossed-leather-chelsea-boots/18706561955570741")</f>
        <v/>
      </c>
      <c r="B277" s="1">
        <f>HYPERLINK("https://www.theoutnet.com/en-us/shop/product/rag-bone/boots/ankle-boots/shaye-embossed-leather-chelsea-boots/18706561955570741", "https://www.theoutnet.com/en-us/shop/product/rag-bone/boots/ankle-boots/shaye-embossed-leather-chelsea-boots/18706561955570741")</f>
        <v/>
      </c>
      <c r="C277" t="inlineStr">
        <is>
          <t>RAG &amp; BONE</t>
        </is>
      </c>
      <c r="D277" t="inlineStr">
        <is>
          <t>rag &amp; bone Women's Passenger Tote</t>
        </is>
      </c>
      <c r="E277" s="1">
        <f>HYPERLINK("https://www.amazon.com/Womens-Passenger-Olive-Night-Black/dp/B08D5FPRW4/ref=sr_1_6?keywords=RAG+%26+BONE&amp;qid=1695343770&amp;sr=8-6", "https://www.amazon.com/Womens-Passenger-Olive-Night-Black/dp/B08D5FPRW4/ref=sr_1_6?keywords=RAG+%26+BONE&amp;qid=1695343770&amp;sr=8-6")</f>
        <v/>
      </c>
      <c r="F277" t="inlineStr">
        <is>
          <t>B08D5FPRW4</t>
        </is>
      </c>
      <c r="G277">
        <f>_xlfn.IMAGE("https://www.theoutnet.com/variants/images/18706561955570741/F/w1020_q80.jpg")</f>
        <v/>
      </c>
      <c r="H277">
        <f>_xlfn.IMAGE("https://m.media-amazon.com/images/I/91AQzoiSjqL._AC_UL320_.jpg")</f>
        <v/>
      </c>
      <c r="K277" t="inlineStr">
        <is>
          <t>237.0</t>
        </is>
      </c>
      <c r="L277" t="n">
        <v>412.5</v>
      </c>
      <c r="M277" s="2" t="inlineStr">
        <is>
          <t>74.05%</t>
        </is>
      </c>
      <c r="N277" t="n">
        <v>4.6</v>
      </c>
      <c r="O277" t="n">
        <v>4</v>
      </c>
      <c r="Q277" t="inlineStr">
        <is>
          <t>InStock</t>
        </is>
      </c>
      <c r="R277" t="inlineStr">
        <is>
          <t>525.0</t>
        </is>
      </c>
      <c r="S277" t="inlineStr">
        <is>
          <t>18706561955570741</t>
        </is>
      </c>
    </row>
    <row r="278" ht="75" customHeight="1">
      <c r="A278" s="1">
        <f>HYPERLINK("https://www.theoutnet.com/en-us/shop/product/rag-bone/boots/ankle-boots/slayton-leather-combat-boots/25185454457144472", "https://www.theoutnet.com/en-us/shop/product/rag-bone/boots/ankle-boots/slayton-leather-combat-boots/25185454457144472")</f>
        <v/>
      </c>
      <c r="B278" s="1">
        <f>HYPERLINK("https://www.theoutnet.com/en-us/shop/product/rag-bone/boots/ankle-boots/slayton-leather-combat-boots/25185454457144472", "https://www.theoutnet.com/en-us/shop/product/rag-bone/boots/ankle-boots/slayton-leather-combat-boots/25185454457144472")</f>
        <v/>
      </c>
      <c r="C278" t="inlineStr">
        <is>
          <t>RAG &amp; BONE</t>
        </is>
      </c>
      <c r="D278" t="inlineStr">
        <is>
          <t>rag &amp; bone Women's Passenger Tote</t>
        </is>
      </c>
      <c r="E278" s="1">
        <f>HYPERLINK("https://www.amazon.com/Womens-Passenger-Olive-Night-Black/dp/B08D5FPRW4/ref=sr_1_6?keywords=RAG+%26+BONE&amp;qid=1695343747&amp;sr=8-6", "https://www.amazon.com/Womens-Passenger-Olive-Night-Black/dp/B08D5FPRW4/ref=sr_1_6?keywords=RAG+%26+BONE&amp;qid=1695343747&amp;sr=8-6")</f>
        <v/>
      </c>
      <c r="F278" t="inlineStr">
        <is>
          <t>B08D5FPRW4</t>
        </is>
      </c>
      <c r="G278">
        <f>_xlfn.IMAGE("https://www.theoutnet.com/variants/images/25185454457144472/F/w1020_q80.jpg")</f>
        <v/>
      </c>
      <c r="H278">
        <f>_xlfn.IMAGE("https://m.media-amazon.com/images/I/91AQzoiSjqL._AC_UL320_.jpg")</f>
        <v/>
      </c>
      <c r="K278" t="inlineStr">
        <is>
          <t>223.0</t>
        </is>
      </c>
      <c r="L278" t="n">
        <v>412.5</v>
      </c>
      <c r="M278" s="2" t="inlineStr">
        <is>
          <t>84.98%</t>
        </is>
      </c>
      <c r="N278" t="n">
        <v>4.6</v>
      </c>
      <c r="O278" t="n">
        <v>4</v>
      </c>
      <c r="Q278" t="inlineStr">
        <is>
          <t>InStock</t>
        </is>
      </c>
      <c r="R278" t="inlineStr">
        <is>
          <t>495.0</t>
        </is>
      </c>
      <c r="S278" t="inlineStr">
        <is>
          <t>2</t>
        </is>
      </c>
    </row>
    <row r="279" ht="75" customHeight="1">
      <c r="A279" s="1">
        <f>HYPERLINK("https://www.theoutnet.com/en-us/shop/product/rag-bone/boots/ankle-boots/walker-leather-ankle-boots/1647597294688230", "https://www.theoutnet.com/en-us/shop/product/rag-bone/boots/ankle-boots/walker-leather-ankle-boots/1647597294688230")</f>
        <v/>
      </c>
      <c r="B279" s="1">
        <f>HYPERLINK("https://www.theoutnet.com/en-us/shop/product/rag-bone/boots/ankle-boots/walker-leather-ankle-boots/1647597294688230", "https://www.theoutnet.com/en-us/shop/product/rag-bone/boots/ankle-boots/walker-leather-ankle-boots/1647597294688230")</f>
        <v/>
      </c>
      <c r="C279" t="inlineStr">
        <is>
          <t>RAG &amp; BONE</t>
        </is>
      </c>
      <c r="D279" t="inlineStr">
        <is>
          <t>rag &amp; bone Women's Passenger Tote</t>
        </is>
      </c>
      <c r="E279" s="1">
        <f>HYPERLINK("https://www.amazon.com/Womens-Passenger-Olive-Night-Black/dp/B08D5FPRW4/ref=sr_1_10?keywords=RAG+%26+BONE&amp;qid=1695343740&amp;sr=8-10", "https://www.amazon.com/Womens-Passenger-Olive-Night-Black/dp/B08D5FPRW4/ref=sr_1_10?keywords=RAG+%26+BONE&amp;qid=1695343740&amp;sr=8-10")</f>
        <v/>
      </c>
      <c r="F279" t="inlineStr">
        <is>
          <t>B08D5FPRW4</t>
        </is>
      </c>
      <c r="G279">
        <f>_xlfn.IMAGE("https://www.theoutnet.com/variants/images/1647597294688230/F/w1020_q80.jpg")</f>
        <v/>
      </c>
      <c r="H279">
        <f>_xlfn.IMAGE("https://m.media-amazon.com/images/I/91AQzoiSjqL._AC_UL320_.jpg")</f>
        <v/>
      </c>
      <c r="K279" t="inlineStr">
        <is>
          <t>223.0</t>
        </is>
      </c>
      <c r="L279" t="n">
        <v>412.5</v>
      </c>
      <c r="M279" s="2" t="inlineStr">
        <is>
          <t>84.98%</t>
        </is>
      </c>
      <c r="N279" t="n">
        <v>4.6</v>
      </c>
      <c r="O279" t="n">
        <v>4</v>
      </c>
      <c r="Q279" t="inlineStr">
        <is>
          <t>InStock</t>
        </is>
      </c>
      <c r="R279" t="inlineStr">
        <is>
          <t>495.0</t>
        </is>
      </c>
      <c r="S279" t="inlineStr">
        <is>
          <t>1</t>
        </is>
      </c>
    </row>
    <row r="280" ht="75" customHeight="1">
      <c r="A280" s="1">
        <f>HYPERLINK("https://www.theoutnet.com/en-us/shop/product/rag-bone/boots/ankle-boots/walker-nubuck-chelsea-boots/36856120584940876", "https://www.theoutnet.com/en-us/shop/product/rag-bone/boots/ankle-boots/walker-nubuck-chelsea-boots/36856120584940876")</f>
        <v/>
      </c>
      <c r="B280" s="1">
        <f>HYPERLINK("https://www.theoutnet.com/en-us/shop/product/rag-bone/boots/ankle-boots/walker-nubuck-chelsea-boots/36856120584940876", "https://www.theoutnet.com/en-us/shop/product/rag-bone/boots/ankle-boots/walker-nubuck-chelsea-boots/36856120584940876")</f>
        <v/>
      </c>
      <c r="C280" t="inlineStr">
        <is>
          <t>RAG &amp; BONE</t>
        </is>
      </c>
      <c r="D280" t="inlineStr">
        <is>
          <t>rag &amp; bone Women's Passenger Tote</t>
        </is>
      </c>
      <c r="E280" s="1">
        <f>HYPERLINK("https://www.amazon.com/Womens-Passenger-Olive-Night-Black/dp/B08D5FPRW4/ref=sr_1_6?keywords=RAG+%26+BONE&amp;qid=1695343794&amp;sr=8-6", "https://www.amazon.com/Womens-Passenger-Olive-Night-Black/dp/B08D5FPRW4/ref=sr_1_6?keywords=RAG+%26+BONE&amp;qid=1695343794&amp;sr=8-6")</f>
        <v/>
      </c>
      <c r="F280" t="inlineStr">
        <is>
          <t>B08D5FPRW4</t>
        </is>
      </c>
      <c r="G280">
        <f>_xlfn.IMAGE("https://www.theoutnet.com/variants/images/36856120584940876/F/w1020_q80.jpg")</f>
        <v/>
      </c>
      <c r="H280">
        <f>_xlfn.IMAGE("https://m.media-amazon.com/images/I/91AQzoiSjqL._AC_UL320_.jpg")</f>
        <v/>
      </c>
      <c r="K280" t="inlineStr">
        <is>
          <t>247.0</t>
        </is>
      </c>
      <c r="L280" t="n">
        <v>412.5</v>
      </c>
      <c r="M280" s="2" t="inlineStr">
        <is>
          <t>67.00%</t>
        </is>
      </c>
      <c r="N280" t="n">
        <v>4.6</v>
      </c>
      <c r="O280" t="n">
        <v>4</v>
      </c>
      <c r="Q280" t="inlineStr">
        <is>
          <t>InStock</t>
        </is>
      </c>
      <c r="R280" t="inlineStr">
        <is>
          <t>494.0</t>
        </is>
      </c>
      <c r="S280" t="inlineStr">
        <is>
          <t>3</t>
        </is>
      </c>
    </row>
    <row r="281" ht="75" customHeight="1">
      <c r="A281" s="1">
        <f>HYPERLINK("https://www.theoutnet.com/en-us/shop/product/rag-bone/boots/winter-rainboots/shiloh-rubber-rain-boots/1647597285967245", "https://www.theoutnet.com/en-us/shop/product/rag-bone/boots/winter-rainboots/shiloh-rubber-rain-boots/1647597285967245")</f>
        <v/>
      </c>
      <c r="B281" s="1">
        <f>HYPERLINK("https://www.theoutnet.com/en-us/shop/product/rag-bone/boots/winter-rainboots/shiloh-rubber-rain-boots/1647597285967245", "https://www.theoutnet.com/en-us/shop/product/rag-bone/boots/winter-rainboots/shiloh-rubber-rain-boots/1647597285967245")</f>
        <v/>
      </c>
      <c r="C281" t="inlineStr">
        <is>
          <t>RAG &amp; BONE</t>
        </is>
      </c>
      <c r="D281" t="inlineStr">
        <is>
          <t>rag &amp; bone Women's Passenger Tote</t>
        </is>
      </c>
      <c r="E281" s="1">
        <f>HYPERLINK("https://www.amazon.com/Womens-Passenger-Olive-Night-Black/dp/B08D5FPRW4/ref=sr_1_7?keywords=RAG+%26+BONE&amp;qid=1695343527&amp;sr=8-7", "https://www.amazon.com/Womens-Passenger-Olive-Night-Black/dp/B08D5FPRW4/ref=sr_1_7?keywords=RAG+%26+BONE&amp;qid=1695343527&amp;sr=8-7")</f>
        <v/>
      </c>
      <c r="F281" t="inlineStr">
        <is>
          <t>B08D5FPRW4</t>
        </is>
      </c>
      <c r="G281">
        <f>_xlfn.IMAGE("https://www.theoutnet.com/variants/images/1647597285967245/F/w1020_q80.jpg")</f>
        <v/>
      </c>
      <c r="H281">
        <f>_xlfn.IMAGE("https://m.media-amazon.com/images/I/91AQzoiSjqL._AC_UL320_.jpg")</f>
        <v/>
      </c>
      <c r="K281" t="inlineStr">
        <is>
          <t>68.0</t>
        </is>
      </c>
      <c r="L281" t="n">
        <v>412.5</v>
      </c>
      <c r="M281" s="2" t="inlineStr">
        <is>
          <t>506.62%</t>
        </is>
      </c>
      <c r="N281" t="n">
        <v>4.6</v>
      </c>
      <c r="O281" t="n">
        <v>4</v>
      </c>
      <c r="Q281" t="inlineStr">
        <is>
          <t>InStock</t>
        </is>
      </c>
      <c r="R281" t="inlineStr">
        <is>
          <t>225.0</t>
        </is>
      </c>
      <c r="S281" t="inlineStr">
        <is>
          <t>1647597285967245</t>
        </is>
      </c>
    </row>
    <row r="282" ht="75" customHeight="1">
      <c r="A282" s="1">
        <f>HYPERLINK("https://www.theoutnet.com/en-us/shop/product/rag-bone/boots/winter-rainboots/shiloh-rubber-rain-boots/1647597285967245", "https://www.theoutnet.com/en-us/shop/product/rag-bone/boots/winter-rainboots/shiloh-rubber-rain-boots/1647597285967245")</f>
        <v/>
      </c>
      <c r="B282" s="1">
        <f>HYPERLINK("https://www.theoutnet.com/en-us/shop/product/rag-bone/boots/winter-rainboots/shiloh-rubber-rain-boots/1647597285967245", "https://www.theoutnet.com/en-us/shop/product/rag-bone/boots/winter-rainboots/shiloh-rubber-rain-boots/1647597285967245")</f>
        <v/>
      </c>
      <c r="C282" t="inlineStr">
        <is>
          <t>RAG &amp; BONE</t>
        </is>
      </c>
      <c r="D282" t="inlineStr">
        <is>
          <t>rag &amp; bone Women's Featherweight Logan Jeans</t>
        </is>
      </c>
      <c r="E282" s="1">
        <f>HYPERLINK("https://www.amazon.com/rag-bone-Womens-Featherweight-Audrey/dp/B0BDSM188W/ref=sr_1_3?keywords=RAG+%26+BONE&amp;qid=1695343527&amp;sr=8-3", "https://www.amazon.com/rag-bone-Womens-Featherweight-Audrey/dp/B0BDSM188W/ref=sr_1_3?keywords=RAG+%26+BONE&amp;qid=1695343527&amp;sr=8-3")</f>
        <v/>
      </c>
      <c r="F282" t="inlineStr">
        <is>
          <t>B0BDSM188W</t>
        </is>
      </c>
      <c r="G282">
        <f>_xlfn.IMAGE("https://www.theoutnet.com/variants/images/1647597285967245/F/w1020_q80.jpg")</f>
        <v/>
      </c>
      <c r="H282">
        <f>_xlfn.IMAGE("https://m.media-amazon.com/images/I/71fFHI3My2L._AC_UL320_.jpg")</f>
        <v/>
      </c>
      <c r="K282" t="inlineStr">
        <is>
          <t>68.0</t>
        </is>
      </c>
      <c r="L282" t="n">
        <v>275</v>
      </c>
      <c r="M282" s="2" t="inlineStr">
        <is>
          <t>304.41%</t>
        </is>
      </c>
      <c r="N282" t="n">
        <v>4</v>
      </c>
      <c r="O282" t="n">
        <v>1</v>
      </c>
      <c r="Q282" t="inlineStr">
        <is>
          <t>InStock</t>
        </is>
      </c>
      <c r="R282" t="inlineStr">
        <is>
          <t>225.0</t>
        </is>
      </c>
      <c r="S282" t="inlineStr">
        <is>
          <t>1647597285967245</t>
        </is>
      </c>
    </row>
    <row r="283" ht="75" customHeight="1">
      <c r="A283" s="1">
        <f>HYPERLINK("https://www.theoutnet.com/en-us/shop/product/rag-bone/boots/winter-rainboots/shiloh-rubber-rain-boots/1647597285967245", "https://www.theoutnet.com/en-us/shop/product/rag-bone/boots/winter-rainboots/shiloh-rubber-rain-boots/1647597285967245")</f>
        <v/>
      </c>
      <c r="B283" s="1">
        <f>HYPERLINK("https://www.theoutnet.com/en-us/shop/product/rag-bone/boots/winter-rainboots/shiloh-rubber-rain-boots/1647597285967245", "https://www.theoutnet.com/en-us/shop/product/rag-bone/boots/winter-rainboots/shiloh-rubber-rain-boots/1647597285967245")</f>
        <v/>
      </c>
      <c r="C283" t="inlineStr">
        <is>
          <t>RAG &amp; BONE</t>
        </is>
      </c>
      <c r="D283" t="inlineStr">
        <is>
          <t>rag &amp; bone Women's Retro Runners</t>
        </is>
      </c>
      <c r="E283" s="1">
        <f>HYPERLINK("https://www.amazon.com/rag-bone-Womens-Runners-Mustard/dp/B08F46TWGH/ref=sr_1_1?keywords=RAG+%26+BONE&amp;qid=1695343527&amp;sr=8-1", "https://www.amazon.com/rag-bone-Womens-Runners-Mustard/dp/B08F46TWGH/ref=sr_1_1?keywords=RAG+%26+BONE&amp;qid=1695343527&amp;sr=8-1")</f>
        <v/>
      </c>
      <c r="F283" t="inlineStr">
        <is>
          <t>B08F46TWGH</t>
        </is>
      </c>
      <c r="G283">
        <f>_xlfn.IMAGE("https://www.theoutnet.com/variants/images/1647597285967245/F/w1020_q80.jpg")</f>
        <v/>
      </c>
      <c r="H283">
        <f>_xlfn.IMAGE("https://m.media-amazon.com/images/I/81szLAnmDML._AC_UL320_.jpg")</f>
        <v/>
      </c>
      <c r="K283" t="inlineStr">
        <is>
          <t>68.0</t>
        </is>
      </c>
      <c r="L283" t="n">
        <v>245</v>
      </c>
      <c r="M283" s="2" t="inlineStr">
        <is>
          <t>260.29%</t>
        </is>
      </c>
      <c r="N283" t="n">
        <v>4.4</v>
      </c>
      <c r="O283" t="n">
        <v>49</v>
      </c>
      <c r="Q283" t="inlineStr">
        <is>
          <t>InStock</t>
        </is>
      </c>
      <c r="R283" t="inlineStr">
        <is>
          <t>225.0</t>
        </is>
      </c>
      <c r="S283" t="inlineStr">
        <is>
          <t>1647597285967245</t>
        </is>
      </c>
    </row>
    <row r="284" ht="75" customHeight="1">
      <c r="A284" s="1">
        <f>HYPERLINK("https://www.theoutnet.com/en-us/shop/product/rag-bone/jackets/casual-jackets/roth-silk-habotai-jacket/1647597293291492", "https://www.theoutnet.com/en-us/shop/product/rag-bone/jackets/casual-jackets/roth-silk-habotai-jacket/1647597293291492")</f>
        <v/>
      </c>
      <c r="B284" s="1">
        <f>HYPERLINK("https://www.theoutnet.com/en-us/shop/product/rag-bone/jackets/casual-jackets/roth-silk-habotai-jacket/1647597293291492", "https://www.theoutnet.com/en-us/shop/product/rag-bone/jackets/casual-jackets/roth-silk-habotai-jacket/1647597293291492")</f>
        <v/>
      </c>
      <c r="C284" t="inlineStr">
        <is>
          <t>RAG &amp; BONE</t>
        </is>
      </c>
      <c r="D284" t="inlineStr">
        <is>
          <t>rag &amp; bone Women's Passenger Tote</t>
        </is>
      </c>
      <c r="E284" s="1">
        <f>HYPERLINK("https://www.amazon.com/Womens-Passenger-Olive-Night-Black/dp/B08D5FPRW4/ref=sr_1_7?keywords=RAG+%26+BONE&amp;qid=1695343093&amp;sr=8-7", "https://www.amazon.com/Womens-Passenger-Olive-Night-Black/dp/B08D5FPRW4/ref=sr_1_7?keywords=RAG+%26+BONE&amp;qid=1695343093&amp;sr=8-7")</f>
        <v/>
      </c>
      <c r="F284" t="inlineStr">
        <is>
          <t>B08D5FPRW4</t>
        </is>
      </c>
      <c r="G284">
        <f>_xlfn.IMAGE("https://www.theoutnet.com/variants/images/1647597293291492/F/w1020_q80.jpg")</f>
        <v/>
      </c>
      <c r="H284">
        <f>_xlfn.IMAGE("https://m.media-amazon.com/images/I/91AQzoiSjqL._AC_UL320_.jpg")</f>
        <v/>
      </c>
      <c r="K284" t="inlineStr">
        <is>
          <t>198.0</t>
        </is>
      </c>
      <c r="L284" t="n">
        <v>412.5</v>
      </c>
      <c r="M284" s="2" t="inlineStr">
        <is>
          <t>108.33%</t>
        </is>
      </c>
      <c r="N284" t="n">
        <v>4.6</v>
      </c>
      <c r="O284" t="n">
        <v>4</v>
      </c>
      <c r="Q284" t="inlineStr">
        <is>
          <t>InStock</t>
        </is>
      </c>
      <c r="R284" t="inlineStr">
        <is>
          <t>495.0</t>
        </is>
      </c>
      <c r="S284" t="inlineStr">
        <is>
          <t>1647597293291492</t>
        </is>
      </c>
    </row>
    <row r="285" ht="75" customHeight="1">
      <c r="A285" s="1">
        <f>HYPERLINK("https://www.theoutnet.com/en-us/shop/product/rag-bone/jeans/boyfriend-jeans/dre-boyfriend-jeans/1647597300430461", "https://www.theoutnet.com/en-us/shop/product/rag-bone/jeans/boyfriend-jeans/dre-boyfriend-jeans/1647597300430461")</f>
        <v/>
      </c>
      <c r="B285" s="1">
        <f>HYPERLINK("https://www.theoutnet.com/en-us/shop/product/rag-bone/jeans/boyfriend-jeans/dre-boyfriend-jeans/1647597300430461", "https://www.theoutnet.com/en-us/shop/product/rag-bone/jeans/boyfriend-jeans/dre-boyfriend-jeans/1647597300430461")</f>
        <v/>
      </c>
      <c r="C285" t="inlineStr">
        <is>
          <t>RAG &amp; BONE</t>
        </is>
      </c>
      <c r="D285" t="inlineStr">
        <is>
          <t>rag &amp; bone Women's Passenger Tote</t>
        </is>
      </c>
      <c r="E285" s="1">
        <f>HYPERLINK("https://www.amazon.com/Womens-Passenger-Olive-Night-Black/dp/B08D5FPRW4/ref=sr_1_6?keywords=RAG+%26+BONE&amp;qid=1695343384&amp;sr=8-6", "https://www.amazon.com/Womens-Passenger-Olive-Night-Black/dp/B08D5FPRW4/ref=sr_1_6?keywords=RAG+%26+BONE&amp;qid=1695343384&amp;sr=8-6")</f>
        <v/>
      </c>
      <c r="F285" t="inlineStr">
        <is>
          <t>B08D5FPRW4</t>
        </is>
      </c>
      <c r="G285">
        <f>_xlfn.IMAGE("https://www.theoutnet.com/variants/images/1647597300430461/F/w1020_q80.jpg")</f>
        <v/>
      </c>
      <c r="H285">
        <f>_xlfn.IMAGE("https://m.media-amazon.com/images/I/91AQzoiSjqL._AC_UL320_.jpg")</f>
        <v/>
      </c>
      <c r="K285" t="inlineStr">
        <is>
          <t>127.0</t>
        </is>
      </c>
      <c r="L285" t="n">
        <v>412.5</v>
      </c>
      <c r="M285" s="2" t="inlineStr">
        <is>
          <t>224.80%</t>
        </is>
      </c>
      <c r="N285" t="n">
        <v>4.6</v>
      </c>
      <c r="O285" t="n">
        <v>4</v>
      </c>
      <c r="Q285" t="inlineStr">
        <is>
          <t>InStock</t>
        </is>
      </c>
      <c r="R285" t="inlineStr">
        <is>
          <t>255.0</t>
        </is>
      </c>
      <c r="S285" t="inlineStr">
        <is>
          <t>1647597300430461</t>
        </is>
      </c>
    </row>
    <row r="286" ht="75" customHeight="1">
      <c r="A286" s="1">
        <f>HYPERLINK("https://www.theoutnet.com/en-us/shop/product/rag-bone/jeans/boyfriend-jeans/dre-boyfriend-jeans/1647597300430461", "https://www.theoutnet.com/en-us/shop/product/rag-bone/jeans/boyfriend-jeans/dre-boyfriend-jeans/1647597300430461")</f>
        <v/>
      </c>
      <c r="B286" s="1">
        <f>HYPERLINK("https://www.theoutnet.com/en-us/shop/product/rag-bone/jeans/boyfriend-jeans/dre-boyfriend-jeans/1647597300430461", "https://www.theoutnet.com/en-us/shop/product/rag-bone/jeans/boyfriend-jeans/dre-boyfriend-jeans/1647597300430461")</f>
        <v/>
      </c>
      <c r="C286" t="inlineStr">
        <is>
          <t>RAG &amp; BONE</t>
        </is>
      </c>
      <c r="D286" t="inlineStr">
        <is>
          <t>rag &amp; bone Women's Featherweight Logan Jeans</t>
        </is>
      </c>
      <c r="E286" s="1">
        <f>HYPERLINK("https://www.amazon.com/rag-bone-Womens-Featherweight-Audrey/dp/B0BDSM188W/ref=sr_1_3?keywords=RAG+%26+BONE&amp;qid=1695343384&amp;sr=8-3", "https://www.amazon.com/rag-bone-Womens-Featherweight-Audrey/dp/B0BDSM188W/ref=sr_1_3?keywords=RAG+%26+BONE&amp;qid=1695343384&amp;sr=8-3")</f>
        <v/>
      </c>
      <c r="F286" t="inlineStr">
        <is>
          <t>B0BDSM188W</t>
        </is>
      </c>
      <c r="G286">
        <f>_xlfn.IMAGE("https://www.theoutnet.com/variants/images/1647597300430461/F/w1020_q80.jpg")</f>
        <v/>
      </c>
      <c r="H286">
        <f>_xlfn.IMAGE("https://m.media-amazon.com/images/I/71fFHI3My2L._AC_UL320_.jpg")</f>
        <v/>
      </c>
      <c r="K286" t="inlineStr">
        <is>
          <t>127.0</t>
        </is>
      </c>
      <c r="L286" t="n">
        <v>275</v>
      </c>
      <c r="M286" s="2" t="inlineStr">
        <is>
          <t>116.54%</t>
        </is>
      </c>
      <c r="N286" t="n">
        <v>4</v>
      </c>
      <c r="O286" t="n">
        <v>1</v>
      </c>
      <c r="Q286" t="inlineStr">
        <is>
          <t>InStock</t>
        </is>
      </c>
      <c r="R286" t="inlineStr">
        <is>
          <t>255.0</t>
        </is>
      </c>
      <c r="S286" t="inlineStr">
        <is>
          <t>1647597300430461</t>
        </is>
      </c>
    </row>
    <row r="287" ht="75" customHeight="1">
      <c r="A287" s="1">
        <f>HYPERLINK("https://www.theoutnet.com/en-us/shop/product/rag-bone/jeans/boyfriend-jeans/dre-boyfriend-jeans/1647597300430461", "https://www.theoutnet.com/en-us/shop/product/rag-bone/jeans/boyfriend-jeans/dre-boyfriend-jeans/1647597300430461")</f>
        <v/>
      </c>
      <c r="B287" s="1">
        <f>HYPERLINK("https://www.theoutnet.com/en-us/shop/product/rag-bone/jeans/boyfriend-jeans/dre-boyfriend-jeans/1647597300430461", "https://www.theoutnet.com/en-us/shop/product/rag-bone/jeans/boyfriend-jeans/dre-boyfriend-jeans/1647597300430461")</f>
        <v/>
      </c>
      <c r="C287" t="inlineStr">
        <is>
          <t>RAG &amp; BONE</t>
        </is>
      </c>
      <c r="D287" t="inlineStr">
        <is>
          <t>rag &amp; bone Women's Retro Runners</t>
        </is>
      </c>
      <c r="E287" s="1">
        <f>HYPERLINK("https://www.amazon.com/rag-bone-Womens-Runners-Mustard/dp/B08F46TWGH/ref=sr_1_1?keywords=RAG+%26+BONE&amp;qid=1695343384&amp;sr=8-1", "https://www.amazon.com/rag-bone-Womens-Runners-Mustard/dp/B08F46TWGH/ref=sr_1_1?keywords=RAG+%26+BONE&amp;qid=1695343384&amp;sr=8-1")</f>
        <v/>
      </c>
      <c r="F287" t="inlineStr">
        <is>
          <t>B08F46TWGH</t>
        </is>
      </c>
      <c r="G287">
        <f>_xlfn.IMAGE("https://www.theoutnet.com/variants/images/1647597300430461/F/w1020_q80.jpg")</f>
        <v/>
      </c>
      <c r="H287">
        <f>_xlfn.IMAGE("https://m.media-amazon.com/images/I/81szLAnmDML._AC_UL320_.jpg")</f>
        <v/>
      </c>
      <c r="K287" t="inlineStr">
        <is>
          <t>127.0</t>
        </is>
      </c>
      <c r="L287" t="n">
        <v>245</v>
      </c>
      <c r="M287" s="2" t="inlineStr">
        <is>
          <t>92.91%</t>
        </is>
      </c>
      <c r="N287" t="n">
        <v>4.4</v>
      </c>
      <c r="O287" t="n">
        <v>49</v>
      </c>
      <c r="Q287" t="inlineStr">
        <is>
          <t>InStock</t>
        </is>
      </c>
      <c r="R287" t="inlineStr">
        <is>
          <t>255.0</t>
        </is>
      </c>
      <c r="S287" t="inlineStr">
        <is>
          <t>1647597300430461</t>
        </is>
      </c>
    </row>
    <row r="288" ht="75" customHeight="1">
      <c r="A288" s="1">
        <f>HYPERLINK("https://www.theoutnet.com/en-us/shop/product/rag-bone/knitwear/turtleneck-sweaters/pierce-cashmere-hoodie/1647597293251989", "https://www.theoutnet.com/en-us/shop/product/rag-bone/knitwear/turtleneck-sweaters/pierce-cashmere-hoodie/1647597293251989")</f>
        <v/>
      </c>
      <c r="B288" s="1">
        <f>HYPERLINK("https://www.theoutnet.com/en-us/shop/product/rag-bone/knitwear/turtleneck-sweaters/pierce-cashmere-hoodie/1647597293251989", "https://www.theoutnet.com/en-us/shop/product/rag-bone/knitwear/turtleneck-sweaters/pierce-cashmere-hoodie/1647597293251989")</f>
        <v/>
      </c>
      <c r="C288" t="inlineStr">
        <is>
          <t>RAG &amp; BONE</t>
        </is>
      </c>
      <c r="D288" t="inlineStr">
        <is>
          <t>rag &amp; bone Women's Passenger Tote</t>
        </is>
      </c>
      <c r="E288" s="1">
        <f>HYPERLINK("https://www.amazon.com/Womens-Passenger-Olive-Night-Black/dp/B08D5FPRW4/ref=sr_1_7?keywords=RAG+%26+BONE&amp;qid=1695343139&amp;sr=8-7", "https://www.amazon.com/Womens-Passenger-Olive-Night-Black/dp/B08D5FPRW4/ref=sr_1_7?keywords=RAG+%26+BONE&amp;qid=1695343139&amp;sr=8-7")</f>
        <v/>
      </c>
      <c r="F288" t="inlineStr">
        <is>
          <t>B08D5FPRW4</t>
        </is>
      </c>
      <c r="G288">
        <f>_xlfn.IMAGE("https://www.theoutnet.com/variants/images/1647597293251989/F/w1020_q80.jpg")</f>
        <v/>
      </c>
      <c r="H288">
        <f>_xlfn.IMAGE("https://m.media-amazon.com/images/I/91AQzoiSjqL._AC_UL320_.jpg")</f>
        <v/>
      </c>
      <c r="K288" t="inlineStr">
        <is>
          <t>214.0</t>
        </is>
      </c>
      <c r="L288" t="n">
        <v>412.5</v>
      </c>
      <c r="M288" s="2" t="inlineStr">
        <is>
          <t>92.76%</t>
        </is>
      </c>
      <c r="N288" t="n">
        <v>4.6</v>
      </c>
      <c r="O288" t="n">
        <v>4</v>
      </c>
      <c r="Q288" t="inlineStr">
        <is>
          <t>InStock</t>
        </is>
      </c>
      <c r="R288" t="inlineStr">
        <is>
          <t>475.0</t>
        </is>
      </c>
      <c r="S288" t="inlineStr">
        <is>
          <t>1647597293251989</t>
        </is>
      </c>
    </row>
    <row r="289" ht="75" customHeight="1">
      <c r="A289" s="1">
        <f>HYPERLINK("https://www.theoutnet.com/en-us/shop/product/rag-bone/knitwear/v-neck-sweaters/soleil-striped-ribbed-cotton-blend-sweater/1647597296150956", "https://www.theoutnet.com/en-us/shop/product/rag-bone/knitwear/v-neck-sweaters/soleil-striped-ribbed-cotton-blend-sweater/1647597296150956")</f>
        <v/>
      </c>
      <c r="B289" s="1">
        <f>HYPERLINK("https://www.theoutnet.com/en-us/shop/product/rag-bone/knitwear/v-neck-sweaters/soleil-striped-ribbed-cotton-blend-sweater/1647597296150956", "https://www.theoutnet.com/en-us/shop/product/rag-bone/knitwear/v-neck-sweaters/soleil-striped-ribbed-cotton-blend-sweater/1647597296150956")</f>
        <v/>
      </c>
      <c r="C289" t="inlineStr">
        <is>
          <t>RAG &amp; BONE</t>
        </is>
      </c>
      <c r="D289" t="inlineStr">
        <is>
          <t>rag &amp; bone Women's Passenger Tote</t>
        </is>
      </c>
      <c r="E289" s="1">
        <f>HYPERLINK("https://www.amazon.com/Womens-Passenger-Olive-Night-Black/dp/B08D5FPRW4/ref=sr_1_7?keywords=RAG+%26+BONE&amp;qid=1695343090&amp;sr=8-7", "https://www.amazon.com/Womens-Passenger-Olive-Night-Black/dp/B08D5FPRW4/ref=sr_1_7?keywords=RAG+%26+BONE&amp;qid=1695343090&amp;sr=8-7")</f>
        <v/>
      </c>
      <c r="F289" t="inlineStr">
        <is>
          <t>B08D5FPRW4</t>
        </is>
      </c>
      <c r="G289">
        <f>_xlfn.IMAGE("https://www.theoutnet.com/variants/images/1647597296150956/F/w1020_q80.jpg")</f>
        <v/>
      </c>
      <c r="H289">
        <f>_xlfn.IMAGE("https://m.media-amazon.com/images/I/91AQzoiSjqL._AC_UL320_.jpg")</f>
        <v/>
      </c>
      <c r="K289" t="inlineStr">
        <is>
          <t>175.0</t>
        </is>
      </c>
      <c r="L289" t="n">
        <v>412.5</v>
      </c>
      <c r="M289" s="2" t="inlineStr">
        <is>
          <t>135.71%</t>
        </is>
      </c>
      <c r="N289" t="n">
        <v>4.6</v>
      </c>
      <c r="O289" t="n">
        <v>4</v>
      </c>
      <c r="Q289" t="inlineStr">
        <is>
          <t>InStock</t>
        </is>
      </c>
      <c r="R289" t="inlineStr">
        <is>
          <t>350.0</t>
        </is>
      </c>
      <c r="S289" t="inlineStr">
        <is>
          <t>1</t>
        </is>
      </c>
    </row>
    <row r="290" ht="75" customHeight="1">
      <c r="A290" s="1">
        <f>HYPERLINK("https://www.theoutnet.com/en-us/shop/product/rag-bone/pants/leggings/nina-faux-leather-leggings/1647597321259160", "https://www.theoutnet.com/en-us/shop/product/rag-bone/pants/leggings/nina-faux-leather-leggings/1647597321259160")</f>
        <v/>
      </c>
      <c r="B290" s="1">
        <f>HYPERLINK("https://www.theoutnet.com/en-us/shop/product/rag-bone/pants/leggings/nina-faux-leather-leggings/1647597321259160", "https://www.theoutnet.com/en-us/shop/product/rag-bone/pants/leggings/nina-faux-leather-leggings/1647597321259160")</f>
        <v/>
      </c>
      <c r="C290" t="inlineStr">
        <is>
          <t>RAG &amp; BONE</t>
        </is>
      </c>
      <c r="D290" t="inlineStr">
        <is>
          <t>rag &amp; bone Women's Passenger Tote</t>
        </is>
      </c>
      <c r="E290" s="1">
        <f>HYPERLINK("https://www.amazon.com/Womens-Passenger-Olive-Night-Black/dp/B08D5FPRW4/ref=sr_1_9?keywords=RAG+%26+BONE&amp;qid=1695343418&amp;sr=8-9", "https://www.amazon.com/Womens-Passenger-Olive-Night-Black/dp/B08D5FPRW4/ref=sr_1_9?keywords=RAG+%26+BONE&amp;qid=1695343418&amp;sr=8-9")</f>
        <v/>
      </c>
      <c r="F290" t="inlineStr">
        <is>
          <t>B08D5FPRW4</t>
        </is>
      </c>
      <c r="G290">
        <f>_xlfn.IMAGE("https://www.theoutnet.com/variants/images/1647597321259160/F/w1020_q80.jpg")</f>
        <v/>
      </c>
      <c r="H290">
        <f>_xlfn.IMAGE("https://m.media-amazon.com/images/I/91AQzoiSjqL._AC_UL320_.jpg")</f>
        <v/>
      </c>
      <c r="K290" t="inlineStr">
        <is>
          <t>133.0</t>
        </is>
      </c>
      <c r="L290" t="n">
        <v>412.5</v>
      </c>
      <c r="M290" s="2" t="inlineStr">
        <is>
          <t>210.15%</t>
        </is>
      </c>
      <c r="N290" t="n">
        <v>4.6</v>
      </c>
      <c r="O290" t="n">
        <v>4</v>
      </c>
      <c r="Q290" t="inlineStr">
        <is>
          <t>InStock</t>
        </is>
      </c>
      <c r="R290" t="inlineStr">
        <is>
          <t>295.0</t>
        </is>
      </c>
      <c r="S290" t="inlineStr">
        <is>
          <t>1647597321259160</t>
        </is>
      </c>
    </row>
    <row r="291" ht="75" customHeight="1">
      <c r="A291" s="1">
        <f>HYPERLINK("https://www.theoutnet.com/en-us/shop/product/rag-bone/pants/leggings/nina-faux-leather-leggings/1647597321259160", "https://www.theoutnet.com/en-us/shop/product/rag-bone/pants/leggings/nina-faux-leather-leggings/1647597321259160")</f>
        <v/>
      </c>
      <c r="B291" s="1">
        <f>HYPERLINK("https://www.theoutnet.com/en-us/shop/product/rag-bone/pants/leggings/nina-faux-leather-leggings/1647597321259160", "https://www.theoutnet.com/en-us/shop/product/rag-bone/pants/leggings/nina-faux-leather-leggings/1647597321259160")</f>
        <v/>
      </c>
      <c r="C291" t="inlineStr">
        <is>
          <t>RAG &amp; BONE</t>
        </is>
      </c>
      <c r="D291" t="inlineStr">
        <is>
          <t>rag &amp; bone Women's Featherweight Logan Jeans</t>
        </is>
      </c>
      <c r="E291" s="1">
        <f>HYPERLINK("https://www.amazon.com/rag-bone-Womens-Featherweight-Audrey/dp/B0BDSM188W/ref=sr_1_3?keywords=RAG+%26+BONE&amp;qid=1695343418&amp;sr=8-3", "https://www.amazon.com/rag-bone-Womens-Featherweight-Audrey/dp/B0BDSM188W/ref=sr_1_3?keywords=RAG+%26+BONE&amp;qid=1695343418&amp;sr=8-3")</f>
        <v/>
      </c>
      <c r="F291" t="inlineStr">
        <is>
          <t>B0BDSM188W</t>
        </is>
      </c>
      <c r="G291">
        <f>_xlfn.IMAGE("https://www.theoutnet.com/variants/images/1647597321259160/F/w1020_q80.jpg")</f>
        <v/>
      </c>
      <c r="H291">
        <f>_xlfn.IMAGE("https://m.media-amazon.com/images/I/71fFHI3My2L._AC_UL320_.jpg")</f>
        <v/>
      </c>
      <c r="K291" t="inlineStr">
        <is>
          <t>133.0</t>
        </is>
      </c>
      <c r="L291" t="n">
        <v>275</v>
      </c>
      <c r="M291" s="2" t="inlineStr">
        <is>
          <t>106.77%</t>
        </is>
      </c>
      <c r="N291" t="n">
        <v>4</v>
      </c>
      <c r="O291" t="n">
        <v>1</v>
      </c>
      <c r="Q291" t="inlineStr">
        <is>
          <t>InStock</t>
        </is>
      </c>
      <c r="R291" t="inlineStr">
        <is>
          <t>295.0</t>
        </is>
      </c>
      <c r="S291" t="inlineStr">
        <is>
          <t>1647597321259160</t>
        </is>
      </c>
    </row>
    <row r="292" ht="75" customHeight="1">
      <c r="A292" s="1">
        <f>HYPERLINK("https://www.theoutnet.com/en-us/shop/product/rag-bone/pants/leggings/nina-faux-leather-leggings/1647597321259160", "https://www.theoutnet.com/en-us/shop/product/rag-bone/pants/leggings/nina-faux-leather-leggings/1647597321259160")</f>
        <v/>
      </c>
      <c r="B292" s="1">
        <f>HYPERLINK("https://www.theoutnet.com/en-us/shop/product/rag-bone/pants/leggings/nina-faux-leather-leggings/1647597321259160", "https://www.theoutnet.com/en-us/shop/product/rag-bone/pants/leggings/nina-faux-leather-leggings/1647597321259160")</f>
        <v/>
      </c>
      <c r="C292" t="inlineStr">
        <is>
          <t>RAG &amp; BONE</t>
        </is>
      </c>
      <c r="D292" t="inlineStr">
        <is>
          <t>rag &amp; bone Women's Retro Runners</t>
        </is>
      </c>
      <c r="E292" s="1">
        <f>HYPERLINK("https://www.amazon.com/rag-bone-Womens-Runners-Mustard/dp/B08F46TWGH/ref=sr_1_1?keywords=RAG+%26+BONE&amp;qid=1695343418&amp;sr=8-1", "https://www.amazon.com/rag-bone-Womens-Runners-Mustard/dp/B08F46TWGH/ref=sr_1_1?keywords=RAG+%26+BONE&amp;qid=1695343418&amp;sr=8-1")</f>
        <v/>
      </c>
      <c r="F292" t="inlineStr">
        <is>
          <t>B08F46TWGH</t>
        </is>
      </c>
      <c r="G292">
        <f>_xlfn.IMAGE("https://www.theoutnet.com/variants/images/1647597321259160/F/w1020_q80.jpg")</f>
        <v/>
      </c>
      <c r="H292">
        <f>_xlfn.IMAGE("https://m.media-amazon.com/images/I/81szLAnmDML._AC_UL320_.jpg")</f>
        <v/>
      </c>
      <c r="K292" t="inlineStr">
        <is>
          <t>133.0</t>
        </is>
      </c>
      <c r="L292" t="n">
        <v>245</v>
      </c>
      <c r="M292" s="2" t="inlineStr">
        <is>
          <t>84.21%</t>
        </is>
      </c>
      <c r="N292" t="n">
        <v>4.4</v>
      </c>
      <c r="O292" t="n">
        <v>49</v>
      </c>
      <c r="Q292" t="inlineStr">
        <is>
          <t>InStock</t>
        </is>
      </c>
      <c r="R292" t="inlineStr">
        <is>
          <t>295.0</t>
        </is>
      </c>
      <c r="S292" t="inlineStr">
        <is>
          <t>1647597321259160</t>
        </is>
      </c>
    </row>
    <row r="293" ht="75" customHeight="1">
      <c r="A293" s="1">
        <f>HYPERLINK("https://www.theoutnet.com/en-us/shop/product/rag-bone/pants/tapered-pants/andre-houndstooth-twill-track-pants/1647597288161216", "https://www.theoutnet.com/en-us/shop/product/rag-bone/pants/tapered-pants/andre-houndstooth-twill-track-pants/1647597288161216")</f>
        <v/>
      </c>
      <c r="B293" s="1">
        <f>HYPERLINK("https://www.theoutnet.com/en-us/shop/product/rag-bone/pants/tapered-pants/andre-houndstooth-twill-track-pants/1647597288161216", "https://www.theoutnet.com/en-us/shop/product/rag-bone/pants/tapered-pants/andre-houndstooth-twill-track-pants/1647597288161216")</f>
        <v/>
      </c>
      <c r="C293" t="inlineStr">
        <is>
          <t>RAG &amp; BONE</t>
        </is>
      </c>
      <c r="D293" t="inlineStr">
        <is>
          <t>rag &amp; bone Women's Passenger Tote</t>
        </is>
      </c>
      <c r="E293" s="1">
        <f>HYPERLINK("https://www.amazon.com/Womens-Passenger-Olive-Night-Black/dp/B08D5FPRW4/ref=sr_1_6?keywords=RAG+%26+BONE&amp;qid=1695343082&amp;sr=8-6", "https://www.amazon.com/Womens-Passenger-Olive-Night-Black/dp/B08D5FPRW4/ref=sr_1_6?keywords=RAG+%26+BONE&amp;qid=1695343082&amp;sr=8-6")</f>
        <v/>
      </c>
      <c r="F293" t="inlineStr">
        <is>
          <t>B08D5FPRW4</t>
        </is>
      </c>
      <c r="G293">
        <f>_xlfn.IMAGE("https://www.theoutnet.com/variants/images/1647597288161216/F/w1020_q80.jpg")</f>
        <v/>
      </c>
      <c r="H293">
        <f>_xlfn.IMAGE("https://m.media-amazon.com/images/I/91AQzoiSjqL._AC_UL320_.jpg")</f>
        <v/>
      </c>
      <c r="K293" t="inlineStr">
        <is>
          <t>170.0</t>
        </is>
      </c>
      <c r="L293" t="n">
        <v>412.5</v>
      </c>
      <c r="M293" s="2" t="inlineStr">
        <is>
          <t>142.65%</t>
        </is>
      </c>
      <c r="N293" t="n">
        <v>4.6</v>
      </c>
      <c r="O293" t="n">
        <v>4</v>
      </c>
      <c r="Q293" t="inlineStr">
        <is>
          <t>InStock</t>
        </is>
      </c>
      <c r="R293" t="inlineStr">
        <is>
          <t>425.0</t>
        </is>
      </c>
      <c r="S293" t="inlineStr">
        <is>
          <t>1647597288161216</t>
        </is>
      </c>
    </row>
    <row r="294" ht="75" customHeight="1">
      <c r="A294" s="1">
        <f>HYPERLINK("https://www.theoutnet.com/en-us/shop/product/rag-bone/tops/bodysuits/stretch-jersey-bodysuit/1647597293618414", "https://www.theoutnet.com/en-us/shop/product/rag-bone/tops/bodysuits/stretch-jersey-bodysuit/1647597293618414")</f>
        <v/>
      </c>
      <c r="B294" s="1">
        <f>HYPERLINK("https://www.theoutnet.com/en-us/shop/product/rag-bone/tops/bodysuits/stretch-jersey-bodysuit/1647597293618414", "https://www.theoutnet.com/en-us/shop/product/rag-bone/tops/bodysuits/stretch-jersey-bodysuit/1647597293618414")</f>
        <v/>
      </c>
      <c r="C294" t="inlineStr">
        <is>
          <t>RAG &amp; BONE</t>
        </is>
      </c>
      <c r="D294" t="inlineStr">
        <is>
          <t>rag &amp; bone Women's Passenger Tote</t>
        </is>
      </c>
      <c r="E294" s="1">
        <f>HYPERLINK("https://www.amazon.com/Womens-Passenger-Olive-Night-Black/dp/B08D5FPRW4/ref=sr_1_6?keywords=RAG+%26+BONE&amp;qid=1695343056&amp;sr=8-6", "https://www.amazon.com/Womens-Passenger-Olive-Night-Black/dp/B08D5FPRW4/ref=sr_1_6?keywords=RAG+%26+BONE&amp;qid=1695343056&amp;sr=8-6")</f>
        <v/>
      </c>
      <c r="F294" t="inlineStr">
        <is>
          <t>B08D5FPRW4</t>
        </is>
      </c>
      <c r="G294">
        <f>_xlfn.IMAGE("https://www.theoutnet.com/variants/images/1647597293618414/F/w1020_q80.jpg")</f>
        <v/>
      </c>
      <c r="H294">
        <f>_xlfn.IMAGE("https://m.media-amazon.com/images/I/91AQzoiSjqL._AC_UL320_.jpg")</f>
        <v/>
      </c>
      <c r="K294" t="inlineStr">
        <is>
          <t>79.0</t>
        </is>
      </c>
      <c r="L294" t="n">
        <v>412.5</v>
      </c>
      <c r="M294" s="2" t="inlineStr">
        <is>
          <t>422.15%</t>
        </is>
      </c>
      <c r="N294" t="n">
        <v>4.6</v>
      </c>
      <c r="O294" t="n">
        <v>4</v>
      </c>
      <c r="Q294" t="inlineStr">
        <is>
          <t>InStock</t>
        </is>
      </c>
      <c r="R294" t="inlineStr">
        <is>
          <t>175.0</t>
        </is>
      </c>
      <c r="S294" t="inlineStr">
        <is>
          <t>1</t>
        </is>
      </c>
    </row>
    <row r="295" ht="75" customHeight="1">
      <c r="A295" s="1">
        <f>HYPERLINK("https://www.theoutnet.com/en-us/shop/product/rag-bone/tops/bodysuits/stretch-jersey-bodysuit/1647597293618414", "https://www.theoutnet.com/en-us/shop/product/rag-bone/tops/bodysuits/stretch-jersey-bodysuit/1647597293618414")</f>
        <v/>
      </c>
      <c r="B295" s="1">
        <f>HYPERLINK("https://www.theoutnet.com/en-us/shop/product/rag-bone/tops/bodysuits/stretch-jersey-bodysuit/1647597293618414", "https://www.theoutnet.com/en-us/shop/product/rag-bone/tops/bodysuits/stretch-jersey-bodysuit/1647597293618414")</f>
        <v/>
      </c>
      <c r="C295" t="inlineStr">
        <is>
          <t>RAG &amp; BONE</t>
        </is>
      </c>
      <c r="D295" t="inlineStr">
        <is>
          <t>rag &amp; bone Women's Featherweight Logan Jeans</t>
        </is>
      </c>
      <c r="E295" s="1">
        <f>HYPERLINK("https://www.amazon.com/rag-bone-Womens-Featherweight-Audrey/dp/B0BDSM188W/ref=sr_1_3?keywords=RAG+%26+BONE&amp;qid=1695343056&amp;sr=8-3", "https://www.amazon.com/rag-bone-Womens-Featherweight-Audrey/dp/B0BDSM188W/ref=sr_1_3?keywords=RAG+%26+BONE&amp;qid=1695343056&amp;sr=8-3")</f>
        <v/>
      </c>
      <c r="F295" t="inlineStr">
        <is>
          <t>B0BDSM188W</t>
        </is>
      </c>
      <c r="G295">
        <f>_xlfn.IMAGE("https://www.theoutnet.com/variants/images/1647597293618414/F/w1020_q80.jpg")</f>
        <v/>
      </c>
      <c r="H295">
        <f>_xlfn.IMAGE("https://m.media-amazon.com/images/I/71fFHI3My2L._AC_UL320_.jpg")</f>
        <v/>
      </c>
      <c r="K295" t="inlineStr">
        <is>
          <t>79.0</t>
        </is>
      </c>
      <c r="L295" t="n">
        <v>275</v>
      </c>
      <c r="M295" s="2" t="inlineStr">
        <is>
          <t>248.10%</t>
        </is>
      </c>
      <c r="N295" t="n">
        <v>4</v>
      </c>
      <c r="O295" t="n">
        <v>1</v>
      </c>
      <c r="Q295" t="inlineStr">
        <is>
          <t>InStock</t>
        </is>
      </c>
      <c r="R295" t="inlineStr">
        <is>
          <t>175.0</t>
        </is>
      </c>
      <c r="S295" t="inlineStr">
        <is>
          <t>1</t>
        </is>
      </c>
    </row>
    <row r="296" ht="75" customHeight="1">
      <c r="A296" s="1">
        <f>HYPERLINK("https://www.theoutnet.com/en-us/shop/product/rag-bone/tops/bodysuits/stretch-jersey-bodysuit/1647597293618414", "https://www.theoutnet.com/en-us/shop/product/rag-bone/tops/bodysuits/stretch-jersey-bodysuit/1647597293618414")</f>
        <v/>
      </c>
      <c r="B296" s="1">
        <f>HYPERLINK("https://www.theoutnet.com/en-us/shop/product/rag-bone/tops/bodysuits/stretch-jersey-bodysuit/1647597293618414", "https://www.theoutnet.com/en-us/shop/product/rag-bone/tops/bodysuits/stretch-jersey-bodysuit/1647597293618414")</f>
        <v/>
      </c>
      <c r="C296" t="inlineStr">
        <is>
          <t>RAG &amp; BONE</t>
        </is>
      </c>
      <c r="D296" t="inlineStr">
        <is>
          <t>rag &amp; bone Women's Retro Runners</t>
        </is>
      </c>
      <c r="E296" s="1">
        <f>HYPERLINK("https://www.amazon.com/rag-bone-Womens-Runners-Mustard/dp/B08F46TWGH/ref=sr_1_1?keywords=RAG+%26+BONE&amp;qid=1695343056&amp;sr=8-1", "https://www.amazon.com/rag-bone-Womens-Runners-Mustard/dp/B08F46TWGH/ref=sr_1_1?keywords=RAG+%26+BONE&amp;qid=1695343056&amp;sr=8-1")</f>
        <v/>
      </c>
      <c r="F296" t="inlineStr">
        <is>
          <t>B08F46TWGH</t>
        </is>
      </c>
      <c r="G296">
        <f>_xlfn.IMAGE("https://www.theoutnet.com/variants/images/1647597293618414/F/w1020_q80.jpg")</f>
        <v/>
      </c>
      <c r="H296">
        <f>_xlfn.IMAGE("https://m.media-amazon.com/images/I/81szLAnmDML._AC_UL320_.jpg")</f>
        <v/>
      </c>
      <c r="K296" t="inlineStr">
        <is>
          <t>79.0</t>
        </is>
      </c>
      <c r="L296" t="n">
        <v>245</v>
      </c>
      <c r="M296" s="2" t="inlineStr">
        <is>
          <t>210.13%</t>
        </is>
      </c>
      <c r="N296" t="n">
        <v>4.4</v>
      </c>
      <c r="O296" t="n">
        <v>49</v>
      </c>
      <c r="Q296" t="inlineStr">
        <is>
          <t>InStock</t>
        </is>
      </c>
      <c r="R296" t="inlineStr">
        <is>
          <t>175.0</t>
        </is>
      </c>
      <c r="S296" t="inlineStr">
        <is>
          <t>1</t>
        </is>
      </c>
    </row>
    <row r="297" ht="75" customHeight="1">
      <c r="A297" s="1">
        <f>HYPERLINK("https://www.theoutnet.com/en-us/shop/product/rag-bone/tops/sleeveless-top/zoe-ribbed-jersey-tank/43769801097749647", "https://www.theoutnet.com/en-us/shop/product/rag-bone/tops/sleeveless-top/zoe-ribbed-jersey-tank/43769801097749647")</f>
        <v/>
      </c>
      <c r="B297" s="1">
        <f>HYPERLINK("https://www.theoutnet.com/en-us/shop/product/rag-bone/tops/sleeveless-top/zoe-ribbed-jersey-tank/43769801097749647", "https://www.theoutnet.com/en-us/shop/product/rag-bone/tops/sleeveless-top/zoe-ribbed-jersey-tank/43769801097749647")</f>
        <v/>
      </c>
      <c r="C297" t="inlineStr">
        <is>
          <t>RAG &amp; BONE</t>
        </is>
      </c>
      <c r="D297" t="inlineStr">
        <is>
          <t>rag &amp; bone Women's Passenger Tote</t>
        </is>
      </c>
      <c r="E297" s="1">
        <f>HYPERLINK("https://www.amazon.com/Womens-Passenger-Olive-Night-Black/dp/B08D5FPRW4/ref=sr_1_6?keywords=RAG+%26+BONE&amp;qid=1695343051&amp;sr=8-6", "https://www.amazon.com/Womens-Passenger-Olive-Night-Black/dp/B08D5FPRW4/ref=sr_1_6?keywords=RAG+%26+BONE&amp;qid=1695343051&amp;sr=8-6")</f>
        <v/>
      </c>
      <c r="F297" t="inlineStr">
        <is>
          <t>B08D5FPRW4</t>
        </is>
      </c>
      <c r="G297">
        <f>_xlfn.IMAGE("https://www.theoutnet.com/variants/images/43769801097749647/F/w1020_q80.jpg")</f>
        <v/>
      </c>
      <c r="H297">
        <f>_xlfn.IMAGE("https://m.media-amazon.com/images/I/91AQzoiSjqL._AC_UL320_.jpg")</f>
        <v/>
      </c>
      <c r="K297" t="inlineStr">
        <is>
          <t>78.0</t>
        </is>
      </c>
      <c r="L297" t="n">
        <v>412.5</v>
      </c>
      <c r="M297" s="2" t="inlineStr">
        <is>
          <t>428.85%</t>
        </is>
      </c>
      <c r="N297" t="n">
        <v>4.6</v>
      </c>
      <c r="O297" t="n">
        <v>4</v>
      </c>
      <c r="Q297" t="inlineStr">
        <is>
          <t>InStock</t>
        </is>
      </c>
      <c r="R297" t="inlineStr">
        <is>
          <t>155.0</t>
        </is>
      </c>
      <c r="S297" t="inlineStr">
        <is>
          <t>43769801097749647</t>
        </is>
      </c>
    </row>
    <row r="298" ht="75" customHeight="1">
      <c r="A298" s="1">
        <f>HYPERLINK("https://www.theoutnet.com/en-us/shop/product/rag-bone/tops/sleeveless-top/zoe-ribbed-jersey-tank/43769801097749647", "https://www.theoutnet.com/en-us/shop/product/rag-bone/tops/sleeveless-top/zoe-ribbed-jersey-tank/43769801097749647")</f>
        <v/>
      </c>
      <c r="B298" s="1">
        <f>HYPERLINK("https://www.theoutnet.com/en-us/shop/product/rag-bone/tops/sleeveless-top/zoe-ribbed-jersey-tank/43769801097749647", "https://www.theoutnet.com/en-us/shop/product/rag-bone/tops/sleeveless-top/zoe-ribbed-jersey-tank/43769801097749647")</f>
        <v/>
      </c>
      <c r="C298" t="inlineStr">
        <is>
          <t>RAG &amp; BONE</t>
        </is>
      </c>
      <c r="D298" t="inlineStr">
        <is>
          <t>rag &amp; bone Women's Featherweight Logan Jeans</t>
        </is>
      </c>
      <c r="E298" s="1">
        <f>HYPERLINK("https://www.amazon.com/rag-bone-Womens-Featherweight-Audrey/dp/B0BDSM188W/ref=sr_1_3?keywords=RAG+%26+BONE&amp;qid=1695343051&amp;sr=8-3", "https://www.amazon.com/rag-bone-Womens-Featherweight-Audrey/dp/B0BDSM188W/ref=sr_1_3?keywords=RAG+%26+BONE&amp;qid=1695343051&amp;sr=8-3")</f>
        <v/>
      </c>
      <c r="F298" t="inlineStr">
        <is>
          <t>B0BDSM188W</t>
        </is>
      </c>
      <c r="G298">
        <f>_xlfn.IMAGE("https://www.theoutnet.com/variants/images/43769801097749647/F/w1020_q80.jpg")</f>
        <v/>
      </c>
      <c r="H298">
        <f>_xlfn.IMAGE("https://m.media-amazon.com/images/I/71fFHI3My2L._AC_UL320_.jpg")</f>
        <v/>
      </c>
      <c r="K298" t="inlineStr">
        <is>
          <t>78.0</t>
        </is>
      </c>
      <c r="L298" t="n">
        <v>275</v>
      </c>
      <c r="M298" s="2" t="inlineStr">
        <is>
          <t>252.56%</t>
        </is>
      </c>
      <c r="N298" t="n">
        <v>4</v>
      </c>
      <c r="O298" t="n">
        <v>1</v>
      </c>
      <c r="Q298" t="inlineStr">
        <is>
          <t>InStock</t>
        </is>
      </c>
      <c r="R298" t="inlineStr">
        <is>
          <t>155.0</t>
        </is>
      </c>
      <c r="S298" t="inlineStr">
        <is>
          <t>43769801097749647</t>
        </is>
      </c>
    </row>
    <row r="299" ht="75" customHeight="1">
      <c r="A299" s="1">
        <f>HYPERLINK("https://www.theoutnet.com/en-us/shop/product/rag-bone/tops/sleeveless-top/zoe-ribbed-jersey-tank/43769801097749647", "https://www.theoutnet.com/en-us/shop/product/rag-bone/tops/sleeveless-top/zoe-ribbed-jersey-tank/43769801097749647")</f>
        <v/>
      </c>
      <c r="B299" s="1">
        <f>HYPERLINK("https://www.theoutnet.com/en-us/shop/product/rag-bone/tops/sleeveless-top/zoe-ribbed-jersey-tank/43769801097749647", "https://www.theoutnet.com/en-us/shop/product/rag-bone/tops/sleeveless-top/zoe-ribbed-jersey-tank/43769801097749647")</f>
        <v/>
      </c>
      <c r="C299" t="inlineStr">
        <is>
          <t>RAG &amp; BONE</t>
        </is>
      </c>
      <c r="D299" t="inlineStr">
        <is>
          <t>rag &amp; bone Women's Retro Runners</t>
        </is>
      </c>
      <c r="E299" s="1">
        <f>HYPERLINK("https://www.amazon.com/rag-bone-Womens-Runners-Mustard/dp/B08F46TWGH/ref=sr_1_1?keywords=RAG+%26+BONE&amp;qid=1695343051&amp;sr=8-1", "https://www.amazon.com/rag-bone-Womens-Runners-Mustard/dp/B08F46TWGH/ref=sr_1_1?keywords=RAG+%26+BONE&amp;qid=1695343051&amp;sr=8-1")</f>
        <v/>
      </c>
      <c r="F299" t="inlineStr">
        <is>
          <t>B08F46TWGH</t>
        </is>
      </c>
      <c r="G299">
        <f>_xlfn.IMAGE("https://www.theoutnet.com/variants/images/43769801097749647/F/w1020_q80.jpg")</f>
        <v/>
      </c>
      <c r="H299">
        <f>_xlfn.IMAGE("https://m.media-amazon.com/images/I/81szLAnmDML._AC_UL320_.jpg")</f>
        <v/>
      </c>
      <c r="K299" t="inlineStr">
        <is>
          <t>78.0</t>
        </is>
      </c>
      <c r="L299" t="n">
        <v>245</v>
      </c>
      <c r="M299" s="2" t="inlineStr">
        <is>
          <t>214.10%</t>
        </is>
      </c>
      <c r="N299" t="n">
        <v>4.4</v>
      </c>
      <c r="O299" t="n">
        <v>49</v>
      </c>
      <c r="Q299" t="inlineStr">
        <is>
          <t>InStock</t>
        </is>
      </c>
      <c r="R299" t="inlineStr">
        <is>
          <t>155.0</t>
        </is>
      </c>
      <c r="S299" t="inlineStr">
        <is>
          <t>43769801097749647</t>
        </is>
      </c>
    </row>
    <row r="300" ht="75" customHeight="1">
      <c r="A300" s="1">
        <f>HYPERLINK("https://www.theoutnet.com/en-us/shop/product/rebecca-minkoff/boots/ankle-boots/madysin-studded-suede-ankle-boots/22831760541125983", "https://www.theoutnet.com/en-us/shop/product/rebecca-minkoff/boots/ankle-boots/madysin-studded-suede-ankle-boots/22831760541125983")</f>
        <v/>
      </c>
      <c r="B300" s="1">
        <f>HYPERLINK("https://www.theoutnet.com/en-us/shop/product/rebecca-minkoff/boots/ankle-boots/madysin-studded-suede-ankle-boots/22831760541125983", "https://www.theoutnet.com/en-us/shop/product/rebecca-minkoff/boots/ankle-boots/madysin-studded-suede-ankle-boots/22831760541125983")</f>
        <v/>
      </c>
      <c r="C300" t="inlineStr">
        <is>
          <t>REBECCA MINKOFF</t>
        </is>
      </c>
      <c r="D300" t="inlineStr">
        <is>
          <t>Rebecca Minkoff Edie Flap Shoulder Bag for Women – Versatile Leather Purse for Women</t>
        </is>
      </c>
      <c r="E300" s="1">
        <f>HYPERLINK("https://www.amazon.com/Rebecca-Minkoff-Edie-Shoulder-Black/dp/B0B57J6KFB/ref=sr_1_3?keywords=REBECCA+MINKOFF&amp;qid=1695343541&amp;sr=8-3", "https://www.amazon.com/Rebecca-Minkoff-Edie-Shoulder-Black/dp/B0B57J6KFB/ref=sr_1_3?keywords=REBECCA+MINKOFF&amp;qid=1695343541&amp;sr=8-3")</f>
        <v/>
      </c>
      <c r="F300" t="inlineStr">
        <is>
          <t>B0B57J6KFB</t>
        </is>
      </c>
      <c r="G300">
        <f>_xlfn.IMAGE("https://www.theoutnet.com/variants/images/22831760541125983/F/w1020_q80.jpg")</f>
        <v/>
      </c>
      <c r="H300">
        <f>_xlfn.IMAGE("https://m.media-amazon.com/images/I/61X1ZX68A2L._AC_UL320_.jpg")</f>
        <v/>
      </c>
      <c r="K300" t="inlineStr">
        <is>
          <t>94.0</t>
        </is>
      </c>
      <c r="L300" t="n">
        <v>197.38</v>
      </c>
      <c r="M300" s="2" t="inlineStr">
        <is>
          <t>109.98%</t>
        </is>
      </c>
      <c r="N300" t="n">
        <v>5</v>
      </c>
      <c r="O300" t="n">
        <v>5</v>
      </c>
      <c r="Q300" t="inlineStr">
        <is>
          <t>InStock</t>
        </is>
      </c>
      <c r="R300" t="inlineStr">
        <is>
          <t>192.0</t>
        </is>
      </c>
      <c r="S300" t="inlineStr">
        <is>
          <t>22831760541125983</t>
        </is>
      </c>
    </row>
    <row r="301" ht="75" customHeight="1">
      <c r="A301" s="1">
        <f>HYPERLINK("https://www.theoutnet.com/en-us/shop/product/rebecca-minkoff/boots/ankle-boots/madysin-studded-suede-ankle-boots/22831760541125983", "https://www.theoutnet.com/en-us/shop/product/rebecca-minkoff/boots/ankle-boots/madysin-studded-suede-ankle-boots/22831760541125983")</f>
        <v/>
      </c>
      <c r="B301" s="1">
        <f>HYPERLINK("https://www.theoutnet.com/en-us/shop/product/rebecca-minkoff/boots/ankle-boots/madysin-studded-suede-ankle-boots/22831760541125983", "https://www.theoutnet.com/en-us/shop/product/rebecca-minkoff/boots/ankle-boots/madysin-studded-suede-ankle-boots/22831760541125983")</f>
        <v/>
      </c>
      <c r="C301" t="inlineStr">
        <is>
          <t>REBECCA MINKOFF</t>
        </is>
      </c>
      <c r="D301" t="inlineStr">
        <is>
          <t>Rebecca Minkoff Chevron Love Quilted Crossbody Bag for Women – Versatile Women’s Crossbody Purse, Quality Leather Handbag for Women, Quilted Shoulder Bag, Chain Purse</t>
        </is>
      </c>
      <c r="E301" s="1">
        <f>HYPERLINK("https://www.amazon.com/Rebecca-Minkoff-Chevron-Quilted-Crossbody/dp/B0BKH4LCC1/ref=sr_1_4?keywords=REBECCA+MINKOFF&amp;qid=1695343541&amp;sr=8-4", "https://www.amazon.com/Rebecca-Minkoff-Chevron-Quilted-Crossbody/dp/B0BKH4LCC1/ref=sr_1_4?keywords=REBECCA+MINKOFF&amp;qid=1695343541&amp;sr=8-4")</f>
        <v/>
      </c>
      <c r="F301" t="inlineStr">
        <is>
          <t>B0BKH4LCC1</t>
        </is>
      </c>
      <c r="G301">
        <f>_xlfn.IMAGE("https://www.theoutnet.com/variants/images/22831760541125983/F/w1020_q80.jpg")</f>
        <v/>
      </c>
      <c r="H301">
        <f>_xlfn.IMAGE("https://m.media-amazon.com/images/I/51svGR6c5FL._AC_UL320_.jpg")</f>
        <v/>
      </c>
      <c r="K301" t="inlineStr">
        <is>
          <t>94.0</t>
        </is>
      </c>
      <c r="L301" t="n">
        <v>195</v>
      </c>
      <c r="M301" s="2" t="inlineStr">
        <is>
          <t>107.45%</t>
        </is>
      </c>
      <c r="N301" t="n">
        <v>4.1</v>
      </c>
      <c r="O301" t="n">
        <v>7</v>
      </c>
      <c r="Q301" t="inlineStr">
        <is>
          <t>InStock</t>
        </is>
      </c>
      <c r="R301" t="inlineStr">
        <is>
          <t>192.0</t>
        </is>
      </c>
      <c r="S301" t="inlineStr">
        <is>
          <t>22831760541125983</t>
        </is>
      </c>
    </row>
    <row r="302" ht="75" customHeight="1">
      <c r="A302" s="1">
        <f>HYPERLINK("https://www.theoutnet.com/en-us/shop/product/rebecca-minkoff/boots/ankle-boots/madysin-studded-suede-ankle-boots/22831760541125983", "https://www.theoutnet.com/en-us/shop/product/rebecca-minkoff/boots/ankle-boots/madysin-studded-suede-ankle-boots/22831760541125983")</f>
        <v/>
      </c>
      <c r="B302" s="1">
        <f>HYPERLINK("https://www.theoutnet.com/en-us/shop/product/rebecca-minkoff/boots/ankle-boots/madysin-studded-suede-ankle-boots/22831760541125983", "https://www.theoutnet.com/en-us/shop/product/rebecca-minkoff/boots/ankle-boots/madysin-studded-suede-ankle-boots/22831760541125983")</f>
        <v/>
      </c>
      <c r="C302" t="inlineStr">
        <is>
          <t>REBECCA MINKOFF</t>
        </is>
      </c>
      <c r="D302" t="inlineStr">
        <is>
          <t>Rebecca Minkoff Versatile Women’s Crossbody Purse, Quality Leather Handbag for Women, Quilted Shoulder Bag, Chain Purse</t>
        </is>
      </c>
      <c r="E302" s="1">
        <f>HYPERLINK("https://www.amazon.com/Rebecca-Minkoff-Chevron-Quilted-Crossbody/dp/B01MFAJNO0/ref=sr_1_6?keywords=REBECCA+MINKOFF&amp;qid=1695343541&amp;sr=8-6", "https://www.amazon.com/Rebecca-Minkoff-Chevron-Quilted-Crossbody/dp/B01MFAJNO0/ref=sr_1_6?keywords=REBECCA+MINKOFF&amp;qid=1695343541&amp;sr=8-6")</f>
        <v/>
      </c>
      <c r="F302" t="inlineStr">
        <is>
          <t>B01MFAJNO0</t>
        </is>
      </c>
      <c r="G302">
        <f>_xlfn.IMAGE("https://www.theoutnet.com/variants/images/22831760541125983/F/w1020_q80.jpg")</f>
        <v/>
      </c>
      <c r="H302">
        <f>_xlfn.IMAGE("https://m.media-amazon.com/images/I/91NwkOFYnfL._AC_UL320_.jpg")</f>
        <v/>
      </c>
      <c r="K302" t="inlineStr">
        <is>
          <t>94.0</t>
        </is>
      </c>
      <c r="L302" t="n">
        <v>195</v>
      </c>
      <c r="M302" s="2" t="inlineStr">
        <is>
          <t>107.45%</t>
        </is>
      </c>
      <c r="N302" t="n">
        <v>4.2</v>
      </c>
      <c r="O302" t="n">
        <v>88</v>
      </c>
      <c r="Q302" t="inlineStr">
        <is>
          <t>InStock</t>
        </is>
      </c>
      <c r="R302" t="inlineStr">
        <is>
          <t>192.0</t>
        </is>
      </c>
      <c r="S302" t="inlineStr">
        <is>
          <t>22831760541125983</t>
        </is>
      </c>
    </row>
    <row r="303" ht="75" customHeight="1">
      <c r="A303" s="1">
        <f>HYPERLINK("https://www.theoutnet.com/en-us/shop/product/rebecca-minkoff/boots/ankle-boots/madysin-studded-suede-ankle-boots/22831760541125983", "https://www.theoutnet.com/en-us/shop/product/rebecca-minkoff/boots/ankle-boots/madysin-studded-suede-ankle-boots/22831760541125983")</f>
        <v/>
      </c>
      <c r="B303" s="1">
        <f>HYPERLINK("https://www.theoutnet.com/en-us/shop/product/rebecca-minkoff/boots/ankle-boots/madysin-studded-suede-ankle-boots/22831760541125983", "https://www.theoutnet.com/en-us/shop/product/rebecca-minkoff/boots/ankle-boots/madysin-studded-suede-ankle-boots/22831760541125983")</f>
        <v/>
      </c>
      <c r="C303" t="inlineStr">
        <is>
          <t>REBECCA MINKOFF</t>
        </is>
      </c>
      <c r="D303" t="inlineStr">
        <is>
          <t>Rebecca Minkoff Mab Crossbody w/Studs</t>
        </is>
      </c>
      <c r="E303" s="1">
        <f>HYPERLINK("https://www.amazon.com/Rebecca-Minkoff-Crossbody-Antique-Hardware/dp/B0BHMV5RPC/ref=sr_1_9?keywords=REBECCA+MINKOFF&amp;qid=1695343541&amp;sr=8-9", "https://www.amazon.com/Rebecca-Minkoff-Crossbody-Antique-Hardware/dp/B0BHMV5RPC/ref=sr_1_9?keywords=REBECCA+MINKOFF&amp;qid=1695343541&amp;sr=8-9")</f>
        <v/>
      </c>
      <c r="F303" t="inlineStr">
        <is>
          <t>B0BHMV5RPC</t>
        </is>
      </c>
      <c r="G303">
        <f>_xlfn.IMAGE("https://www.theoutnet.com/variants/images/22831760541125983/F/w1020_q80.jpg")</f>
        <v/>
      </c>
      <c r="H303">
        <f>_xlfn.IMAGE("https://m.media-amazon.com/images/I/710jyIw2zZL._AC_UL320_.jpg")</f>
        <v/>
      </c>
      <c r="K303" t="inlineStr">
        <is>
          <t>94.0</t>
        </is>
      </c>
      <c r="L303" t="n">
        <v>163.48</v>
      </c>
      <c r="M303" s="2" t="inlineStr">
        <is>
          <t>73.91%</t>
        </is>
      </c>
      <c r="N303" t="n">
        <v>5</v>
      </c>
      <c r="O303" t="n">
        <v>6</v>
      </c>
      <c r="Q303" t="inlineStr">
        <is>
          <t>InStock</t>
        </is>
      </c>
      <c r="R303" t="inlineStr">
        <is>
          <t>192.0</t>
        </is>
      </c>
      <c r="S303" t="inlineStr">
        <is>
          <t>22831760541125983</t>
        </is>
      </c>
    </row>
    <row r="304" ht="75" customHeight="1">
      <c r="A304" s="1">
        <f>HYPERLINK("https://www.theoutnet.com/en-us/shop/product/rebecca-minkoff/sneakers/fashion-sneakers/eliza-perforated-slip-on-platform-sneakers/1647597285396905", "https://www.theoutnet.com/en-us/shop/product/rebecca-minkoff/sneakers/fashion-sneakers/eliza-perforated-slip-on-platform-sneakers/1647597285396905")</f>
        <v/>
      </c>
      <c r="B304" s="1">
        <f>HYPERLINK("https://www.theoutnet.com/en-us/shop/product/rebecca-minkoff/sneakers/fashion-sneakers/eliza-perforated-slip-on-platform-sneakers/1647597285396905", "https://www.theoutnet.com/en-us/shop/product/rebecca-minkoff/sneakers/fashion-sneakers/eliza-perforated-slip-on-platform-sneakers/1647597285396905")</f>
        <v/>
      </c>
      <c r="C304" t="inlineStr">
        <is>
          <t>REBECCA MINKOFF</t>
        </is>
      </c>
      <c r="D304" t="inlineStr">
        <is>
          <t>Rebecca Minkoff Edie Flap Shoulder Bag for Women – Versatile Leather Purse for Women</t>
        </is>
      </c>
      <c r="E304" s="1">
        <f>HYPERLINK("https://www.amazon.com/Rebecca-Minkoff-Edie-Shoulder-Black/dp/B0B57J6KFB/ref=sr_1_3?keywords=REBECCA+MINKOFF&amp;qid=1695343295&amp;sr=8-3", "https://www.amazon.com/Rebecca-Minkoff-Edie-Shoulder-Black/dp/B0B57J6KFB/ref=sr_1_3?keywords=REBECCA+MINKOFF&amp;qid=1695343295&amp;sr=8-3")</f>
        <v/>
      </c>
      <c r="F304" t="inlineStr">
        <is>
          <t>B0B57J6KFB</t>
        </is>
      </c>
      <c r="G304">
        <f>_xlfn.IMAGE("https://www.theoutnet.com/variants/images/1647597285396905/F/w1020_q80.jpg")</f>
        <v/>
      </c>
      <c r="H304">
        <f>_xlfn.IMAGE("https://m.media-amazon.com/images/I/61X1ZX68A2L._AC_UL320_.jpg")</f>
        <v/>
      </c>
      <c r="K304" t="inlineStr">
        <is>
          <t>75.0</t>
        </is>
      </c>
      <c r="L304" t="n">
        <v>197.38</v>
      </c>
      <c r="M304" s="2" t="inlineStr">
        <is>
          <t>163.17%</t>
        </is>
      </c>
      <c r="N304" t="n">
        <v>5</v>
      </c>
      <c r="O304" t="n">
        <v>5</v>
      </c>
      <c r="Q304" t="inlineStr">
        <is>
          <t>InStock</t>
        </is>
      </c>
      <c r="R304" t="inlineStr">
        <is>
          <t>250.0</t>
        </is>
      </c>
      <c r="S304" t="inlineStr">
        <is>
          <t>1647597285396905</t>
        </is>
      </c>
    </row>
    <row r="305" ht="75" customHeight="1">
      <c r="A305" s="1">
        <f>HYPERLINK("https://www.theoutnet.com/en-us/shop/product/rebecca-minkoff/sneakers/fashion-sneakers/eliza-perforated-slip-on-platform-sneakers/1647597285396905", "https://www.theoutnet.com/en-us/shop/product/rebecca-minkoff/sneakers/fashion-sneakers/eliza-perforated-slip-on-platform-sneakers/1647597285396905")</f>
        <v/>
      </c>
      <c r="B305" s="1">
        <f>HYPERLINK("https://www.theoutnet.com/en-us/shop/product/rebecca-minkoff/sneakers/fashion-sneakers/eliza-perforated-slip-on-platform-sneakers/1647597285396905", "https://www.theoutnet.com/en-us/shop/product/rebecca-minkoff/sneakers/fashion-sneakers/eliza-perforated-slip-on-platform-sneakers/1647597285396905")</f>
        <v/>
      </c>
      <c r="C305" t="inlineStr">
        <is>
          <t>REBECCA MINKOFF</t>
        </is>
      </c>
      <c r="D305" t="inlineStr">
        <is>
          <t>Rebecca Minkoff Versatile Women’s Crossbody Purse, Quality Leather Handbag for Women, Quilted Shoulder Bag, Chain Purse</t>
        </is>
      </c>
      <c r="E305" s="1">
        <f>HYPERLINK("https://www.amazon.com/Rebecca-Minkoff-Chevron-Quilted-Crossbody/dp/B01MFAJNO0/ref=sr_1_6?keywords=REBECCA+MINKOFF&amp;qid=1695343295&amp;sr=8-6", "https://www.amazon.com/Rebecca-Minkoff-Chevron-Quilted-Crossbody/dp/B01MFAJNO0/ref=sr_1_6?keywords=REBECCA+MINKOFF&amp;qid=1695343295&amp;sr=8-6")</f>
        <v/>
      </c>
      <c r="F305" t="inlineStr">
        <is>
          <t>B01MFAJNO0</t>
        </is>
      </c>
      <c r="G305">
        <f>_xlfn.IMAGE("https://www.theoutnet.com/variants/images/1647597285396905/F/w1020_q80.jpg")</f>
        <v/>
      </c>
      <c r="H305">
        <f>_xlfn.IMAGE("https://m.media-amazon.com/images/I/91NwkOFYnfL._AC_UL320_.jpg")</f>
        <v/>
      </c>
      <c r="K305" t="inlineStr">
        <is>
          <t>75.0</t>
        </is>
      </c>
      <c r="L305" t="n">
        <v>195</v>
      </c>
      <c r="M305" s="2" t="inlineStr">
        <is>
          <t>160.00%</t>
        </is>
      </c>
      <c r="N305" t="n">
        <v>4.2</v>
      </c>
      <c r="O305" t="n">
        <v>88</v>
      </c>
      <c r="Q305" t="inlineStr">
        <is>
          <t>InStock</t>
        </is>
      </c>
      <c r="R305" t="inlineStr">
        <is>
          <t>250.0</t>
        </is>
      </c>
      <c r="S305" t="inlineStr">
        <is>
          <t>1647597285396905</t>
        </is>
      </c>
    </row>
    <row r="306" ht="75" customHeight="1">
      <c r="A306" s="1">
        <f>HYPERLINK("https://www.theoutnet.com/en-us/shop/product/rebecca-minkoff/sneakers/fashion-sneakers/eliza-perforated-slip-on-platform-sneakers/1647597285396905", "https://www.theoutnet.com/en-us/shop/product/rebecca-minkoff/sneakers/fashion-sneakers/eliza-perforated-slip-on-platform-sneakers/1647597285396905")</f>
        <v/>
      </c>
      <c r="B306" s="1">
        <f>HYPERLINK("https://www.theoutnet.com/en-us/shop/product/rebecca-minkoff/sneakers/fashion-sneakers/eliza-perforated-slip-on-platform-sneakers/1647597285396905", "https://www.theoutnet.com/en-us/shop/product/rebecca-minkoff/sneakers/fashion-sneakers/eliza-perforated-slip-on-platform-sneakers/1647597285396905")</f>
        <v/>
      </c>
      <c r="C306" t="inlineStr">
        <is>
          <t>REBECCA MINKOFF</t>
        </is>
      </c>
      <c r="D306" t="inlineStr">
        <is>
          <t>Rebecca Minkoff Chevron Love Quilted Crossbody Bag for Women – Versatile Women’s Crossbody Purse, Quality Leather Handbag for Women, Quilted Shoulder Bag, Chain Purse</t>
        </is>
      </c>
      <c r="E306" s="1">
        <f>HYPERLINK("https://www.amazon.com/Rebecca-Minkoff-Chevron-Quilted-Crossbody/dp/B0BKH4LCC1/ref=sr_1_4?keywords=REBECCA+MINKOFF&amp;qid=1695343295&amp;sr=8-4", "https://www.amazon.com/Rebecca-Minkoff-Chevron-Quilted-Crossbody/dp/B0BKH4LCC1/ref=sr_1_4?keywords=REBECCA+MINKOFF&amp;qid=1695343295&amp;sr=8-4")</f>
        <v/>
      </c>
      <c r="F306" t="inlineStr">
        <is>
          <t>B0BKH4LCC1</t>
        </is>
      </c>
      <c r="G306">
        <f>_xlfn.IMAGE("https://www.theoutnet.com/variants/images/1647597285396905/F/w1020_q80.jpg")</f>
        <v/>
      </c>
      <c r="H306">
        <f>_xlfn.IMAGE("https://m.media-amazon.com/images/I/51svGR6c5FL._AC_UL320_.jpg")</f>
        <v/>
      </c>
      <c r="K306" t="inlineStr">
        <is>
          <t>75.0</t>
        </is>
      </c>
      <c r="L306" t="n">
        <v>195</v>
      </c>
      <c r="M306" s="2" t="inlineStr">
        <is>
          <t>160.00%</t>
        </is>
      </c>
      <c r="N306" t="n">
        <v>4.1</v>
      </c>
      <c r="O306" t="n">
        <v>7</v>
      </c>
      <c r="Q306" t="inlineStr">
        <is>
          <t>InStock</t>
        </is>
      </c>
      <c r="R306" t="inlineStr">
        <is>
          <t>250.0</t>
        </is>
      </c>
      <c r="S306" t="inlineStr">
        <is>
          <t>1647597285396905</t>
        </is>
      </c>
    </row>
    <row r="307" ht="75" customHeight="1">
      <c r="A307" s="1">
        <f>HYPERLINK("https://www.theoutnet.com/en-us/shop/product/rebecca-minkoff/sneakers/fashion-sneakers/eliza-perforated-slip-on-platform-sneakers/1647597285396905", "https://www.theoutnet.com/en-us/shop/product/rebecca-minkoff/sneakers/fashion-sneakers/eliza-perforated-slip-on-platform-sneakers/1647597285396905")</f>
        <v/>
      </c>
      <c r="B307" s="1">
        <f>HYPERLINK("https://www.theoutnet.com/en-us/shop/product/rebecca-minkoff/sneakers/fashion-sneakers/eliza-perforated-slip-on-platform-sneakers/1647597285396905", "https://www.theoutnet.com/en-us/shop/product/rebecca-minkoff/sneakers/fashion-sneakers/eliza-perforated-slip-on-platform-sneakers/1647597285396905")</f>
        <v/>
      </c>
      <c r="C307" t="inlineStr">
        <is>
          <t>REBECCA MINKOFF</t>
        </is>
      </c>
      <c r="D307" t="inlineStr">
        <is>
          <t>Rebecca Minkoff Mab Crossbody w/Studs</t>
        </is>
      </c>
      <c r="E307" s="1">
        <f>HYPERLINK("https://www.amazon.com/Rebecca-Minkoff-Crossbody-Antique-Hardware/dp/B0BHMV5RPC/ref=sr_1_9?keywords=REBECCA+MINKOFF&amp;qid=1695343295&amp;sr=8-9", "https://www.amazon.com/Rebecca-Minkoff-Crossbody-Antique-Hardware/dp/B0BHMV5RPC/ref=sr_1_9?keywords=REBECCA+MINKOFF&amp;qid=1695343295&amp;sr=8-9")</f>
        <v/>
      </c>
      <c r="F307" t="inlineStr">
        <is>
          <t>B0BHMV5RPC</t>
        </is>
      </c>
      <c r="G307">
        <f>_xlfn.IMAGE("https://www.theoutnet.com/variants/images/1647597285396905/F/w1020_q80.jpg")</f>
        <v/>
      </c>
      <c r="H307">
        <f>_xlfn.IMAGE("https://m.media-amazon.com/images/I/710jyIw2zZL._AC_UL320_.jpg")</f>
        <v/>
      </c>
      <c r="K307" t="inlineStr">
        <is>
          <t>75.0</t>
        </is>
      </c>
      <c r="L307" t="n">
        <v>163.48</v>
      </c>
      <c r="M307" s="2" t="inlineStr">
        <is>
          <t>117.97%</t>
        </is>
      </c>
      <c r="N307" t="n">
        <v>5</v>
      </c>
      <c r="O307" t="n">
        <v>6</v>
      </c>
      <c r="Q307" t="inlineStr">
        <is>
          <t>InStock</t>
        </is>
      </c>
      <c r="R307" t="inlineStr">
        <is>
          <t>250.0</t>
        </is>
      </c>
      <c r="S307" t="inlineStr">
        <is>
          <t>1647597285396905</t>
        </is>
      </c>
    </row>
    <row r="308" ht="75" customHeight="1">
      <c r="A308" s="1">
        <f>HYPERLINK("https://www.theoutnet.com/en-us/shop/product/rebecca-minkoff/sneakers/fashion-sneakers/eliza-perforated-slip-on-platform-sneakers/1647597285396905", "https://www.theoutnet.com/en-us/shop/product/rebecca-minkoff/sneakers/fashion-sneakers/eliza-perforated-slip-on-platform-sneakers/1647597285396905")</f>
        <v/>
      </c>
      <c r="B308" s="1">
        <f>HYPERLINK("https://www.theoutnet.com/en-us/shop/product/rebecca-minkoff/sneakers/fashion-sneakers/eliza-perforated-slip-on-platform-sneakers/1647597285396905", "https://www.theoutnet.com/en-us/shop/product/rebecca-minkoff/sneakers/fashion-sneakers/eliza-perforated-slip-on-platform-sneakers/1647597285396905")</f>
        <v/>
      </c>
      <c r="C308" t="inlineStr">
        <is>
          <t>REBECCA MINKOFF</t>
        </is>
      </c>
      <c r="D308" t="inlineStr">
        <is>
          <t>Rebecca Minkoff Megan Tote, Black</t>
        </is>
      </c>
      <c r="E308" s="1">
        <f>HYPERLINK("https://www.amazon.com/Rebecca-Minkoff-Megan-Antique-Hardware/dp/B0BXRPVDNR/ref=sr_1_1?keywords=REBECCA+MINKOFF&amp;qid=1695343295&amp;sr=8-1", "https://www.amazon.com/Rebecca-Minkoff-Megan-Antique-Hardware/dp/B0BXRPVDNR/ref=sr_1_1?keywords=REBECCA+MINKOFF&amp;qid=1695343295&amp;sr=8-1")</f>
        <v/>
      </c>
      <c r="F308" t="inlineStr">
        <is>
          <t>B0BXRPVDNR</t>
        </is>
      </c>
      <c r="G308">
        <f>_xlfn.IMAGE("https://www.theoutnet.com/variants/images/1647597285396905/F/w1020_q80.jpg")</f>
        <v/>
      </c>
      <c r="H308">
        <f>_xlfn.IMAGE("https://m.media-amazon.com/images/I/81pRdrOddHL._AC_UL320_.jpg")</f>
        <v/>
      </c>
      <c r="K308" t="inlineStr">
        <is>
          <t>75.0</t>
        </is>
      </c>
      <c r="L308" t="n">
        <v>130.85</v>
      </c>
      <c r="M308" s="2" t="inlineStr">
        <is>
          <t>74.47%</t>
        </is>
      </c>
      <c r="N308" t="n">
        <v>5</v>
      </c>
      <c r="O308" t="n">
        <v>2</v>
      </c>
      <c r="Q308" t="inlineStr">
        <is>
          <t>InStock</t>
        </is>
      </c>
      <c r="R308" t="inlineStr">
        <is>
          <t>250.0</t>
        </is>
      </c>
      <c r="S308" t="inlineStr">
        <is>
          <t>1647597285396905</t>
        </is>
      </c>
    </row>
    <row r="309" ht="75" customHeight="1">
      <c r="A309" s="1">
        <f>HYPERLINK("https://www.theoutnet.com/en-us/shop/product/rebecca-minkoff/sneakers/fashion-sneakers/eliza-perforated-slip-on-platform-sneakers/1647597285396905", "https://www.theoutnet.com/en-us/shop/product/rebecca-minkoff/sneakers/fashion-sneakers/eliza-perforated-slip-on-platform-sneakers/1647597285396905")</f>
        <v/>
      </c>
      <c r="B309" s="1">
        <f>HYPERLINK("https://www.theoutnet.com/en-us/shop/product/rebecca-minkoff/sneakers/fashion-sneakers/eliza-perforated-slip-on-platform-sneakers/1647597285396905", "https://www.theoutnet.com/en-us/shop/product/rebecca-minkoff/sneakers/fashion-sneakers/eliza-perforated-slip-on-platform-sneakers/1647597285396905")</f>
        <v/>
      </c>
      <c r="C309" t="inlineStr">
        <is>
          <t>REBECCA MINKOFF</t>
        </is>
      </c>
      <c r="D309" t="inlineStr">
        <is>
          <t>Rebecca Minkoff Edie Flap Shoulder Bag for Women – Versatile Leather Purse for Women</t>
        </is>
      </c>
      <c r="E309" s="1">
        <f>HYPERLINK("https://www.amazon.com/Rebecca-Minkoff-Edie-Shoulder-Black/dp/B0B57J6KFB/ref=sr_1_3?keywords=REBECCA+MINKOFF&amp;qid=1695343524&amp;sr=8-3", "https://www.amazon.com/Rebecca-Minkoff-Edie-Shoulder-Black/dp/B0B57J6KFB/ref=sr_1_3?keywords=REBECCA+MINKOFF&amp;qid=1695343524&amp;sr=8-3")</f>
        <v/>
      </c>
      <c r="F309" t="inlineStr">
        <is>
          <t>B0B57J6KFB</t>
        </is>
      </c>
      <c r="G309">
        <f>_xlfn.IMAGE("https://www.theoutnet.com/variants/images/1647597285396905/F/w1020_q80.jpg")</f>
        <v/>
      </c>
      <c r="H309">
        <f>_xlfn.IMAGE("https://m.media-amazon.com/images/I/61X1ZX68A2L._AC_UL320_.jpg")</f>
        <v/>
      </c>
      <c r="K309" t="inlineStr">
        <is>
          <t>75.0</t>
        </is>
      </c>
      <c r="L309" t="n">
        <v>197.38</v>
      </c>
      <c r="M309" s="2" t="inlineStr">
        <is>
          <t>163.17%</t>
        </is>
      </c>
      <c r="N309" t="n">
        <v>5</v>
      </c>
      <c r="O309" t="n">
        <v>5</v>
      </c>
      <c r="Q309" t="inlineStr">
        <is>
          <t>InStock</t>
        </is>
      </c>
      <c r="R309" t="inlineStr">
        <is>
          <t>250.0</t>
        </is>
      </c>
      <c r="S309" t="inlineStr">
        <is>
          <t>1647597285396905</t>
        </is>
      </c>
    </row>
    <row r="310" ht="75" customHeight="1">
      <c r="A310" s="1">
        <f>HYPERLINK("https://www.theoutnet.com/en-us/shop/product/rebecca-minkoff/sneakers/fashion-sneakers/eliza-perforated-slip-on-platform-sneakers/1647597285396905", "https://www.theoutnet.com/en-us/shop/product/rebecca-minkoff/sneakers/fashion-sneakers/eliza-perforated-slip-on-platform-sneakers/1647597285396905")</f>
        <v/>
      </c>
      <c r="B310" s="1">
        <f>HYPERLINK("https://www.theoutnet.com/en-us/shop/product/rebecca-minkoff/sneakers/fashion-sneakers/eliza-perforated-slip-on-platform-sneakers/1647597285396905", "https://www.theoutnet.com/en-us/shop/product/rebecca-minkoff/sneakers/fashion-sneakers/eliza-perforated-slip-on-platform-sneakers/1647597285396905")</f>
        <v/>
      </c>
      <c r="C310" t="inlineStr">
        <is>
          <t>REBECCA MINKOFF</t>
        </is>
      </c>
      <c r="D310" t="inlineStr">
        <is>
          <t>Rebecca Minkoff Versatile Women’s Crossbody Purse, Quality Leather Handbag for Women, Quilted Shoulder Bag, Chain Purse</t>
        </is>
      </c>
      <c r="E310" s="1">
        <f>HYPERLINK("https://www.amazon.com/Rebecca-Minkoff-Chevron-Quilted-Crossbody/dp/B01MFAJNO0/ref=sr_1_6?keywords=REBECCA+MINKOFF&amp;qid=1695343524&amp;sr=8-6", "https://www.amazon.com/Rebecca-Minkoff-Chevron-Quilted-Crossbody/dp/B01MFAJNO0/ref=sr_1_6?keywords=REBECCA+MINKOFF&amp;qid=1695343524&amp;sr=8-6")</f>
        <v/>
      </c>
      <c r="F310" t="inlineStr">
        <is>
          <t>B01MFAJNO0</t>
        </is>
      </c>
      <c r="G310">
        <f>_xlfn.IMAGE("https://www.theoutnet.com/variants/images/1647597285396905/F/w1020_q80.jpg")</f>
        <v/>
      </c>
      <c r="H310">
        <f>_xlfn.IMAGE("https://m.media-amazon.com/images/I/91NwkOFYnfL._AC_UL320_.jpg")</f>
        <v/>
      </c>
      <c r="K310" t="inlineStr">
        <is>
          <t>75.0</t>
        </is>
      </c>
      <c r="L310" t="n">
        <v>195</v>
      </c>
      <c r="M310" s="2" t="inlineStr">
        <is>
          <t>160.00%</t>
        </is>
      </c>
      <c r="N310" t="n">
        <v>4.2</v>
      </c>
      <c r="O310" t="n">
        <v>88</v>
      </c>
      <c r="Q310" t="inlineStr">
        <is>
          <t>InStock</t>
        </is>
      </c>
      <c r="R310" t="inlineStr">
        <is>
          <t>250.0</t>
        </is>
      </c>
      <c r="S310" t="inlineStr">
        <is>
          <t>1647597285396905</t>
        </is>
      </c>
    </row>
    <row r="311" ht="75" customHeight="1">
      <c r="A311" s="1">
        <f>HYPERLINK("https://www.theoutnet.com/en-us/shop/product/rebecca-minkoff/sneakers/fashion-sneakers/eliza-perforated-slip-on-platform-sneakers/1647597285396905", "https://www.theoutnet.com/en-us/shop/product/rebecca-minkoff/sneakers/fashion-sneakers/eliza-perforated-slip-on-platform-sneakers/1647597285396905")</f>
        <v/>
      </c>
      <c r="B311" s="1">
        <f>HYPERLINK("https://www.theoutnet.com/en-us/shop/product/rebecca-minkoff/sneakers/fashion-sneakers/eliza-perforated-slip-on-platform-sneakers/1647597285396905", "https://www.theoutnet.com/en-us/shop/product/rebecca-minkoff/sneakers/fashion-sneakers/eliza-perforated-slip-on-platform-sneakers/1647597285396905")</f>
        <v/>
      </c>
      <c r="C311" t="inlineStr">
        <is>
          <t>REBECCA MINKOFF</t>
        </is>
      </c>
      <c r="D311" t="inlineStr">
        <is>
          <t>Rebecca Minkoff Chevron Love Quilted Crossbody Bag for Women – Versatile Women’s Crossbody Purse, Quality Leather Handbag for Women, Quilted Shoulder Bag, Chain Purse</t>
        </is>
      </c>
      <c r="E311" s="1">
        <f>HYPERLINK("https://www.amazon.com/Rebecca-Minkoff-Chevron-Quilted-Crossbody/dp/B0BKH4LCC1/ref=sr_1_4?keywords=REBECCA+MINKOFF&amp;qid=1695343524&amp;sr=8-4", "https://www.amazon.com/Rebecca-Minkoff-Chevron-Quilted-Crossbody/dp/B0BKH4LCC1/ref=sr_1_4?keywords=REBECCA+MINKOFF&amp;qid=1695343524&amp;sr=8-4")</f>
        <v/>
      </c>
      <c r="F311" t="inlineStr">
        <is>
          <t>B0BKH4LCC1</t>
        </is>
      </c>
      <c r="G311">
        <f>_xlfn.IMAGE("https://www.theoutnet.com/variants/images/1647597285396905/F/w1020_q80.jpg")</f>
        <v/>
      </c>
      <c r="H311">
        <f>_xlfn.IMAGE("https://m.media-amazon.com/images/I/51svGR6c5FL._AC_UL320_.jpg")</f>
        <v/>
      </c>
      <c r="K311" t="inlineStr">
        <is>
          <t>75.0</t>
        </is>
      </c>
      <c r="L311" t="n">
        <v>195</v>
      </c>
      <c r="M311" s="2" t="inlineStr">
        <is>
          <t>160.00%</t>
        </is>
      </c>
      <c r="N311" t="n">
        <v>4.1</v>
      </c>
      <c r="O311" t="n">
        <v>7</v>
      </c>
      <c r="Q311" t="inlineStr">
        <is>
          <t>InStock</t>
        </is>
      </c>
      <c r="R311" t="inlineStr">
        <is>
          <t>250.0</t>
        </is>
      </c>
      <c r="S311" t="inlineStr">
        <is>
          <t>1647597285396905</t>
        </is>
      </c>
    </row>
    <row r="312" ht="75" customHeight="1">
      <c r="A312" s="1">
        <f>HYPERLINK("https://www.theoutnet.com/en-us/shop/product/rebecca-minkoff/sneakers/fashion-sneakers/eliza-perforated-slip-on-platform-sneakers/1647597285396905", "https://www.theoutnet.com/en-us/shop/product/rebecca-minkoff/sneakers/fashion-sneakers/eliza-perforated-slip-on-platform-sneakers/1647597285396905")</f>
        <v/>
      </c>
      <c r="B312" s="1">
        <f>HYPERLINK("https://www.theoutnet.com/en-us/shop/product/rebecca-minkoff/sneakers/fashion-sneakers/eliza-perforated-slip-on-platform-sneakers/1647597285396905", "https://www.theoutnet.com/en-us/shop/product/rebecca-minkoff/sneakers/fashion-sneakers/eliza-perforated-slip-on-platform-sneakers/1647597285396905")</f>
        <v/>
      </c>
      <c r="C312" t="inlineStr">
        <is>
          <t>REBECCA MINKOFF</t>
        </is>
      </c>
      <c r="D312" t="inlineStr">
        <is>
          <t>Rebecca Minkoff Mab Crossbody w/Studs</t>
        </is>
      </c>
      <c r="E312" s="1">
        <f>HYPERLINK("https://www.amazon.com/Rebecca-Minkoff-Crossbody-Antique-Hardware/dp/B0BHMV5RPC/ref=sr_1_7?keywords=REBECCA+MINKOFF&amp;qid=1695343524&amp;sr=8-7", "https://www.amazon.com/Rebecca-Minkoff-Crossbody-Antique-Hardware/dp/B0BHMV5RPC/ref=sr_1_7?keywords=REBECCA+MINKOFF&amp;qid=1695343524&amp;sr=8-7")</f>
        <v/>
      </c>
      <c r="F312" t="inlineStr">
        <is>
          <t>B0BHMV5RPC</t>
        </is>
      </c>
      <c r="G312">
        <f>_xlfn.IMAGE("https://www.theoutnet.com/variants/images/1647597285396905/F/w1020_q80.jpg")</f>
        <v/>
      </c>
      <c r="H312">
        <f>_xlfn.IMAGE("https://m.media-amazon.com/images/I/710jyIw2zZL._AC_UL320_.jpg")</f>
        <v/>
      </c>
      <c r="K312" t="inlineStr">
        <is>
          <t>75.0</t>
        </is>
      </c>
      <c r="L312" t="n">
        <v>163.48</v>
      </c>
      <c r="M312" s="2" t="inlineStr">
        <is>
          <t>117.97%</t>
        </is>
      </c>
      <c r="N312" t="n">
        <v>5</v>
      </c>
      <c r="O312" t="n">
        <v>6</v>
      </c>
      <c r="Q312" t="inlineStr">
        <is>
          <t>InStock</t>
        </is>
      </c>
      <c r="R312" t="inlineStr">
        <is>
          <t>250.0</t>
        </is>
      </c>
      <c r="S312" t="inlineStr">
        <is>
          <t>1647597285396905</t>
        </is>
      </c>
    </row>
    <row r="313" ht="75" customHeight="1">
      <c r="A313" s="1">
        <f>HYPERLINK("https://www.theoutnet.com/en-us/shop/product/rebecca-minkoff/sneakers/fashion-sneakers/eliza-perforated-slip-on-platform-sneakers/1647597285396905", "https://www.theoutnet.com/en-us/shop/product/rebecca-minkoff/sneakers/fashion-sneakers/eliza-perforated-slip-on-platform-sneakers/1647597285396905")</f>
        <v/>
      </c>
      <c r="B313" s="1">
        <f>HYPERLINK("https://www.theoutnet.com/en-us/shop/product/rebecca-minkoff/sneakers/fashion-sneakers/eliza-perforated-slip-on-platform-sneakers/1647597285396905", "https://www.theoutnet.com/en-us/shop/product/rebecca-minkoff/sneakers/fashion-sneakers/eliza-perforated-slip-on-platform-sneakers/1647597285396905")</f>
        <v/>
      </c>
      <c r="C313" t="inlineStr">
        <is>
          <t>REBECCA MINKOFF</t>
        </is>
      </c>
      <c r="D313" t="inlineStr">
        <is>
          <t>Rebecca Minkoff Megan Tote, Black</t>
        </is>
      </c>
      <c r="E313" s="1">
        <f>HYPERLINK("https://www.amazon.com/Rebecca-Minkoff-Megan-Antique-Hardware/dp/B0BXRPVDNR/ref=sr_1_1?keywords=REBECCA+MINKOFF&amp;qid=1695343524&amp;sr=8-1", "https://www.amazon.com/Rebecca-Minkoff-Megan-Antique-Hardware/dp/B0BXRPVDNR/ref=sr_1_1?keywords=REBECCA+MINKOFF&amp;qid=1695343524&amp;sr=8-1")</f>
        <v/>
      </c>
      <c r="F313" t="inlineStr">
        <is>
          <t>B0BXRPVDNR</t>
        </is>
      </c>
      <c r="G313">
        <f>_xlfn.IMAGE("https://www.theoutnet.com/variants/images/1647597285396905/F/w1020_q80.jpg")</f>
        <v/>
      </c>
      <c r="H313">
        <f>_xlfn.IMAGE("https://m.media-amazon.com/images/I/81pRdrOddHL._AC_UL320_.jpg")</f>
        <v/>
      </c>
      <c r="K313" t="inlineStr">
        <is>
          <t>75.0</t>
        </is>
      </c>
      <c r="L313" t="n">
        <v>130.85</v>
      </c>
      <c r="M313" s="2" t="inlineStr">
        <is>
          <t>74.47%</t>
        </is>
      </c>
      <c r="N313" t="n">
        <v>5</v>
      </c>
      <c r="O313" t="n">
        <v>2</v>
      </c>
      <c r="Q313" t="inlineStr">
        <is>
          <t>InStock</t>
        </is>
      </c>
      <c r="R313" t="inlineStr">
        <is>
          <t>250.0</t>
        </is>
      </c>
      <c r="S313" t="inlineStr">
        <is>
          <t>1647597285396905</t>
        </is>
      </c>
    </row>
    <row r="314" ht="75" customHeight="1">
      <c r="A314" s="1">
        <f>HYPERLINK("https://www.theoutnet.com/en-us/shop/product/rebecca-minkoff/sneakers/fashion-sneakers/stacey-snake-effect-trimmed-leather-sneakers/1647597285400201", "https://www.theoutnet.com/en-us/shop/product/rebecca-minkoff/sneakers/fashion-sneakers/stacey-snake-effect-trimmed-leather-sneakers/1647597285400201")</f>
        <v/>
      </c>
      <c r="B314" s="1">
        <f>HYPERLINK("https://www.theoutnet.com/en-us/shop/product/rebecca-minkoff/sneakers/fashion-sneakers/stacey-snake-effect-trimmed-leather-sneakers/1647597285400201", "https://www.theoutnet.com/en-us/shop/product/rebecca-minkoff/sneakers/fashion-sneakers/stacey-snake-effect-trimmed-leather-sneakers/1647597285400201")</f>
        <v/>
      </c>
      <c r="C314" t="inlineStr">
        <is>
          <t>REBECCA MINKOFF</t>
        </is>
      </c>
      <c r="D314" t="inlineStr">
        <is>
          <t>Rebecca Minkoff Edie Flap Shoulder Bag for Women – Versatile Leather Purse for Women</t>
        </is>
      </c>
      <c r="E314" s="1">
        <f>HYPERLINK("https://www.amazon.com/Rebecca-Minkoff-Edie-Shoulder-Black/dp/B0B57J6KFB/ref=sr_1_3?keywords=REBECCA+MINKOFF&amp;qid=1695343530&amp;sr=8-3", "https://www.amazon.com/Rebecca-Minkoff-Edie-Shoulder-Black/dp/B0B57J6KFB/ref=sr_1_3?keywords=REBECCA+MINKOFF&amp;qid=1695343530&amp;sr=8-3")</f>
        <v/>
      </c>
      <c r="F314" t="inlineStr">
        <is>
          <t>B0B57J6KFB</t>
        </is>
      </c>
      <c r="G314">
        <f>_xlfn.IMAGE("https://www.theoutnet.com/variants/images/1647597285400201/F/w1020_q80.jpg")</f>
        <v/>
      </c>
      <c r="H314">
        <f>_xlfn.IMAGE("https://m.media-amazon.com/images/I/61X1ZX68A2L._AC_UL320_.jpg")</f>
        <v/>
      </c>
      <c r="K314" t="inlineStr">
        <is>
          <t>75.0</t>
        </is>
      </c>
      <c r="L314" t="n">
        <v>197.38</v>
      </c>
      <c r="M314" s="2" t="inlineStr">
        <is>
          <t>163.17%</t>
        </is>
      </c>
      <c r="N314" t="n">
        <v>5</v>
      </c>
      <c r="O314" t="n">
        <v>5</v>
      </c>
      <c r="Q314" t="inlineStr">
        <is>
          <t>InStock</t>
        </is>
      </c>
      <c r="R314" t="inlineStr">
        <is>
          <t>250.0</t>
        </is>
      </c>
      <c r="S314" t="inlineStr">
        <is>
          <t>1647597285400201</t>
        </is>
      </c>
    </row>
    <row r="315" ht="75" customHeight="1">
      <c r="A315" s="1">
        <f>HYPERLINK("https://www.theoutnet.com/en-us/shop/product/rebecca-minkoff/sneakers/fashion-sneakers/stacey-snake-effect-trimmed-leather-sneakers/1647597285400201", "https://www.theoutnet.com/en-us/shop/product/rebecca-minkoff/sneakers/fashion-sneakers/stacey-snake-effect-trimmed-leather-sneakers/1647597285400201")</f>
        <v/>
      </c>
      <c r="B315" s="1">
        <f>HYPERLINK("https://www.theoutnet.com/en-us/shop/product/rebecca-minkoff/sneakers/fashion-sneakers/stacey-snake-effect-trimmed-leather-sneakers/1647597285400201", "https://www.theoutnet.com/en-us/shop/product/rebecca-minkoff/sneakers/fashion-sneakers/stacey-snake-effect-trimmed-leather-sneakers/1647597285400201")</f>
        <v/>
      </c>
      <c r="C315" t="inlineStr">
        <is>
          <t>REBECCA MINKOFF</t>
        </is>
      </c>
      <c r="D315" t="inlineStr">
        <is>
          <t>Rebecca Minkoff Versatile Women’s Crossbody Purse, Quality Leather Handbag for Women, Quilted Shoulder Bag, Chain Purse</t>
        </is>
      </c>
      <c r="E315" s="1">
        <f>HYPERLINK("https://www.amazon.com/Rebecca-Minkoff-Chevron-Quilted-Crossbody/dp/B01MFAJNO0/ref=sr_1_6?keywords=REBECCA+MINKOFF&amp;qid=1695343530&amp;sr=8-6", "https://www.amazon.com/Rebecca-Minkoff-Chevron-Quilted-Crossbody/dp/B01MFAJNO0/ref=sr_1_6?keywords=REBECCA+MINKOFF&amp;qid=1695343530&amp;sr=8-6")</f>
        <v/>
      </c>
      <c r="F315" t="inlineStr">
        <is>
          <t>B01MFAJNO0</t>
        </is>
      </c>
      <c r="G315">
        <f>_xlfn.IMAGE("https://www.theoutnet.com/variants/images/1647597285400201/F/w1020_q80.jpg")</f>
        <v/>
      </c>
      <c r="H315">
        <f>_xlfn.IMAGE("https://m.media-amazon.com/images/I/91NwkOFYnfL._AC_UL320_.jpg")</f>
        <v/>
      </c>
      <c r="K315" t="inlineStr">
        <is>
          <t>75.0</t>
        </is>
      </c>
      <c r="L315" t="n">
        <v>195</v>
      </c>
      <c r="M315" s="2" t="inlineStr">
        <is>
          <t>160.00%</t>
        </is>
      </c>
      <c r="N315" t="n">
        <v>4.2</v>
      </c>
      <c r="O315" t="n">
        <v>88</v>
      </c>
      <c r="Q315" t="inlineStr">
        <is>
          <t>InStock</t>
        </is>
      </c>
      <c r="R315" t="inlineStr">
        <is>
          <t>250.0</t>
        </is>
      </c>
      <c r="S315" t="inlineStr">
        <is>
          <t>1647597285400201</t>
        </is>
      </c>
    </row>
    <row r="316" ht="75" customHeight="1">
      <c r="A316" s="1">
        <f>HYPERLINK("https://www.theoutnet.com/en-us/shop/product/rebecca-minkoff/sneakers/fashion-sneakers/stacey-snake-effect-trimmed-leather-sneakers/1647597285400201", "https://www.theoutnet.com/en-us/shop/product/rebecca-minkoff/sneakers/fashion-sneakers/stacey-snake-effect-trimmed-leather-sneakers/1647597285400201")</f>
        <v/>
      </c>
      <c r="B316" s="1">
        <f>HYPERLINK("https://www.theoutnet.com/en-us/shop/product/rebecca-minkoff/sneakers/fashion-sneakers/stacey-snake-effect-trimmed-leather-sneakers/1647597285400201", "https://www.theoutnet.com/en-us/shop/product/rebecca-minkoff/sneakers/fashion-sneakers/stacey-snake-effect-trimmed-leather-sneakers/1647597285400201")</f>
        <v/>
      </c>
      <c r="C316" t="inlineStr">
        <is>
          <t>REBECCA MINKOFF</t>
        </is>
      </c>
      <c r="D316" t="inlineStr">
        <is>
          <t>Rebecca Minkoff Chevron Love Quilted Crossbody Bag for Women – Versatile Women’s Crossbody Purse, Quality Leather Handbag for Women, Quilted Shoulder Bag, Chain Purse</t>
        </is>
      </c>
      <c r="E316" s="1">
        <f>HYPERLINK("https://www.amazon.com/Rebecca-Minkoff-Chevron-Quilted-Crossbody/dp/B0BKH4LCC1/ref=sr_1_4?keywords=REBECCA+MINKOFF&amp;qid=1695343530&amp;sr=8-4", "https://www.amazon.com/Rebecca-Minkoff-Chevron-Quilted-Crossbody/dp/B0BKH4LCC1/ref=sr_1_4?keywords=REBECCA+MINKOFF&amp;qid=1695343530&amp;sr=8-4")</f>
        <v/>
      </c>
      <c r="F316" t="inlineStr">
        <is>
          <t>B0BKH4LCC1</t>
        </is>
      </c>
      <c r="G316">
        <f>_xlfn.IMAGE("https://www.theoutnet.com/variants/images/1647597285400201/F/w1020_q80.jpg")</f>
        <v/>
      </c>
      <c r="H316">
        <f>_xlfn.IMAGE("https://m.media-amazon.com/images/I/51svGR6c5FL._AC_UL320_.jpg")</f>
        <v/>
      </c>
      <c r="K316" t="inlineStr">
        <is>
          <t>75.0</t>
        </is>
      </c>
      <c r="L316" t="n">
        <v>195</v>
      </c>
      <c r="M316" s="2" t="inlineStr">
        <is>
          <t>160.00%</t>
        </is>
      </c>
      <c r="N316" t="n">
        <v>4.1</v>
      </c>
      <c r="O316" t="n">
        <v>7</v>
      </c>
      <c r="Q316" t="inlineStr">
        <is>
          <t>InStock</t>
        </is>
      </c>
      <c r="R316" t="inlineStr">
        <is>
          <t>250.0</t>
        </is>
      </c>
      <c r="S316" t="inlineStr">
        <is>
          <t>1647597285400201</t>
        </is>
      </c>
    </row>
    <row r="317" ht="75" customHeight="1">
      <c r="A317" s="1">
        <f>HYPERLINK("https://www.theoutnet.com/en-us/shop/product/rebecca-minkoff/sneakers/fashion-sneakers/stacey-snake-effect-trimmed-leather-sneakers/1647597285400201", "https://www.theoutnet.com/en-us/shop/product/rebecca-minkoff/sneakers/fashion-sneakers/stacey-snake-effect-trimmed-leather-sneakers/1647597285400201")</f>
        <v/>
      </c>
      <c r="B317" s="1">
        <f>HYPERLINK("https://www.theoutnet.com/en-us/shop/product/rebecca-minkoff/sneakers/fashion-sneakers/stacey-snake-effect-trimmed-leather-sneakers/1647597285400201", "https://www.theoutnet.com/en-us/shop/product/rebecca-minkoff/sneakers/fashion-sneakers/stacey-snake-effect-trimmed-leather-sneakers/1647597285400201")</f>
        <v/>
      </c>
      <c r="C317" t="inlineStr">
        <is>
          <t>REBECCA MINKOFF</t>
        </is>
      </c>
      <c r="D317" t="inlineStr">
        <is>
          <t>Rebecca Minkoff Mab Crossbody w/Studs</t>
        </is>
      </c>
      <c r="E317" s="1">
        <f>HYPERLINK("https://www.amazon.com/Rebecca-Minkoff-Crossbody-Antique-Hardware/dp/B0BHMV5RPC/ref=sr_1_9?keywords=REBECCA+MINKOFF&amp;qid=1695343530&amp;sr=8-9", "https://www.amazon.com/Rebecca-Minkoff-Crossbody-Antique-Hardware/dp/B0BHMV5RPC/ref=sr_1_9?keywords=REBECCA+MINKOFF&amp;qid=1695343530&amp;sr=8-9")</f>
        <v/>
      </c>
      <c r="F317" t="inlineStr">
        <is>
          <t>B0BHMV5RPC</t>
        </is>
      </c>
      <c r="G317">
        <f>_xlfn.IMAGE("https://www.theoutnet.com/variants/images/1647597285400201/F/w1020_q80.jpg")</f>
        <v/>
      </c>
      <c r="H317">
        <f>_xlfn.IMAGE("https://m.media-amazon.com/images/I/710jyIw2zZL._AC_UL320_.jpg")</f>
        <v/>
      </c>
      <c r="K317" t="inlineStr">
        <is>
          <t>75.0</t>
        </is>
      </c>
      <c r="L317" t="n">
        <v>163.48</v>
      </c>
      <c r="M317" s="2" t="inlineStr">
        <is>
          <t>117.97%</t>
        </is>
      </c>
      <c r="N317" t="n">
        <v>5</v>
      </c>
      <c r="O317" t="n">
        <v>6</v>
      </c>
      <c r="Q317" t="inlineStr">
        <is>
          <t>InStock</t>
        </is>
      </c>
      <c r="R317" t="inlineStr">
        <is>
          <t>250.0</t>
        </is>
      </c>
      <c r="S317" t="inlineStr">
        <is>
          <t>1647597285400201</t>
        </is>
      </c>
    </row>
    <row r="318" ht="75" customHeight="1">
      <c r="A318" s="1">
        <f>HYPERLINK("https://www.theoutnet.com/en-us/shop/product/rebecca-minkoff/sneakers/fashion-sneakers/stacey-snake-effect-trimmed-leather-sneakers/1647597285400201", "https://www.theoutnet.com/en-us/shop/product/rebecca-minkoff/sneakers/fashion-sneakers/stacey-snake-effect-trimmed-leather-sneakers/1647597285400201")</f>
        <v/>
      </c>
      <c r="B318" s="1">
        <f>HYPERLINK("https://www.theoutnet.com/en-us/shop/product/rebecca-minkoff/sneakers/fashion-sneakers/stacey-snake-effect-trimmed-leather-sneakers/1647597285400201", "https://www.theoutnet.com/en-us/shop/product/rebecca-minkoff/sneakers/fashion-sneakers/stacey-snake-effect-trimmed-leather-sneakers/1647597285400201")</f>
        <v/>
      </c>
      <c r="C318" t="inlineStr">
        <is>
          <t>REBECCA MINKOFF</t>
        </is>
      </c>
      <c r="D318" t="inlineStr">
        <is>
          <t>Rebecca Minkoff Megan Tote, Black</t>
        </is>
      </c>
      <c r="E318" s="1">
        <f>HYPERLINK("https://www.amazon.com/Rebecca-Minkoff-Megan-Antique-Hardware/dp/B0BXRPVDNR/ref=sr_1_1?keywords=REBECCA+MINKOFF&amp;qid=1695343530&amp;sr=8-1", "https://www.amazon.com/Rebecca-Minkoff-Megan-Antique-Hardware/dp/B0BXRPVDNR/ref=sr_1_1?keywords=REBECCA+MINKOFF&amp;qid=1695343530&amp;sr=8-1")</f>
        <v/>
      </c>
      <c r="F318" t="inlineStr">
        <is>
          <t>B0BXRPVDNR</t>
        </is>
      </c>
      <c r="G318">
        <f>_xlfn.IMAGE("https://www.theoutnet.com/variants/images/1647597285400201/F/w1020_q80.jpg")</f>
        <v/>
      </c>
      <c r="H318">
        <f>_xlfn.IMAGE("https://m.media-amazon.com/images/I/81pRdrOddHL._AC_UL320_.jpg")</f>
        <v/>
      </c>
      <c r="K318" t="inlineStr">
        <is>
          <t>75.0</t>
        </is>
      </c>
      <c r="L318" t="n">
        <v>130.85</v>
      </c>
      <c r="M318" s="2" t="inlineStr">
        <is>
          <t>74.47%</t>
        </is>
      </c>
      <c r="N318" t="n">
        <v>5</v>
      </c>
      <c r="O318" t="n">
        <v>2</v>
      </c>
      <c r="Q318" t="inlineStr">
        <is>
          <t>InStock</t>
        </is>
      </c>
      <c r="R318" t="inlineStr">
        <is>
          <t>250.0</t>
        </is>
      </c>
      <c r="S318" t="inlineStr">
        <is>
          <t>1647597285400201</t>
        </is>
      </c>
    </row>
    <row r="319" ht="75" customHeight="1">
      <c r="A319" s="1">
        <f>HYPERLINK("https://www.theoutnet.com/en-us/shop/product/redone/jeans/straight-leg-jeans/70s-high-rise-straight-leg-jeans/1647597303223562", "https://www.theoutnet.com/en-us/shop/product/redone/jeans/straight-leg-jeans/70s-high-rise-straight-leg-jeans/1647597303223562")</f>
        <v/>
      </c>
      <c r="B319" s="1">
        <f>HYPERLINK("https://www.theoutnet.com/en-us/shop/product/redone/jeans/straight-leg-jeans/70s-high-rise-straight-leg-jeans/1647597303223562", "https://www.theoutnet.com/en-us/shop/product/redone/jeans/straight-leg-jeans/70s-high-rise-straight-leg-jeans/1647597303223562")</f>
        <v/>
      </c>
      <c r="C319" t="inlineStr">
        <is>
          <t>70s high-rise straight-leg jeans</t>
        </is>
      </c>
      <c r="D319" t="inlineStr">
        <is>
          <t>RE/DONE 70s High-Rise Straight-Leg Jeans Laguna Pants High Rise</t>
        </is>
      </c>
      <c r="E319" s="1">
        <f>HYPERLINK("https://www.amazon.com/RE-DONE-High-Rise-Straight-Leg-Numeric_28/dp/B0BL56JQSK/ref=sr_1_2?keywords=70s+high-rise+straight-leg+jeans&amp;qid=1695343386&amp;sr=8-2", "https://www.amazon.com/RE-DONE-High-Rise-Straight-Leg-Numeric_28/dp/B0BL56JQSK/ref=sr_1_2?keywords=70s+high-rise+straight-leg+jeans&amp;qid=1695343386&amp;sr=8-2")</f>
        <v/>
      </c>
      <c r="F319" t="inlineStr">
        <is>
          <t>B0BL56JQSK</t>
        </is>
      </c>
      <c r="G319">
        <f>_xlfn.IMAGE("https://www.theoutnet.com/variants/images/1647597303223562/F/w1020_q80.jpg")</f>
        <v/>
      </c>
      <c r="H319">
        <f>_xlfn.IMAGE("https://m.media-amazon.com/images/I/51XMm48LjEL._AC_UL320_.jpg")</f>
        <v/>
      </c>
      <c r="K319" t="inlineStr">
        <is>
          <t>129.0</t>
        </is>
      </c>
      <c r="L319" t="n">
        <v>285</v>
      </c>
      <c r="M319" s="2" t="inlineStr">
        <is>
          <t>120.93%</t>
        </is>
      </c>
      <c r="N319" t="n">
        <v>5</v>
      </c>
      <c r="O319" t="n">
        <v>1</v>
      </c>
      <c r="Q319" t="inlineStr">
        <is>
          <t>InStock</t>
        </is>
      </c>
      <c r="R319" t="inlineStr">
        <is>
          <t>285.0</t>
        </is>
      </c>
      <c r="S319" t="inlineStr">
        <is>
          <t>1</t>
        </is>
      </c>
    </row>
    <row r="320" ht="75" customHeight="1">
      <c r="A320" s="1">
        <f>HYPERLINK("https://www.theoutnet.com/en-us/shop/product/sam-edelman/boots/ankle-boots/emalia-leather-ankle-boots/1647597290052346", "https://www.theoutnet.com/en-us/shop/product/sam-edelman/boots/ankle-boots/emalia-leather-ankle-boots/1647597290052346")</f>
        <v/>
      </c>
      <c r="B320" s="1">
        <f>HYPERLINK("https://www.theoutnet.com/en-us/shop/product/sam-edelman/boots/ankle-boots/emalia-leather-ankle-boots/1647597290052346", "https://www.theoutnet.com/en-us/shop/product/sam-edelman/boots/ankle-boots/emalia-leather-ankle-boots/1647597290052346")</f>
        <v/>
      </c>
      <c r="C320" t="inlineStr">
        <is>
          <t>SAM EDELMAN</t>
        </is>
      </c>
      <c r="D320" t="inlineStr">
        <is>
          <t>Sam Edelman Women's Loraine Loafer</t>
        </is>
      </c>
      <c r="E320" s="1">
        <f>HYPERLINK("https://www.amazon.com/Sam-Edelman-Womens-Loafer-Leather/dp/B07R5ZH73F/ref=sr_1_1?keywords=SAM+EDELMAN&amp;qid=1695343181&amp;sr=8-1", "https://www.amazon.com/Sam-Edelman-Womens-Loafer-Leather/dp/B07R5ZH73F/ref=sr_1_1?keywords=SAM+EDELMAN&amp;qid=1695343181&amp;sr=8-1")</f>
        <v/>
      </c>
      <c r="F320" t="inlineStr">
        <is>
          <t>B07R5ZH73F</t>
        </is>
      </c>
      <c r="G320">
        <f>_xlfn.IMAGE("https://www.theoutnet.com/variants/images/1647597290052346/F/w1020_q80.jpg")</f>
        <v/>
      </c>
      <c r="H320">
        <f>_xlfn.IMAGE("https://m.media-amazon.com/images/I/71kLc2qnOGL._AC_UL320_.jpg")</f>
        <v/>
      </c>
      <c r="K320" t="inlineStr">
        <is>
          <t>68.0</t>
        </is>
      </c>
      <c r="L320" t="n">
        <v>139.95</v>
      </c>
      <c r="M320" s="2" t="inlineStr">
        <is>
          <t>105.81%</t>
        </is>
      </c>
      <c r="N320" t="n">
        <v>4.6</v>
      </c>
      <c r="O320" t="n">
        <v>1470</v>
      </c>
      <c r="Q320" t="inlineStr">
        <is>
          <t>InStock</t>
        </is>
      </c>
      <c r="R320" t="inlineStr">
        <is>
          <t>225.0</t>
        </is>
      </c>
      <c r="S320" t="inlineStr">
        <is>
          <t>1</t>
        </is>
      </c>
    </row>
    <row r="321" ht="75" customHeight="1">
      <c r="A321" s="1">
        <f>HYPERLINK("https://www.theoutnet.com/en-us/shop/product/sam-edelman/boots/ankle-boots/emalia-leather-ankle-boots/1647597290052346", "https://www.theoutnet.com/en-us/shop/product/sam-edelman/boots/ankle-boots/emalia-leather-ankle-boots/1647597290052346")</f>
        <v/>
      </c>
      <c r="B321" s="1">
        <f>HYPERLINK("https://www.theoutnet.com/en-us/shop/product/sam-edelman/boots/ankle-boots/emalia-leather-ankle-boots/1647597290052346", "https://www.theoutnet.com/en-us/shop/product/sam-edelman/boots/ankle-boots/emalia-leather-ankle-boots/1647597290052346")</f>
        <v/>
      </c>
      <c r="C321" t="inlineStr">
        <is>
          <t>SAM EDELMAN</t>
        </is>
      </c>
      <c r="D321" t="inlineStr">
        <is>
          <t>Sam Edelman Women's Michaela Mary Jane Flat</t>
        </is>
      </c>
      <c r="E321" s="1">
        <f>HYPERLINK("https://www.amazon.com/Sam-Edelman-Womens-Michaela-Black/dp/B093C7VY8S/ref=sr_1_6?keywords=SAM+EDELMAN&amp;qid=1695343181&amp;sr=8-6", "https://www.amazon.com/Sam-Edelman-Womens-Michaela-Black/dp/B093C7VY8S/ref=sr_1_6?keywords=SAM+EDELMAN&amp;qid=1695343181&amp;sr=8-6")</f>
        <v/>
      </c>
      <c r="F321" t="inlineStr">
        <is>
          <t>B093C7VY8S</t>
        </is>
      </c>
      <c r="G321">
        <f>_xlfn.IMAGE("https://www.theoutnet.com/variants/images/1647597290052346/F/w1020_q80.jpg")</f>
        <v/>
      </c>
      <c r="H321">
        <f>_xlfn.IMAGE("https://m.media-amazon.com/images/I/61Kq+5MkKOL._AC_UL320_.jpg")</f>
        <v/>
      </c>
      <c r="K321" t="inlineStr">
        <is>
          <t>68.0</t>
        </is>
      </c>
      <c r="L321" t="n">
        <v>130</v>
      </c>
      <c r="M321" s="2" t="inlineStr">
        <is>
          <t>91.18%</t>
        </is>
      </c>
      <c r="N321" t="n">
        <v>4.2</v>
      </c>
      <c r="O321" t="n">
        <v>132</v>
      </c>
      <c r="Q321" t="inlineStr">
        <is>
          <t>InStock</t>
        </is>
      </c>
      <c r="R321" t="inlineStr">
        <is>
          <t>225.0</t>
        </is>
      </c>
      <c r="S321" t="inlineStr">
        <is>
          <t>1</t>
        </is>
      </c>
    </row>
    <row r="322" ht="75" customHeight="1">
      <c r="A322" s="1">
        <f>HYPERLINK("https://www.theoutnet.com/en-us/shop/product/sam-edelman/boots/ankle-boots/emalia-leather-ankle-boots/1647597290052346", "https://www.theoutnet.com/en-us/shop/product/sam-edelman/boots/ankle-boots/emalia-leather-ankle-boots/1647597290052346")</f>
        <v/>
      </c>
      <c r="B322" s="1">
        <f>HYPERLINK("https://www.theoutnet.com/en-us/shop/product/sam-edelman/boots/ankle-boots/emalia-leather-ankle-boots/1647597290052346", "https://www.theoutnet.com/en-us/shop/product/sam-edelman/boots/ankle-boots/emalia-leather-ankle-boots/1647597290052346")</f>
        <v/>
      </c>
      <c r="C322" t="inlineStr">
        <is>
          <t>SAM EDELMAN</t>
        </is>
      </c>
      <c r="D322" t="inlineStr">
        <is>
          <t>Sam Edelman Women's Felicia Classic Ballet Flat</t>
        </is>
      </c>
      <c r="E322" s="1">
        <f>HYPERLINK("https://www.amazon.com/Sam-Edelman-Womens-Felicia-Leather/dp/B0058Z1K8S/ref=sr_1_4?keywords=SAM+EDELMAN&amp;qid=1695343181&amp;sr=8-4", "https://www.amazon.com/Sam-Edelman-Womens-Felicia-Leather/dp/B0058Z1K8S/ref=sr_1_4?keywords=SAM+EDELMAN&amp;qid=1695343181&amp;sr=8-4")</f>
        <v/>
      </c>
      <c r="F322" t="inlineStr">
        <is>
          <t>B0058Z1K8S</t>
        </is>
      </c>
      <c r="G322">
        <f>_xlfn.IMAGE("https://www.theoutnet.com/variants/images/1647597290052346/F/w1020_q80.jpg")</f>
        <v/>
      </c>
      <c r="H322">
        <f>_xlfn.IMAGE("https://m.media-amazon.com/images/I/61gegabdFhL._AC_UL320_.jpg")</f>
        <v/>
      </c>
      <c r="K322" t="inlineStr">
        <is>
          <t>68.0</t>
        </is>
      </c>
      <c r="L322" t="n">
        <v>118.32</v>
      </c>
      <c r="M322" s="2" t="inlineStr">
        <is>
          <t>74.00%</t>
        </is>
      </c>
      <c r="N322" t="n">
        <v>4.4</v>
      </c>
      <c r="O322" t="n">
        <v>1754</v>
      </c>
      <c r="Q322" t="inlineStr">
        <is>
          <t>InStock</t>
        </is>
      </c>
      <c r="R322" t="inlineStr">
        <is>
          <t>225.0</t>
        </is>
      </c>
      <c r="S322" t="inlineStr">
        <is>
          <t>1</t>
        </is>
      </c>
    </row>
    <row r="323" ht="75" customHeight="1">
      <c r="A323" s="1">
        <f>HYPERLINK("https://www.theoutnet.com/en-us/shop/product/sam-edelman/boots/ankle-boots/emalia-leather-ankle-boots/1647597290052346", "https://www.theoutnet.com/en-us/shop/product/sam-edelman/boots/ankle-boots/emalia-leather-ankle-boots/1647597290052346")</f>
        <v/>
      </c>
      <c r="B323" s="1">
        <f>HYPERLINK("https://www.theoutnet.com/en-us/shop/product/sam-edelman/boots/ankle-boots/emalia-leather-ankle-boots/1647597290052346", "https://www.theoutnet.com/en-us/shop/product/sam-edelman/boots/ankle-boots/emalia-leather-ankle-boots/1647597290052346")</f>
        <v/>
      </c>
      <c r="C323" t="inlineStr">
        <is>
          <t>SAM EDELMAN</t>
        </is>
      </c>
      <c r="D323" t="inlineStr">
        <is>
          <t>Sam Edelman Women's Loraine Loafer</t>
        </is>
      </c>
      <c r="E323" s="1">
        <f>HYPERLINK("https://www.amazon.com/Sam-Edelman-Womens-Loafer-Leather/dp/B07R5ZH73F/ref=sr_1_1?keywords=SAM+EDELMAN&amp;qid=1695343515&amp;sr=8-1", "https://www.amazon.com/Sam-Edelman-Womens-Loafer-Leather/dp/B07R5ZH73F/ref=sr_1_1?keywords=SAM+EDELMAN&amp;qid=1695343515&amp;sr=8-1")</f>
        <v/>
      </c>
      <c r="F323" t="inlineStr">
        <is>
          <t>B07R5ZH73F</t>
        </is>
      </c>
      <c r="G323">
        <f>_xlfn.IMAGE("https://www.theoutnet.com/variants/images/1647597290052346/F/w1020_q80.jpg")</f>
        <v/>
      </c>
      <c r="H323">
        <f>_xlfn.IMAGE("https://m.media-amazon.com/images/I/71kLc2qnOGL._AC_UL320_.jpg")</f>
        <v/>
      </c>
      <c r="K323" t="inlineStr">
        <is>
          <t>68.0</t>
        </is>
      </c>
      <c r="L323" t="n">
        <v>139.95</v>
      </c>
      <c r="M323" s="2" t="inlineStr">
        <is>
          <t>105.81%</t>
        </is>
      </c>
      <c r="N323" t="n">
        <v>4.6</v>
      </c>
      <c r="O323" t="n">
        <v>1470</v>
      </c>
      <c r="Q323" t="inlineStr">
        <is>
          <t>InStock</t>
        </is>
      </c>
      <c r="R323" t="inlineStr">
        <is>
          <t>225.0</t>
        </is>
      </c>
      <c r="S323" t="inlineStr">
        <is>
          <t>1</t>
        </is>
      </c>
    </row>
    <row r="324" ht="75" customHeight="1">
      <c r="A324" s="1">
        <f>HYPERLINK("https://www.theoutnet.com/en-us/shop/product/sam-edelman/boots/ankle-boots/emalia-leather-ankle-boots/1647597290052346", "https://www.theoutnet.com/en-us/shop/product/sam-edelman/boots/ankle-boots/emalia-leather-ankle-boots/1647597290052346")</f>
        <v/>
      </c>
      <c r="B324" s="1">
        <f>HYPERLINK("https://www.theoutnet.com/en-us/shop/product/sam-edelman/boots/ankle-boots/emalia-leather-ankle-boots/1647597290052346", "https://www.theoutnet.com/en-us/shop/product/sam-edelman/boots/ankle-boots/emalia-leather-ankle-boots/1647597290052346")</f>
        <v/>
      </c>
      <c r="C324" t="inlineStr">
        <is>
          <t>SAM EDELMAN</t>
        </is>
      </c>
      <c r="D324" t="inlineStr">
        <is>
          <t>Sam Edelman Women's Michaela Mary Jane Flat</t>
        </is>
      </c>
      <c r="E324" s="1">
        <f>HYPERLINK("https://www.amazon.com/Sam-Edelman-Womens-Michaela-Black/dp/B093C7VY8S/ref=sr_1_6?keywords=SAM+EDELMAN&amp;qid=1695343515&amp;sr=8-6", "https://www.amazon.com/Sam-Edelman-Womens-Michaela-Black/dp/B093C7VY8S/ref=sr_1_6?keywords=SAM+EDELMAN&amp;qid=1695343515&amp;sr=8-6")</f>
        <v/>
      </c>
      <c r="F324" t="inlineStr">
        <is>
          <t>B093C7VY8S</t>
        </is>
      </c>
      <c r="G324">
        <f>_xlfn.IMAGE("https://www.theoutnet.com/variants/images/1647597290052346/F/w1020_q80.jpg")</f>
        <v/>
      </c>
      <c r="H324">
        <f>_xlfn.IMAGE("https://m.media-amazon.com/images/I/61Kq+5MkKOL._AC_UL320_.jpg")</f>
        <v/>
      </c>
      <c r="K324" t="inlineStr">
        <is>
          <t>68.0</t>
        </is>
      </c>
      <c r="L324" t="n">
        <v>130</v>
      </c>
      <c r="M324" s="2" t="inlineStr">
        <is>
          <t>91.18%</t>
        </is>
      </c>
      <c r="N324" t="n">
        <v>4.2</v>
      </c>
      <c r="O324" t="n">
        <v>132</v>
      </c>
      <c r="Q324" t="inlineStr">
        <is>
          <t>InStock</t>
        </is>
      </c>
      <c r="R324" t="inlineStr">
        <is>
          <t>225.0</t>
        </is>
      </c>
      <c r="S324" t="inlineStr">
        <is>
          <t>1</t>
        </is>
      </c>
    </row>
    <row r="325" ht="75" customHeight="1">
      <c r="A325" s="1">
        <f>HYPERLINK("https://www.theoutnet.com/en-us/shop/product/sam-edelman/boots/ankle-boots/emalia-leather-ankle-boots/1647597290052346", "https://www.theoutnet.com/en-us/shop/product/sam-edelman/boots/ankle-boots/emalia-leather-ankle-boots/1647597290052346")</f>
        <v/>
      </c>
      <c r="B325" s="1">
        <f>HYPERLINK("https://www.theoutnet.com/en-us/shop/product/sam-edelman/boots/ankle-boots/emalia-leather-ankle-boots/1647597290052346", "https://www.theoutnet.com/en-us/shop/product/sam-edelman/boots/ankle-boots/emalia-leather-ankle-boots/1647597290052346")</f>
        <v/>
      </c>
      <c r="C325" t="inlineStr">
        <is>
          <t>SAM EDELMAN</t>
        </is>
      </c>
      <c r="D325" t="inlineStr">
        <is>
          <t>Sam Edelman Women's Felicia Classic Ballet Flat</t>
        </is>
      </c>
      <c r="E325" s="1">
        <f>HYPERLINK("https://www.amazon.com/Sam-Edelman-Womens-Felicia-Leather/dp/B0058Z1K8S/ref=sr_1_4?keywords=SAM+EDELMAN&amp;qid=1695343515&amp;sr=8-4", "https://www.amazon.com/Sam-Edelman-Womens-Felicia-Leather/dp/B0058Z1K8S/ref=sr_1_4?keywords=SAM+EDELMAN&amp;qid=1695343515&amp;sr=8-4")</f>
        <v/>
      </c>
      <c r="F325" t="inlineStr">
        <is>
          <t>B0058Z1K8S</t>
        </is>
      </c>
      <c r="G325">
        <f>_xlfn.IMAGE("https://www.theoutnet.com/variants/images/1647597290052346/F/w1020_q80.jpg")</f>
        <v/>
      </c>
      <c r="H325">
        <f>_xlfn.IMAGE("https://m.media-amazon.com/images/I/61gegabdFhL._AC_UL320_.jpg")</f>
        <v/>
      </c>
      <c r="K325" t="inlineStr">
        <is>
          <t>68.0</t>
        </is>
      </c>
      <c r="L325" t="n">
        <v>120</v>
      </c>
      <c r="M325" s="2" t="inlineStr">
        <is>
          <t>76.47%</t>
        </is>
      </c>
      <c r="N325" t="n">
        <v>4.4</v>
      </c>
      <c r="O325" t="n">
        <v>1754</v>
      </c>
      <c r="Q325" t="inlineStr">
        <is>
          <t>InStock</t>
        </is>
      </c>
      <c r="R325" t="inlineStr">
        <is>
          <t>225.0</t>
        </is>
      </c>
      <c r="S325" t="inlineStr">
        <is>
          <t>1</t>
        </is>
      </c>
    </row>
    <row r="326" ht="75" customHeight="1">
      <c r="A326" s="1">
        <f>HYPERLINK("https://www.theoutnet.com/en-us/shop/product/sam-edelman/boots/ankle-boots/tamia-leather-trimmed-leopard-print-calf-hair-ankle-boots/25185454456915033", "https://www.theoutnet.com/en-us/shop/product/sam-edelman/boots/ankle-boots/tamia-leather-trimmed-leopard-print-calf-hair-ankle-boots/25185454456915033")</f>
        <v/>
      </c>
      <c r="B326" s="1">
        <f>HYPERLINK("https://www.theoutnet.com/en-us/shop/product/sam-edelman/boots/ankle-boots/tamia-leather-trimmed-leopard-print-calf-hair-ankle-boots/25185454456915033", "https://www.theoutnet.com/en-us/shop/product/sam-edelman/boots/ankle-boots/tamia-leather-trimmed-leopard-print-calf-hair-ankle-boots/25185454456915033")</f>
        <v/>
      </c>
      <c r="C326" t="inlineStr">
        <is>
          <t>SAM EDELMAN</t>
        </is>
      </c>
      <c r="D326" t="inlineStr">
        <is>
          <t>Sam Edelman Women's Loraine Loafer</t>
        </is>
      </c>
      <c r="E326" s="1">
        <f>HYPERLINK("https://www.amazon.com/Sam-Edelman-Womens-Loafer-Leather/dp/B07R5ZH73F/ref=sr_1_1?keywords=SAM+EDELMAN&amp;qid=1695343299&amp;sr=8-1", "https://www.amazon.com/Sam-Edelman-Womens-Loafer-Leather/dp/B07R5ZH73F/ref=sr_1_1?keywords=SAM+EDELMAN&amp;qid=1695343299&amp;sr=8-1")</f>
        <v/>
      </c>
      <c r="F326" t="inlineStr">
        <is>
          <t>B07R5ZH73F</t>
        </is>
      </c>
      <c r="G326">
        <f>_xlfn.IMAGE("https://www.theoutnet.com/variants/images/25185454456915033/F/w1020_q80.jpg")</f>
        <v/>
      </c>
      <c r="H326">
        <f>_xlfn.IMAGE("https://m.media-amazon.com/images/I/71kLc2qnOGL._AC_UL320_.jpg")</f>
        <v/>
      </c>
      <c r="K326" t="inlineStr">
        <is>
          <t>57.0</t>
        </is>
      </c>
      <c r="L326" t="n">
        <v>139.95</v>
      </c>
      <c r="M326" s="2" t="inlineStr">
        <is>
          <t>145.53%</t>
        </is>
      </c>
      <c r="N326" t="n">
        <v>4.6</v>
      </c>
      <c r="O326" t="n">
        <v>1470</v>
      </c>
      <c r="Q326" t="inlineStr">
        <is>
          <t>InStock</t>
        </is>
      </c>
      <c r="R326" t="inlineStr">
        <is>
          <t>190.0</t>
        </is>
      </c>
      <c r="S326" t="inlineStr">
        <is>
          <t>2</t>
        </is>
      </c>
    </row>
    <row r="327" ht="75" customHeight="1">
      <c r="A327" s="1">
        <f>HYPERLINK("https://www.theoutnet.com/en-us/shop/product/sam-edelman/boots/ankle-boots/tamia-leather-trimmed-leopard-print-calf-hair-ankle-boots/25185454456915033", "https://www.theoutnet.com/en-us/shop/product/sam-edelman/boots/ankle-boots/tamia-leather-trimmed-leopard-print-calf-hair-ankle-boots/25185454456915033")</f>
        <v/>
      </c>
      <c r="B327" s="1">
        <f>HYPERLINK("https://www.theoutnet.com/en-us/shop/product/sam-edelman/boots/ankle-boots/tamia-leather-trimmed-leopard-print-calf-hair-ankle-boots/25185454456915033", "https://www.theoutnet.com/en-us/shop/product/sam-edelman/boots/ankle-boots/tamia-leather-trimmed-leopard-print-calf-hair-ankle-boots/25185454456915033")</f>
        <v/>
      </c>
      <c r="C327" t="inlineStr">
        <is>
          <t>SAM EDELMAN</t>
        </is>
      </c>
      <c r="D327" t="inlineStr">
        <is>
          <t>Sam Edelman Women's Michaela Mary Jane Flat</t>
        </is>
      </c>
      <c r="E327" s="1">
        <f>HYPERLINK("https://www.amazon.com/Sam-Edelman-Womens-Michaela-Black/dp/B093C7VY8S/ref=sr_1_6?keywords=SAM+EDELMAN&amp;qid=1695343299&amp;sr=8-6", "https://www.amazon.com/Sam-Edelman-Womens-Michaela-Black/dp/B093C7VY8S/ref=sr_1_6?keywords=SAM+EDELMAN&amp;qid=1695343299&amp;sr=8-6")</f>
        <v/>
      </c>
      <c r="F327" t="inlineStr">
        <is>
          <t>B093C7VY8S</t>
        </is>
      </c>
      <c r="G327">
        <f>_xlfn.IMAGE("https://www.theoutnet.com/variants/images/25185454456915033/F/w1020_q80.jpg")</f>
        <v/>
      </c>
      <c r="H327">
        <f>_xlfn.IMAGE("https://m.media-amazon.com/images/I/61Kq+5MkKOL._AC_UL320_.jpg")</f>
        <v/>
      </c>
      <c r="K327" t="inlineStr">
        <is>
          <t>57.0</t>
        </is>
      </c>
      <c r="L327" t="n">
        <v>130</v>
      </c>
      <c r="M327" s="2" t="inlineStr">
        <is>
          <t>128.07%</t>
        </is>
      </c>
      <c r="N327" t="n">
        <v>4.2</v>
      </c>
      <c r="O327" t="n">
        <v>132</v>
      </c>
      <c r="Q327" t="inlineStr">
        <is>
          <t>InStock</t>
        </is>
      </c>
      <c r="R327" t="inlineStr">
        <is>
          <t>190.0</t>
        </is>
      </c>
      <c r="S327" t="inlineStr">
        <is>
          <t>2</t>
        </is>
      </c>
    </row>
    <row r="328" ht="75" customHeight="1">
      <c r="A328" s="1">
        <f>HYPERLINK("https://www.theoutnet.com/en-us/shop/product/sam-edelman/boots/ankle-boots/tamia-leather-trimmed-leopard-print-calf-hair-ankle-boots/25185454456915033", "https://www.theoutnet.com/en-us/shop/product/sam-edelman/boots/ankle-boots/tamia-leather-trimmed-leopard-print-calf-hair-ankle-boots/25185454456915033")</f>
        <v/>
      </c>
      <c r="B328" s="1">
        <f>HYPERLINK("https://www.theoutnet.com/en-us/shop/product/sam-edelman/boots/ankle-boots/tamia-leather-trimmed-leopard-print-calf-hair-ankle-boots/25185454456915033", "https://www.theoutnet.com/en-us/shop/product/sam-edelman/boots/ankle-boots/tamia-leather-trimmed-leopard-print-calf-hair-ankle-boots/25185454456915033")</f>
        <v/>
      </c>
      <c r="C328" t="inlineStr">
        <is>
          <t>SAM EDELMAN</t>
        </is>
      </c>
      <c r="D328" t="inlineStr">
        <is>
          <t>Sam Edelman Women's Felicia Classic Ballet Flat</t>
        </is>
      </c>
      <c r="E328" s="1">
        <f>HYPERLINK("https://www.amazon.com/Sam-Edelman-Womens-Felicia-Leather/dp/B0058Z1K8S/ref=sr_1_4?keywords=SAM+EDELMAN&amp;qid=1695343299&amp;sr=8-4", "https://www.amazon.com/Sam-Edelman-Womens-Felicia-Leather/dp/B0058Z1K8S/ref=sr_1_4?keywords=SAM+EDELMAN&amp;qid=1695343299&amp;sr=8-4")</f>
        <v/>
      </c>
      <c r="F328" t="inlineStr">
        <is>
          <t>B0058Z1K8S</t>
        </is>
      </c>
      <c r="G328">
        <f>_xlfn.IMAGE("https://www.theoutnet.com/variants/images/25185454456915033/F/w1020_q80.jpg")</f>
        <v/>
      </c>
      <c r="H328">
        <f>_xlfn.IMAGE("https://m.media-amazon.com/images/I/61gegabdFhL._AC_UL320_.jpg")</f>
        <v/>
      </c>
      <c r="K328" t="inlineStr">
        <is>
          <t>57.0</t>
        </is>
      </c>
      <c r="L328" t="n">
        <v>120</v>
      </c>
      <c r="M328" s="2" t="inlineStr">
        <is>
          <t>110.53%</t>
        </is>
      </c>
      <c r="N328" t="n">
        <v>4.4</v>
      </c>
      <c r="O328" t="n">
        <v>1754</v>
      </c>
      <c r="Q328" t="inlineStr">
        <is>
          <t>InStock</t>
        </is>
      </c>
      <c r="R328" t="inlineStr">
        <is>
          <t>190.0</t>
        </is>
      </c>
      <c r="S328" t="inlineStr">
        <is>
          <t>2</t>
        </is>
      </c>
    </row>
    <row r="329" ht="75" customHeight="1">
      <c r="A329" s="1">
        <f>HYPERLINK("https://www.theoutnet.com/en-us/shop/product/sam-edelman/boots/ankle-boots/tamia-leather-trimmed-leopard-print-calf-hair-ankle-boots/25185454456915033", "https://www.theoutnet.com/en-us/shop/product/sam-edelman/boots/ankle-boots/tamia-leather-trimmed-leopard-print-calf-hair-ankle-boots/25185454456915033")</f>
        <v/>
      </c>
      <c r="B329" s="1">
        <f>HYPERLINK("https://www.theoutnet.com/en-us/shop/product/sam-edelman/boots/ankle-boots/tamia-leather-trimmed-leopard-print-calf-hair-ankle-boots/25185454456915033", "https://www.theoutnet.com/en-us/shop/product/sam-edelman/boots/ankle-boots/tamia-leather-trimmed-leopard-print-calf-hair-ankle-boots/25185454456915033")</f>
        <v/>
      </c>
      <c r="C329" t="inlineStr">
        <is>
          <t>SAM EDELMAN</t>
        </is>
      </c>
      <c r="D329" t="inlineStr">
        <is>
          <t>Sam Edelman Women's Loraine Loafer</t>
        </is>
      </c>
      <c r="E329" s="1">
        <f>HYPERLINK("https://www.amazon.com/Sam-Edelman-Womens-Loafer-Leather/dp/B07R5ZH73F/ref=sr_1_1?keywords=SAM+EDELMAN&amp;qid=1695343509&amp;sr=8-1", "https://www.amazon.com/Sam-Edelman-Womens-Loafer-Leather/dp/B07R5ZH73F/ref=sr_1_1?keywords=SAM+EDELMAN&amp;qid=1695343509&amp;sr=8-1")</f>
        <v/>
      </c>
      <c r="F329" t="inlineStr">
        <is>
          <t>B07R5ZH73F</t>
        </is>
      </c>
      <c r="G329">
        <f>_xlfn.IMAGE("https://www.theoutnet.com/variants/images/25185454456915033/F/w1020_q80.jpg")</f>
        <v/>
      </c>
      <c r="H329">
        <f>_xlfn.IMAGE("https://m.media-amazon.com/images/I/71kLc2qnOGL._AC_UL320_.jpg")</f>
        <v/>
      </c>
      <c r="K329" t="inlineStr">
        <is>
          <t>57.0</t>
        </is>
      </c>
      <c r="L329" t="n">
        <v>139.95</v>
      </c>
      <c r="M329" s="2" t="inlineStr">
        <is>
          <t>145.53%</t>
        </is>
      </c>
      <c r="N329" t="n">
        <v>4.6</v>
      </c>
      <c r="O329" t="n">
        <v>1470</v>
      </c>
      <c r="Q329" t="inlineStr">
        <is>
          <t>InStock</t>
        </is>
      </c>
      <c r="R329" t="inlineStr">
        <is>
          <t>190.0</t>
        </is>
      </c>
      <c r="S329" t="inlineStr">
        <is>
          <t>2</t>
        </is>
      </c>
    </row>
    <row r="330" ht="75" customHeight="1">
      <c r="A330" s="1">
        <f>HYPERLINK("https://www.theoutnet.com/en-us/shop/product/sam-edelman/boots/ankle-boots/tamia-leather-trimmed-leopard-print-calf-hair-ankle-boots/25185454456915033", "https://www.theoutnet.com/en-us/shop/product/sam-edelman/boots/ankle-boots/tamia-leather-trimmed-leopard-print-calf-hair-ankle-boots/25185454456915033")</f>
        <v/>
      </c>
      <c r="B330" s="1">
        <f>HYPERLINK("https://www.theoutnet.com/en-us/shop/product/sam-edelman/boots/ankle-boots/tamia-leather-trimmed-leopard-print-calf-hair-ankle-boots/25185454456915033", "https://www.theoutnet.com/en-us/shop/product/sam-edelman/boots/ankle-boots/tamia-leather-trimmed-leopard-print-calf-hair-ankle-boots/25185454456915033")</f>
        <v/>
      </c>
      <c r="C330" t="inlineStr">
        <is>
          <t>SAM EDELMAN</t>
        </is>
      </c>
      <c r="D330" t="inlineStr">
        <is>
          <t>Sam Edelman Women's Michaela Mary Jane Flat</t>
        </is>
      </c>
      <c r="E330" s="1">
        <f>HYPERLINK("https://www.amazon.com/Sam-Edelman-Womens-Michaela-Black/dp/B093C7VY8S/ref=sr_1_6?keywords=SAM+EDELMAN&amp;qid=1695343509&amp;sr=8-6", "https://www.amazon.com/Sam-Edelman-Womens-Michaela-Black/dp/B093C7VY8S/ref=sr_1_6?keywords=SAM+EDELMAN&amp;qid=1695343509&amp;sr=8-6")</f>
        <v/>
      </c>
      <c r="F330" t="inlineStr">
        <is>
          <t>B093C7VY8S</t>
        </is>
      </c>
      <c r="G330">
        <f>_xlfn.IMAGE("https://www.theoutnet.com/variants/images/25185454456915033/F/w1020_q80.jpg")</f>
        <v/>
      </c>
      <c r="H330">
        <f>_xlfn.IMAGE("https://m.media-amazon.com/images/I/61Kq+5MkKOL._AC_UL320_.jpg")</f>
        <v/>
      </c>
      <c r="K330" t="inlineStr">
        <is>
          <t>57.0</t>
        </is>
      </c>
      <c r="L330" t="n">
        <v>130</v>
      </c>
      <c r="M330" s="2" t="inlineStr">
        <is>
          <t>128.07%</t>
        </is>
      </c>
      <c r="N330" t="n">
        <v>4.2</v>
      </c>
      <c r="O330" t="n">
        <v>132</v>
      </c>
      <c r="Q330" t="inlineStr">
        <is>
          <t>InStock</t>
        </is>
      </c>
      <c r="R330" t="inlineStr">
        <is>
          <t>190.0</t>
        </is>
      </c>
      <c r="S330" t="inlineStr">
        <is>
          <t>2</t>
        </is>
      </c>
    </row>
    <row r="331" ht="75" customHeight="1">
      <c r="A331" s="1">
        <f>HYPERLINK("https://www.theoutnet.com/en-us/shop/product/sam-edelman/boots/ankle-boots/tamia-leather-trimmed-leopard-print-calf-hair-ankle-boots/25185454456915033", "https://www.theoutnet.com/en-us/shop/product/sam-edelman/boots/ankle-boots/tamia-leather-trimmed-leopard-print-calf-hair-ankle-boots/25185454456915033")</f>
        <v/>
      </c>
      <c r="B331" s="1">
        <f>HYPERLINK("https://www.theoutnet.com/en-us/shop/product/sam-edelman/boots/ankle-boots/tamia-leather-trimmed-leopard-print-calf-hair-ankle-boots/25185454456915033", "https://www.theoutnet.com/en-us/shop/product/sam-edelman/boots/ankle-boots/tamia-leather-trimmed-leopard-print-calf-hair-ankle-boots/25185454456915033")</f>
        <v/>
      </c>
      <c r="C331" t="inlineStr">
        <is>
          <t>SAM EDELMAN</t>
        </is>
      </c>
      <c r="D331" t="inlineStr">
        <is>
          <t>Sam Edelman Women's Felicia Classic Ballet Flat</t>
        </is>
      </c>
      <c r="E331" s="1">
        <f>HYPERLINK("https://www.amazon.com/Sam-Edelman-Womens-Felicia-Leather/dp/B0058Z1K8S/ref=sr_1_4?keywords=SAM+EDELMAN&amp;qid=1695343509&amp;sr=8-4", "https://www.amazon.com/Sam-Edelman-Womens-Felicia-Leather/dp/B0058Z1K8S/ref=sr_1_4?keywords=SAM+EDELMAN&amp;qid=1695343509&amp;sr=8-4")</f>
        <v/>
      </c>
      <c r="F331" t="inlineStr">
        <is>
          <t>B0058Z1K8S</t>
        </is>
      </c>
      <c r="G331">
        <f>_xlfn.IMAGE("https://www.theoutnet.com/variants/images/25185454456915033/F/w1020_q80.jpg")</f>
        <v/>
      </c>
      <c r="H331">
        <f>_xlfn.IMAGE("https://m.media-amazon.com/images/I/61gegabdFhL._AC_UL320_.jpg")</f>
        <v/>
      </c>
      <c r="K331" t="inlineStr">
        <is>
          <t>57.0</t>
        </is>
      </c>
      <c r="L331" t="n">
        <v>120</v>
      </c>
      <c r="M331" s="2" t="inlineStr">
        <is>
          <t>110.53%</t>
        </is>
      </c>
      <c r="N331" t="n">
        <v>4.4</v>
      </c>
      <c r="O331" t="n">
        <v>1754</v>
      </c>
      <c r="Q331" t="inlineStr">
        <is>
          <t>InStock</t>
        </is>
      </c>
      <c r="R331" t="inlineStr">
        <is>
          <t>190.0</t>
        </is>
      </c>
      <c r="S331" t="inlineStr">
        <is>
          <t>2</t>
        </is>
      </c>
    </row>
    <row r="332" ht="75" customHeight="1">
      <c r="A332" s="1">
        <f>HYPERLINK("https://www.theoutnet.com/en-us/shop/product/sam-edelman/flat-shoes/ballet-flats/felicia-bow-detailed-leather-ballet-flats/1647597309279361", "https://www.theoutnet.com/en-us/shop/product/sam-edelman/flat-shoes/ballet-flats/felicia-bow-detailed-leather-ballet-flats/1647597309279361")</f>
        <v/>
      </c>
      <c r="B332" s="1">
        <f>HYPERLINK("https://www.theoutnet.com/en-us/shop/product/sam-edelman/flat-shoes/ballet-flats/felicia-bow-detailed-leather-ballet-flats/1647597309279361", "https://www.theoutnet.com/en-us/shop/product/sam-edelman/flat-shoes/ballet-flats/felicia-bow-detailed-leather-ballet-flats/1647597309279361")</f>
        <v/>
      </c>
      <c r="C332" t="inlineStr">
        <is>
          <t>SAM EDELMAN</t>
        </is>
      </c>
      <c r="D332" t="inlineStr">
        <is>
          <t>Sam Edelman Women's Loraine Loafer</t>
        </is>
      </c>
      <c r="E332" s="1">
        <f>HYPERLINK("https://www.amazon.com/Sam-Edelman-Womens-Loafer-Leather/dp/B07R5ZH73F/ref=sr_1_1?keywords=SAM+EDELMAN&amp;qid=1695343515&amp;sr=8-1", "https://www.amazon.com/Sam-Edelman-Womens-Loafer-Leather/dp/B07R5ZH73F/ref=sr_1_1?keywords=SAM+EDELMAN&amp;qid=1695343515&amp;sr=8-1")</f>
        <v/>
      </c>
      <c r="F332" t="inlineStr">
        <is>
          <t>B07R5ZH73F</t>
        </is>
      </c>
      <c r="G332">
        <f>_xlfn.IMAGE("https://www.theoutnet.com/variants/images/1647597309279361/F/w1020_q80.jpg")</f>
        <v/>
      </c>
      <c r="H332">
        <f>_xlfn.IMAGE("https://m.media-amazon.com/images/I/71kLc2qnOGL._AC_UL320_.jpg")</f>
        <v/>
      </c>
      <c r="K332" t="inlineStr">
        <is>
          <t>66.0</t>
        </is>
      </c>
      <c r="L332" t="n">
        <v>139.95</v>
      </c>
      <c r="M332" s="2" t="inlineStr">
        <is>
          <t>112.05%</t>
        </is>
      </c>
      <c r="N332" t="n">
        <v>4.6</v>
      </c>
      <c r="O332" t="n">
        <v>1470</v>
      </c>
      <c r="Q332" t="inlineStr">
        <is>
          <t>InStock</t>
        </is>
      </c>
      <c r="R332" t="inlineStr">
        <is>
          <t>120.0</t>
        </is>
      </c>
      <c r="S332" t="inlineStr">
        <is>
          <t>1</t>
        </is>
      </c>
    </row>
    <row r="333" ht="75" customHeight="1">
      <c r="A333" s="1">
        <f>HYPERLINK("https://www.theoutnet.com/en-us/shop/product/sam-edelman/flat-shoes/ballet-flats/felicia-bow-detailed-leather-ballet-flats/1647597309279361", "https://www.theoutnet.com/en-us/shop/product/sam-edelman/flat-shoes/ballet-flats/felicia-bow-detailed-leather-ballet-flats/1647597309279361")</f>
        <v/>
      </c>
      <c r="B333" s="1">
        <f>HYPERLINK("https://www.theoutnet.com/en-us/shop/product/sam-edelman/flat-shoes/ballet-flats/felicia-bow-detailed-leather-ballet-flats/1647597309279361", "https://www.theoutnet.com/en-us/shop/product/sam-edelman/flat-shoes/ballet-flats/felicia-bow-detailed-leather-ballet-flats/1647597309279361")</f>
        <v/>
      </c>
      <c r="C333" t="inlineStr">
        <is>
          <t>SAM EDELMAN</t>
        </is>
      </c>
      <c r="D333" t="inlineStr">
        <is>
          <t>Sam Edelman Women's Michaela Mary Jane Flat</t>
        </is>
      </c>
      <c r="E333" s="1">
        <f>HYPERLINK("https://www.amazon.com/Sam-Edelman-Womens-Michaela-Black/dp/B093C7VY8S/ref=sr_1_6?keywords=SAM+EDELMAN&amp;qid=1695343515&amp;sr=8-6", "https://www.amazon.com/Sam-Edelman-Womens-Michaela-Black/dp/B093C7VY8S/ref=sr_1_6?keywords=SAM+EDELMAN&amp;qid=1695343515&amp;sr=8-6")</f>
        <v/>
      </c>
      <c r="F333" t="inlineStr">
        <is>
          <t>B093C7VY8S</t>
        </is>
      </c>
      <c r="G333">
        <f>_xlfn.IMAGE("https://www.theoutnet.com/variants/images/1647597309279361/F/w1020_q80.jpg")</f>
        <v/>
      </c>
      <c r="H333">
        <f>_xlfn.IMAGE("https://m.media-amazon.com/images/I/61Kq+5MkKOL._AC_UL320_.jpg")</f>
        <v/>
      </c>
      <c r="K333" t="inlineStr">
        <is>
          <t>66.0</t>
        </is>
      </c>
      <c r="L333" t="n">
        <v>130</v>
      </c>
      <c r="M333" s="2" t="inlineStr">
        <is>
          <t>96.97%</t>
        </is>
      </c>
      <c r="N333" t="n">
        <v>4.2</v>
      </c>
      <c r="O333" t="n">
        <v>132</v>
      </c>
      <c r="Q333" t="inlineStr">
        <is>
          <t>InStock</t>
        </is>
      </c>
      <c r="R333" t="inlineStr">
        <is>
          <t>120.0</t>
        </is>
      </c>
      <c r="S333" t="inlineStr">
        <is>
          <t>1</t>
        </is>
      </c>
    </row>
    <row r="334" ht="75" customHeight="1">
      <c r="A334" s="1">
        <f>HYPERLINK("https://www.theoutnet.com/en-us/shop/product/sam-edelman/flat-shoes/ballet-flats/felicia-bow-detailed-leather-ballet-flats/1647597309279361", "https://www.theoutnet.com/en-us/shop/product/sam-edelman/flat-shoes/ballet-flats/felicia-bow-detailed-leather-ballet-flats/1647597309279361")</f>
        <v/>
      </c>
      <c r="B334" s="1">
        <f>HYPERLINK("https://www.theoutnet.com/en-us/shop/product/sam-edelman/flat-shoes/ballet-flats/felicia-bow-detailed-leather-ballet-flats/1647597309279361", "https://www.theoutnet.com/en-us/shop/product/sam-edelman/flat-shoes/ballet-flats/felicia-bow-detailed-leather-ballet-flats/1647597309279361")</f>
        <v/>
      </c>
      <c r="C334" t="inlineStr">
        <is>
          <t>SAM EDELMAN</t>
        </is>
      </c>
      <c r="D334" t="inlineStr">
        <is>
          <t>Sam Edelman Women's Felicia Classic Ballet Flat</t>
        </is>
      </c>
      <c r="E334" s="1">
        <f>HYPERLINK("https://www.amazon.com/Sam-Edelman-Womens-Felicia-Leather/dp/B0058Z1K8S/ref=sr_1_4?keywords=SAM+EDELMAN&amp;qid=1695343515&amp;sr=8-4", "https://www.amazon.com/Sam-Edelman-Womens-Felicia-Leather/dp/B0058Z1K8S/ref=sr_1_4?keywords=SAM+EDELMAN&amp;qid=1695343515&amp;sr=8-4")</f>
        <v/>
      </c>
      <c r="F334" t="inlineStr">
        <is>
          <t>B0058Z1K8S</t>
        </is>
      </c>
      <c r="G334">
        <f>_xlfn.IMAGE("https://www.theoutnet.com/variants/images/1647597309279361/F/w1020_q80.jpg")</f>
        <v/>
      </c>
      <c r="H334">
        <f>_xlfn.IMAGE("https://m.media-amazon.com/images/I/61gegabdFhL._AC_UL320_.jpg")</f>
        <v/>
      </c>
      <c r="K334" t="inlineStr">
        <is>
          <t>66.0</t>
        </is>
      </c>
      <c r="L334" t="n">
        <v>120</v>
      </c>
      <c r="M334" s="2" t="inlineStr">
        <is>
          <t>81.82%</t>
        </is>
      </c>
      <c r="N334" t="n">
        <v>4.4</v>
      </c>
      <c r="O334" t="n">
        <v>1754</v>
      </c>
      <c r="Q334" t="inlineStr">
        <is>
          <t>InStock</t>
        </is>
      </c>
      <c r="R334" t="inlineStr">
        <is>
          <t>120.0</t>
        </is>
      </c>
      <c r="S334" t="inlineStr">
        <is>
          <t>1</t>
        </is>
      </c>
    </row>
    <row r="335" ht="75" customHeight="1">
      <c r="A335" s="1">
        <f>HYPERLINK("https://www.theoutnet.com/en-us/shop/product/sam-edelman/flat-shoes/ballet-flats/felicia-printed-metallic-leather-ballet-flats/1647597321414009", "https://www.theoutnet.com/en-us/shop/product/sam-edelman/flat-shoes/ballet-flats/felicia-printed-metallic-leather-ballet-flats/1647597321414009")</f>
        <v/>
      </c>
      <c r="B335" s="1">
        <f>HYPERLINK("https://www.theoutnet.com/en-us/shop/product/sam-edelman/flat-shoes/ballet-flats/felicia-printed-metallic-leather-ballet-flats/1647597321414009", "https://www.theoutnet.com/en-us/shop/product/sam-edelman/flat-shoes/ballet-flats/felicia-printed-metallic-leather-ballet-flats/1647597321414009")</f>
        <v/>
      </c>
      <c r="C335" t="inlineStr">
        <is>
          <t>SAM EDELMAN</t>
        </is>
      </c>
      <c r="D335" t="inlineStr">
        <is>
          <t>Sam Edelman Women's Loraine Loafer</t>
        </is>
      </c>
      <c r="E335" s="1">
        <f>HYPERLINK("https://www.amazon.com/Sam-Edelman-Womens-Loafer-Leather/dp/B07R5ZH73F/ref=sr_1_1?keywords=SAM+EDELMAN&amp;qid=1695343516&amp;sr=8-1", "https://www.amazon.com/Sam-Edelman-Womens-Loafer-Leather/dp/B07R5ZH73F/ref=sr_1_1?keywords=SAM+EDELMAN&amp;qid=1695343516&amp;sr=8-1")</f>
        <v/>
      </c>
      <c r="F335" t="inlineStr">
        <is>
          <t>B07R5ZH73F</t>
        </is>
      </c>
      <c r="G335">
        <f>_xlfn.IMAGE("https://www.theoutnet.com/variants/images/1647597321414009/F/w1020_q80.jpg")</f>
        <v/>
      </c>
      <c r="H335">
        <f>_xlfn.IMAGE("https://m.media-amazon.com/images/I/71kLc2qnOGL._AC_UL320_.jpg")</f>
        <v/>
      </c>
      <c r="K335" t="inlineStr">
        <is>
          <t>66.0</t>
        </is>
      </c>
      <c r="L335" t="n">
        <v>139.95</v>
      </c>
      <c r="M335" s="2" t="inlineStr">
        <is>
          <t>112.05%</t>
        </is>
      </c>
      <c r="N335" t="n">
        <v>4.6</v>
      </c>
      <c r="O335" t="n">
        <v>1470</v>
      </c>
      <c r="Q335" t="inlineStr">
        <is>
          <t>InStock</t>
        </is>
      </c>
      <c r="R335" t="inlineStr">
        <is>
          <t>120.0</t>
        </is>
      </c>
      <c r="S335" t="inlineStr">
        <is>
          <t>1647597321414009</t>
        </is>
      </c>
    </row>
    <row r="336" ht="75" customHeight="1">
      <c r="A336" s="1">
        <f>HYPERLINK("https://www.theoutnet.com/en-us/shop/product/sam-edelman/flat-shoes/ballet-flats/felicia-printed-metallic-leather-ballet-flats/1647597321414009", "https://www.theoutnet.com/en-us/shop/product/sam-edelman/flat-shoes/ballet-flats/felicia-printed-metallic-leather-ballet-flats/1647597321414009")</f>
        <v/>
      </c>
      <c r="B336" s="1">
        <f>HYPERLINK("https://www.theoutnet.com/en-us/shop/product/sam-edelman/flat-shoes/ballet-flats/felicia-printed-metallic-leather-ballet-flats/1647597321414009", "https://www.theoutnet.com/en-us/shop/product/sam-edelman/flat-shoes/ballet-flats/felicia-printed-metallic-leather-ballet-flats/1647597321414009")</f>
        <v/>
      </c>
      <c r="C336" t="inlineStr">
        <is>
          <t>SAM EDELMAN</t>
        </is>
      </c>
      <c r="D336" t="inlineStr">
        <is>
          <t>Sam Edelman Women's Michaela Mary Jane Flat</t>
        </is>
      </c>
      <c r="E336" s="1">
        <f>HYPERLINK("https://www.amazon.com/Sam-Edelman-Womens-Michaela-Black/dp/B093C7VY8S/ref=sr_1_6?keywords=SAM+EDELMAN&amp;qid=1695343516&amp;sr=8-6", "https://www.amazon.com/Sam-Edelman-Womens-Michaela-Black/dp/B093C7VY8S/ref=sr_1_6?keywords=SAM+EDELMAN&amp;qid=1695343516&amp;sr=8-6")</f>
        <v/>
      </c>
      <c r="F336" t="inlineStr">
        <is>
          <t>B093C7VY8S</t>
        </is>
      </c>
      <c r="G336">
        <f>_xlfn.IMAGE("https://www.theoutnet.com/variants/images/1647597321414009/F/w1020_q80.jpg")</f>
        <v/>
      </c>
      <c r="H336">
        <f>_xlfn.IMAGE("https://m.media-amazon.com/images/I/61Kq+5MkKOL._AC_UL320_.jpg")</f>
        <v/>
      </c>
      <c r="K336" t="inlineStr">
        <is>
          <t>66.0</t>
        </is>
      </c>
      <c r="L336" t="n">
        <v>130</v>
      </c>
      <c r="M336" s="2" t="inlineStr">
        <is>
          <t>96.97%</t>
        </is>
      </c>
      <c r="N336" t="n">
        <v>4.2</v>
      </c>
      <c r="O336" t="n">
        <v>132</v>
      </c>
      <c r="Q336" t="inlineStr">
        <is>
          <t>InStock</t>
        </is>
      </c>
      <c r="R336" t="inlineStr">
        <is>
          <t>120.0</t>
        </is>
      </c>
      <c r="S336" t="inlineStr">
        <is>
          <t>1647597321414009</t>
        </is>
      </c>
    </row>
    <row r="337" ht="75" customHeight="1">
      <c r="A337" s="1">
        <f>HYPERLINK("https://www.theoutnet.com/en-us/shop/product/sam-edelman/flat-shoes/ballet-flats/felicia-printed-metallic-leather-ballet-flats/1647597321414009", "https://www.theoutnet.com/en-us/shop/product/sam-edelman/flat-shoes/ballet-flats/felicia-printed-metallic-leather-ballet-flats/1647597321414009")</f>
        <v/>
      </c>
      <c r="B337" s="1">
        <f>HYPERLINK("https://www.theoutnet.com/en-us/shop/product/sam-edelman/flat-shoes/ballet-flats/felicia-printed-metallic-leather-ballet-flats/1647597321414009", "https://www.theoutnet.com/en-us/shop/product/sam-edelman/flat-shoes/ballet-flats/felicia-printed-metallic-leather-ballet-flats/1647597321414009")</f>
        <v/>
      </c>
      <c r="C337" t="inlineStr">
        <is>
          <t>SAM EDELMAN</t>
        </is>
      </c>
      <c r="D337" t="inlineStr">
        <is>
          <t>Sam Edelman Women's Felicia Classic Ballet Flat</t>
        </is>
      </c>
      <c r="E337" s="1">
        <f>HYPERLINK("https://www.amazon.com/Sam-Edelman-Womens-Felicia-Leather/dp/B0058Z1K8S/ref=sr_1_4?keywords=SAM+EDELMAN&amp;qid=1695343516&amp;sr=8-4", "https://www.amazon.com/Sam-Edelman-Womens-Felicia-Leather/dp/B0058Z1K8S/ref=sr_1_4?keywords=SAM+EDELMAN&amp;qid=1695343516&amp;sr=8-4")</f>
        <v/>
      </c>
      <c r="F337" t="inlineStr">
        <is>
          <t>B0058Z1K8S</t>
        </is>
      </c>
      <c r="G337">
        <f>_xlfn.IMAGE("https://www.theoutnet.com/variants/images/1647597321414009/F/w1020_q80.jpg")</f>
        <v/>
      </c>
      <c r="H337">
        <f>_xlfn.IMAGE("https://m.media-amazon.com/images/I/61gegabdFhL._AC_UL320_.jpg")</f>
        <v/>
      </c>
      <c r="K337" t="inlineStr">
        <is>
          <t>66.0</t>
        </is>
      </c>
      <c r="L337" t="n">
        <v>118.32</v>
      </c>
      <c r="M337" s="2" t="inlineStr">
        <is>
          <t>79.27%</t>
        </is>
      </c>
      <c r="N337" t="n">
        <v>4.4</v>
      </c>
      <c r="O337" t="n">
        <v>1754</v>
      </c>
      <c r="Q337" t="inlineStr">
        <is>
          <t>InStock</t>
        </is>
      </c>
      <c r="R337" t="inlineStr">
        <is>
          <t>120.0</t>
        </is>
      </c>
      <c r="S337" t="inlineStr">
        <is>
          <t>1647597321414009</t>
        </is>
      </c>
    </row>
    <row r="338" ht="75" customHeight="1">
      <c r="A338" s="1">
        <f>HYPERLINK("https://www.theoutnet.com/en-us/shop/product/sam-edelman/flat-shoes/loafers/christy-faux-patent-leather-loafers/1647597309197043", "https://www.theoutnet.com/en-us/shop/product/sam-edelman/flat-shoes/loafers/christy-faux-patent-leather-loafers/1647597309197043")</f>
        <v/>
      </c>
      <c r="B338" s="1">
        <f>HYPERLINK("https://www.theoutnet.com/en-us/shop/product/sam-edelman/flat-shoes/loafers/christy-faux-patent-leather-loafers/1647597309197043", "https://www.theoutnet.com/en-us/shop/product/sam-edelman/flat-shoes/loafers/christy-faux-patent-leather-loafers/1647597309197043")</f>
        <v/>
      </c>
      <c r="C338" t="inlineStr">
        <is>
          <t>SAM EDELMAN</t>
        </is>
      </c>
      <c r="D338" t="inlineStr">
        <is>
          <t>Sam Edelman Women's Loraine Loafer</t>
        </is>
      </c>
      <c r="E338" s="1">
        <f>HYPERLINK("https://www.amazon.com/Sam-Edelman-Womens-Loafer-Leather/dp/B07R5ZH73F/ref=sr_1_1?keywords=SAM+EDELMAN&amp;qid=1695343535&amp;sr=8-1", "https://www.amazon.com/Sam-Edelman-Womens-Loafer-Leather/dp/B07R5ZH73F/ref=sr_1_1?keywords=SAM+EDELMAN&amp;qid=1695343535&amp;sr=8-1")</f>
        <v/>
      </c>
      <c r="F338" t="inlineStr">
        <is>
          <t>B07R5ZH73F</t>
        </is>
      </c>
      <c r="G338">
        <f>_xlfn.IMAGE("https://www.theoutnet.com/variants/images/1647597309197043/F/w1020_q80.jpg")</f>
        <v/>
      </c>
      <c r="H338">
        <f>_xlfn.IMAGE("https://m.media-amazon.com/images/I/71kLc2qnOGL._AC_UL320_.jpg")</f>
        <v/>
      </c>
      <c r="K338" t="inlineStr">
        <is>
          <t>83.0</t>
        </is>
      </c>
      <c r="L338" t="n">
        <v>139.95</v>
      </c>
      <c r="M338" s="2" t="inlineStr">
        <is>
          <t>68.61%</t>
        </is>
      </c>
      <c r="N338" t="n">
        <v>4.6</v>
      </c>
      <c r="O338" t="n">
        <v>1470</v>
      </c>
      <c r="Q338" t="inlineStr">
        <is>
          <t>InStock</t>
        </is>
      </c>
      <c r="R338" t="inlineStr">
        <is>
          <t>150.0</t>
        </is>
      </c>
      <c r="S338" t="inlineStr">
        <is>
          <t>1647597309197043</t>
        </is>
      </c>
    </row>
    <row r="339" ht="75" customHeight="1">
      <c r="A339" s="1">
        <f>HYPERLINK("https://www.theoutnet.com/en-us/shop/product/sam-edelman/pumps/high-heel-pumps/avril-suede-pumps/1647597309279367", "https://www.theoutnet.com/en-us/shop/product/sam-edelman/pumps/high-heel-pumps/avril-suede-pumps/1647597309279367")</f>
        <v/>
      </c>
      <c r="B339" s="1">
        <f>HYPERLINK("https://www.theoutnet.com/en-us/shop/product/sam-edelman/pumps/high-heel-pumps/avril-suede-pumps/1647597309279367", "https://www.theoutnet.com/en-us/shop/product/sam-edelman/pumps/high-heel-pumps/avril-suede-pumps/1647597309279367")</f>
        <v/>
      </c>
      <c r="C339" t="inlineStr">
        <is>
          <t>SAM EDELMAN</t>
        </is>
      </c>
      <c r="D339" t="inlineStr">
        <is>
          <t>Sam Edelman Women's Loraine Loafer</t>
        </is>
      </c>
      <c r="E339" s="1">
        <f>HYPERLINK("https://www.amazon.com/Sam-Edelman-Womens-Loafer-Leather/dp/B07R5ZH73F/ref=sr_1_2?keywords=SAM+EDELMAN&amp;qid=1695343529&amp;sr=8-2", "https://www.amazon.com/Sam-Edelman-Womens-Loafer-Leather/dp/B07R5ZH73F/ref=sr_1_2?keywords=SAM+EDELMAN&amp;qid=1695343529&amp;sr=8-2")</f>
        <v/>
      </c>
      <c r="F339" t="inlineStr">
        <is>
          <t>B07R5ZH73F</t>
        </is>
      </c>
      <c r="G339">
        <f>_xlfn.IMAGE("https://www.theoutnet.com/variants/images/1647597309279367/F/w1020_q80.jpg")</f>
        <v/>
      </c>
      <c r="H339">
        <f>_xlfn.IMAGE("https://m.media-amazon.com/images/I/71kLc2qnOGL._AC_UL320_.jpg")</f>
        <v/>
      </c>
      <c r="K339" t="inlineStr">
        <is>
          <t>83.0</t>
        </is>
      </c>
      <c r="L339" t="n">
        <v>139.95</v>
      </c>
      <c r="M339" s="2" t="inlineStr">
        <is>
          <t>68.61%</t>
        </is>
      </c>
      <c r="N339" t="n">
        <v>4.6</v>
      </c>
      <c r="O339" t="n">
        <v>1470</v>
      </c>
      <c r="Q339" t="inlineStr">
        <is>
          <t>InStock</t>
        </is>
      </c>
      <c r="R339" t="inlineStr">
        <is>
          <t>150.0</t>
        </is>
      </c>
      <c r="S339" t="inlineStr">
        <is>
          <t>1</t>
        </is>
      </c>
    </row>
    <row r="340" ht="75" customHeight="1">
      <c r="A340" s="1">
        <f>HYPERLINK("https://www.theoutnet.com/en-us/shop/product/sam-edelman/pumps/high-heel-pumps/hazel-suede-pumps/1647597325034767", "https://www.theoutnet.com/en-us/shop/product/sam-edelman/pumps/high-heel-pumps/hazel-suede-pumps/1647597325034767")</f>
        <v/>
      </c>
      <c r="B340" s="1">
        <f>HYPERLINK("https://www.theoutnet.com/en-us/shop/product/sam-edelman/pumps/high-heel-pumps/hazel-suede-pumps/1647597325034767", "https://www.theoutnet.com/en-us/shop/product/sam-edelman/pumps/high-heel-pumps/hazel-suede-pumps/1647597325034767")</f>
        <v/>
      </c>
      <c r="C340" t="inlineStr">
        <is>
          <t>SAM EDELMAN</t>
        </is>
      </c>
      <c r="D340" t="inlineStr">
        <is>
          <t>Sam Edelman Women's Loraine Loafer</t>
        </is>
      </c>
      <c r="E340" s="1">
        <f>HYPERLINK("https://www.amazon.com/Sam-Edelman-Womens-Loafer-Leather/dp/B07R5ZH73F/ref=sr_1_2?keywords=SAM+EDELMAN&amp;qid=1695343529&amp;sr=8-2", "https://www.amazon.com/Sam-Edelman-Womens-Loafer-Leather/dp/B07R5ZH73F/ref=sr_1_2?keywords=SAM+EDELMAN&amp;qid=1695343529&amp;sr=8-2")</f>
        <v/>
      </c>
      <c r="F340" t="inlineStr">
        <is>
          <t>B07R5ZH73F</t>
        </is>
      </c>
      <c r="G340">
        <f>_xlfn.IMAGE("https://www.theoutnet.com/variants/images/1647597325034767/F/w1020_q80.jpg")</f>
        <v/>
      </c>
      <c r="H340">
        <f>_xlfn.IMAGE("https://m.media-amazon.com/images/I/71kLc2qnOGL._AC_UL320_.jpg")</f>
        <v/>
      </c>
      <c r="K340" t="inlineStr">
        <is>
          <t>83.0</t>
        </is>
      </c>
      <c r="L340" t="n">
        <v>139.95</v>
      </c>
      <c r="M340" s="2" t="inlineStr">
        <is>
          <t>68.61%</t>
        </is>
      </c>
      <c r="N340" t="n">
        <v>4.6</v>
      </c>
      <c r="O340" t="n">
        <v>1470</v>
      </c>
      <c r="Q340" t="inlineStr">
        <is>
          <t>InStock</t>
        </is>
      </c>
      <c r="R340" t="inlineStr">
        <is>
          <t>150.0</t>
        </is>
      </c>
      <c r="S340" t="inlineStr">
        <is>
          <t>1647597325034767</t>
        </is>
      </c>
    </row>
    <row r="341" ht="75" customHeight="1">
      <c r="A341" s="1">
        <f>HYPERLINK("https://www.theoutnet.com/en-us/shop/product/sam-edelman/sandals/flat-sandals/inez-leather-slides/34344356236546286", "https://www.theoutnet.com/en-us/shop/product/sam-edelman/sandals/flat-sandals/inez-leather-slides/34344356236546286")</f>
        <v/>
      </c>
      <c r="B341" s="1">
        <f>HYPERLINK("https://www.theoutnet.com/en-us/shop/product/sam-edelman/sandals/flat-sandals/inez-leather-slides/34344356236546286", "https://www.theoutnet.com/en-us/shop/product/sam-edelman/sandals/flat-sandals/inez-leather-slides/34344356236546286")</f>
        <v/>
      </c>
      <c r="C341" t="inlineStr">
        <is>
          <t>SAM EDELMAN</t>
        </is>
      </c>
      <c r="D341" t="inlineStr">
        <is>
          <t>Sam Edelman Women's Loraine Loafer</t>
        </is>
      </c>
      <c r="E341" s="1">
        <f>HYPERLINK("https://www.amazon.com/Sam-Edelman-Womens-Loafer-Leather/dp/B07R5ZH73F/ref=sr_1_1?keywords=SAM+EDELMAN&amp;qid=1695343531&amp;sr=8-1", "https://www.amazon.com/Sam-Edelman-Womens-Loafer-Leather/dp/B07R5ZH73F/ref=sr_1_1?keywords=SAM+EDELMAN&amp;qid=1695343531&amp;sr=8-1")</f>
        <v/>
      </c>
      <c r="F341" t="inlineStr">
        <is>
          <t>B07R5ZH73F</t>
        </is>
      </c>
      <c r="G341">
        <f>_xlfn.IMAGE("https://www.theoutnet.com/variants/images/34344356236546286/F/w1020_q80.jpg")</f>
        <v/>
      </c>
      <c r="H341">
        <f>_xlfn.IMAGE("https://m.media-amazon.com/images/I/71kLc2qnOGL._AC_UL320_.jpg")</f>
        <v/>
      </c>
      <c r="K341" t="inlineStr">
        <is>
          <t>78.0</t>
        </is>
      </c>
      <c r="L341" t="n">
        <v>139.95</v>
      </c>
      <c r="M341" s="2" t="inlineStr">
        <is>
          <t>79.42%</t>
        </is>
      </c>
      <c r="N341" t="n">
        <v>4.6</v>
      </c>
      <c r="O341" t="n">
        <v>1470</v>
      </c>
      <c r="Q341" t="inlineStr">
        <is>
          <t>InStock</t>
        </is>
      </c>
      <c r="R341" t="inlineStr">
        <is>
          <t>130.0</t>
        </is>
      </c>
      <c r="S341" t="inlineStr">
        <is>
          <t>34344356236546286</t>
        </is>
      </c>
    </row>
    <row r="342" ht="75" customHeight="1">
      <c r="A342" s="1">
        <f>HYPERLINK("https://www.theoutnet.com/en-us/shop/product/sam-edelman/sandals/flat-sandals/inez-leather-slides/34344356236546286", "https://www.theoutnet.com/en-us/shop/product/sam-edelman/sandals/flat-sandals/inez-leather-slides/34344356236546286")</f>
        <v/>
      </c>
      <c r="B342" s="1">
        <f>HYPERLINK("https://www.theoutnet.com/en-us/shop/product/sam-edelman/sandals/flat-sandals/inez-leather-slides/34344356236546286", "https://www.theoutnet.com/en-us/shop/product/sam-edelman/sandals/flat-sandals/inez-leather-slides/34344356236546286")</f>
        <v/>
      </c>
      <c r="C342" t="inlineStr">
        <is>
          <t>SAM EDELMAN</t>
        </is>
      </c>
      <c r="D342" t="inlineStr">
        <is>
          <t>Sam Edelman Women's Michaela Mary Jane Flat</t>
        </is>
      </c>
      <c r="E342" s="1">
        <f>HYPERLINK("https://www.amazon.com/Sam-Edelman-Womens-Michaela-Black/dp/B093C7VY8S/ref=sr_1_6?keywords=SAM+EDELMAN&amp;qid=1695343531&amp;sr=8-6", "https://www.amazon.com/Sam-Edelman-Womens-Michaela-Black/dp/B093C7VY8S/ref=sr_1_6?keywords=SAM+EDELMAN&amp;qid=1695343531&amp;sr=8-6")</f>
        <v/>
      </c>
      <c r="F342" t="inlineStr">
        <is>
          <t>B093C7VY8S</t>
        </is>
      </c>
      <c r="G342">
        <f>_xlfn.IMAGE("https://www.theoutnet.com/variants/images/34344356236546286/F/w1020_q80.jpg")</f>
        <v/>
      </c>
      <c r="H342">
        <f>_xlfn.IMAGE("https://m.media-amazon.com/images/I/61Kq+5MkKOL._AC_UL320_.jpg")</f>
        <v/>
      </c>
      <c r="K342" t="inlineStr">
        <is>
          <t>78.0</t>
        </is>
      </c>
      <c r="L342" t="n">
        <v>130</v>
      </c>
      <c r="M342" s="2" t="inlineStr">
        <is>
          <t>66.67%</t>
        </is>
      </c>
      <c r="N342" t="n">
        <v>4.2</v>
      </c>
      <c r="O342" t="n">
        <v>132</v>
      </c>
      <c r="Q342" t="inlineStr">
        <is>
          <t>InStock</t>
        </is>
      </c>
      <c r="R342" t="inlineStr">
        <is>
          <t>130.0</t>
        </is>
      </c>
      <c r="S342" t="inlineStr">
        <is>
          <t>34344356236546286</t>
        </is>
      </c>
    </row>
    <row r="343" ht="75" customHeight="1">
      <c r="A343" s="1">
        <f>HYPERLINK("https://www.theoutnet.com/en-us/shop/product/sam-edelman/sandals/flat-sandals/valeri-leather-slides/1647597283864437", "https://www.theoutnet.com/en-us/shop/product/sam-edelman/sandals/flat-sandals/valeri-leather-slides/1647597283864437")</f>
        <v/>
      </c>
      <c r="B343" s="1">
        <f>HYPERLINK("https://www.theoutnet.com/en-us/shop/product/sam-edelman/sandals/flat-sandals/valeri-leather-slides/1647597283864437", "https://www.theoutnet.com/en-us/shop/product/sam-edelman/sandals/flat-sandals/valeri-leather-slides/1647597283864437")</f>
        <v/>
      </c>
      <c r="C343" t="inlineStr">
        <is>
          <t>SAM EDELMAN</t>
        </is>
      </c>
      <c r="D343" t="inlineStr">
        <is>
          <t>Sam Edelman Women's Loraine Loafer</t>
        </is>
      </c>
      <c r="E343" s="1">
        <f>HYPERLINK("https://www.amazon.com/Sam-Edelman-Womens-Loafer-Leather/dp/B07R5ZH73F/ref=sr_1_2?keywords=SAM+EDELMAN&amp;qid=1695343530&amp;sr=8-2", "https://www.amazon.com/Sam-Edelman-Womens-Loafer-Leather/dp/B07R5ZH73F/ref=sr_1_2?keywords=SAM+EDELMAN&amp;qid=1695343530&amp;sr=8-2")</f>
        <v/>
      </c>
      <c r="F343" t="inlineStr">
        <is>
          <t>B07R5ZH73F</t>
        </is>
      </c>
      <c r="G343">
        <f>_xlfn.IMAGE("https://www.theoutnet.com/variants/images/1647597283864437/F/w1020_q80.jpg")</f>
        <v/>
      </c>
      <c r="H343">
        <f>_xlfn.IMAGE("https://m.media-amazon.com/images/I/71kLc2qnOGL._AC_UL320_.jpg")</f>
        <v/>
      </c>
      <c r="K343" t="inlineStr">
        <is>
          <t>84.0</t>
        </is>
      </c>
      <c r="L343" t="n">
        <v>139.95</v>
      </c>
      <c r="M343" s="2" t="inlineStr">
        <is>
          <t>66.61%</t>
        </is>
      </c>
      <c r="N343" t="n">
        <v>4.6</v>
      </c>
      <c r="O343" t="n">
        <v>1470</v>
      </c>
      <c r="Q343" t="inlineStr">
        <is>
          <t>InStock</t>
        </is>
      </c>
      <c r="R343" t="inlineStr">
        <is>
          <t>140.0</t>
        </is>
      </c>
      <c r="S343" t="inlineStr">
        <is>
          <t>1647597283864437</t>
        </is>
      </c>
    </row>
    <row r="344" ht="75" customHeight="1">
      <c r="A344" s="1">
        <f>HYPERLINK("https://www.theoutnet.com/en-us/shop/product/sam-edelman/sandals/high-heel-sandals/aria-suede-trimmed-printed-satin-sandals/1647597282707226", "https://www.theoutnet.com/en-us/shop/product/sam-edelman/sandals/high-heel-sandals/aria-suede-trimmed-printed-satin-sandals/1647597282707226")</f>
        <v/>
      </c>
      <c r="B344" s="1">
        <f>HYPERLINK("https://www.theoutnet.com/en-us/shop/product/sam-edelman/sandals/high-heel-sandals/aria-suede-trimmed-printed-satin-sandals/1647597282707226", "https://www.theoutnet.com/en-us/shop/product/sam-edelman/sandals/high-heel-sandals/aria-suede-trimmed-printed-satin-sandals/1647597282707226")</f>
        <v/>
      </c>
      <c r="C344" t="inlineStr">
        <is>
          <t>SAM EDELMAN</t>
        </is>
      </c>
      <c r="D344" t="inlineStr">
        <is>
          <t>Sam Edelman Women's Loraine Loafer</t>
        </is>
      </c>
      <c r="E344" s="1">
        <f>HYPERLINK("https://www.amazon.com/Sam-Edelman-Womens-Loafer-Leather/dp/B07R5ZH73F/ref=sr_1_1?keywords=SAM+EDELMAN&amp;qid=1695343274&amp;sr=8-1", "https://www.amazon.com/Sam-Edelman-Womens-Loafer-Leather/dp/B07R5ZH73F/ref=sr_1_1?keywords=SAM+EDELMAN&amp;qid=1695343274&amp;sr=8-1")</f>
        <v/>
      </c>
      <c r="F344" t="inlineStr">
        <is>
          <t>B07R5ZH73F</t>
        </is>
      </c>
      <c r="G344">
        <f>_xlfn.IMAGE("https://www.theoutnet.com/variants/images/1647597282707226/F/w1020_q80.jpg")</f>
        <v/>
      </c>
      <c r="H344">
        <f>_xlfn.IMAGE("https://m.media-amazon.com/images/I/71kLc2qnOGL._AC_UL320_.jpg")</f>
        <v/>
      </c>
      <c r="K344" t="inlineStr">
        <is>
          <t>42.0</t>
        </is>
      </c>
      <c r="L344" t="n">
        <v>139.95</v>
      </c>
      <c r="M344" s="2" t="inlineStr">
        <is>
          <t>233.21%</t>
        </is>
      </c>
      <c r="N344" t="n">
        <v>4.6</v>
      </c>
      <c r="O344" t="n">
        <v>1470</v>
      </c>
      <c r="Q344" t="inlineStr">
        <is>
          <t>InStock</t>
        </is>
      </c>
      <c r="R344" t="inlineStr">
        <is>
          <t>140.0</t>
        </is>
      </c>
      <c r="S344" t="inlineStr">
        <is>
          <t>1647597282707226</t>
        </is>
      </c>
    </row>
    <row r="345" ht="75" customHeight="1">
      <c r="A345" s="1">
        <f>HYPERLINK("https://www.theoutnet.com/en-us/shop/product/sam-edelman/sandals/high-heel-sandals/aria-suede-trimmed-printed-satin-sandals/1647597282707226", "https://www.theoutnet.com/en-us/shop/product/sam-edelman/sandals/high-heel-sandals/aria-suede-trimmed-printed-satin-sandals/1647597282707226")</f>
        <v/>
      </c>
      <c r="B345" s="1">
        <f>HYPERLINK("https://www.theoutnet.com/en-us/shop/product/sam-edelman/sandals/high-heel-sandals/aria-suede-trimmed-printed-satin-sandals/1647597282707226", "https://www.theoutnet.com/en-us/shop/product/sam-edelman/sandals/high-heel-sandals/aria-suede-trimmed-printed-satin-sandals/1647597282707226")</f>
        <v/>
      </c>
      <c r="C345" t="inlineStr">
        <is>
          <t>SAM EDELMAN</t>
        </is>
      </c>
      <c r="D345" t="inlineStr">
        <is>
          <t>Sam Edelman Women's Michaela Mary Jane Flat</t>
        </is>
      </c>
      <c r="E345" s="1">
        <f>HYPERLINK("https://www.amazon.com/Sam-Edelman-Womens-Michaela-Black/dp/B093C7VY8S/ref=sr_1_6?keywords=SAM+EDELMAN&amp;qid=1695343274&amp;sr=8-6", "https://www.amazon.com/Sam-Edelman-Womens-Michaela-Black/dp/B093C7VY8S/ref=sr_1_6?keywords=SAM+EDELMAN&amp;qid=1695343274&amp;sr=8-6")</f>
        <v/>
      </c>
      <c r="F345" t="inlineStr">
        <is>
          <t>B093C7VY8S</t>
        </is>
      </c>
      <c r="G345">
        <f>_xlfn.IMAGE("https://www.theoutnet.com/variants/images/1647597282707226/F/w1020_q80.jpg")</f>
        <v/>
      </c>
      <c r="H345">
        <f>_xlfn.IMAGE("https://m.media-amazon.com/images/I/61Kq+5MkKOL._AC_UL320_.jpg")</f>
        <v/>
      </c>
      <c r="K345" t="inlineStr">
        <is>
          <t>42.0</t>
        </is>
      </c>
      <c r="L345" t="n">
        <v>130</v>
      </c>
      <c r="M345" s="2" t="inlineStr">
        <is>
          <t>209.52%</t>
        </is>
      </c>
      <c r="N345" t="n">
        <v>4.2</v>
      </c>
      <c r="O345" t="n">
        <v>132</v>
      </c>
      <c r="Q345" t="inlineStr">
        <is>
          <t>InStock</t>
        </is>
      </c>
      <c r="R345" t="inlineStr">
        <is>
          <t>140.0</t>
        </is>
      </c>
      <c r="S345" t="inlineStr">
        <is>
          <t>1647597282707226</t>
        </is>
      </c>
    </row>
    <row r="346" ht="75" customHeight="1">
      <c r="A346" s="1">
        <f>HYPERLINK("https://www.theoutnet.com/en-us/shop/product/sam-edelman/sandals/high-heel-sandals/aria-suede-trimmed-printed-satin-sandals/1647597282707226", "https://www.theoutnet.com/en-us/shop/product/sam-edelman/sandals/high-heel-sandals/aria-suede-trimmed-printed-satin-sandals/1647597282707226")</f>
        <v/>
      </c>
      <c r="B346" s="1">
        <f>HYPERLINK("https://www.theoutnet.com/en-us/shop/product/sam-edelman/sandals/high-heel-sandals/aria-suede-trimmed-printed-satin-sandals/1647597282707226", "https://www.theoutnet.com/en-us/shop/product/sam-edelman/sandals/high-heel-sandals/aria-suede-trimmed-printed-satin-sandals/1647597282707226")</f>
        <v/>
      </c>
      <c r="C346" t="inlineStr">
        <is>
          <t>SAM EDELMAN</t>
        </is>
      </c>
      <c r="D346" t="inlineStr">
        <is>
          <t>Sam Edelman Women's Felicia Classic Ballet Flat</t>
        </is>
      </c>
      <c r="E346" s="1">
        <f>HYPERLINK("https://www.amazon.com/Sam-Edelman-Womens-Felicia-Leather/dp/B0058Z1K8S/ref=sr_1_4?keywords=SAM+EDELMAN&amp;qid=1695343274&amp;sr=8-4", "https://www.amazon.com/Sam-Edelman-Womens-Felicia-Leather/dp/B0058Z1K8S/ref=sr_1_4?keywords=SAM+EDELMAN&amp;qid=1695343274&amp;sr=8-4")</f>
        <v/>
      </c>
      <c r="F346" t="inlineStr">
        <is>
          <t>B0058Z1K8S</t>
        </is>
      </c>
      <c r="G346">
        <f>_xlfn.IMAGE("https://www.theoutnet.com/variants/images/1647597282707226/F/w1020_q80.jpg")</f>
        <v/>
      </c>
      <c r="H346">
        <f>_xlfn.IMAGE("https://m.media-amazon.com/images/I/61gegabdFhL._AC_UL320_.jpg")</f>
        <v/>
      </c>
      <c r="K346" t="inlineStr">
        <is>
          <t>42.0</t>
        </is>
      </c>
      <c r="L346" t="n">
        <v>120</v>
      </c>
      <c r="M346" s="2" t="inlineStr">
        <is>
          <t>185.71%</t>
        </is>
      </c>
      <c r="N346" t="n">
        <v>4.4</v>
      </c>
      <c r="O346" t="n">
        <v>1754</v>
      </c>
      <c r="Q346" t="inlineStr">
        <is>
          <t>InStock</t>
        </is>
      </c>
      <c r="R346" t="inlineStr">
        <is>
          <t>140.0</t>
        </is>
      </c>
      <c r="S346" t="inlineStr">
        <is>
          <t>1647597282707226</t>
        </is>
      </c>
    </row>
    <row r="347" ht="75" customHeight="1">
      <c r="A347" s="1">
        <f>HYPERLINK("https://www.theoutnet.com/en-us/shop/product/sam-edelman/sandals/high-heel-sandals/aria-suede-trimmed-printed-satin-sandals/1647597282707226", "https://www.theoutnet.com/en-us/shop/product/sam-edelman/sandals/high-heel-sandals/aria-suede-trimmed-printed-satin-sandals/1647597282707226")</f>
        <v/>
      </c>
      <c r="B347" s="1">
        <f>HYPERLINK("https://www.theoutnet.com/en-us/shop/product/sam-edelman/sandals/high-heel-sandals/aria-suede-trimmed-printed-satin-sandals/1647597282707226", "https://www.theoutnet.com/en-us/shop/product/sam-edelman/sandals/high-heel-sandals/aria-suede-trimmed-printed-satin-sandals/1647597282707226")</f>
        <v/>
      </c>
      <c r="C347" t="inlineStr">
        <is>
          <t>SAM EDELMAN</t>
        </is>
      </c>
      <c r="D347" t="inlineStr">
        <is>
          <t>Sam Edelman Women's Linnie Classic Mule</t>
        </is>
      </c>
      <c r="E347" s="1">
        <f>HYPERLINK("https://www.amazon.com/Sam-Edelman-Womens-Linnie-Leather/dp/B07692B5WK/ref=sr_1_7?keywords=SAM+EDELMAN&amp;qid=1695343274&amp;sr=8-7", "https://www.amazon.com/Sam-Edelman-Womens-Linnie-Leather/dp/B07692B5WK/ref=sr_1_7?keywords=SAM+EDELMAN&amp;qid=1695343274&amp;sr=8-7")</f>
        <v/>
      </c>
      <c r="F347" t="inlineStr">
        <is>
          <t>B07692B5WK</t>
        </is>
      </c>
      <c r="G347">
        <f>_xlfn.IMAGE("https://www.theoutnet.com/variants/images/1647597282707226/F/w1020_q80.jpg")</f>
        <v/>
      </c>
      <c r="H347">
        <f>_xlfn.IMAGE("https://m.media-amazon.com/images/I/61ABGFkegvL._AC_UL320_.jpg")</f>
        <v/>
      </c>
      <c r="K347" t="inlineStr">
        <is>
          <t>42.0</t>
        </is>
      </c>
      <c r="L347" t="n">
        <v>88.86</v>
      </c>
      <c r="M347" s="2" t="inlineStr">
        <is>
          <t>111.57%</t>
        </is>
      </c>
      <c r="N347" t="n">
        <v>4.4</v>
      </c>
      <c r="O347" t="n">
        <v>843</v>
      </c>
      <c r="Q347" t="inlineStr">
        <is>
          <t>InStock</t>
        </is>
      </c>
      <c r="R347" t="inlineStr">
        <is>
          <t>140.0</t>
        </is>
      </c>
      <c r="S347" t="inlineStr">
        <is>
          <t>1647597282707226</t>
        </is>
      </c>
    </row>
    <row r="348" ht="75" customHeight="1">
      <c r="A348" s="1">
        <f>HYPERLINK("https://www.theoutnet.com/en-us/shop/product/sam-edelman/sandals/high-heel-sandals/aria-suede-trimmed-printed-satin-sandals/1647597282707226", "https://www.theoutnet.com/en-us/shop/product/sam-edelman/sandals/high-heel-sandals/aria-suede-trimmed-printed-satin-sandals/1647597282707226")</f>
        <v/>
      </c>
      <c r="B348" s="1">
        <f>HYPERLINK("https://www.theoutnet.com/en-us/shop/product/sam-edelman/sandals/high-heel-sandals/aria-suede-trimmed-printed-satin-sandals/1647597282707226", "https://www.theoutnet.com/en-us/shop/product/sam-edelman/sandals/high-heel-sandals/aria-suede-trimmed-printed-satin-sandals/1647597282707226")</f>
        <v/>
      </c>
      <c r="C348" t="inlineStr">
        <is>
          <t>SAM EDELMAN</t>
        </is>
      </c>
      <c r="D348" t="inlineStr">
        <is>
          <t>Sam Edelman Women's Ethyl Sneaker</t>
        </is>
      </c>
      <c r="E348" s="1">
        <f>HYPERLINK("https://www.amazon.com/Sam-Edelman-Womens-Sneaker-Bright/dp/B07YWQR78K/ref=sr_1_5?keywords=SAM+EDELMAN&amp;qid=1695343274&amp;sr=8-5", "https://www.amazon.com/Sam-Edelman-Womens-Sneaker-Bright/dp/B07YWQR78K/ref=sr_1_5?keywords=SAM+EDELMAN&amp;qid=1695343274&amp;sr=8-5")</f>
        <v/>
      </c>
      <c r="F348" t="inlineStr">
        <is>
          <t>B07YWQR78K</t>
        </is>
      </c>
      <c r="G348">
        <f>_xlfn.IMAGE("https://www.theoutnet.com/variants/images/1647597282707226/F/w1020_q80.jpg")</f>
        <v/>
      </c>
      <c r="H348">
        <f>_xlfn.IMAGE("https://m.media-amazon.com/images/I/61TsPNir1fL._AC_UL320_.jpg")</f>
        <v/>
      </c>
      <c r="K348" t="inlineStr">
        <is>
          <t>42.0</t>
        </is>
      </c>
      <c r="L348" t="n">
        <v>75.98</v>
      </c>
      <c r="M348" s="2" t="inlineStr">
        <is>
          <t>80.90%</t>
        </is>
      </c>
      <c r="N348" t="n">
        <v>4.3</v>
      </c>
      <c r="O348" t="n">
        <v>1057</v>
      </c>
      <c r="Q348" t="inlineStr">
        <is>
          <t>InStock</t>
        </is>
      </c>
      <c r="R348" t="inlineStr">
        <is>
          <t>140.0</t>
        </is>
      </c>
      <c r="S348" t="inlineStr">
        <is>
          <t>1647597282707226</t>
        </is>
      </c>
    </row>
    <row r="349" ht="75" customHeight="1">
      <c r="A349" s="1">
        <f>HYPERLINK("https://www.theoutnet.com/en-us/shop/product/sam-edelman/sandals/high-heel-sandals/gemmie-metallic-snake-effect-leather-sandals/1647597325389568", "https://www.theoutnet.com/en-us/shop/product/sam-edelman/sandals/high-heel-sandals/gemmie-metallic-snake-effect-leather-sandals/1647597325389568")</f>
        <v/>
      </c>
      <c r="B349" s="1">
        <f>HYPERLINK("https://www.theoutnet.com/en-us/shop/product/sam-edelman/sandals/high-heel-sandals/gemmie-metallic-snake-effect-leather-sandals/1647597325389568", "https://www.theoutnet.com/en-us/shop/product/sam-edelman/sandals/high-heel-sandals/gemmie-metallic-snake-effect-leather-sandals/1647597325389568")</f>
        <v/>
      </c>
      <c r="C349" t="inlineStr">
        <is>
          <t>SAM EDELMAN</t>
        </is>
      </c>
      <c r="D349" t="inlineStr">
        <is>
          <t>Sam Edelman Women's Loraine Loafer</t>
        </is>
      </c>
      <c r="E349" s="1">
        <f>HYPERLINK("https://www.amazon.com/Sam-Edelman-Womens-Loafer-Leather/dp/B07R5ZH73F/ref=sr_1_1?keywords=SAM+EDELMAN&amp;qid=1695343541&amp;sr=8-1", "https://www.amazon.com/Sam-Edelman-Womens-Loafer-Leather/dp/B07R5ZH73F/ref=sr_1_1?keywords=SAM+EDELMAN&amp;qid=1695343541&amp;sr=8-1")</f>
        <v/>
      </c>
      <c r="F349" t="inlineStr">
        <is>
          <t>B07R5ZH73F</t>
        </is>
      </c>
      <c r="G349">
        <f>_xlfn.IMAGE("https://www.theoutnet.com/variants/images/1647597325389568/F/w1020_q80.jpg")</f>
        <v/>
      </c>
      <c r="H349">
        <f>_xlfn.IMAGE("https://m.media-amazon.com/images/I/71kLc2qnOGL._AC_UL320_.jpg")</f>
        <v/>
      </c>
      <c r="K349" t="inlineStr">
        <is>
          <t>85.0</t>
        </is>
      </c>
      <c r="L349" t="n">
        <v>139.95</v>
      </c>
      <c r="M349" s="2" t="inlineStr">
        <is>
          <t>64.65%</t>
        </is>
      </c>
      <c r="N349" t="n">
        <v>4.6</v>
      </c>
      <c r="O349" t="n">
        <v>1470</v>
      </c>
      <c r="Q349" t="inlineStr">
        <is>
          <t>InStock</t>
        </is>
      </c>
      <c r="R349" t="inlineStr">
        <is>
          <t>130.0</t>
        </is>
      </c>
      <c r="S349" t="inlineStr">
        <is>
          <t>1</t>
        </is>
      </c>
    </row>
    <row r="350" ht="75" customHeight="1">
      <c r="A350" s="1">
        <f>HYPERLINK("https://www.theoutnet.com/en-us/shop/product/sam-edelman/sandals/high-heel-sandals/kia-suede-sandals/1647597321398236", "https://www.theoutnet.com/en-us/shop/product/sam-edelman/sandals/high-heel-sandals/kia-suede-sandals/1647597321398236")</f>
        <v/>
      </c>
      <c r="B350" s="1">
        <f>HYPERLINK("https://www.theoutnet.com/en-us/shop/product/sam-edelman/sandals/high-heel-sandals/kia-suede-sandals/1647597321398236", "https://www.theoutnet.com/en-us/shop/product/sam-edelman/sandals/high-heel-sandals/kia-suede-sandals/1647597321398236")</f>
        <v/>
      </c>
      <c r="C350" t="inlineStr">
        <is>
          <t>SAM EDELMAN</t>
        </is>
      </c>
      <c r="D350" t="inlineStr">
        <is>
          <t>Sam Edelman Women's Loraine Loafer</t>
        </is>
      </c>
      <c r="E350" s="1">
        <f>HYPERLINK("https://www.amazon.com/Sam-Edelman-Womens-Loafer-Leather/dp/B07R5ZH73F/ref=sr_1_2?keywords=SAM+EDELMAN&amp;qid=1695343341&amp;sr=8-2", "https://www.amazon.com/Sam-Edelman-Womens-Loafer-Leather/dp/B07R5ZH73F/ref=sr_1_2?keywords=SAM+EDELMAN&amp;qid=1695343341&amp;sr=8-2")</f>
        <v/>
      </c>
      <c r="F350" t="inlineStr">
        <is>
          <t>B07R5ZH73F</t>
        </is>
      </c>
      <c r="G350">
        <f>_xlfn.IMAGE("https://www.theoutnet.com/variants/images/1647597321398236/F/w1020_q80.jpg")</f>
        <v/>
      </c>
      <c r="H350">
        <f>_xlfn.IMAGE("https://m.media-amazon.com/images/I/71kLc2qnOGL._AC_UL320_.jpg")</f>
        <v/>
      </c>
      <c r="K350" t="inlineStr">
        <is>
          <t>84.0</t>
        </is>
      </c>
      <c r="L350" t="n">
        <v>139.95</v>
      </c>
      <c r="M350" s="2" t="inlineStr">
        <is>
          <t>66.61%</t>
        </is>
      </c>
      <c r="N350" t="n">
        <v>4.6</v>
      </c>
      <c r="O350" t="n">
        <v>1470</v>
      </c>
      <c r="Q350" t="inlineStr">
        <is>
          <t>InStock</t>
        </is>
      </c>
      <c r="R350" t="inlineStr">
        <is>
          <t>140.0</t>
        </is>
      </c>
      <c r="S350" t="inlineStr">
        <is>
          <t>1647597321398236</t>
        </is>
      </c>
    </row>
    <row r="351" ht="75" customHeight="1">
      <c r="A351" s="1">
        <f>HYPERLINK("https://www.theoutnet.com/en-us/shop/product/sam-edelman/sandals/high-heel-sandals/orchid-leather-sandals/1647597308820336", "https://www.theoutnet.com/en-us/shop/product/sam-edelman/sandals/high-heel-sandals/orchid-leather-sandals/1647597308820336")</f>
        <v/>
      </c>
      <c r="B351" s="1">
        <f>HYPERLINK("https://www.theoutnet.com/en-us/shop/product/sam-edelman/sandals/high-heel-sandals/orchid-leather-sandals/1647597308820336", "https://www.theoutnet.com/en-us/shop/product/sam-edelman/sandals/high-heel-sandals/orchid-leather-sandals/1647597308820336")</f>
        <v/>
      </c>
      <c r="C351" t="inlineStr">
        <is>
          <t>SAM EDELMAN</t>
        </is>
      </c>
      <c r="D351" t="inlineStr">
        <is>
          <t>Sam Edelman Women's Loraine Loafer</t>
        </is>
      </c>
      <c r="E351" s="1">
        <f>HYPERLINK("https://www.amazon.com/Sam-Edelman-Womens-Loafer-Leather/dp/B07R5ZH73F/ref=sr_1_1?keywords=SAM+EDELMAN&amp;qid=1695343546&amp;sr=8-1", "https://www.amazon.com/Sam-Edelman-Womens-Loafer-Leather/dp/B07R5ZH73F/ref=sr_1_1?keywords=SAM+EDELMAN&amp;qid=1695343546&amp;sr=8-1")</f>
        <v/>
      </c>
      <c r="F351" t="inlineStr">
        <is>
          <t>B07R5ZH73F</t>
        </is>
      </c>
      <c r="G351">
        <f>_xlfn.IMAGE("https://www.theoutnet.com/variants/images/1647597308820336/F/w1020_q80.jpg")</f>
        <v/>
      </c>
      <c r="H351">
        <f>_xlfn.IMAGE("https://m.media-amazon.com/images/I/71kLc2qnOGL._AC_UL320_.jpg")</f>
        <v/>
      </c>
      <c r="K351" t="inlineStr">
        <is>
          <t>77.0</t>
        </is>
      </c>
      <c r="L351" t="n">
        <v>139.95</v>
      </c>
      <c r="M351" s="2" t="inlineStr">
        <is>
          <t>81.75%</t>
        </is>
      </c>
      <c r="N351" t="n">
        <v>4.6</v>
      </c>
      <c r="O351" t="n">
        <v>1470</v>
      </c>
      <c r="Q351" t="inlineStr">
        <is>
          <t>InStock</t>
        </is>
      </c>
      <c r="R351" t="inlineStr">
        <is>
          <t>140.0</t>
        </is>
      </c>
      <c r="S351" t="inlineStr">
        <is>
          <t>6</t>
        </is>
      </c>
    </row>
    <row r="352" ht="75" customHeight="1">
      <c r="A352" s="1">
        <f>HYPERLINK("https://www.theoutnet.com/en-us/shop/product/sam-edelman/sandals/high-heel-sandals/orchid-leather-sandals/1647597308820336", "https://www.theoutnet.com/en-us/shop/product/sam-edelman/sandals/high-heel-sandals/orchid-leather-sandals/1647597308820336")</f>
        <v/>
      </c>
      <c r="B352" s="1">
        <f>HYPERLINK("https://www.theoutnet.com/en-us/shop/product/sam-edelman/sandals/high-heel-sandals/orchid-leather-sandals/1647597308820336", "https://www.theoutnet.com/en-us/shop/product/sam-edelman/sandals/high-heel-sandals/orchid-leather-sandals/1647597308820336")</f>
        <v/>
      </c>
      <c r="C352" t="inlineStr">
        <is>
          <t>SAM EDELMAN</t>
        </is>
      </c>
      <c r="D352" t="inlineStr">
        <is>
          <t>Sam Edelman Women's Michaela Mary Jane Flat</t>
        </is>
      </c>
      <c r="E352" s="1">
        <f>HYPERLINK("https://www.amazon.com/Sam-Edelman-Womens-Michaela-Black/dp/B093C7VY8S/ref=sr_1_6?keywords=SAM+EDELMAN&amp;qid=1695343546&amp;sr=8-6", "https://www.amazon.com/Sam-Edelman-Womens-Michaela-Black/dp/B093C7VY8S/ref=sr_1_6?keywords=SAM+EDELMAN&amp;qid=1695343546&amp;sr=8-6")</f>
        <v/>
      </c>
      <c r="F352" t="inlineStr">
        <is>
          <t>B093C7VY8S</t>
        </is>
      </c>
      <c r="G352">
        <f>_xlfn.IMAGE("https://www.theoutnet.com/variants/images/1647597308820336/F/w1020_q80.jpg")</f>
        <v/>
      </c>
      <c r="H352">
        <f>_xlfn.IMAGE("https://m.media-amazon.com/images/I/61Kq+5MkKOL._AC_UL320_.jpg")</f>
        <v/>
      </c>
      <c r="K352" t="inlineStr">
        <is>
          <t>77.0</t>
        </is>
      </c>
      <c r="L352" t="n">
        <v>130</v>
      </c>
      <c r="M352" s="2" t="inlineStr">
        <is>
          <t>68.83%</t>
        </is>
      </c>
      <c r="N352" t="n">
        <v>4.2</v>
      </c>
      <c r="O352" t="n">
        <v>132</v>
      </c>
      <c r="Q352" t="inlineStr">
        <is>
          <t>InStock</t>
        </is>
      </c>
      <c r="R352" t="inlineStr">
        <is>
          <t>140.0</t>
        </is>
      </c>
      <c r="S352" t="inlineStr">
        <is>
          <t>6</t>
        </is>
      </c>
    </row>
    <row r="353" ht="75" customHeight="1">
      <c r="A353" s="1">
        <f>HYPERLINK("https://www.theoutnet.com/en-us/shop/product/sam-edelman/sandals/high-heel-sandals/yaro-faille-sandals/1647597326394628", "https://www.theoutnet.com/en-us/shop/product/sam-edelman/sandals/high-heel-sandals/yaro-faille-sandals/1647597326394628")</f>
        <v/>
      </c>
      <c r="B353" s="1">
        <f>HYPERLINK("https://www.theoutnet.com/en-us/shop/product/sam-edelman/sandals/high-heel-sandals/yaro-faille-sandals/1647597326394628", "https://www.theoutnet.com/en-us/shop/product/sam-edelman/sandals/high-heel-sandals/yaro-faille-sandals/1647597326394628")</f>
        <v/>
      </c>
      <c r="C353" t="inlineStr">
        <is>
          <t>SAM EDELMAN</t>
        </is>
      </c>
      <c r="D353" t="inlineStr">
        <is>
          <t>Sam Edelman Women's Loraine Loafer</t>
        </is>
      </c>
      <c r="E353" s="1">
        <f>HYPERLINK("https://www.amazon.com/Sam-Edelman-Womens-Loafer-Leather/dp/B07R5ZH73F/ref=sr_1_2?keywords=SAM+EDELMAN&amp;qid=1695343541&amp;sr=8-2", "https://www.amazon.com/Sam-Edelman-Womens-Loafer-Leather/dp/B07R5ZH73F/ref=sr_1_2?keywords=SAM+EDELMAN&amp;qid=1695343541&amp;sr=8-2")</f>
        <v/>
      </c>
      <c r="F353" t="inlineStr">
        <is>
          <t>B07R5ZH73F</t>
        </is>
      </c>
      <c r="G353">
        <f>_xlfn.IMAGE("https://www.theoutnet.com/variants/images/1647597326394628/F/w1020_q80.jpg")</f>
        <v/>
      </c>
      <c r="H353">
        <f>_xlfn.IMAGE("https://m.media-amazon.com/images/I/71kLc2qnOGL._AC_UL320_.jpg")</f>
        <v/>
      </c>
      <c r="K353" t="inlineStr">
        <is>
          <t>85.0</t>
        </is>
      </c>
      <c r="L353" t="n">
        <v>139.95</v>
      </c>
      <c r="M353" s="2" t="inlineStr">
        <is>
          <t>64.65%</t>
        </is>
      </c>
      <c r="N353" t="n">
        <v>4.6</v>
      </c>
      <c r="O353" t="n">
        <v>1470</v>
      </c>
      <c r="Q353" t="inlineStr">
        <is>
          <t>InStock</t>
        </is>
      </c>
      <c r="R353" t="inlineStr">
        <is>
          <t>130.0</t>
        </is>
      </c>
      <c r="S353" t="inlineStr">
        <is>
          <t>1</t>
        </is>
      </c>
    </row>
    <row r="354" ht="75" customHeight="1">
      <c r="A354" s="1">
        <f>HYPERLINK("https://www.theoutnet.com/en-us/shop/product/sandro/sandals/blockheel/velvet-sandals/24092600056780515", "https://www.theoutnet.com/en-us/shop/product/sandro/sandals/blockheel/velvet-sandals/24092600056780515")</f>
        <v/>
      </c>
      <c r="B354" s="1">
        <f>HYPERLINK("https://www.theoutnet.com/en-us/shop/product/sandro/sandals/blockheel/velvet-sandals/24092600056780515", "https://www.theoutnet.com/en-us/shop/product/sandro/sandals/blockheel/velvet-sandals/24092600056780515")</f>
        <v/>
      </c>
      <c r="C354" t="inlineStr">
        <is>
          <t>Velvet sandals</t>
        </is>
      </c>
      <c r="D354" t="inlineStr">
        <is>
          <t>Birkenstock Unisex Arizona Velvet Gray Sandals - 41 N EU/10-10.5 2A(N) US Women/8-8.5 2A(N) US Men</t>
        </is>
      </c>
      <c r="E354" s="1">
        <f>HYPERLINK("https://www.amazon.com/Birkenstock-Unisex-Arizona-Velvet-Sandals/dp/B007C1OACO/ref=sr_1_10?keywords=Velvet+sandals&amp;qid=1695343299&amp;sr=8-10", "https://www.amazon.com/Birkenstock-Unisex-Arizona-Velvet-Sandals/dp/B007C1OACO/ref=sr_1_10?keywords=Velvet+sandals&amp;qid=1695343299&amp;sr=8-10")</f>
        <v/>
      </c>
      <c r="F354" t="inlineStr">
        <is>
          <t>B007C1OACO</t>
        </is>
      </c>
      <c r="G354">
        <f>_xlfn.IMAGE("https://www.theoutnet.com/variants/images/24092600056780515/F/w1020_q80.jpg")</f>
        <v/>
      </c>
      <c r="H354">
        <f>_xlfn.IMAGE("https://m.media-amazon.com/images/I/71LftcMSrcL._AC_UL320_.jpg")</f>
        <v/>
      </c>
      <c r="K354" t="inlineStr">
        <is>
          <t>68.0</t>
        </is>
      </c>
      <c r="L354" t="n">
        <v>135</v>
      </c>
      <c r="M354" s="2" t="inlineStr">
        <is>
          <t>98.53%</t>
        </is>
      </c>
      <c r="N354" t="n">
        <v>5</v>
      </c>
      <c r="O354" t="n">
        <v>11</v>
      </c>
      <c r="Q354" t="inlineStr">
        <is>
          <t>InStock</t>
        </is>
      </c>
      <c r="R354" t="inlineStr">
        <is>
          <t>225.0</t>
        </is>
      </c>
      <c r="S354" t="inlineStr">
        <is>
          <t>24092600056780515</t>
        </is>
      </c>
    </row>
    <row r="355" ht="75" customHeight="1">
      <c r="A355" s="1">
        <f>HYPERLINK("https://www.theoutnet.com/en-us/shop/product/sergio-rossi/boots/ankle-boots/leopard-print-neoprene-sock-boots/1647597285646046", "https://www.theoutnet.com/en-us/shop/product/sergio-rossi/boots/ankle-boots/leopard-print-neoprene-sock-boots/1647597285646046")</f>
        <v/>
      </c>
      <c r="B355" s="1">
        <f>HYPERLINK("https://www.theoutnet.com/en-us/shop/product/sergio-rossi/boots/ankle-boots/leopard-print-neoprene-sock-boots/1647597285646046", "https://www.theoutnet.com/en-us/shop/product/sergio-rossi/boots/ankle-boots/leopard-print-neoprene-sock-boots/1647597285646046")</f>
        <v/>
      </c>
      <c r="C355" t="inlineStr">
        <is>
          <t>SERGIO ROSSI</t>
        </is>
      </c>
      <c r="D355" t="inlineStr">
        <is>
          <t>Sergio Rossi Women's Godiva Pump</t>
        </is>
      </c>
      <c r="E355" s="1">
        <f>HYPERLINK("https://www.amazon.com/Sergio-Rossi-Womens-Godiva-Medium/dp/B07MNSMJKX/ref=sr_1_7?keywords=SERGIO+ROSSI&amp;qid=1695343193&amp;sr=8-7", "https://www.amazon.com/Sergio-Rossi-Womens-Godiva-Medium/dp/B07MNSMJKX/ref=sr_1_7?keywords=SERGIO+ROSSI&amp;qid=1695343193&amp;sr=8-7")</f>
        <v/>
      </c>
      <c r="F355" t="inlineStr">
        <is>
          <t>B07MNSMJKX</t>
        </is>
      </c>
      <c r="G355">
        <f>_xlfn.IMAGE("https://www.theoutnet.com/variants/images/1647597285646046/F/w1020_q80.jpg")</f>
        <v/>
      </c>
      <c r="H355">
        <f>_xlfn.IMAGE("https://m.media-amazon.com/images/I/71GIlhqVZiL._AC_UL320_.jpg")</f>
        <v/>
      </c>
      <c r="K355" t="inlineStr">
        <is>
          <t>215.0</t>
        </is>
      </c>
      <c r="L355" t="n">
        <v>360.19</v>
      </c>
      <c r="M355" s="2" t="inlineStr">
        <is>
          <t>67.53%</t>
        </is>
      </c>
      <c r="N355" t="n">
        <v>5</v>
      </c>
      <c r="O355" t="n">
        <v>3</v>
      </c>
      <c r="Q355" t="inlineStr">
        <is>
          <t>InStock</t>
        </is>
      </c>
      <c r="R355" t="inlineStr">
        <is>
          <t>715.0</t>
        </is>
      </c>
      <c r="S355" t="inlineStr">
        <is>
          <t>1</t>
        </is>
      </c>
    </row>
    <row r="356" ht="75" customHeight="1">
      <c r="A356" s="1">
        <f>HYPERLINK("https://www.theoutnet.com/en-us/shop/product/sergio-rossi/boots/ankle-boots/leopard-print-neoprene-sock-boots/1647597285646046", "https://www.theoutnet.com/en-us/shop/product/sergio-rossi/boots/ankle-boots/leopard-print-neoprene-sock-boots/1647597285646046")</f>
        <v/>
      </c>
      <c r="B356" s="1">
        <f>HYPERLINK("https://www.theoutnet.com/en-us/shop/product/sergio-rossi/boots/ankle-boots/leopard-print-neoprene-sock-boots/1647597285646046", "https://www.theoutnet.com/en-us/shop/product/sergio-rossi/boots/ankle-boots/leopard-print-neoprene-sock-boots/1647597285646046")</f>
        <v/>
      </c>
      <c r="C356" t="inlineStr">
        <is>
          <t>SERGIO ROSSI</t>
        </is>
      </c>
      <c r="D356" t="inlineStr">
        <is>
          <t>Sergio Rossi Women's Godiva Pump</t>
        </is>
      </c>
      <c r="E356" s="1">
        <f>HYPERLINK("https://www.amazon.com/Sergio-Rossi-Womens-Godiva-Medium/dp/B07MNSMJKX/ref=sr_1_8?keywords=SERGIO+ROSSI&amp;qid=1695343728&amp;sr=8-8", "https://www.amazon.com/Sergio-Rossi-Womens-Godiva-Medium/dp/B07MNSMJKX/ref=sr_1_8?keywords=SERGIO+ROSSI&amp;qid=1695343728&amp;sr=8-8")</f>
        <v/>
      </c>
      <c r="F356" t="inlineStr">
        <is>
          <t>B07MNSMJKX</t>
        </is>
      </c>
      <c r="G356">
        <f>_xlfn.IMAGE("https://www.theoutnet.com/variants/images/1647597285646046/F/w1020_q80.jpg")</f>
        <v/>
      </c>
      <c r="H356">
        <f>_xlfn.IMAGE("https://m.media-amazon.com/images/I/71GIlhqVZiL._AC_UL320_.jpg")</f>
        <v/>
      </c>
      <c r="K356" t="inlineStr">
        <is>
          <t>215.0</t>
        </is>
      </c>
      <c r="L356" t="n">
        <v>360.19</v>
      </c>
      <c r="M356" s="2" t="inlineStr">
        <is>
          <t>67.53%</t>
        </is>
      </c>
      <c r="N356" t="n">
        <v>5</v>
      </c>
      <c r="O356" t="n">
        <v>3</v>
      </c>
      <c r="Q356" t="inlineStr">
        <is>
          <t>InStock</t>
        </is>
      </c>
      <c r="R356" t="inlineStr">
        <is>
          <t>715.0</t>
        </is>
      </c>
      <c r="S356" t="inlineStr">
        <is>
          <t>1</t>
        </is>
      </c>
    </row>
    <row r="357" ht="75" customHeight="1">
      <c r="A357" s="1">
        <f>HYPERLINK("https://www.theoutnet.com/en-us/shop/product/sergio-rossi/boots/ankle-boots/leopard-print-pvc-combat-boots/10163292708719951", "https://www.theoutnet.com/en-us/shop/product/sergio-rossi/boots/ankle-boots/leopard-print-pvc-combat-boots/10163292708719951")</f>
        <v/>
      </c>
      <c r="B357" s="1">
        <f>HYPERLINK("https://www.theoutnet.com/en-us/shop/product/sergio-rossi/boots/ankle-boots/leopard-print-pvc-combat-boots/10163292708719951", "https://www.theoutnet.com/en-us/shop/product/sergio-rossi/boots/ankle-boots/leopard-print-pvc-combat-boots/10163292708719951")</f>
        <v/>
      </c>
      <c r="C357" t="inlineStr">
        <is>
          <t>SERGIO ROSSI</t>
        </is>
      </c>
      <c r="D357" t="inlineStr">
        <is>
          <t>Sergio Rossi Women's Godiva Pump</t>
        </is>
      </c>
      <c r="E357" s="1">
        <f>HYPERLINK("https://www.amazon.com/Sergio-Rossi-Womens-Godiva-Medium/dp/B07MNSMJKX/ref=sr_1_7?keywords=SERGIO+ROSSI&amp;qid=1695343252&amp;sr=8-7", "https://www.amazon.com/Sergio-Rossi-Womens-Godiva-Medium/dp/B07MNSMJKX/ref=sr_1_7?keywords=SERGIO+ROSSI&amp;qid=1695343252&amp;sr=8-7")</f>
        <v/>
      </c>
      <c r="F357" t="inlineStr">
        <is>
          <t>B07MNSMJKX</t>
        </is>
      </c>
      <c r="G357">
        <f>_xlfn.IMAGE("https://www.theoutnet.com/variants/images/10163292708719951/F/w1020_q80.jpg")</f>
        <v/>
      </c>
      <c r="H357">
        <f>_xlfn.IMAGE("https://m.media-amazon.com/images/I/71GIlhqVZiL._AC_UL320_.jpg")</f>
        <v/>
      </c>
      <c r="K357" t="inlineStr">
        <is>
          <t>147.0</t>
        </is>
      </c>
      <c r="L357" t="n">
        <v>360.19</v>
      </c>
      <c r="M357" s="2" t="inlineStr">
        <is>
          <t>145.03%</t>
        </is>
      </c>
      <c r="N357" t="n">
        <v>5</v>
      </c>
      <c r="O357" t="n">
        <v>3</v>
      </c>
      <c r="Q357" t="inlineStr">
        <is>
          <t>InStock</t>
        </is>
      </c>
      <c r="R357" t="inlineStr">
        <is>
          <t>490.0</t>
        </is>
      </c>
      <c r="S357" t="inlineStr">
        <is>
          <t>10163292708719951</t>
        </is>
      </c>
    </row>
    <row r="358" ht="75" customHeight="1">
      <c r="A358" s="1">
        <f>HYPERLINK("https://www.theoutnet.com/en-us/shop/product/sergio-rossi/boots/ankle-boots/leopard-print-pvc-combat-boots/10163292708719951", "https://www.theoutnet.com/en-us/shop/product/sergio-rossi/boots/ankle-boots/leopard-print-pvc-combat-boots/10163292708719951")</f>
        <v/>
      </c>
      <c r="B358" s="1">
        <f>HYPERLINK("https://www.theoutnet.com/en-us/shop/product/sergio-rossi/boots/ankle-boots/leopard-print-pvc-combat-boots/10163292708719951", "https://www.theoutnet.com/en-us/shop/product/sergio-rossi/boots/ankle-boots/leopard-print-pvc-combat-boots/10163292708719951")</f>
        <v/>
      </c>
      <c r="C358" t="inlineStr">
        <is>
          <t>SERGIO ROSSI</t>
        </is>
      </c>
      <c r="D358" t="inlineStr">
        <is>
          <t>Sergio Rossi Women's Godiva Pump</t>
        </is>
      </c>
      <c r="E358" s="1">
        <f>HYPERLINK("https://www.amazon.com/Sergio-Rossi-Womens-Godiva-Medium/dp/B07MNSMJKX/ref=sr_1_9?keywords=SERGIO+ROSSI&amp;qid=1695343627&amp;sr=8-9", "https://www.amazon.com/Sergio-Rossi-Womens-Godiva-Medium/dp/B07MNSMJKX/ref=sr_1_9?keywords=SERGIO+ROSSI&amp;qid=1695343627&amp;sr=8-9")</f>
        <v/>
      </c>
      <c r="F358" t="inlineStr">
        <is>
          <t>B07MNSMJKX</t>
        </is>
      </c>
      <c r="G358">
        <f>_xlfn.IMAGE("https://www.theoutnet.com/variants/images/10163292708719951/F/w1020_q80.jpg")</f>
        <v/>
      </c>
      <c r="H358">
        <f>_xlfn.IMAGE("https://m.media-amazon.com/images/I/71GIlhqVZiL._AC_UL320_.jpg")</f>
        <v/>
      </c>
      <c r="K358" t="inlineStr">
        <is>
          <t>147.0</t>
        </is>
      </c>
      <c r="L358" t="n">
        <v>360.19</v>
      </c>
      <c r="M358" s="2" t="inlineStr">
        <is>
          <t>145.03%</t>
        </is>
      </c>
      <c r="N358" t="n">
        <v>5</v>
      </c>
      <c r="O358" t="n">
        <v>3</v>
      </c>
      <c r="Q358" t="inlineStr">
        <is>
          <t>InStock</t>
        </is>
      </c>
      <c r="R358" t="inlineStr">
        <is>
          <t>490.0</t>
        </is>
      </c>
      <c r="S358" t="inlineStr">
        <is>
          <t>10163292708719951</t>
        </is>
      </c>
    </row>
    <row r="359" ht="75" customHeight="1">
      <c r="A359" s="1">
        <f>HYPERLINK("https://www.theoutnet.com/en-us/shop/product/sergio-rossi/boots/ankle-boots/stretch-velvet-ankle-boots/32027475400235298", "https://www.theoutnet.com/en-us/shop/product/sergio-rossi/boots/ankle-boots/stretch-velvet-ankle-boots/32027475400235298")</f>
        <v/>
      </c>
      <c r="B359" s="1">
        <f>HYPERLINK("https://www.theoutnet.com/en-us/shop/product/sergio-rossi/boots/ankle-boots/stretch-velvet-ankle-boots/32027475400235298", "https://www.theoutnet.com/en-us/shop/product/sergio-rossi/boots/ankle-boots/stretch-velvet-ankle-boots/32027475400235298")</f>
        <v/>
      </c>
      <c r="C359" t="inlineStr">
        <is>
          <t>SERGIO ROSSI</t>
        </is>
      </c>
      <c r="D359" t="inlineStr">
        <is>
          <t>Sergio Rossi Women's Godiva Pump</t>
        </is>
      </c>
      <c r="E359" s="1">
        <f>HYPERLINK("https://www.amazon.com/Sergio-Rossi-Womens-Godiva-Medium/dp/B07MNSMJKX/ref=sr_1_8?keywords=SERGIO+ROSSI&amp;qid=1695343280&amp;sr=8-8", "https://www.amazon.com/Sergio-Rossi-Womens-Godiva-Medium/dp/B07MNSMJKX/ref=sr_1_8?keywords=SERGIO+ROSSI&amp;qid=1695343280&amp;sr=8-8")</f>
        <v/>
      </c>
      <c r="F359" t="inlineStr">
        <is>
          <t>B07MNSMJKX</t>
        </is>
      </c>
      <c r="G359">
        <f>_xlfn.IMAGE("https://www.theoutnet.com/variants/images/32027475400235298/F/w1020_q80.jpg")</f>
        <v/>
      </c>
      <c r="H359">
        <f>_xlfn.IMAGE("https://m.media-amazon.com/images/I/71GIlhqVZiL._AC_UL320_.jpg")</f>
        <v/>
      </c>
      <c r="K359" t="inlineStr">
        <is>
          <t>206.0</t>
        </is>
      </c>
      <c r="L359" t="n">
        <v>360.19</v>
      </c>
      <c r="M359" s="2" t="inlineStr">
        <is>
          <t>74.85%</t>
        </is>
      </c>
      <c r="N359" t="n">
        <v>5</v>
      </c>
      <c r="O359" t="n">
        <v>3</v>
      </c>
      <c r="Q359" t="inlineStr">
        <is>
          <t>InStock</t>
        </is>
      </c>
      <c r="R359" t="inlineStr">
        <is>
          <t>685.0</t>
        </is>
      </c>
      <c r="S359" t="inlineStr">
        <is>
          <t>32027475400235298</t>
        </is>
      </c>
    </row>
    <row r="360" ht="75" customHeight="1">
      <c r="A360" s="1">
        <f>HYPERLINK("https://www.theoutnet.com/en-us/shop/product/sergio-rossi/boots/ankle-boots/stretch-velvet-ankle-boots/32027475400235298", "https://www.theoutnet.com/en-us/shop/product/sergio-rossi/boots/ankle-boots/stretch-velvet-ankle-boots/32027475400235298")</f>
        <v/>
      </c>
      <c r="B360" s="1">
        <f>HYPERLINK("https://www.theoutnet.com/en-us/shop/product/sergio-rossi/boots/ankle-boots/stretch-velvet-ankle-boots/32027475400235298", "https://www.theoutnet.com/en-us/shop/product/sergio-rossi/boots/ankle-boots/stretch-velvet-ankle-boots/32027475400235298")</f>
        <v/>
      </c>
      <c r="C360" t="inlineStr">
        <is>
          <t>SERGIO ROSSI</t>
        </is>
      </c>
      <c r="D360" t="inlineStr">
        <is>
          <t>Sergio Rossi Women's Godiva Pump</t>
        </is>
      </c>
      <c r="E360" s="1">
        <f>HYPERLINK("https://www.amazon.com/Sergio-Rossi-Womens-Godiva-Medium/dp/B07MNSMJKX/ref=sr_1_8?keywords=SERGIO+ROSSI&amp;qid=1695343705&amp;sr=8-8", "https://www.amazon.com/Sergio-Rossi-Womens-Godiva-Medium/dp/B07MNSMJKX/ref=sr_1_8?keywords=SERGIO+ROSSI&amp;qid=1695343705&amp;sr=8-8")</f>
        <v/>
      </c>
      <c r="F360" t="inlineStr">
        <is>
          <t>B07MNSMJKX</t>
        </is>
      </c>
      <c r="G360">
        <f>_xlfn.IMAGE("https://www.theoutnet.com/variants/images/32027475400235298/F/w1020_q80.jpg")</f>
        <v/>
      </c>
      <c r="H360">
        <f>_xlfn.IMAGE("https://m.media-amazon.com/images/I/71GIlhqVZiL._AC_UL320_.jpg")</f>
        <v/>
      </c>
      <c r="K360" t="inlineStr">
        <is>
          <t>206.0</t>
        </is>
      </c>
      <c r="L360" t="n">
        <v>360.19</v>
      </c>
      <c r="M360" s="2" t="inlineStr">
        <is>
          <t>74.85%</t>
        </is>
      </c>
      <c r="N360" t="n">
        <v>5</v>
      </c>
      <c r="O360" t="n">
        <v>3</v>
      </c>
      <c r="Q360" t="inlineStr">
        <is>
          <t>InStock</t>
        </is>
      </c>
      <c r="R360" t="inlineStr">
        <is>
          <t>685.0</t>
        </is>
      </c>
      <c r="S360" t="inlineStr">
        <is>
          <t>32027475400235298</t>
        </is>
      </c>
    </row>
    <row r="361" ht="75" customHeight="1">
      <c r="A361" s="1">
        <f>HYPERLINK("https://www.theoutnet.com/en-us/shop/product/sergio-rossi/boots/blockheel/stretch-velvet-over-the-knee-boots/24062987016697848", "https://www.theoutnet.com/en-us/shop/product/sergio-rossi/boots/blockheel/stretch-velvet-over-the-knee-boots/24062987016697848")</f>
        <v/>
      </c>
      <c r="B361" s="1">
        <f>HYPERLINK("https://www.theoutnet.com/en-us/shop/product/sergio-rossi/boots/blockheel/stretch-velvet-over-the-knee-boots/24062987016697848", "https://www.theoutnet.com/en-us/shop/product/sergio-rossi/boots/blockheel/stretch-velvet-over-the-knee-boots/24062987016697848")</f>
        <v/>
      </c>
      <c r="C361" t="inlineStr">
        <is>
          <t>SERGIO ROSSI</t>
        </is>
      </c>
      <c r="D361" t="inlineStr">
        <is>
          <t>Sergio Rossi Women's Godiva Pump</t>
        </is>
      </c>
      <c r="E361" s="1">
        <f>HYPERLINK("https://www.amazon.com/Sergio-Rossi-Womens-Godiva-Medium/dp/B07MNSMJKX/ref=sr_1_8?keywords=SERGIO+ROSSI&amp;qid=1695343303&amp;sr=8-8", "https://www.amazon.com/Sergio-Rossi-Womens-Godiva-Medium/dp/B07MNSMJKX/ref=sr_1_8?keywords=SERGIO+ROSSI&amp;qid=1695343303&amp;sr=8-8")</f>
        <v/>
      </c>
      <c r="F361" t="inlineStr">
        <is>
          <t>B07MNSMJKX</t>
        </is>
      </c>
      <c r="G361">
        <f>_xlfn.IMAGE("https://www.theoutnet.com/variants/images/24062987016697848/F/w1020_q80.jpg")</f>
        <v/>
      </c>
      <c r="H361">
        <f>_xlfn.IMAGE("https://m.media-amazon.com/images/I/71GIlhqVZiL._AC_UL320_.jpg")</f>
        <v/>
      </c>
      <c r="K361" t="inlineStr">
        <is>
          <t>201.0</t>
        </is>
      </c>
      <c r="L361" t="n">
        <v>360.19</v>
      </c>
      <c r="M361" s="2" t="inlineStr">
        <is>
          <t>79.20%</t>
        </is>
      </c>
      <c r="N361" t="n">
        <v>5</v>
      </c>
      <c r="O361" t="n">
        <v>3</v>
      </c>
      <c r="Q361" t="inlineStr">
        <is>
          <t>InStock</t>
        </is>
      </c>
      <c r="R361" t="inlineStr">
        <is>
          <t>667.0</t>
        </is>
      </c>
      <c r="S361" t="inlineStr">
        <is>
          <t>24062987016697848</t>
        </is>
      </c>
    </row>
    <row r="362" ht="75" customHeight="1">
      <c r="A362" s="1">
        <f>HYPERLINK("https://www.theoutnet.com/en-us/shop/product/sergio-rossi/boots/blockheel/stretch-velvet-over-the-knee-boots/24062987016697848", "https://www.theoutnet.com/en-us/shop/product/sergio-rossi/boots/blockheel/stretch-velvet-over-the-knee-boots/24062987016697848")</f>
        <v/>
      </c>
      <c r="B362" s="1">
        <f>HYPERLINK("https://www.theoutnet.com/en-us/shop/product/sergio-rossi/boots/blockheel/stretch-velvet-over-the-knee-boots/24062987016697848", "https://www.theoutnet.com/en-us/shop/product/sergio-rossi/boots/blockheel/stretch-velvet-over-the-knee-boots/24062987016697848")</f>
        <v/>
      </c>
      <c r="C362" t="inlineStr">
        <is>
          <t>SERGIO ROSSI</t>
        </is>
      </c>
      <c r="D362" t="inlineStr">
        <is>
          <t>Sergio Rossi Women's Godiva Pump</t>
        </is>
      </c>
      <c r="E362" s="1">
        <f>HYPERLINK("https://www.amazon.com/Sergio-Rossi-Womens-Godiva-Medium/dp/B07MNSMJKX/ref=sr_1_8?keywords=SERGIO+ROSSI&amp;qid=1695343702&amp;sr=8-8", "https://www.amazon.com/Sergio-Rossi-Womens-Godiva-Medium/dp/B07MNSMJKX/ref=sr_1_8?keywords=SERGIO+ROSSI&amp;qid=1695343702&amp;sr=8-8")</f>
        <v/>
      </c>
      <c r="F362" t="inlineStr">
        <is>
          <t>B07MNSMJKX</t>
        </is>
      </c>
      <c r="G362">
        <f>_xlfn.IMAGE("https://www.theoutnet.com/variants/images/24062987016697848/F/w1020_q80.jpg")</f>
        <v/>
      </c>
      <c r="H362">
        <f>_xlfn.IMAGE("https://m.media-amazon.com/images/I/71GIlhqVZiL._AC_UL320_.jpg")</f>
        <v/>
      </c>
      <c r="K362" t="inlineStr">
        <is>
          <t>201.0</t>
        </is>
      </c>
      <c r="L362" t="n">
        <v>360.19</v>
      </c>
      <c r="M362" s="2" t="inlineStr">
        <is>
          <t>79.20%</t>
        </is>
      </c>
      <c r="N362" t="n">
        <v>5</v>
      </c>
      <c r="O362" t="n">
        <v>3</v>
      </c>
      <c r="Q362" t="inlineStr">
        <is>
          <t>InStock</t>
        </is>
      </c>
      <c r="R362" t="inlineStr">
        <is>
          <t>667.0</t>
        </is>
      </c>
      <c r="S362" t="inlineStr">
        <is>
          <t>2</t>
        </is>
      </c>
    </row>
    <row r="363" ht="75" customHeight="1">
      <c r="A363" s="1">
        <f>HYPERLINK("https://www.theoutnet.com/en-us/shop/product/sergio-rossi/pumps/high-heel-pumps/leather-platform-pumps/29419655932396514", "https://www.theoutnet.com/en-us/shop/product/sergio-rossi/pumps/high-heel-pumps/leather-platform-pumps/29419655932396514")</f>
        <v/>
      </c>
      <c r="B363" s="1">
        <f>HYPERLINK("https://www.theoutnet.com/en-us/shop/product/sergio-rossi/pumps/high-heel-pumps/leather-platform-pumps/29419655932396514", "https://www.theoutnet.com/en-us/shop/product/sergio-rossi/pumps/high-heel-pumps/leather-platform-pumps/29419655932396514")</f>
        <v/>
      </c>
      <c r="C363" t="inlineStr">
        <is>
          <t>SERGIO ROSSI</t>
        </is>
      </c>
      <c r="D363" t="inlineStr">
        <is>
          <t>Sergio Rossi Women's Godiva Pump</t>
        </is>
      </c>
      <c r="E363" s="1">
        <f>HYPERLINK("https://www.amazon.com/Sergio-Rossi-Womens-Godiva-Medium/dp/B07MNSMJKX/ref=sr_1_8?keywords=SERGIO+ROSSI&amp;qid=1695343730&amp;sr=8-8", "https://www.amazon.com/Sergio-Rossi-Womens-Godiva-Medium/dp/B07MNSMJKX/ref=sr_1_8?keywords=SERGIO+ROSSI&amp;qid=1695343730&amp;sr=8-8")</f>
        <v/>
      </c>
      <c r="F363" t="inlineStr">
        <is>
          <t>B07MNSMJKX</t>
        </is>
      </c>
      <c r="G363">
        <f>_xlfn.IMAGE("https://www.theoutnet.com/variants/images/29419655932396514/F/w1020_q80.jpg")</f>
        <v/>
      </c>
      <c r="H363">
        <f>_xlfn.IMAGE("https://m.media-amazon.com/images/I/71GIlhqVZiL._AC_UL320_.jpg")</f>
        <v/>
      </c>
      <c r="K363" t="inlineStr">
        <is>
          <t>218.0</t>
        </is>
      </c>
      <c r="L363" t="n">
        <v>360.19</v>
      </c>
      <c r="M363" s="2" t="inlineStr">
        <is>
          <t>65.22%</t>
        </is>
      </c>
      <c r="N363" t="n">
        <v>5</v>
      </c>
      <c r="O363" t="n">
        <v>3</v>
      </c>
      <c r="Q363" t="inlineStr">
        <is>
          <t>InStock</t>
        </is>
      </c>
      <c r="R363" t="inlineStr">
        <is>
          <t>725.0</t>
        </is>
      </c>
      <c r="S363" t="inlineStr">
        <is>
          <t>29419655932396514</t>
        </is>
      </c>
    </row>
    <row r="364" ht="75" customHeight="1">
      <c r="A364" s="1">
        <f>HYPERLINK("https://www.theoutnet.com/en-us/shop/product/sergio-rossi/pumps/high-heel-pumps/leather-pumps/1647597277328011", "https://www.theoutnet.com/en-us/shop/product/sergio-rossi/pumps/high-heel-pumps/leather-pumps/1647597277328011")</f>
        <v/>
      </c>
      <c r="B364" s="1">
        <f>HYPERLINK("https://www.theoutnet.com/en-us/shop/product/sergio-rossi/pumps/high-heel-pumps/leather-pumps/1647597277328011", "https://www.theoutnet.com/en-us/shop/product/sergio-rossi/pumps/high-heel-pumps/leather-pumps/1647597277328011")</f>
        <v/>
      </c>
      <c r="C364" t="inlineStr">
        <is>
          <t>SERGIO ROSSI</t>
        </is>
      </c>
      <c r="D364" t="inlineStr">
        <is>
          <t>Sergio Rossi Women's Godiva Pump</t>
        </is>
      </c>
      <c r="E364" s="1">
        <f>HYPERLINK("https://www.amazon.com/Sergio-Rossi-Womens-Godiva-Medium/dp/B07MNSMJKX/ref=sr_1_8?keywords=SERGIO+ROSSI&amp;qid=1695343270&amp;sr=8-8", "https://www.amazon.com/Sergio-Rossi-Womens-Godiva-Medium/dp/B07MNSMJKX/ref=sr_1_8?keywords=SERGIO+ROSSI&amp;qid=1695343270&amp;sr=8-8")</f>
        <v/>
      </c>
      <c r="F364" t="inlineStr">
        <is>
          <t>B07MNSMJKX</t>
        </is>
      </c>
      <c r="G364">
        <f>_xlfn.IMAGE("https://www.theoutnet.com/variants/images/1647597277328011/F/w1020_q80.jpg")</f>
        <v/>
      </c>
      <c r="H364">
        <f>_xlfn.IMAGE("https://m.media-amazon.com/images/I/71GIlhqVZiL._AC_UL320_.jpg")</f>
        <v/>
      </c>
      <c r="K364" t="inlineStr">
        <is>
          <t>137.0</t>
        </is>
      </c>
      <c r="L364" t="n">
        <v>360.19</v>
      </c>
      <c r="M364" s="2" t="inlineStr">
        <is>
          <t>162.91%</t>
        </is>
      </c>
      <c r="N364" t="n">
        <v>5</v>
      </c>
      <c r="O364" t="n">
        <v>3</v>
      </c>
      <c r="Q364" t="inlineStr">
        <is>
          <t>InStock</t>
        </is>
      </c>
      <c r="R364" t="inlineStr">
        <is>
          <t>455.0</t>
        </is>
      </c>
      <c r="S364" t="inlineStr">
        <is>
          <t>1647597277328011</t>
        </is>
      </c>
    </row>
    <row r="365" ht="75" customHeight="1">
      <c r="A365" s="1">
        <f>HYPERLINK("https://www.theoutnet.com/en-us/shop/product/sergio-rossi/pumps/high-heel-pumps/leather-pumps/1647597277328011", "https://www.theoutnet.com/en-us/shop/product/sergio-rossi/pumps/high-heel-pumps/leather-pumps/1647597277328011")</f>
        <v/>
      </c>
      <c r="B365" s="1">
        <f>HYPERLINK("https://www.theoutnet.com/en-us/shop/product/sergio-rossi/pumps/high-heel-pumps/leather-pumps/1647597277328011", "https://www.theoutnet.com/en-us/shop/product/sergio-rossi/pumps/high-heel-pumps/leather-pumps/1647597277328011")</f>
        <v/>
      </c>
      <c r="C365" t="inlineStr">
        <is>
          <t>SERGIO ROSSI</t>
        </is>
      </c>
      <c r="D365" t="inlineStr">
        <is>
          <t>Sergio Rossi Women's Godiva Pump</t>
        </is>
      </c>
      <c r="E365" s="1">
        <f>HYPERLINK("https://www.amazon.com/Sergio-Rossi-Womens-Godiva-Medium/dp/B07MNSMJKX/ref=sr_1_8?keywords=SERGIO+ROSSI&amp;qid=1695343610&amp;sr=8-8", "https://www.amazon.com/Sergio-Rossi-Womens-Godiva-Medium/dp/B07MNSMJKX/ref=sr_1_8?keywords=SERGIO+ROSSI&amp;qid=1695343610&amp;sr=8-8")</f>
        <v/>
      </c>
      <c r="F365" t="inlineStr">
        <is>
          <t>B07MNSMJKX</t>
        </is>
      </c>
      <c r="G365">
        <f>_xlfn.IMAGE("https://www.theoutnet.com/variants/images/1647597277328011/F/w1020_q80.jpg")</f>
        <v/>
      </c>
      <c r="H365">
        <f>_xlfn.IMAGE("https://m.media-amazon.com/images/I/71GIlhqVZiL._AC_UL320_.jpg")</f>
        <v/>
      </c>
      <c r="K365" t="inlineStr">
        <is>
          <t>137.0</t>
        </is>
      </c>
      <c r="L365" t="n">
        <v>360.19</v>
      </c>
      <c r="M365" s="2" t="inlineStr">
        <is>
          <t>162.91%</t>
        </is>
      </c>
      <c r="N365" t="n">
        <v>5</v>
      </c>
      <c r="O365" t="n">
        <v>3</v>
      </c>
      <c r="Q365" t="inlineStr">
        <is>
          <t>InStock</t>
        </is>
      </c>
      <c r="R365" t="inlineStr">
        <is>
          <t>455.0</t>
        </is>
      </c>
      <c r="S365" t="inlineStr">
        <is>
          <t>1647597277328011</t>
        </is>
      </c>
    </row>
    <row r="366" ht="75" customHeight="1">
      <c r="A366" s="1">
        <f>HYPERLINK("https://www.theoutnet.com/en-us/shop/product/sergio-rossi/pumps/high-heel-pumps/leather-pumps/1647597277802769", "https://www.theoutnet.com/en-us/shop/product/sergio-rossi/pumps/high-heel-pumps/leather-pumps/1647597277802769")</f>
        <v/>
      </c>
      <c r="B366" s="1">
        <f>HYPERLINK("https://www.theoutnet.com/en-us/shop/product/sergio-rossi/pumps/high-heel-pumps/leather-pumps/1647597277802769", "https://www.theoutnet.com/en-us/shop/product/sergio-rossi/pumps/high-heel-pumps/leather-pumps/1647597277802769")</f>
        <v/>
      </c>
      <c r="C366" t="inlineStr">
        <is>
          <t>SERGIO ROSSI</t>
        </is>
      </c>
      <c r="D366" t="inlineStr">
        <is>
          <t>Sergio Rossi Women's Godiva Pump</t>
        </is>
      </c>
      <c r="E366" s="1">
        <f>HYPERLINK("https://www.amazon.com/Sergio-Rossi-Womens-Godiva-Medium/dp/B07MNSMJKX/ref=sr_1_7?keywords=SERGIO+ROSSI&amp;qid=1695343300&amp;sr=8-7", "https://www.amazon.com/Sergio-Rossi-Womens-Godiva-Medium/dp/B07MNSMJKX/ref=sr_1_7?keywords=SERGIO+ROSSI&amp;qid=1695343300&amp;sr=8-7")</f>
        <v/>
      </c>
      <c r="F366" t="inlineStr">
        <is>
          <t>B07MNSMJKX</t>
        </is>
      </c>
      <c r="G366">
        <f>_xlfn.IMAGE("https://www.theoutnet.com/variants/images/1647597277802769/F/w1020_q80.jpg")</f>
        <v/>
      </c>
      <c r="H366">
        <f>_xlfn.IMAGE("https://m.media-amazon.com/images/I/71GIlhqVZiL._AC_UL320_.jpg")</f>
        <v/>
      </c>
      <c r="K366" t="inlineStr">
        <is>
          <t>180.0</t>
        </is>
      </c>
      <c r="L366" t="n">
        <v>360.19</v>
      </c>
      <c r="M366" s="2" t="inlineStr">
        <is>
          <t>100.11%</t>
        </is>
      </c>
      <c r="N366" t="n">
        <v>5</v>
      </c>
      <c r="O366" t="n">
        <v>3</v>
      </c>
      <c r="Q366" t="inlineStr">
        <is>
          <t>InStock</t>
        </is>
      </c>
      <c r="R366" t="inlineStr">
        <is>
          <t>600.0</t>
        </is>
      </c>
      <c r="S366" t="inlineStr">
        <is>
          <t>1647597277802769</t>
        </is>
      </c>
    </row>
    <row r="367" ht="75" customHeight="1">
      <c r="A367" s="1">
        <f>HYPERLINK("https://www.theoutnet.com/en-us/shop/product/sergio-rossi/pumps/high-heel-pumps/leather-pumps/1647597277802769", "https://www.theoutnet.com/en-us/shop/product/sergio-rossi/pumps/high-heel-pumps/leather-pumps/1647597277802769")</f>
        <v/>
      </c>
      <c r="B367" s="1">
        <f>HYPERLINK("https://www.theoutnet.com/en-us/shop/product/sergio-rossi/pumps/high-heel-pumps/leather-pumps/1647597277802769", "https://www.theoutnet.com/en-us/shop/product/sergio-rossi/pumps/high-heel-pumps/leather-pumps/1647597277802769")</f>
        <v/>
      </c>
      <c r="C367" t="inlineStr">
        <is>
          <t>SERGIO ROSSI</t>
        </is>
      </c>
      <c r="D367" t="inlineStr">
        <is>
          <t>Sergio Rossi Women's Godiva Pump</t>
        </is>
      </c>
      <c r="E367" s="1">
        <f>HYPERLINK("https://www.amazon.com/Sergio-Rossi-Womens-Godiva-Medium/dp/B07MNSMJKX/ref=sr_1_7?keywords=SERGIO+ROSSI&amp;qid=1695343669&amp;sr=8-7", "https://www.amazon.com/Sergio-Rossi-Womens-Godiva-Medium/dp/B07MNSMJKX/ref=sr_1_7?keywords=SERGIO+ROSSI&amp;qid=1695343669&amp;sr=8-7")</f>
        <v/>
      </c>
      <c r="F367" t="inlineStr">
        <is>
          <t>B07MNSMJKX</t>
        </is>
      </c>
      <c r="G367">
        <f>_xlfn.IMAGE("https://www.theoutnet.com/variants/images/1647597277802769/F/w1020_q80.jpg")</f>
        <v/>
      </c>
      <c r="H367">
        <f>_xlfn.IMAGE("https://m.media-amazon.com/images/I/71GIlhqVZiL._AC_UL320_.jpg")</f>
        <v/>
      </c>
      <c r="K367" t="inlineStr">
        <is>
          <t>180.0</t>
        </is>
      </c>
      <c r="L367" t="n">
        <v>360.19</v>
      </c>
      <c r="M367" s="2" t="inlineStr">
        <is>
          <t>100.11%</t>
        </is>
      </c>
      <c r="N367" t="n">
        <v>5</v>
      </c>
      <c r="O367" t="n">
        <v>3</v>
      </c>
      <c r="Q367" t="inlineStr">
        <is>
          <t>InStock</t>
        </is>
      </c>
      <c r="R367" t="inlineStr">
        <is>
          <t>600.0</t>
        </is>
      </c>
      <c r="S367" t="inlineStr">
        <is>
          <t>1647597277802769</t>
        </is>
      </c>
    </row>
    <row r="368" ht="75" customHeight="1">
      <c r="A368" s="1">
        <f>HYPERLINK("https://www.theoutnet.com/en-us/shop/product/sergio-rossi/pumps/high-heel-pumps/leather-pumps/1647597284569414", "https://www.theoutnet.com/en-us/shop/product/sergio-rossi/pumps/high-heel-pumps/leather-pumps/1647597284569414")</f>
        <v/>
      </c>
      <c r="B368" s="1">
        <f>HYPERLINK("https://www.theoutnet.com/en-us/shop/product/sergio-rossi/pumps/high-heel-pumps/leather-pumps/1647597284569414", "https://www.theoutnet.com/en-us/shop/product/sergio-rossi/pumps/high-heel-pumps/leather-pumps/1647597284569414")</f>
        <v/>
      </c>
      <c r="C368" t="inlineStr">
        <is>
          <t>SERGIO ROSSI</t>
        </is>
      </c>
      <c r="D368" t="inlineStr">
        <is>
          <t>Sergio Rossi Women's Godiva Pump</t>
        </is>
      </c>
      <c r="E368" s="1">
        <f>HYPERLINK("https://www.amazon.com/Sergio-Rossi-Womens-Godiva-Medium/dp/B07MNSMJKX/ref=sr_1_7?keywords=SERGIO+ROSSI&amp;qid=1695343292&amp;sr=8-7", "https://www.amazon.com/Sergio-Rossi-Womens-Godiva-Medium/dp/B07MNSMJKX/ref=sr_1_7?keywords=SERGIO+ROSSI&amp;qid=1695343292&amp;sr=8-7")</f>
        <v/>
      </c>
      <c r="F368" t="inlineStr">
        <is>
          <t>B07MNSMJKX</t>
        </is>
      </c>
      <c r="G368">
        <f>_xlfn.IMAGE("https://www.theoutnet.com/variants/images/1647597284569414/F/w1020_q80.jpg")</f>
        <v/>
      </c>
      <c r="H368">
        <f>_xlfn.IMAGE("https://m.media-amazon.com/images/I/71GIlhqVZiL._AC_UL320_.jpg")</f>
        <v/>
      </c>
      <c r="K368" t="inlineStr">
        <is>
          <t>188.0</t>
        </is>
      </c>
      <c r="L368" t="n">
        <v>360.19</v>
      </c>
      <c r="M368" s="2" t="inlineStr">
        <is>
          <t>91.59%</t>
        </is>
      </c>
      <c r="N368" t="n">
        <v>5</v>
      </c>
      <c r="O368" t="n">
        <v>3</v>
      </c>
      <c r="Q368" t="inlineStr">
        <is>
          <t>InStock</t>
        </is>
      </c>
      <c r="R368" t="inlineStr">
        <is>
          <t>625.0</t>
        </is>
      </c>
      <c r="S368" t="inlineStr">
        <is>
          <t>1647597284569414</t>
        </is>
      </c>
    </row>
    <row r="369" ht="75" customHeight="1">
      <c r="A369" s="1">
        <f>HYPERLINK("https://www.theoutnet.com/en-us/shop/product/sergio-rossi/pumps/high-heel-pumps/leather-pumps/1647597284569414", "https://www.theoutnet.com/en-us/shop/product/sergio-rossi/pumps/high-heel-pumps/leather-pumps/1647597284569414")</f>
        <v/>
      </c>
      <c r="B369" s="1">
        <f>HYPERLINK("https://www.theoutnet.com/en-us/shop/product/sergio-rossi/pumps/high-heel-pumps/leather-pumps/1647597284569414", "https://www.theoutnet.com/en-us/shop/product/sergio-rossi/pumps/high-heel-pumps/leather-pumps/1647597284569414")</f>
        <v/>
      </c>
      <c r="C369" t="inlineStr">
        <is>
          <t>SERGIO ROSSI</t>
        </is>
      </c>
      <c r="D369" t="inlineStr">
        <is>
          <t>Sergio Rossi Women's Godiva Pump</t>
        </is>
      </c>
      <c r="E369" s="1">
        <f>HYPERLINK("https://www.amazon.com/Sergio-Rossi-Womens-Godiva-Medium/dp/B07MNSMJKX/ref=sr_1_7?keywords=SERGIO+ROSSI&amp;qid=1695343672&amp;sr=8-7", "https://www.amazon.com/Sergio-Rossi-Womens-Godiva-Medium/dp/B07MNSMJKX/ref=sr_1_7?keywords=SERGIO+ROSSI&amp;qid=1695343672&amp;sr=8-7")</f>
        <v/>
      </c>
      <c r="F369" t="inlineStr">
        <is>
          <t>B07MNSMJKX</t>
        </is>
      </c>
      <c r="G369">
        <f>_xlfn.IMAGE("https://www.theoutnet.com/variants/images/1647597284569414/F/w1020_q80.jpg")</f>
        <v/>
      </c>
      <c r="H369">
        <f>_xlfn.IMAGE("https://m.media-amazon.com/images/I/71GIlhqVZiL._AC_UL320_.jpg")</f>
        <v/>
      </c>
      <c r="K369" t="inlineStr">
        <is>
          <t>188.0</t>
        </is>
      </c>
      <c r="L369" t="n">
        <v>360.19</v>
      </c>
      <c r="M369" s="2" t="inlineStr">
        <is>
          <t>91.59%</t>
        </is>
      </c>
      <c r="N369" t="n">
        <v>5</v>
      </c>
      <c r="O369" t="n">
        <v>3</v>
      </c>
      <c r="Q369" t="inlineStr">
        <is>
          <t>InStock</t>
        </is>
      </c>
      <c r="R369" t="inlineStr">
        <is>
          <t>625.0</t>
        </is>
      </c>
      <c r="S369" t="inlineStr">
        <is>
          <t>1647597284569414</t>
        </is>
      </c>
    </row>
    <row r="370" ht="75" customHeight="1">
      <c r="A370" s="1">
        <f>HYPERLINK("https://www.theoutnet.com/en-us/shop/product/sergio-rossi/pumps/high-heel-pumps/leather-pumps/1890828705125605", "https://www.theoutnet.com/en-us/shop/product/sergio-rossi/pumps/high-heel-pumps/leather-pumps/1890828705125605")</f>
        <v/>
      </c>
      <c r="B370" s="1">
        <f>HYPERLINK("https://www.theoutnet.com/en-us/shop/product/sergio-rossi/pumps/high-heel-pumps/leather-pumps/1890828705125605", "https://www.theoutnet.com/en-us/shop/product/sergio-rossi/pumps/high-heel-pumps/leather-pumps/1890828705125605")</f>
        <v/>
      </c>
      <c r="C370" t="inlineStr">
        <is>
          <t>SERGIO ROSSI</t>
        </is>
      </c>
      <c r="D370" t="inlineStr">
        <is>
          <t>Sergio Rossi Women's Godiva Pump</t>
        </is>
      </c>
      <c r="E370" s="1">
        <f>HYPERLINK("https://www.amazon.com/Sergio-Rossi-Womens-Godiva-Medium/dp/B07MNSMJKX/ref=sr_1_8?keywords=SERGIO+ROSSI&amp;qid=1695343734&amp;sr=8-8", "https://www.amazon.com/Sergio-Rossi-Womens-Godiva-Medium/dp/B07MNSMJKX/ref=sr_1_8?keywords=SERGIO+ROSSI&amp;qid=1695343734&amp;sr=8-8")</f>
        <v/>
      </c>
      <c r="F370" t="inlineStr">
        <is>
          <t>B07MNSMJKX</t>
        </is>
      </c>
      <c r="G370">
        <f>_xlfn.IMAGE("https://www.theoutnet.com/variants/images/1890828705125605/F/w1020_q80.jpg")</f>
        <v/>
      </c>
      <c r="H370">
        <f>_xlfn.IMAGE("https://m.media-amazon.com/images/I/71GIlhqVZiL._AC_UL320_.jpg")</f>
        <v/>
      </c>
      <c r="K370" t="inlineStr">
        <is>
          <t>219.0</t>
        </is>
      </c>
      <c r="L370" t="n">
        <v>360.19</v>
      </c>
      <c r="M370" s="2" t="inlineStr">
        <is>
          <t>64.47%</t>
        </is>
      </c>
      <c r="N370" t="n">
        <v>5</v>
      </c>
      <c r="O370" t="n">
        <v>3</v>
      </c>
      <c r="Q370" t="inlineStr">
        <is>
          <t>InStock</t>
        </is>
      </c>
      <c r="R370" t="inlineStr">
        <is>
          <t>665.0</t>
        </is>
      </c>
      <c r="S370" t="inlineStr">
        <is>
          <t>1890828705125605</t>
        </is>
      </c>
    </row>
    <row r="371" ht="75" customHeight="1">
      <c r="A371" s="1">
        <f>HYPERLINK("https://www.theoutnet.com/en-us/shop/product/sergio-rossi/pumps/high-heel-pumps/madame-leather-pumps/1647597277328010", "https://www.theoutnet.com/en-us/shop/product/sergio-rossi/pumps/high-heel-pumps/madame-leather-pumps/1647597277328010")</f>
        <v/>
      </c>
      <c r="B371" s="1">
        <f>HYPERLINK("https://www.theoutnet.com/en-us/shop/product/sergio-rossi/pumps/high-heel-pumps/madame-leather-pumps/1647597277328010", "https://www.theoutnet.com/en-us/shop/product/sergio-rossi/pumps/high-heel-pumps/madame-leather-pumps/1647597277328010")</f>
        <v/>
      </c>
      <c r="C371" t="inlineStr">
        <is>
          <t>SERGIO ROSSI</t>
        </is>
      </c>
      <c r="D371" t="inlineStr">
        <is>
          <t>Sergio Rossi Women's Godiva Pump</t>
        </is>
      </c>
      <c r="E371" s="1">
        <f>HYPERLINK("https://www.amazon.com/Sergio-Rossi-Womens-Godiva-Medium/dp/B07MNSMJKX/ref=sr_1_8?keywords=SERGIO+ROSSI&amp;qid=1695343667&amp;sr=8-8", "https://www.amazon.com/Sergio-Rossi-Womens-Godiva-Medium/dp/B07MNSMJKX/ref=sr_1_8?keywords=SERGIO+ROSSI&amp;qid=1695343667&amp;sr=8-8")</f>
        <v/>
      </c>
      <c r="F371" t="inlineStr">
        <is>
          <t>B07MNSMJKX</t>
        </is>
      </c>
      <c r="G371">
        <f>_xlfn.IMAGE("https://www.theoutnet.com/variants/images/1647597277328010/F/w1020_q80.jpg")</f>
        <v/>
      </c>
      <c r="H371">
        <f>_xlfn.IMAGE("https://m.media-amazon.com/images/I/71GIlhqVZiL._AC_UL320_.jpg")</f>
        <v/>
      </c>
      <c r="K371" t="inlineStr">
        <is>
          <t>182.0</t>
        </is>
      </c>
      <c r="L371" t="n">
        <v>360.19</v>
      </c>
      <c r="M371" s="2" t="inlineStr">
        <is>
          <t>97.91%</t>
        </is>
      </c>
      <c r="N371" t="n">
        <v>5</v>
      </c>
      <c r="O371" t="n">
        <v>3</v>
      </c>
      <c r="Q371" t="inlineStr">
        <is>
          <t>InStock</t>
        </is>
      </c>
      <c r="R371" t="inlineStr">
        <is>
          <t>605.0</t>
        </is>
      </c>
      <c r="S371" t="inlineStr">
        <is>
          <t>1647597277328010</t>
        </is>
      </c>
    </row>
    <row r="372" ht="75" customHeight="1">
      <c r="A372" s="1">
        <f>HYPERLINK("https://www.theoutnet.com/en-us/shop/product/sergio-rossi/pumps/high-heel-pumps/metallic-cracked-leather-pumps/1647597285043179", "https://www.theoutnet.com/en-us/shop/product/sergio-rossi/pumps/high-heel-pumps/metallic-cracked-leather-pumps/1647597285043179")</f>
        <v/>
      </c>
      <c r="B372" s="1">
        <f>HYPERLINK("https://www.theoutnet.com/en-us/shop/product/sergio-rossi/pumps/high-heel-pumps/metallic-cracked-leather-pumps/1647597285043179", "https://www.theoutnet.com/en-us/shop/product/sergio-rossi/pumps/high-heel-pumps/metallic-cracked-leather-pumps/1647597285043179")</f>
        <v/>
      </c>
      <c r="C372" t="inlineStr">
        <is>
          <t>SERGIO ROSSI</t>
        </is>
      </c>
      <c r="D372" t="inlineStr">
        <is>
          <t>Sergio Rossi Women's Godiva Pump</t>
        </is>
      </c>
      <c r="E372" s="1">
        <f>HYPERLINK("https://www.amazon.com/Sergio-Rossi-Womens-Godiva-Medium/dp/B07MNSMJKX/ref=sr_1_7?keywords=SERGIO+ROSSI&amp;qid=1695343292&amp;sr=8-7", "https://www.amazon.com/Sergio-Rossi-Womens-Godiva-Medium/dp/B07MNSMJKX/ref=sr_1_7?keywords=SERGIO+ROSSI&amp;qid=1695343292&amp;sr=8-7")</f>
        <v/>
      </c>
      <c r="F372" t="inlineStr">
        <is>
          <t>B07MNSMJKX</t>
        </is>
      </c>
      <c r="G372">
        <f>_xlfn.IMAGE("https://www.theoutnet.com/variants/images/1647597285043179/F/w1020_q80.jpg")</f>
        <v/>
      </c>
      <c r="H372">
        <f>_xlfn.IMAGE("https://m.media-amazon.com/images/I/71GIlhqVZiL._AC_UL320_.jpg")</f>
        <v/>
      </c>
      <c r="K372" t="inlineStr">
        <is>
          <t>191.0</t>
        </is>
      </c>
      <c r="L372" t="n">
        <v>360.19</v>
      </c>
      <c r="M372" s="2" t="inlineStr">
        <is>
          <t>88.58%</t>
        </is>
      </c>
      <c r="N372" t="n">
        <v>5</v>
      </c>
      <c r="O372" t="n">
        <v>3</v>
      </c>
      <c r="Q372" t="inlineStr">
        <is>
          <t>InStock</t>
        </is>
      </c>
      <c r="R372" t="inlineStr">
        <is>
          <t>635.0</t>
        </is>
      </c>
      <c r="S372" t="inlineStr">
        <is>
          <t>1647597285043179</t>
        </is>
      </c>
    </row>
    <row r="373" ht="75" customHeight="1">
      <c r="A373" s="1">
        <f>HYPERLINK("https://www.theoutnet.com/en-us/shop/product/sergio-rossi/pumps/high-heel-pumps/metallic-cracked-leather-pumps/1647597285043179", "https://www.theoutnet.com/en-us/shop/product/sergio-rossi/pumps/high-heel-pumps/metallic-cracked-leather-pumps/1647597285043179")</f>
        <v/>
      </c>
      <c r="B373" s="1">
        <f>HYPERLINK("https://www.theoutnet.com/en-us/shop/product/sergio-rossi/pumps/high-heel-pumps/metallic-cracked-leather-pumps/1647597285043179", "https://www.theoutnet.com/en-us/shop/product/sergio-rossi/pumps/high-heel-pumps/metallic-cracked-leather-pumps/1647597285043179")</f>
        <v/>
      </c>
      <c r="C373" t="inlineStr">
        <is>
          <t>SERGIO ROSSI</t>
        </is>
      </c>
      <c r="D373" t="inlineStr">
        <is>
          <t>Sergio Rossi Women's Godiva Pump</t>
        </is>
      </c>
      <c r="E373" s="1">
        <f>HYPERLINK("https://www.amazon.com/Sergio-Rossi-Womens-Godiva-Medium/dp/B07MNSMJKX/ref=sr_1_7?keywords=SERGIO+ROSSI&amp;qid=1695343682&amp;sr=8-7", "https://www.amazon.com/Sergio-Rossi-Womens-Godiva-Medium/dp/B07MNSMJKX/ref=sr_1_7?keywords=SERGIO+ROSSI&amp;qid=1695343682&amp;sr=8-7")</f>
        <v/>
      </c>
      <c r="F373" t="inlineStr">
        <is>
          <t>B07MNSMJKX</t>
        </is>
      </c>
      <c r="G373">
        <f>_xlfn.IMAGE("https://www.theoutnet.com/variants/images/1647597285043179/F/w1020_q80.jpg")</f>
        <v/>
      </c>
      <c r="H373">
        <f>_xlfn.IMAGE("https://m.media-amazon.com/images/I/71GIlhqVZiL._AC_UL320_.jpg")</f>
        <v/>
      </c>
      <c r="K373" t="inlineStr">
        <is>
          <t>191.0</t>
        </is>
      </c>
      <c r="L373" t="n">
        <v>360.19</v>
      </c>
      <c r="M373" s="2" t="inlineStr">
        <is>
          <t>88.58%</t>
        </is>
      </c>
      <c r="N373" t="n">
        <v>5</v>
      </c>
      <c r="O373" t="n">
        <v>3</v>
      </c>
      <c r="Q373" t="inlineStr">
        <is>
          <t>InStock</t>
        </is>
      </c>
      <c r="R373" t="inlineStr">
        <is>
          <t>635.0</t>
        </is>
      </c>
      <c r="S373" t="inlineStr">
        <is>
          <t>1647597285043179</t>
        </is>
      </c>
    </row>
    <row r="374" ht="75" customHeight="1">
      <c r="A374" s="1">
        <f>HYPERLINK("https://www.theoutnet.com/en-us/shop/product/sergio-rossi/pumps/high-heel-pumps/metallic-textured-leather-pumps/1647597277976361", "https://www.theoutnet.com/en-us/shop/product/sergio-rossi/pumps/high-heel-pumps/metallic-textured-leather-pumps/1647597277976361")</f>
        <v/>
      </c>
      <c r="B374" s="1">
        <f>HYPERLINK("https://www.theoutnet.com/en-us/shop/product/sergio-rossi/pumps/high-heel-pumps/metallic-textured-leather-pumps/1647597277976361", "https://www.theoutnet.com/en-us/shop/product/sergio-rossi/pumps/high-heel-pumps/metallic-textured-leather-pumps/1647597277976361")</f>
        <v/>
      </c>
      <c r="C374" t="inlineStr">
        <is>
          <t>SERGIO ROSSI</t>
        </is>
      </c>
      <c r="D374" t="inlineStr">
        <is>
          <t>Sergio Rossi Women's Godiva Pump</t>
        </is>
      </c>
      <c r="E374" s="1">
        <f>HYPERLINK("https://www.amazon.com/Sergio-Rossi-Womens-Godiva-Medium/dp/B07MNSMJKX/ref=sr_1_8?keywords=SERGIO+ROSSI&amp;qid=1695343305&amp;sr=8-8", "https://www.amazon.com/Sergio-Rossi-Womens-Godiva-Medium/dp/B07MNSMJKX/ref=sr_1_8?keywords=SERGIO+ROSSI&amp;qid=1695343305&amp;sr=8-8")</f>
        <v/>
      </c>
      <c r="F374" t="inlineStr">
        <is>
          <t>B07MNSMJKX</t>
        </is>
      </c>
      <c r="G374">
        <f>_xlfn.IMAGE("https://www.theoutnet.com/variants/images/1647597277976361/F/w1020_q80.jpg")</f>
        <v/>
      </c>
      <c r="H374">
        <f>_xlfn.IMAGE("https://m.media-amazon.com/images/I/71GIlhqVZiL._AC_UL320_.jpg")</f>
        <v/>
      </c>
      <c r="K374" t="inlineStr">
        <is>
          <t>120.0</t>
        </is>
      </c>
      <c r="L374" t="n">
        <v>360.19</v>
      </c>
      <c r="M374" s="2" t="inlineStr">
        <is>
          <t>200.16%</t>
        </is>
      </c>
      <c r="N374" t="n">
        <v>5</v>
      </c>
      <c r="O374" t="n">
        <v>3</v>
      </c>
      <c r="Q374" t="inlineStr">
        <is>
          <t>InStock</t>
        </is>
      </c>
      <c r="R374" t="inlineStr">
        <is>
          <t>400.0</t>
        </is>
      </c>
      <c r="S374" t="inlineStr">
        <is>
          <t>1647597277976361</t>
        </is>
      </c>
    </row>
    <row r="375" ht="75" customHeight="1">
      <c r="A375" s="1">
        <f>HYPERLINK("https://www.theoutnet.com/en-us/shop/product/sergio-rossi/pumps/high-heel-pumps/metallic-textured-leather-pumps/1647597277976361", "https://www.theoutnet.com/en-us/shop/product/sergio-rossi/pumps/high-heel-pumps/metallic-textured-leather-pumps/1647597277976361")</f>
        <v/>
      </c>
      <c r="B375" s="1">
        <f>HYPERLINK("https://www.theoutnet.com/en-us/shop/product/sergio-rossi/pumps/high-heel-pumps/metallic-textured-leather-pumps/1647597277976361", "https://www.theoutnet.com/en-us/shop/product/sergio-rossi/pumps/high-heel-pumps/metallic-textured-leather-pumps/1647597277976361")</f>
        <v/>
      </c>
      <c r="C375" t="inlineStr">
        <is>
          <t>SERGIO ROSSI</t>
        </is>
      </c>
      <c r="D375" t="inlineStr">
        <is>
          <t>Sergio Rossi Women's Godiva Pump</t>
        </is>
      </c>
      <c r="E375" s="1">
        <f>HYPERLINK("https://www.amazon.com/Sergio-Rossi-Womens-Godiva-Medium/dp/B07MNSMJKX/ref=sr_1_8?keywords=SERGIO+ROSSI&amp;qid=1695343589&amp;sr=8-8", "https://www.amazon.com/Sergio-Rossi-Womens-Godiva-Medium/dp/B07MNSMJKX/ref=sr_1_8?keywords=SERGIO+ROSSI&amp;qid=1695343589&amp;sr=8-8")</f>
        <v/>
      </c>
      <c r="F375" t="inlineStr">
        <is>
          <t>B07MNSMJKX</t>
        </is>
      </c>
      <c r="G375">
        <f>_xlfn.IMAGE("https://www.theoutnet.com/variants/images/1647597277976361/F/w1020_q80.jpg")</f>
        <v/>
      </c>
      <c r="H375">
        <f>_xlfn.IMAGE("https://m.media-amazon.com/images/I/71GIlhqVZiL._AC_UL320_.jpg")</f>
        <v/>
      </c>
      <c r="K375" t="inlineStr">
        <is>
          <t>120.0</t>
        </is>
      </c>
      <c r="L375" t="n">
        <v>360.19</v>
      </c>
      <c r="M375" s="2" t="inlineStr">
        <is>
          <t>200.16%</t>
        </is>
      </c>
      <c r="N375" t="n">
        <v>5</v>
      </c>
      <c r="O375" t="n">
        <v>3</v>
      </c>
      <c r="Q375" t="inlineStr">
        <is>
          <t>InStock</t>
        </is>
      </c>
      <c r="R375" t="inlineStr">
        <is>
          <t>400.0</t>
        </is>
      </c>
      <c r="S375" t="inlineStr">
        <is>
          <t>1647597277976361</t>
        </is>
      </c>
    </row>
    <row r="376" ht="75" customHeight="1">
      <c r="A376" s="1">
        <f>HYPERLINK("https://www.theoutnet.com/en-us/shop/product/sergio-rossi/pumps/high-heel-pumps/patent-leather-pumps/1647597277800038", "https://www.theoutnet.com/en-us/shop/product/sergio-rossi/pumps/high-heel-pumps/patent-leather-pumps/1647597277800038")</f>
        <v/>
      </c>
      <c r="B376" s="1">
        <f>HYPERLINK("https://www.theoutnet.com/en-us/shop/product/sergio-rossi/pumps/high-heel-pumps/patent-leather-pumps/1647597277800038", "https://www.theoutnet.com/en-us/shop/product/sergio-rossi/pumps/high-heel-pumps/patent-leather-pumps/1647597277800038")</f>
        <v/>
      </c>
      <c r="C376" t="inlineStr">
        <is>
          <t>SERGIO ROSSI</t>
        </is>
      </c>
      <c r="D376" t="inlineStr">
        <is>
          <t>Sergio Rossi Women's Godiva Pump</t>
        </is>
      </c>
      <c r="E376" s="1">
        <f>HYPERLINK("https://www.amazon.com/Sergio-Rossi-Womens-Godiva-Medium/dp/B07MNSMJKX/ref=sr_1_7?keywords=SERGIO+ROSSI&amp;qid=1695343221&amp;sr=8-7", "https://www.amazon.com/Sergio-Rossi-Womens-Godiva-Medium/dp/B07MNSMJKX/ref=sr_1_7?keywords=SERGIO+ROSSI&amp;qid=1695343221&amp;sr=8-7")</f>
        <v/>
      </c>
      <c r="F376" t="inlineStr">
        <is>
          <t>B07MNSMJKX</t>
        </is>
      </c>
      <c r="G376">
        <f>_xlfn.IMAGE("https://www.theoutnet.com/variants/images/1647597277800038/F/w1020_q80.jpg")</f>
        <v/>
      </c>
      <c r="H376">
        <f>_xlfn.IMAGE("https://m.media-amazon.com/images/I/71GIlhqVZiL._AC_UL320_.jpg")</f>
        <v/>
      </c>
      <c r="K376" t="inlineStr">
        <is>
          <t>218.0</t>
        </is>
      </c>
      <c r="L376" t="n">
        <v>360.19</v>
      </c>
      <c r="M376" s="2" t="inlineStr">
        <is>
          <t>65.22%</t>
        </is>
      </c>
      <c r="N376" t="n">
        <v>5</v>
      </c>
      <c r="O376" t="n">
        <v>3</v>
      </c>
      <c r="Q376" t="inlineStr">
        <is>
          <t>InStock</t>
        </is>
      </c>
      <c r="R376" t="inlineStr">
        <is>
          <t>725.0</t>
        </is>
      </c>
      <c r="S376" t="inlineStr">
        <is>
          <t>1</t>
        </is>
      </c>
    </row>
    <row r="377" ht="75" customHeight="1">
      <c r="A377" s="1">
        <f>HYPERLINK("https://www.theoutnet.com/en-us/shop/product/sergio-rossi/pumps/high-heel-pumps/patent-leather-pumps/1647597277800038", "https://www.theoutnet.com/en-us/shop/product/sergio-rossi/pumps/high-heel-pumps/patent-leather-pumps/1647597277800038")</f>
        <v/>
      </c>
      <c r="B377" s="1">
        <f>HYPERLINK("https://www.theoutnet.com/en-us/shop/product/sergio-rossi/pumps/high-heel-pumps/patent-leather-pumps/1647597277800038", "https://www.theoutnet.com/en-us/shop/product/sergio-rossi/pumps/high-heel-pumps/patent-leather-pumps/1647597277800038")</f>
        <v/>
      </c>
      <c r="C377" t="inlineStr">
        <is>
          <t>SERGIO ROSSI</t>
        </is>
      </c>
      <c r="D377" t="inlineStr">
        <is>
          <t>Sergio Rossi Women's Godiva Pump</t>
        </is>
      </c>
      <c r="E377" s="1">
        <f>HYPERLINK("https://www.amazon.com/Sergio-Rossi-Womens-Godiva-Medium/dp/B07MNSMJKX/ref=sr_1_7?keywords=SERGIO+ROSSI&amp;qid=1695343734&amp;sr=8-7", "https://www.amazon.com/Sergio-Rossi-Womens-Godiva-Medium/dp/B07MNSMJKX/ref=sr_1_7?keywords=SERGIO+ROSSI&amp;qid=1695343734&amp;sr=8-7")</f>
        <v/>
      </c>
      <c r="F377" t="inlineStr">
        <is>
          <t>B07MNSMJKX</t>
        </is>
      </c>
      <c r="G377">
        <f>_xlfn.IMAGE("https://www.theoutnet.com/variants/images/1647597277800038/F/w1020_q80.jpg")</f>
        <v/>
      </c>
      <c r="H377">
        <f>_xlfn.IMAGE("https://m.media-amazon.com/images/I/71GIlhqVZiL._AC_UL320_.jpg")</f>
        <v/>
      </c>
      <c r="K377" t="inlineStr">
        <is>
          <t>218.0</t>
        </is>
      </c>
      <c r="L377" t="n">
        <v>360.19</v>
      </c>
      <c r="M377" s="2" t="inlineStr">
        <is>
          <t>65.22%</t>
        </is>
      </c>
      <c r="N377" t="n">
        <v>5</v>
      </c>
      <c r="O377" t="n">
        <v>3</v>
      </c>
      <c r="Q377" t="inlineStr">
        <is>
          <t>InStock</t>
        </is>
      </c>
      <c r="R377" t="inlineStr">
        <is>
          <t>725.0</t>
        </is>
      </c>
      <c r="S377" t="inlineStr">
        <is>
          <t>1</t>
        </is>
      </c>
    </row>
    <row r="378" ht="75" customHeight="1">
      <c r="A378" s="1">
        <f>HYPERLINK("https://www.theoutnet.com/en-us/shop/product/sergio-rossi/pumps/high-heel-pumps/secret-metallic-cracked-leather-pumps/1647597277348574", "https://www.theoutnet.com/en-us/shop/product/sergio-rossi/pumps/high-heel-pumps/secret-metallic-cracked-leather-pumps/1647597277348574")</f>
        <v/>
      </c>
      <c r="B378" s="1">
        <f>HYPERLINK("https://www.theoutnet.com/en-us/shop/product/sergio-rossi/pumps/high-heel-pumps/secret-metallic-cracked-leather-pumps/1647597277348574", "https://www.theoutnet.com/en-us/shop/product/sergio-rossi/pumps/high-heel-pumps/secret-metallic-cracked-leather-pumps/1647597277348574")</f>
        <v/>
      </c>
      <c r="C378" t="inlineStr">
        <is>
          <t>SERGIO ROSSI</t>
        </is>
      </c>
      <c r="D378" t="inlineStr">
        <is>
          <t>Sergio Rossi Women's Godiva Pump</t>
        </is>
      </c>
      <c r="E378" s="1">
        <f>HYPERLINK("https://www.amazon.com/Sergio-Rossi-Womens-Godiva-Medium/dp/B07MNSMJKX/ref=sr_1_8?keywords=SERGIO+ROSSI&amp;qid=1695343679&amp;sr=8-8", "https://www.amazon.com/Sergio-Rossi-Womens-Godiva-Medium/dp/B07MNSMJKX/ref=sr_1_8?keywords=SERGIO+ROSSI&amp;qid=1695343679&amp;sr=8-8")</f>
        <v/>
      </c>
      <c r="F378" t="inlineStr">
        <is>
          <t>B07MNSMJKX</t>
        </is>
      </c>
      <c r="G378">
        <f>_xlfn.IMAGE("https://www.theoutnet.com/variants/images/1647597277348574/F/w1020_q80.jpg")</f>
        <v/>
      </c>
      <c r="H378">
        <f>_xlfn.IMAGE("https://m.media-amazon.com/images/I/71GIlhqVZiL._AC_UL320_.jpg")</f>
        <v/>
      </c>
      <c r="K378" t="inlineStr">
        <is>
          <t>191.0</t>
        </is>
      </c>
      <c r="L378" t="n">
        <v>360.19</v>
      </c>
      <c r="M378" s="2" t="inlineStr">
        <is>
          <t>88.58%</t>
        </is>
      </c>
      <c r="N378" t="n">
        <v>5</v>
      </c>
      <c r="O378" t="n">
        <v>3</v>
      </c>
      <c r="Q378" t="inlineStr">
        <is>
          <t>InStock</t>
        </is>
      </c>
      <c r="R378" t="inlineStr">
        <is>
          <t>455.0</t>
        </is>
      </c>
      <c r="S378" t="inlineStr">
        <is>
          <t>1647597277348574</t>
        </is>
      </c>
    </row>
    <row r="379" ht="75" customHeight="1">
      <c r="A379" s="1">
        <f>HYPERLINK("https://www.theoutnet.com/en-us/shop/product/sergio-rossi/pumps/high-heel-pumps/suede-pumps/27086482324646647", "https://www.theoutnet.com/en-us/shop/product/sergio-rossi/pumps/high-heel-pumps/suede-pumps/27086482324646647")</f>
        <v/>
      </c>
      <c r="B379" s="1">
        <f>HYPERLINK("https://www.theoutnet.com/en-us/shop/product/sergio-rossi/pumps/high-heel-pumps/suede-pumps/27086482324646647", "https://www.theoutnet.com/en-us/shop/product/sergio-rossi/pumps/high-heel-pumps/suede-pumps/27086482324646647")</f>
        <v/>
      </c>
      <c r="C379" t="inlineStr">
        <is>
          <t>SERGIO ROSSI</t>
        </is>
      </c>
      <c r="D379" t="inlineStr">
        <is>
          <t>Sergio Rossi Women's Godiva Pump</t>
        </is>
      </c>
      <c r="E379" s="1">
        <f>HYPERLINK("https://www.amazon.com/Sergio-Rossi-Womens-Godiva-Medium/dp/B07MNSMJKX/ref=sr_1_8?keywords=SERGIO+ROSSI&amp;qid=1695343297&amp;sr=8-8", "https://www.amazon.com/Sergio-Rossi-Womens-Godiva-Medium/dp/B07MNSMJKX/ref=sr_1_8?keywords=SERGIO+ROSSI&amp;qid=1695343297&amp;sr=8-8")</f>
        <v/>
      </c>
      <c r="F379" t="inlineStr">
        <is>
          <t>B07MNSMJKX</t>
        </is>
      </c>
      <c r="G379">
        <f>_xlfn.IMAGE("https://www.theoutnet.com/variants/images/27086482324646647/F/w1020_q80.jpg")</f>
        <v/>
      </c>
      <c r="H379">
        <f>_xlfn.IMAGE("https://m.media-amazon.com/images/I/71GIlhqVZiL._AC_UL320_.jpg")</f>
        <v/>
      </c>
      <c r="K379" t="inlineStr">
        <is>
          <t>207.0</t>
        </is>
      </c>
      <c r="L379" t="n">
        <v>360.19</v>
      </c>
      <c r="M379" s="2" t="inlineStr">
        <is>
          <t>74.00%</t>
        </is>
      </c>
      <c r="N379" t="n">
        <v>5</v>
      </c>
      <c r="O379" t="n">
        <v>3</v>
      </c>
      <c r="Q379" t="inlineStr">
        <is>
          <t>InStock</t>
        </is>
      </c>
      <c r="R379" t="inlineStr">
        <is>
          <t>690.0</t>
        </is>
      </c>
      <c r="S379" t="inlineStr">
        <is>
          <t>2</t>
        </is>
      </c>
    </row>
    <row r="380" ht="75" customHeight="1">
      <c r="A380" s="1">
        <f>HYPERLINK("https://www.theoutnet.com/en-us/shop/product/sergio-rossi/pumps/high-heel-pumps/suede-pumps/27086482324646647", "https://www.theoutnet.com/en-us/shop/product/sergio-rossi/pumps/high-heel-pumps/suede-pumps/27086482324646647")</f>
        <v/>
      </c>
      <c r="B380" s="1">
        <f>HYPERLINK("https://www.theoutnet.com/en-us/shop/product/sergio-rossi/pumps/high-heel-pumps/suede-pumps/27086482324646647", "https://www.theoutnet.com/en-us/shop/product/sergio-rossi/pumps/high-heel-pumps/suede-pumps/27086482324646647")</f>
        <v/>
      </c>
      <c r="C380" t="inlineStr">
        <is>
          <t>SERGIO ROSSI</t>
        </is>
      </c>
      <c r="D380" t="inlineStr">
        <is>
          <t>Sergio Rossi Women's Godiva Pump</t>
        </is>
      </c>
      <c r="E380" s="1">
        <f>HYPERLINK("https://www.amazon.com/Sergio-Rossi-Womens-Godiva-Medium/dp/B07MNSMJKX/ref=sr_1_8?keywords=SERGIO+ROSSI&amp;qid=1695343714&amp;sr=8-8", "https://www.amazon.com/Sergio-Rossi-Womens-Godiva-Medium/dp/B07MNSMJKX/ref=sr_1_8?keywords=SERGIO+ROSSI&amp;qid=1695343714&amp;sr=8-8")</f>
        <v/>
      </c>
      <c r="F380" t="inlineStr">
        <is>
          <t>B07MNSMJKX</t>
        </is>
      </c>
      <c r="G380">
        <f>_xlfn.IMAGE("https://www.theoutnet.com/variants/images/27086482324646647/F/w1020_q80.jpg")</f>
        <v/>
      </c>
      <c r="H380">
        <f>_xlfn.IMAGE("https://m.media-amazon.com/images/I/71GIlhqVZiL._AC_UL320_.jpg")</f>
        <v/>
      </c>
      <c r="K380" t="inlineStr">
        <is>
          <t>207.0</t>
        </is>
      </c>
      <c r="L380" t="n">
        <v>360.19</v>
      </c>
      <c r="M380" s="2" t="inlineStr">
        <is>
          <t>74.00%</t>
        </is>
      </c>
      <c r="N380" t="n">
        <v>5</v>
      </c>
      <c r="O380" t="n">
        <v>3</v>
      </c>
      <c r="Q380" t="inlineStr">
        <is>
          <t>InStock</t>
        </is>
      </c>
      <c r="R380" t="inlineStr">
        <is>
          <t>690.0</t>
        </is>
      </c>
      <c r="S380" t="inlineStr">
        <is>
          <t>2</t>
        </is>
      </c>
    </row>
    <row r="381" ht="75" customHeight="1">
      <c r="A381" s="1">
        <f>HYPERLINK("https://www.theoutnet.com/en-us/shop/product/sergio-rossi/pumps/mid-heel-pumps/suede-wedge-pumps/1647597285411911", "https://www.theoutnet.com/en-us/shop/product/sergio-rossi/pumps/mid-heel-pumps/suede-wedge-pumps/1647597285411911")</f>
        <v/>
      </c>
      <c r="B381" s="1">
        <f>HYPERLINK("https://www.theoutnet.com/en-us/shop/product/sergio-rossi/pumps/mid-heel-pumps/suede-wedge-pumps/1647597285411911", "https://www.theoutnet.com/en-us/shop/product/sergio-rossi/pumps/mid-heel-pumps/suede-wedge-pumps/1647597285411911")</f>
        <v/>
      </c>
      <c r="C381" t="inlineStr">
        <is>
          <t>SERGIO ROSSI</t>
        </is>
      </c>
      <c r="D381" t="inlineStr">
        <is>
          <t>Sergio Rossi Women's Godiva Pump</t>
        </is>
      </c>
      <c r="E381" s="1">
        <f>HYPERLINK("https://www.amazon.com/Sergio-Rossi-Womens-Godiva-Medium/dp/B07MNSMJKX/ref=sr_1_8?keywords=SERGIO+ROSSI&amp;qid=1695343268&amp;sr=8-8", "https://www.amazon.com/Sergio-Rossi-Womens-Godiva-Medium/dp/B07MNSMJKX/ref=sr_1_8?keywords=SERGIO+ROSSI&amp;qid=1695343268&amp;sr=8-8")</f>
        <v/>
      </c>
      <c r="F381" t="inlineStr">
        <is>
          <t>B07MNSMJKX</t>
        </is>
      </c>
      <c r="G381">
        <f>_xlfn.IMAGE("https://www.theoutnet.com/variants/images/1647597285411911/F/w1020_q80.jpg")</f>
        <v/>
      </c>
      <c r="H381">
        <f>_xlfn.IMAGE("https://m.media-amazon.com/images/I/71GIlhqVZiL._AC_UL320_.jpg")</f>
        <v/>
      </c>
      <c r="K381" t="inlineStr">
        <is>
          <t>171.0</t>
        </is>
      </c>
      <c r="L381" t="n">
        <v>360.19</v>
      </c>
      <c r="M381" s="2" t="inlineStr">
        <is>
          <t>110.64%</t>
        </is>
      </c>
      <c r="N381" t="n">
        <v>5</v>
      </c>
      <c r="O381" t="n">
        <v>3</v>
      </c>
      <c r="Q381" t="inlineStr">
        <is>
          <t>InStock</t>
        </is>
      </c>
      <c r="R381" t="inlineStr">
        <is>
          <t>570.0</t>
        </is>
      </c>
      <c r="S381" t="inlineStr">
        <is>
          <t>1</t>
        </is>
      </c>
    </row>
    <row r="382" ht="75" customHeight="1">
      <c r="A382" s="1">
        <f>HYPERLINK("https://www.theoutnet.com/en-us/shop/product/sergio-rossi/pumps/mid-heel-pumps/suede-wedge-pumps/1647597285411911", "https://www.theoutnet.com/en-us/shop/product/sergio-rossi/pumps/mid-heel-pumps/suede-wedge-pumps/1647597285411911")</f>
        <v/>
      </c>
      <c r="B382" s="1">
        <f>HYPERLINK("https://www.theoutnet.com/en-us/shop/product/sergio-rossi/pumps/mid-heel-pumps/suede-wedge-pumps/1647597285411911", "https://www.theoutnet.com/en-us/shop/product/sergio-rossi/pumps/mid-heel-pumps/suede-wedge-pumps/1647597285411911")</f>
        <v/>
      </c>
      <c r="C382" t="inlineStr">
        <is>
          <t>SERGIO ROSSI</t>
        </is>
      </c>
      <c r="D382" t="inlineStr">
        <is>
          <t>Sergio Rossi Women's Godiva Pump</t>
        </is>
      </c>
      <c r="E382" s="1">
        <f>HYPERLINK("https://www.amazon.com/Sergio-Rossi-Womens-Godiva-Medium/dp/B07MNSMJKX/ref=sr_1_8?keywords=SERGIO+ROSSI&amp;qid=1695343651&amp;sr=8-8", "https://www.amazon.com/Sergio-Rossi-Womens-Godiva-Medium/dp/B07MNSMJKX/ref=sr_1_8?keywords=SERGIO+ROSSI&amp;qid=1695343651&amp;sr=8-8")</f>
        <v/>
      </c>
      <c r="F382" t="inlineStr">
        <is>
          <t>B07MNSMJKX</t>
        </is>
      </c>
      <c r="G382">
        <f>_xlfn.IMAGE("https://www.theoutnet.com/variants/images/1647597285411911/F/w1020_q80.jpg")</f>
        <v/>
      </c>
      <c r="H382">
        <f>_xlfn.IMAGE("https://m.media-amazon.com/images/I/71GIlhqVZiL._AC_UL320_.jpg")</f>
        <v/>
      </c>
      <c r="K382" t="inlineStr">
        <is>
          <t>171.0</t>
        </is>
      </c>
      <c r="L382" t="n">
        <v>360.19</v>
      </c>
      <c r="M382" s="2" t="inlineStr">
        <is>
          <t>110.64%</t>
        </is>
      </c>
      <c r="N382" t="n">
        <v>5</v>
      </c>
      <c r="O382" t="n">
        <v>3</v>
      </c>
      <c r="Q382" t="inlineStr">
        <is>
          <t>InStock</t>
        </is>
      </c>
      <c r="R382" t="inlineStr">
        <is>
          <t>570.0</t>
        </is>
      </c>
      <c r="S382" t="inlineStr">
        <is>
          <t>1</t>
        </is>
      </c>
    </row>
    <row r="383" ht="75" customHeight="1">
      <c r="A383" s="1">
        <f>HYPERLINK("https://www.theoutnet.com/en-us/shop/product/sergio-rossi/sandals/blockheel/leather-sandals/1647597285291024", "https://www.theoutnet.com/en-us/shop/product/sergio-rossi/sandals/blockheel/leather-sandals/1647597285291024")</f>
        <v/>
      </c>
      <c r="B383" s="1">
        <f>HYPERLINK("https://www.theoutnet.com/en-us/shop/product/sergio-rossi/sandals/blockheel/leather-sandals/1647597285291024", "https://www.theoutnet.com/en-us/shop/product/sergio-rossi/sandals/blockheel/leather-sandals/1647597285291024")</f>
        <v/>
      </c>
      <c r="C383" t="inlineStr">
        <is>
          <t>SERGIO ROSSI</t>
        </is>
      </c>
      <c r="D383" t="inlineStr">
        <is>
          <t>Sergio Rossi Women's Godiva Pump</t>
        </is>
      </c>
      <c r="E383" s="1">
        <f>HYPERLINK("https://www.amazon.com/Sergio-Rossi-Womens-Godiva-Medium/dp/B07MNSMJKX/ref=sr_1_8?keywords=SERGIO+ROSSI&amp;qid=1695343279&amp;sr=8-8", "https://www.amazon.com/Sergio-Rossi-Womens-Godiva-Medium/dp/B07MNSMJKX/ref=sr_1_8?keywords=SERGIO+ROSSI&amp;qid=1695343279&amp;sr=8-8")</f>
        <v/>
      </c>
      <c r="F383" t="inlineStr">
        <is>
          <t>B07MNSMJKX</t>
        </is>
      </c>
      <c r="G383">
        <f>_xlfn.IMAGE("https://www.theoutnet.com/variants/images/1647597285291024/F/w1020_q80.jpg")</f>
        <v/>
      </c>
      <c r="H383">
        <f>_xlfn.IMAGE("https://m.media-amazon.com/images/I/71GIlhqVZiL._AC_UL320_.jpg")</f>
        <v/>
      </c>
      <c r="K383" t="inlineStr">
        <is>
          <t>197.0</t>
        </is>
      </c>
      <c r="L383" t="n">
        <v>360.19</v>
      </c>
      <c r="M383" s="2" t="inlineStr">
        <is>
          <t>82.84%</t>
        </is>
      </c>
      <c r="N383" t="n">
        <v>5</v>
      </c>
      <c r="O383" t="n">
        <v>3</v>
      </c>
      <c r="Q383" t="inlineStr">
        <is>
          <t>InStock</t>
        </is>
      </c>
      <c r="R383" t="inlineStr">
        <is>
          <t>655.0</t>
        </is>
      </c>
      <c r="S383" t="inlineStr">
        <is>
          <t>6</t>
        </is>
      </c>
    </row>
    <row r="384" ht="75" customHeight="1">
      <c r="A384" s="1">
        <f>HYPERLINK("https://www.theoutnet.com/en-us/shop/product/sergio-rossi/sandals/blockheel/leather-sandals/1647597285291024", "https://www.theoutnet.com/en-us/shop/product/sergio-rossi/sandals/blockheel/leather-sandals/1647597285291024")</f>
        <v/>
      </c>
      <c r="B384" s="1">
        <f>HYPERLINK("https://www.theoutnet.com/en-us/shop/product/sergio-rossi/sandals/blockheel/leather-sandals/1647597285291024", "https://www.theoutnet.com/en-us/shop/product/sergio-rossi/sandals/blockheel/leather-sandals/1647597285291024")</f>
        <v/>
      </c>
      <c r="C384" t="inlineStr">
        <is>
          <t>SERGIO ROSSI</t>
        </is>
      </c>
      <c r="D384" t="inlineStr">
        <is>
          <t>Sergio Rossi Women's Godiva Pump</t>
        </is>
      </c>
      <c r="E384" s="1">
        <f>HYPERLINK("https://www.amazon.com/Sergio-Rossi-Womens-Godiva-Medium/dp/B07MNSMJKX/ref=sr_1_7?keywords=SERGIO+ROSSI&amp;qid=1695343687&amp;sr=8-7", "https://www.amazon.com/Sergio-Rossi-Womens-Godiva-Medium/dp/B07MNSMJKX/ref=sr_1_7?keywords=SERGIO+ROSSI&amp;qid=1695343687&amp;sr=8-7")</f>
        <v/>
      </c>
      <c r="F384" t="inlineStr">
        <is>
          <t>B07MNSMJKX</t>
        </is>
      </c>
      <c r="G384">
        <f>_xlfn.IMAGE("https://www.theoutnet.com/variants/images/1647597285291024/F/w1020_q80.jpg")</f>
        <v/>
      </c>
      <c r="H384">
        <f>_xlfn.IMAGE("https://m.media-amazon.com/images/I/71GIlhqVZiL._AC_UL320_.jpg")</f>
        <v/>
      </c>
      <c r="K384" t="inlineStr">
        <is>
          <t>197.0</t>
        </is>
      </c>
      <c r="L384" t="n">
        <v>360.19</v>
      </c>
      <c r="M384" s="2" t="inlineStr">
        <is>
          <t>82.84%</t>
        </is>
      </c>
      <c r="N384" t="n">
        <v>5</v>
      </c>
      <c r="O384" t="n">
        <v>3</v>
      </c>
      <c r="Q384" t="inlineStr">
        <is>
          <t>InStock</t>
        </is>
      </c>
      <c r="R384" t="inlineStr">
        <is>
          <t>655.0</t>
        </is>
      </c>
      <c r="S384" t="inlineStr">
        <is>
          <t>6</t>
        </is>
      </c>
    </row>
    <row r="385" ht="75" customHeight="1">
      <c r="A385" s="1">
        <f>HYPERLINK("https://www.theoutnet.com/en-us/shop/product/sergio-rossi/sandals/blockheel/suede-mules/30629810019492720", "https://www.theoutnet.com/en-us/shop/product/sergio-rossi/sandals/blockheel/suede-mules/30629810019492720")</f>
        <v/>
      </c>
      <c r="B385" s="1">
        <f>HYPERLINK("https://www.theoutnet.com/en-us/shop/product/sergio-rossi/sandals/blockheel/suede-mules/30629810019492720", "https://www.theoutnet.com/en-us/shop/product/sergio-rossi/sandals/blockheel/suede-mules/30629810019492720")</f>
        <v/>
      </c>
      <c r="C385" t="inlineStr">
        <is>
          <t>SERGIO ROSSI</t>
        </is>
      </c>
      <c r="D385" t="inlineStr">
        <is>
          <t>Sergio Rossi Women's Godiva Pump</t>
        </is>
      </c>
      <c r="E385" s="1">
        <f>HYPERLINK("https://www.amazon.com/Sergio-Rossi-Womens-Godiva-Medium/dp/B07MNSMJKX/ref=sr_1_7?keywords=SERGIO+ROSSI&amp;qid=1695343675&amp;sr=8-7", "https://www.amazon.com/Sergio-Rossi-Womens-Godiva-Medium/dp/B07MNSMJKX/ref=sr_1_7?keywords=SERGIO+ROSSI&amp;qid=1695343675&amp;sr=8-7")</f>
        <v/>
      </c>
      <c r="F385" t="inlineStr">
        <is>
          <t>B07MNSMJKX</t>
        </is>
      </c>
      <c r="G385">
        <f>_xlfn.IMAGE("https://www.theoutnet.com/variants/images/30629810019492720/F/w1020_q80.jpg")</f>
        <v/>
      </c>
      <c r="H385">
        <f>_xlfn.IMAGE("https://m.media-amazon.com/images/I/71GIlhqVZiL._AC_UL320_.jpg")</f>
        <v/>
      </c>
      <c r="K385" t="inlineStr">
        <is>
          <t>188.0</t>
        </is>
      </c>
      <c r="L385" t="n">
        <v>360.19</v>
      </c>
      <c r="M385" s="2" t="inlineStr">
        <is>
          <t>91.59%</t>
        </is>
      </c>
      <c r="N385" t="n">
        <v>5</v>
      </c>
      <c r="O385" t="n">
        <v>3</v>
      </c>
      <c r="Q385" t="inlineStr">
        <is>
          <t>InStock</t>
        </is>
      </c>
      <c r="R385" t="inlineStr">
        <is>
          <t>465.0</t>
        </is>
      </c>
      <c r="S385" t="inlineStr">
        <is>
          <t>30629810019492720</t>
        </is>
      </c>
    </row>
    <row r="386" ht="75" customHeight="1">
      <c r="A386" s="1">
        <f>HYPERLINK("https://www.theoutnet.com/en-us/shop/product/sergio-rossi/sandals/blockheel/virginia-75-patent-leather-sandals/1647597317873993", "https://www.theoutnet.com/en-us/shop/product/sergio-rossi/sandals/blockheel/virginia-75-patent-leather-sandals/1647597317873993")</f>
        <v/>
      </c>
      <c r="B386" s="1">
        <f>HYPERLINK("https://www.theoutnet.com/en-us/shop/product/sergio-rossi/sandals/blockheel/virginia-75-patent-leather-sandals/1647597317873993", "https://www.theoutnet.com/en-us/shop/product/sergio-rossi/sandals/blockheel/virginia-75-patent-leather-sandals/1647597317873993")</f>
        <v/>
      </c>
      <c r="C386" t="inlineStr">
        <is>
          <t>SERGIO ROSSI</t>
        </is>
      </c>
      <c r="D386" t="inlineStr">
        <is>
          <t>Sergio Rossi Women's Godiva Pump</t>
        </is>
      </c>
      <c r="E386" s="1">
        <f>HYPERLINK("https://www.amazon.com/Sergio-Rossi-Womens-Godiva-Medium/dp/B07MNSMJKX/ref=sr_1_8?keywords=SERGIO+ROSSI&amp;qid=1695343669&amp;sr=8-8", "https://www.amazon.com/Sergio-Rossi-Womens-Godiva-Medium/dp/B07MNSMJKX/ref=sr_1_8?keywords=SERGIO+ROSSI&amp;qid=1695343669&amp;sr=8-8")</f>
        <v/>
      </c>
      <c r="F386" t="inlineStr">
        <is>
          <t>B07MNSMJKX</t>
        </is>
      </c>
      <c r="G386">
        <f>_xlfn.IMAGE("https://www.theoutnet.com/variants/images/1647597317873993/F/w1020_q80.jpg")</f>
        <v/>
      </c>
      <c r="H386">
        <f>_xlfn.IMAGE("https://m.media-amazon.com/images/I/71GIlhqVZiL._AC_UL320_.jpg")</f>
        <v/>
      </c>
      <c r="K386" t="inlineStr">
        <is>
          <t>182.0</t>
        </is>
      </c>
      <c r="L386" t="n">
        <v>360.19</v>
      </c>
      <c r="M386" s="2" t="inlineStr">
        <is>
          <t>97.91%</t>
        </is>
      </c>
      <c r="N386" t="n">
        <v>5</v>
      </c>
      <c r="O386" t="n">
        <v>3</v>
      </c>
      <c r="Q386" t="inlineStr">
        <is>
          <t>InStock</t>
        </is>
      </c>
      <c r="R386" t="inlineStr">
        <is>
          <t>455.0</t>
        </is>
      </c>
      <c r="S386" t="inlineStr">
        <is>
          <t>1</t>
        </is>
      </c>
    </row>
    <row r="387" ht="75" customHeight="1">
      <c r="A387" s="1">
        <f>HYPERLINK("https://www.theoutnet.com/en-us/shop/product/sergio-rossi/sandals/flat-sandals/metallic-leather-sandals/27086482324714930", "https://www.theoutnet.com/en-us/shop/product/sergio-rossi/sandals/flat-sandals/metallic-leather-sandals/27086482324714930")</f>
        <v/>
      </c>
      <c r="B387" s="1">
        <f>HYPERLINK("https://www.theoutnet.com/en-us/shop/product/sergio-rossi/sandals/flat-sandals/metallic-leather-sandals/27086482324714930", "https://www.theoutnet.com/en-us/shop/product/sergio-rossi/sandals/flat-sandals/metallic-leather-sandals/27086482324714930")</f>
        <v/>
      </c>
      <c r="C387" t="inlineStr">
        <is>
          <t>SERGIO ROSSI</t>
        </is>
      </c>
      <c r="D387" t="inlineStr">
        <is>
          <t>Sergio Rossi Women's Godiva Pump</t>
        </is>
      </c>
      <c r="E387" s="1">
        <f>HYPERLINK("https://www.amazon.com/Sergio-Rossi-Womens-Godiva-Medium/dp/B07MNSMJKX/ref=sr_1_8?keywords=SERGIO+ROSSI&amp;qid=1695343272&amp;sr=8-8", "https://www.amazon.com/Sergio-Rossi-Womens-Godiva-Medium/dp/B07MNSMJKX/ref=sr_1_8?keywords=SERGIO+ROSSI&amp;qid=1695343272&amp;sr=8-8")</f>
        <v/>
      </c>
      <c r="F387" t="inlineStr">
        <is>
          <t>B07MNSMJKX</t>
        </is>
      </c>
      <c r="G387">
        <f>_xlfn.IMAGE("https://www.theoutnet.com/variants/images/27086482324714930/F/w1020_q80.jpg")</f>
        <v/>
      </c>
      <c r="H387">
        <f>_xlfn.IMAGE("https://m.media-amazon.com/images/I/71GIlhqVZiL._AC_UL320_.jpg")</f>
        <v/>
      </c>
      <c r="K387" t="inlineStr">
        <is>
          <t>179.0</t>
        </is>
      </c>
      <c r="L387" t="n">
        <v>360.19</v>
      </c>
      <c r="M387" s="2" t="inlineStr">
        <is>
          <t>101.22%</t>
        </is>
      </c>
      <c r="N387" t="n">
        <v>5</v>
      </c>
      <c r="O387" t="n">
        <v>3</v>
      </c>
      <c r="Q387" t="inlineStr">
        <is>
          <t>InStock</t>
        </is>
      </c>
      <c r="R387" t="inlineStr">
        <is>
          <t>595.0</t>
        </is>
      </c>
      <c r="S387" t="inlineStr">
        <is>
          <t>27086482324714930</t>
        </is>
      </c>
    </row>
    <row r="388" ht="75" customHeight="1">
      <c r="A388" s="1">
        <f>HYPERLINK("https://www.theoutnet.com/en-us/shop/product/sergio-rossi/sandals/flat-sandals/metallic-leather-sandals/27086482324714930", "https://www.theoutnet.com/en-us/shop/product/sergio-rossi/sandals/flat-sandals/metallic-leather-sandals/27086482324714930")</f>
        <v/>
      </c>
      <c r="B388" s="1">
        <f>HYPERLINK("https://www.theoutnet.com/en-us/shop/product/sergio-rossi/sandals/flat-sandals/metallic-leather-sandals/27086482324714930", "https://www.theoutnet.com/en-us/shop/product/sergio-rossi/sandals/flat-sandals/metallic-leather-sandals/27086482324714930")</f>
        <v/>
      </c>
      <c r="C388" t="inlineStr">
        <is>
          <t>SERGIO ROSSI</t>
        </is>
      </c>
      <c r="D388" t="inlineStr">
        <is>
          <t>Sergio Rossi Women's Godiva Pump</t>
        </is>
      </c>
      <c r="E388" s="1">
        <f>HYPERLINK("https://www.amazon.com/Sergio-Rossi-Womens-Godiva-Medium/dp/B07MNSMJKX/ref=sr_1_7?keywords=SERGIO+ROSSI&amp;qid=1695343676&amp;sr=8-7", "https://www.amazon.com/Sergio-Rossi-Womens-Godiva-Medium/dp/B07MNSMJKX/ref=sr_1_7?keywords=SERGIO+ROSSI&amp;qid=1695343676&amp;sr=8-7")</f>
        <v/>
      </c>
      <c r="F388" t="inlineStr">
        <is>
          <t>B07MNSMJKX</t>
        </is>
      </c>
      <c r="G388">
        <f>_xlfn.IMAGE("https://www.theoutnet.com/variants/images/27086482324714930/F/w1020_q80.jpg")</f>
        <v/>
      </c>
      <c r="H388">
        <f>_xlfn.IMAGE("https://m.media-amazon.com/images/I/71GIlhqVZiL._AC_UL320_.jpg")</f>
        <v/>
      </c>
      <c r="K388" t="inlineStr">
        <is>
          <t>179.0</t>
        </is>
      </c>
      <c r="L388" t="n">
        <v>360.19</v>
      </c>
      <c r="M388" s="2" t="inlineStr">
        <is>
          <t>101.22%</t>
        </is>
      </c>
      <c r="N388" t="n">
        <v>5</v>
      </c>
      <c r="O388" t="n">
        <v>3</v>
      </c>
      <c r="Q388" t="inlineStr">
        <is>
          <t>InStock</t>
        </is>
      </c>
      <c r="R388" t="inlineStr">
        <is>
          <t>595.0</t>
        </is>
      </c>
      <c r="S388" t="inlineStr">
        <is>
          <t>27086482324714930</t>
        </is>
      </c>
    </row>
    <row r="389" ht="75" customHeight="1">
      <c r="A389" s="1">
        <f>HYPERLINK("https://www.theoutnet.com/en-us/shop/product/sergio-rossi/sandals/high-heel-sandals/glittered-woven-sandals/1647597285606453", "https://www.theoutnet.com/en-us/shop/product/sergio-rossi/sandals/high-heel-sandals/glittered-woven-sandals/1647597285606453")</f>
        <v/>
      </c>
      <c r="B389" s="1">
        <f>HYPERLINK("https://www.theoutnet.com/en-us/shop/product/sergio-rossi/sandals/high-heel-sandals/glittered-woven-sandals/1647597285606453", "https://www.theoutnet.com/en-us/shop/product/sergio-rossi/sandals/high-heel-sandals/glittered-woven-sandals/1647597285606453")</f>
        <v/>
      </c>
      <c r="C389" t="inlineStr">
        <is>
          <t>SERGIO ROSSI</t>
        </is>
      </c>
      <c r="D389" t="inlineStr">
        <is>
          <t>Sergio Rossi Women's Godiva Pump</t>
        </is>
      </c>
      <c r="E389" s="1">
        <f>HYPERLINK("https://www.amazon.com/Sergio-Rossi-Womens-Godiva-Medium/dp/B07MNSMJKX/ref=sr_1_8?keywords=SERGIO+ROSSI&amp;qid=1695343217&amp;sr=8-8", "https://www.amazon.com/Sergio-Rossi-Womens-Godiva-Medium/dp/B07MNSMJKX/ref=sr_1_8?keywords=SERGIO+ROSSI&amp;qid=1695343217&amp;sr=8-8")</f>
        <v/>
      </c>
      <c r="F389" t="inlineStr">
        <is>
          <t>B07MNSMJKX</t>
        </is>
      </c>
      <c r="G389">
        <f>_xlfn.IMAGE("https://www.theoutnet.com/variants/images/1647597285606453/F/w1020_q80.jpg")</f>
        <v/>
      </c>
      <c r="H389">
        <f>_xlfn.IMAGE("https://m.media-amazon.com/images/I/71GIlhqVZiL._AC_UL320_.jpg")</f>
        <v/>
      </c>
      <c r="K389" t="inlineStr">
        <is>
          <t>210.0</t>
        </is>
      </c>
      <c r="L389" t="n">
        <v>360.19</v>
      </c>
      <c r="M389" s="2" t="inlineStr">
        <is>
          <t>71.52%</t>
        </is>
      </c>
      <c r="N389" t="n">
        <v>5</v>
      </c>
      <c r="O389" t="n">
        <v>3</v>
      </c>
      <c r="Q389" t="inlineStr">
        <is>
          <t>InStock</t>
        </is>
      </c>
      <c r="R389" t="inlineStr">
        <is>
          <t>700.0</t>
        </is>
      </c>
      <c r="S389" t="inlineStr">
        <is>
          <t>1647597285606453</t>
        </is>
      </c>
    </row>
    <row r="390" ht="75" customHeight="1">
      <c r="A390" s="1">
        <f>HYPERLINK("https://www.theoutnet.com/en-us/shop/product/sergio-rossi/sandals/high-heel-sandals/glittered-woven-sandals/1647597285606453", "https://www.theoutnet.com/en-us/shop/product/sergio-rossi/sandals/high-heel-sandals/glittered-woven-sandals/1647597285606453")</f>
        <v/>
      </c>
      <c r="B390" s="1">
        <f>HYPERLINK("https://www.theoutnet.com/en-us/shop/product/sergio-rossi/sandals/high-heel-sandals/glittered-woven-sandals/1647597285606453", "https://www.theoutnet.com/en-us/shop/product/sergio-rossi/sandals/high-heel-sandals/glittered-woven-sandals/1647597285606453")</f>
        <v/>
      </c>
      <c r="C390" t="inlineStr">
        <is>
          <t>SERGIO ROSSI</t>
        </is>
      </c>
      <c r="D390" t="inlineStr">
        <is>
          <t>Sergio Rossi Women's Godiva Pump</t>
        </is>
      </c>
      <c r="E390" s="1">
        <f>HYPERLINK("https://www.amazon.com/Sergio-Rossi-Womens-Godiva-Medium/dp/B07MNSMJKX/ref=sr_1_8?keywords=SERGIO+ROSSI&amp;qid=1695343712&amp;sr=8-8", "https://www.amazon.com/Sergio-Rossi-Womens-Godiva-Medium/dp/B07MNSMJKX/ref=sr_1_8?keywords=SERGIO+ROSSI&amp;qid=1695343712&amp;sr=8-8")</f>
        <v/>
      </c>
      <c r="F390" t="inlineStr">
        <is>
          <t>B07MNSMJKX</t>
        </is>
      </c>
      <c r="G390">
        <f>_xlfn.IMAGE("https://www.theoutnet.com/variants/images/1647597285606453/F/w1020_q80.jpg")</f>
        <v/>
      </c>
      <c r="H390">
        <f>_xlfn.IMAGE("https://m.media-amazon.com/images/I/71GIlhqVZiL._AC_UL320_.jpg")</f>
        <v/>
      </c>
      <c r="K390" t="inlineStr">
        <is>
          <t>210.0</t>
        </is>
      </c>
      <c r="L390" t="n">
        <v>360.19</v>
      </c>
      <c r="M390" s="2" t="inlineStr">
        <is>
          <t>71.52%</t>
        </is>
      </c>
      <c r="N390" t="n">
        <v>5</v>
      </c>
      <c r="O390" t="n">
        <v>3</v>
      </c>
      <c r="Q390" t="inlineStr">
        <is>
          <t>InStock</t>
        </is>
      </c>
      <c r="R390" t="inlineStr">
        <is>
          <t>700.0</t>
        </is>
      </c>
      <c r="S390" t="inlineStr">
        <is>
          <t>1647597285606453</t>
        </is>
      </c>
    </row>
    <row r="391" ht="75" customHeight="1">
      <c r="A391" s="1">
        <f>HYPERLINK("https://www.theoutnet.com/en-us/shop/product/sergio-rossi/sandals/high-heel-sandals/leather-platform-wedge-sandals/1647597295065544", "https://www.theoutnet.com/en-us/shop/product/sergio-rossi/sandals/high-heel-sandals/leather-platform-wedge-sandals/1647597295065544")</f>
        <v/>
      </c>
      <c r="B391" s="1">
        <f>HYPERLINK("https://www.theoutnet.com/en-us/shop/product/sergio-rossi/sandals/high-heel-sandals/leather-platform-wedge-sandals/1647597295065544", "https://www.theoutnet.com/en-us/shop/product/sergio-rossi/sandals/high-heel-sandals/leather-platform-wedge-sandals/1647597295065544")</f>
        <v/>
      </c>
      <c r="C391" t="inlineStr">
        <is>
          <t>SERGIO ROSSI</t>
        </is>
      </c>
      <c r="D391" t="inlineStr">
        <is>
          <t>Sergio Rossi Women's Godiva Pump</t>
        </is>
      </c>
      <c r="E391" s="1">
        <f>HYPERLINK("https://www.amazon.com/Sergio-Rossi-Womens-Godiva-Medium/dp/B07MNSMJKX/ref=sr_1_7?keywords=SERGIO+ROSSI&amp;qid=1695343286&amp;sr=8-7", "https://www.amazon.com/Sergio-Rossi-Womens-Godiva-Medium/dp/B07MNSMJKX/ref=sr_1_7?keywords=SERGIO+ROSSI&amp;qid=1695343286&amp;sr=8-7")</f>
        <v/>
      </c>
      <c r="F391" t="inlineStr">
        <is>
          <t>B07MNSMJKX</t>
        </is>
      </c>
      <c r="G391">
        <f>_xlfn.IMAGE("https://www.theoutnet.com/variants/images/1647597295065544/F/w1020_q80.jpg")</f>
        <v/>
      </c>
      <c r="H391">
        <f>_xlfn.IMAGE("https://m.media-amazon.com/images/I/71GIlhqVZiL._AC_UL320_.jpg")</f>
        <v/>
      </c>
      <c r="K391" t="inlineStr">
        <is>
          <t>176.0</t>
        </is>
      </c>
      <c r="L391" t="n">
        <v>360.19</v>
      </c>
      <c r="M391" s="2" t="inlineStr">
        <is>
          <t>104.65%</t>
        </is>
      </c>
      <c r="N391" t="n">
        <v>5</v>
      </c>
      <c r="O391" t="n">
        <v>3</v>
      </c>
      <c r="Q391" t="inlineStr">
        <is>
          <t>InStock</t>
        </is>
      </c>
      <c r="R391" t="inlineStr">
        <is>
          <t>585.0</t>
        </is>
      </c>
      <c r="S391" t="inlineStr">
        <is>
          <t>1</t>
        </is>
      </c>
    </row>
    <row r="392" ht="75" customHeight="1">
      <c r="A392" s="1">
        <f>HYPERLINK("https://www.theoutnet.com/en-us/shop/product/sergio-rossi/sandals/high-heel-sandals/leather-platform-wedge-sandals/1647597295065544", "https://www.theoutnet.com/en-us/shop/product/sergio-rossi/sandals/high-heel-sandals/leather-platform-wedge-sandals/1647597295065544")</f>
        <v/>
      </c>
      <c r="B392" s="1">
        <f>HYPERLINK("https://www.theoutnet.com/en-us/shop/product/sergio-rossi/sandals/high-heel-sandals/leather-platform-wedge-sandals/1647597295065544", "https://www.theoutnet.com/en-us/shop/product/sergio-rossi/sandals/high-heel-sandals/leather-platform-wedge-sandals/1647597295065544")</f>
        <v/>
      </c>
      <c r="C392" t="inlineStr">
        <is>
          <t>SERGIO ROSSI</t>
        </is>
      </c>
      <c r="D392" t="inlineStr">
        <is>
          <t>Sergio Rossi Women's Godiva Pump</t>
        </is>
      </c>
      <c r="E392" s="1">
        <f>HYPERLINK("https://www.amazon.com/Sergio-Rossi-Womens-Godiva-Medium/dp/B07MNSMJKX/ref=sr_1_8?keywords=SERGIO+ROSSI&amp;qid=1695343656&amp;sr=8-8", "https://www.amazon.com/Sergio-Rossi-Womens-Godiva-Medium/dp/B07MNSMJKX/ref=sr_1_8?keywords=SERGIO+ROSSI&amp;qid=1695343656&amp;sr=8-8")</f>
        <v/>
      </c>
      <c r="F392" t="inlineStr">
        <is>
          <t>B07MNSMJKX</t>
        </is>
      </c>
      <c r="G392">
        <f>_xlfn.IMAGE("https://www.theoutnet.com/variants/images/1647597295065544/F/w1020_q80.jpg")</f>
        <v/>
      </c>
      <c r="H392">
        <f>_xlfn.IMAGE("https://m.media-amazon.com/images/I/71GIlhqVZiL._AC_UL320_.jpg")</f>
        <v/>
      </c>
      <c r="K392" t="inlineStr">
        <is>
          <t>176.0</t>
        </is>
      </c>
      <c r="L392" t="n">
        <v>360.19</v>
      </c>
      <c r="M392" s="2" t="inlineStr">
        <is>
          <t>104.65%</t>
        </is>
      </c>
      <c r="N392" t="n">
        <v>5</v>
      </c>
      <c r="O392" t="n">
        <v>3</v>
      </c>
      <c r="Q392" t="inlineStr">
        <is>
          <t>InStock</t>
        </is>
      </c>
      <c r="R392" t="inlineStr">
        <is>
          <t>585.0</t>
        </is>
      </c>
      <c r="S392" t="inlineStr">
        <is>
          <t>1</t>
        </is>
      </c>
    </row>
    <row r="393" ht="75" customHeight="1">
      <c r="A393" s="1">
        <f>HYPERLINK("https://www.theoutnet.com/en-us/shop/product/sergio-rossi/sandals/high-heel-sandals/patent-leather-sandals/34344356237401695", "https://www.theoutnet.com/en-us/shop/product/sergio-rossi/sandals/high-heel-sandals/patent-leather-sandals/34344356237401695")</f>
        <v/>
      </c>
      <c r="B393" s="1">
        <f>HYPERLINK("https://www.theoutnet.com/en-us/shop/product/sergio-rossi/sandals/high-heel-sandals/patent-leather-sandals/34344356237401695", "https://www.theoutnet.com/en-us/shop/product/sergio-rossi/sandals/high-heel-sandals/patent-leather-sandals/34344356237401695")</f>
        <v/>
      </c>
      <c r="C393" t="inlineStr">
        <is>
          <t>SERGIO ROSSI</t>
        </is>
      </c>
      <c r="D393" t="inlineStr">
        <is>
          <t>Sergio Rossi Women's Godiva Pump</t>
        </is>
      </c>
      <c r="E393" s="1">
        <f>HYPERLINK("https://www.amazon.com/Sergio-Rossi-Womens-Godiva-Medium/dp/B07MNSMJKX/ref=sr_1_8?keywords=SERGIO+ROSSI&amp;qid=1695343299&amp;sr=8-8", "https://www.amazon.com/Sergio-Rossi-Womens-Godiva-Medium/dp/B07MNSMJKX/ref=sr_1_8?keywords=SERGIO+ROSSI&amp;qid=1695343299&amp;sr=8-8")</f>
        <v/>
      </c>
      <c r="F393" t="inlineStr">
        <is>
          <t>B07MNSMJKX</t>
        </is>
      </c>
      <c r="G393">
        <f>_xlfn.IMAGE("https://www.theoutnet.com/variants/images/34344356237401695/F/w1020_q80.jpg")</f>
        <v/>
      </c>
      <c r="H393">
        <f>_xlfn.IMAGE("https://m.media-amazon.com/images/I/71GIlhqVZiL._AC_UL320_.jpg")</f>
        <v/>
      </c>
      <c r="K393" t="inlineStr">
        <is>
          <t>219.0</t>
        </is>
      </c>
      <c r="L393" t="n">
        <v>360.19</v>
      </c>
      <c r="M393" s="2" t="inlineStr">
        <is>
          <t>64.47%</t>
        </is>
      </c>
      <c r="N393" t="n">
        <v>5</v>
      </c>
      <c r="O393" t="n">
        <v>3</v>
      </c>
      <c r="Q393" t="inlineStr">
        <is>
          <t>InStock</t>
        </is>
      </c>
      <c r="R393" t="inlineStr">
        <is>
          <t>730.0</t>
        </is>
      </c>
      <c r="S393" t="inlineStr">
        <is>
          <t>34344356237401695</t>
        </is>
      </c>
    </row>
    <row r="394" ht="75" customHeight="1">
      <c r="A394" s="1">
        <f>HYPERLINK("https://www.theoutnet.com/en-us/shop/product/sergio-rossi/sandals/high-heel-sandals/patent-leather-sandals/34344356237401695", "https://www.theoutnet.com/en-us/shop/product/sergio-rossi/sandals/high-heel-sandals/patent-leather-sandals/34344356237401695")</f>
        <v/>
      </c>
      <c r="B394" s="1">
        <f>HYPERLINK("https://www.theoutnet.com/en-us/shop/product/sergio-rossi/sandals/high-heel-sandals/patent-leather-sandals/34344356237401695", "https://www.theoutnet.com/en-us/shop/product/sergio-rossi/sandals/high-heel-sandals/patent-leather-sandals/34344356237401695")</f>
        <v/>
      </c>
      <c r="C394" t="inlineStr">
        <is>
          <t>SERGIO ROSSI</t>
        </is>
      </c>
      <c r="D394" t="inlineStr">
        <is>
          <t>Sergio Rossi Women's Godiva Pump</t>
        </is>
      </c>
      <c r="E394" s="1">
        <f>HYPERLINK("https://www.amazon.com/Sergio-Rossi-Womens-Godiva-Medium/dp/B07MNSMJKX/ref=sr_1_8?keywords=SERGIO+ROSSI&amp;qid=1695343732&amp;sr=8-8", "https://www.amazon.com/Sergio-Rossi-Womens-Godiva-Medium/dp/B07MNSMJKX/ref=sr_1_8?keywords=SERGIO+ROSSI&amp;qid=1695343732&amp;sr=8-8")</f>
        <v/>
      </c>
      <c r="F394" t="inlineStr">
        <is>
          <t>B07MNSMJKX</t>
        </is>
      </c>
      <c r="G394">
        <f>_xlfn.IMAGE("https://www.theoutnet.com/variants/images/34344356237401695/F/w1020_q80.jpg")</f>
        <v/>
      </c>
      <c r="H394">
        <f>_xlfn.IMAGE("https://m.media-amazon.com/images/I/71GIlhqVZiL._AC_UL320_.jpg")</f>
        <v/>
      </c>
      <c r="K394" t="inlineStr">
        <is>
          <t>219.0</t>
        </is>
      </c>
      <c r="L394" t="n">
        <v>360.19</v>
      </c>
      <c r="M394" s="2" t="inlineStr">
        <is>
          <t>64.47%</t>
        </is>
      </c>
      <c r="N394" t="n">
        <v>5</v>
      </c>
      <c r="O394" t="n">
        <v>3</v>
      </c>
      <c r="Q394" t="inlineStr">
        <is>
          <t>InStock</t>
        </is>
      </c>
      <c r="R394" t="inlineStr">
        <is>
          <t>730.0</t>
        </is>
      </c>
      <c r="S394" t="inlineStr">
        <is>
          <t>34344356237401695</t>
        </is>
      </c>
    </row>
    <row r="395" ht="75" customHeight="1">
      <c r="A395" s="1">
        <f>HYPERLINK("https://www.theoutnet.com/en-us/shop/product/sergio-rossi/sandals/high-heel-sandals/patent-leather-wedge-sandals/28941591746160174", "https://www.theoutnet.com/en-us/shop/product/sergio-rossi/sandals/high-heel-sandals/patent-leather-wedge-sandals/28941591746160174")</f>
        <v/>
      </c>
      <c r="B395" s="1">
        <f>HYPERLINK("https://www.theoutnet.com/en-us/shop/product/sergio-rossi/sandals/high-heel-sandals/patent-leather-wedge-sandals/28941591746160174", "https://www.theoutnet.com/en-us/shop/product/sergio-rossi/sandals/high-heel-sandals/patent-leather-wedge-sandals/28941591746160174")</f>
        <v/>
      </c>
      <c r="C395" t="inlineStr">
        <is>
          <t>SERGIO ROSSI</t>
        </is>
      </c>
      <c r="D395" t="inlineStr">
        <is>
          <t>Sergio Rossi Women's Godiva Pump</t>
        </is>
      </c>
      <c r="E395" s="1">
        <f>HYPERLINK("https://www.amazon.com/Sergio-Rossi-Womens-Godiva-Medium/dp/B07MNSMJKX/ref=sr_1_8?keywords=SERGIO+ROSSI&amp;qid=1695343677&amp;sr=8-8", "https://www.amazon.com/Sergio-Rossi-Womens-Godiva-Medium/dp/B07MNSMJKX/ref=sr_1_8?keywords=SERGIO+ROSSI&amp;qid=1695343677&amp;sr=8-8")</f>
        <v/>
      </c>
      <c r="F395" t="inlineStr">
        <is>
          <t>B07MNSMJKX</t>
        </is>
      </c>
      <c r="G395">
        <f>_xlfn.IMAGE("https://www.theoutnet.com/variants/images/28941591746160174/F/w1020_q80.jpg")</f>
        <v/>
      </c>
      <c r="H395">
        <f>_xlfn.IMAGE("https://m.media-amazon.com/images/I/71GIlhqVZiL._AC_UL320_.jpg")</f>
        <v/>
      </c>
      <c r="K395" t="inlineStr">
        <is>
          <t>186.0</t>
        </is>
      </c>
      <c r="L395" t="n">
        <v>360.19</v>
      </c>
      <c r="M395" s="2" t="inlineStr">
        <is>
          <t>93.65%</t>
        </is>
      </c>
      <c r="N395" t="n">
        <v>5</v>
      </c>
      <c r="O395" t="n">
        <v>3</v>
      </c>
      <c r="Q395" t="inlineStr">
        <is>
          <t>InStock</t>
        </is>
      </c>
      <c r="R395" t="inlineStr">
        <is>
          <t>465.0</t>
        </is>
      </c>
      <c r="S395" t="inlineStr">
        <is>
          <t>28941591746160174</t>
        </is>
      </c>
    </row>
    <row r="396" ht="75" customHeight="1">
      <c r="A396" s="1">
        <f>HYPERLINK("https://www.theoutnet.com/en-us/shop/product/sergio-rossi/sandals/high-heel-sandals/suede-sandals/27086482324637349", "https://www.theoutnet.com/en-us/shop/product/sergio-rossi/sandals/high-heel-sandals/suede-sandals/27086482324637349")</f>
        <v/>
      </c>
      <c r="B396" s="1">
        <f>HYPERLINK("https://www.theoutnet.com/en-us/shop/product/sergio-rossi/sandals/high-heel-sandals/suede-sandals/27086482324637349", "https://www.theoutnet.com/en-us/shop/product/sergio-rossi/sandals/high-heel-sandals/suede-sandals/27086482324637349")</f>
        <v/>
      </c>
      <c r="C396" t="inlineStr">
        <is>
          <t>SERGIO ROSSI</t>
        </is>
      </c>
      <c r="D396" t="inlineStr">
        <is>
          <t>Sergio Rossi Women's Godiva Pump</t>
        </is>
      </c>
      <c r="E396" s="1">
        <f>HYPERLINK("https://www.amazon.com/Sergio-Rossi-Womens-Godiva-Medium/dp/B07MNSMJKX/ref=sr_1_8?keywords=SERGIO+ROSSI&amp;qid=1695343278&amp;sr=8-8", "https://www.amazon.com/Sergio-Rossi-Womens-Godiva-Medium/dp/B07MNSMJKX/ref=sr_1_8?keywords=SERGIO+ROSSI&amp;qid=1695343278&amp;sr=8-8")</f>
        <v/>
      </c>
      <c r="F396" t="inlineStr">
        <is>
          <t>B07MNSMJKX</t>
        </is>
      </c>
      <c r="G396">
        <f>_xlfn.IMAGE("https://www.theoutnet.com/variants/images/27086482324637349/F/w1020_q80.jpg")</f>
        <v/>
      </c>
      <c r="H396">
        <f>_xlfn.IMAGE("https://m.media-amazon.com/images/I/71GIlhqVZiL._AC_UL320_.jpg")</f>
        <v/>
      </c>
      <c r="K396" t="inlineStr">
        <is>
          <t>198.0</t>
        </is>
      </c>
      <c r="L396" t="n">
        <v>360.19</v>
      </c>
      <c r="M396" s="2" t="inlineStr">
        <is>
          <t>81.91%</t>
        </is>
      </c>
      <c r="N396" t="n">
        <v>5</v>
      </c>
      <c r="O396" t="n">
        <v>3</v>
      </c>
      <c r="Q396" t="inlineStr">
        <is>
          <t>InStock</t>
        </is>
      </c>
      <c r="R396" t="inlineStr">
        <is>
          <t>660.0</t>
        </is>
      </c>
      <c r="S396" t="inlineStr">
        <is>
          <t>2</t>
        </is>
      </c>
    </row>
    <row r="397" ht="75" customHeight="1">
      <c r="A397" s="1">
        <f>HYPERLINK("https://www.theoutnet.com/en-us/shop/product/sergio-rossi/sandals/high-heel-sandals/suede-sandals/27086482324637349", "https://www.theoutnet.com/en-us/shop/product/sergio-rossi/sandals/high-heel-sandals/suede-sandals/27086482324637349")</f>
        <v/>
      </c>
      <c r="B397" s="1">
        <f>HYPERLINK("https://www.theoutnet.com/en-us/shop/product/sergio-rossi/sandals/high-heel-sandals/suede-sandals/27086482324637349", "https://www.theoutnet.com/en-us/shop/product/sergio-rossi/sandals/high-heel-sandals/suede-sandals/27086482324637349")</f>
        <v/>
      </c>
      <c r="C397" t="inlineStr">
        <is>
          <t>SERGIO ROSSI</t>
        </is>
      </c>
      <c r="D397" t="inlineStr">
        <is>
          <t>Sergio Rossi Women's Godiva Pump</t>
        </is>
      </c>
      <c r="E397" s="1">
        <f>HYPERLINK("https://www.amazon.com/Sergio-Rossi-Womens-Godiva-Medium/dp/B07MNSMJKX/ref=sr_1_8?keywords=SERGIO+ROSSI&amp;qid=1695343694&amp;sr=8-8", "https://www.amazon.com/Sergio-Rossi-Womens-Godiva-Medium/dp/B07MNSMJKX/ref=sr_1_8?keywords=SERGIO+ROSSI&amp;qid=1695343694&amp;sr=8-8")</f>
        <v/>
      </c>
      <c r="F397" t="inlineStr">
        <is>
          <t>B07MNSMJKX</t>
        </is>
      </c>
      <c r="G397">
        <f>_xlfn.IMAGE("https://www.theoutnet.com/variants/images/27086482324637349/F/w1020_q80.jpg")</f>
        <v/>
      </c>
      <c r="H397">
        <f>_xlfn.IMAGE("https://m.media-amazon.com/images/I/71GIlhqVZiL._AC_UL320_.jpg")</f>
        <v/>
      </c>
      <c r="K397" t="inlineStr">
        <is>
          <t>198.0</t>
        </is>
      </c>
      <c r="L397" t="n">
        <v>360.19</v>
      </c>
      <c r="M397" s="2" t="inlineStr">
        <is>
          <t>81.91%</t>
        </is>
      </c>
      <c r="N397" t="n">
        <v>5</v>
      </c>
      <c r="O397" t="n">
        <v>3</v>
      </c>
      <c r="Q397" t="inlineStr">
        <is>
          <t>InStock</t>
        </is>
      </c>
      <c r="R397" t="inlineStr">
        <is>
          <t>660.0</t>
        </is>
      </c>
      <c r="S397" t="inlineStr">
        <is>
          <t>27086482324637349</t>
        </is>
      </c>
    </row>
    <row r="398" ht="75" customHeight="1">
      <c r="A398" s="1">
        <f>HYPERLINK("https://www.theoutnet.com/en-us/shop/product/sergio-rossi/sandals/mid-heel-sandals/buckled-suede-mules/1647597317786747", "https://www.theoutnet.com/en-us/shop/product/sergio-rossi/sandals/mid-heel-sandals/buckled-suede-mules/1647597317786747")</f>
        <v/>
      </c>
      <c r="B398" s="1">
        <f>HYPERLINK("https://www.theoutnet.com/en-us/shop/product/sergio-rossi/sandals/mid-heel-sandals/buckled-suede-mules/1647597317786747", "https://www.theoutnet.com/en-us/shop/product/sergio-rossi/sandals/mid-heel-sandals/buckled-suede-mules/1647597317786747")</f>
        <v/>
      </c>
      <c r="C398" t="inlineStr">
        <is>
          <t>SERGIO ROSSI</t>
        </is>
      </c>
      <c r="D398" t="inlineStr">
        <is>
          <t>Sergio Rossi Women's Godiva Pump</t>
        </is>
      </c>
      <c r="E398" s="1">
        <f>HYPERLINK("https://www.amazon.com/Sergio-Rossi-Womens-Godiva-Medium/dp/B07MNSMJKX/ref=sr_1_7?keywords=SERGIO+ROSSI&amp;qid=1695343707&amp;sr=8-7", "https://www.amazon.com/Sergio-Rossi-Womens-Godiva-Medium/dp/B07MNSMJKX/ref=sr_1_7?keywords=SERGIO+ROSSI&amp;qid=1695343707&amp;sr=8-7")</f>
        <v/>
      </c>
      <c r="F398" t="inlineStr">
        <is>
          <t>B07MNSMJKX</t>
        </is>
      </c>
      <c r="G398">
        <f>_xlfn.IMAGE("https://www.theoutnet.com/variants/images/1647597317786747/F/w1020_q80.jpg")</f>
        <v/>
      </c>
      <c r="H398">
        <f>_xlfn.IMAGE("https://m.media-amazon.com/images/I/71GIlhqVZiL._AC_UL320_.jpg")</f>
        <v/>
      </c>
      <c r="K398" t="inlineStr">
        <is>
          <t>205.0</t>
        </is>
      </c>
      <c r="L398" t="n">
        <v>360.19</v>
      </c>
      <c r="M398" s="2" t="inlineStr">
        <is>
          <t>75.70%</t>
        </is>
      </c>
      <c r="N398" t="n">
        <v>5</v>
      </c>
      <c r="O398" t="n">
        <v>3</v>
      </c>
      <c r="Q398" t="inlineStr">
        <is>
          <t>InStock</t>
        </is>
      </c>
      <c r="R398" t="inlineStr">
        <is>
          <t>455.0</t>
        </is>
      </c>
      <c r="S398" t="inlineStr">
        <is>
          <t>1647597317786747</t>
        </is>
      </c>
    </row>
    <row r="399" ht="75" customHeight="1">
      <c r="A399" s="1">
        <f>HYPERLINK("https://www.theoutnet.com/en-us/shop/product/sergio-rossi/sneakers/fashion-sneakers/logo-embossed-suede-trimmed-mesh-sneakers/1647597285167356", "https://www.theoutnet.com/en-us/shop/product/sergio-rossi/sneakers/fashion-sneakers/logo-embossed-suede-trimmed-mesh-sneakers/1647597285167356")</f>
        <v/>
      </c>
      <c r="B399" s="1">
        <f>HYPERLINK("https://www.theoutnet.com/en-us/shop/product/sergio-rossi/sneakers/fashion-sneakers/logo-embossed-suede-trimmed-mesh-sneakers/1647597285167356", "https://www.theoutnet.com/en-us/shop/product/sergio-rossi/sneakers/fashion-sneakers/logo-embossed-suede-trimmed-mesh-sneakers/1647597285167356")</f>
        <v/>
      </c>
      <c r="C399" t="inlineStr">
        <is>
          <t>SERGIO ROSSI</t>
        </is>
      </c>
      <c r="D399" t="inlineStr">
        <is>
          <t>Sergio Rossi Women's Godiva Pump</t>
        </is>
      </c>
      <c r="E399" s="1">
        <f>HYPERLINK("https://www.amazon.com/Sergio-Rossi-Womens-Godiva-Medium/dp/B07MNSMJKX/ref=sr_1_8?keywords=SERGIO+ROSSI&amp;qid=1695343240&amp;sr=8-8", "https://www.amazon.com/Sergio-Rossi-Womens-Godiva-Medium/dp/B07MNSMJKX/ref=sr_1_8?keywords=SERGIO+ROSSI&amp;qid=1695343240&amp;sr=8-8")</f>
        <v/>
      </c>
      <c r="F399" t="inlineStr">
        <is>
          <t>B07MNSMJKX</t>
        </is>
      </c>
      <c r="G399">
        <f>_xlfn.IMAGE("https://www.theoutnet.com/variants/images/1647597285167356/F/w1020_q80.jpg")</f>
        <v/>
      </c>
      <c r="H399">
        <f>_xlfn.IMAGE("https://m.media-amazon.com/images/I/71GIlhqVZiL._AC_UL320_.jpg")</f>
        <v/>
      </c>
      <c r="K399" t="inlineStr">
        <is>
          <t>207.0</t>
        </is>
      </c>
      <c r="L399" t="n">
        <v>360.19</v>
      </c>
      <c r="M399" s="2" t="inlineStr">
        <is>
          <t>74.00%</t>
        </is>
      </c>
      <c r="N399" t="n">
        <v>5</v>
      </c>
      <c r="O399" t="n">
        <v>3</v>
      </c>
      <c r="Q399" t="inlineStr">
        <is>
          <t>InStock</t>
        </is>
      </c>
      <c r="R399" t="inlineStr">
        <is>
          <t>690.0</t>
        </is>
      </c>
      <c r="S399" t="inlineStr">
        <is>
          <t>1647597285167356</t>
        </is>
      </c>
    </row>
    <row r="400" ht="75" customHeight="1">
      <c r="A400" s="1">
        <f>HYPERLINK("https://www.theoutnet.com/en-us/shop/product/solid-striped/swimwear-beachwear/bikini-bottoms/the-eva-metallic-printed-low-rise-bikini-briefs/1647597284616268", "https://www.theoutnet.com/en-us/shop/product/solid-striped/swimwear-beachwear/bikini-bottoms/the-eva-metallic-printed-low-rise-bikini-briefs/1647597284616268")</f>
        <v/>
      </c>
      <c r="B400" s="1">
        <f>HYPERLINK("https://www.theoutnet.com/en-us/shop/product/solid-striped/swimwear-beachwear/bikini-bottoms/the-eva-metallic-printed-low-rise-bikini-briefs/1647597284616268", "https://www.theoutnet.com/en-us/shop/product/solid-striped/swimwear-beachwear/bikini-bottoms/the-eva-metallic-printed-low-rise-bikini-briefs/1647597284616268")</f>
        <v/>
      </c>
      <c r="C400" t="inlineStr">
        <is>
          <t>SOLID &amp; STRIPED</t>
        </is>
      </c>
      <c r="D400" t="inlineStr">
        <is>
          <t>Solid &amp; Striped Women's One Piece Swimsuit | The Spencer</t>
        </is>
      </c>
      <c r="E400" s="1">
        <f>HYPERLINK("https://www.amazon.com/Solid-Striped-Womens-Spencer-Blackout/dp/B09L1MJ64S/ref=sr_1_6?keywords=SOLID+%26+STRIPED&amp;qid=1695343041&amp;sr=8-6", "https://www.amazon.com/Solid-Striped-Womens-Spencer-Blackout/dp/B09L1MJ64S/ref=sr_1_6?keywords=SOLID+%26+STRIPED&amp;qid=1695343041&amp;sr=8-6")</f>
        <v/>
      </c>
      <c r="F400" t="inlineStr">
        <is>
          <t>B09L1MJ64S</t>
        </is>
      </c>
      <c r="G400">
        <f>_xlfn.IMAGE("https://www.theoutnet.com/variants/images/1647597284616268/F/w1020_q80.jpg")</f>
        <v/>
      </c>
      <c r="H400">
        <f>_xlfn.IMAGE("https://m.media-amazon.com/images/I/51uiW9EPv-L._MCnd_AC_UL320_.jpg")</f>
        <v/>
      </c>
      <c r="K400" t="inlineStr">
        <is>
          <t>27.0</t>
        </is>
      </c>
      <c r="L400" t="n">
        <v>218</v>
      </c>
      <c r="M400" s="2" t="inlineStr">
        <is>
          <t>707.41%</t>
        </is>
      </c>
      <c r="N400" t="n">
        <v>5</v>
      </c>
      <c r="O400" t="n">
        <v>1</v>
      </c>
      <c r="Q400" t="inlineStr">
        <is>
          <t>InStock</t>
        </is>
      </c>
      <c r="R400" t="inlineStr">
        <is>
          <t>88.0</t>
        </is>
      </c>
      <c r="S400" t="inlineStr">
        <is>
          <t>6</t>
        </is>
      </c>
    </row>
    <row r="401" ht="75" customHeight="1">
      <c r="A401" s="1">
        <f>HYPERLINK("https://www.theoutnet.com/en-us/shop/product/solid-striped/swimwear-beachwear/bikini-bottoms/the-eva-metallic-printed-low-rise-bikini-briefs/1647597284616268", "https://www.theoutnet.com/en-us/shop/product/solid-striped/swimwear-beachwear/bikini-bottoms/the-eva-metallic-printed-low-rise-bikini-briefs/1647597284616268")</f>
        <v/>
      </c>
      <c r="B401" s="1">
        <f>HYPERLINK("https://www.theoutnet.com/en-us/shop/product/solid-striped/swimwear-beachwear/bikini-bottoms/the-eva-metallic-printed-low-rise-bikini-briefs/1647597284616268", "https://www.theoutnet.com/en-us/shop/product/solid-striped/swimwear-beachwear/bikini-bottoms/the-eva-metallic-printed-low-rise-bikini-briefs/1647597284616268")</f>
        <v/>
      </c>
      <c r="C401" t="inlineStr">
        <is>
          <t>SOLID &amp; STRIPED</t>
        </is>
      </c>
      <c r="D401" t="inlineStr">
        <is>
          <t>Solid &amp; Striped Women's The Anne Marie One Piece</t>
        </is>
      </c>
      <c r="E401" s="1">
        <f>HYPERLINK("https://www.amazon.com/Solid-Striped-Womens-Marie-Swimsuit/dp/B01DAK594S/ref=sr_1_5?keywords=SOLID+%26+STRIPED&amp;qid=1695343041&amp;sr=8-5", "https://www.amazon.com/Solid-Striped-Womens-Marie-Swimsuit/dp/B01DAK594S/ref=sr_1_5?keywords=SOLID+%26+STRIPED&amp;qid=1695343041&amp;sr=8-5")</f>
        <v/>
      </c>
      <c r="F401" t="inlineStr">
        <is>
          <t>B01DAK594S</t>
        </is>
      </c>
      <c r="G401">
        <f>_xlfn.IMAGE("https://www.theoutnet.com/variants/images/1647597284616268/F/w1020_q80.jpg")</f>
        <v/>
      </c>
      <c r="H401">
        <f>_xlfn.IMAGE("https://m.media-amazon.com/images/I/61HV+jWu+0L._MCnd_AC_UL320_.jpg")</f>
        <v/>
      </c>
      <c r="K401" t="inlineStr">
        <is>
          <t>27.0</t>
        </is>
      </c>
      <c r="L401" t="n">
        <v>198</v>
      </c>
      <c r="M401" s="2" t="inlineStr">
        <is>
          <t>633.33%</t>
        </is>
      </c>
      <c r="N401" t="n">
        <v>4.4</v>
      </c>
      <c r="O401" t="n">
        <v>9</v>
      </c>
      <c r="Q401" t="inlineStr">
        <is>
          <t>InStock</t>
        </is>
      </c>
      <c r="R401" t="inlineStr">
        <is>
          <t>88.0</t>
        </is>
      </c>
      <c r="S401" t="inlineStr">
        <is>
          <t>6</t>
        </is>
      </c>
    </row>
    <row r="402" ht="75" customHeight="1">
      <c r="A402" s="1">
        <f>HYPERLINK("https://www.theoutnet.com/en-us/shop/product/solid-striped/swimwear-beachwear/bikini-bottoms/the-eva-metallic-printed-low-rise-bikini-briefs/1647597284616268", "https://www.theoutnet.com/en-us/shop/product/solid-striped/swimwear-beachwear/bikini-bottoms/the-eva-metallic-printed-low-rise-bikini-briefs/1647597284616268")</f>
        <v/>
      </c>
      <c r="B402" s="1">
        <f>HYPERLINK("https://www.theoutnet.com/en-us/shop/product/solid-striped/swimwear-beachwear/bikini-bottoms/the-eva-metallic-printed-low-rise-bikini-briefs/1647597284616268", "https://www.theoutnet.com/en-us/shop/product/solid-striped/swimwear-beachwear/bikini-bottoms/the-eva-metallic-printed-low-rise-bikini-briefs/1647597284616268")</f>
        <v/>
      </c>
      <c r="C402" t="inlineStr">
        <is>
          <t>SOLID &amp; STRIPED</t>
        </is>
      </c>
      <c r="D402" t="inlineStr">
        <is>
          <t>Solid &amp; Striped Women's The Eyelet Pareo</t>
        </is>
      </c>
      <c r="E402" s="1">
        <f>HYPERLINK("https://www.amazon.com/Solid-Striped-Womens-Eyelet-Pareo/dp/B0BXVRKZ92/ref=sr_1_2?keywords=SOLID+%26+STRIPED&amp;qid=1695343041&amp;sr=8-2", "https://www.amazon.com/Solid-Striped-Womens-Eyelet-Pareo/dp/B0BXVRKZ92/ref=sr_1_2?keywords=SOLID+%26+STRIPED&amp;qid=1695343041&amp;sr=8-2")</f>
        <v/>
      </c>
      <c r="F402" t="inlineStr">
        <is>
          <t>B0BXVRKZ92</t>
        </is>
      </c>
      <c r="G402">
        <f>_xlfn.IMAGE("https://www.theoutnet.com/variants/images/1647597284616268/F/w1020_q80.jpg")</f>
        <v/>
      </c>
      <c r="H402">
        <f>_xlfn.IMAGE("https://m.media-amazon.com/images/I/61SvFL6j7nL._MCnd_AC_UL320_.jpg")</f>
        <v/>
      </c>
      <c r="K402" t="inlineStr">
        <is>
          <t>27.0</t>
        </is>
      </c>
      <c r="L402" t="n">
        <v>128</v>
      </c>
      <c r="M402" s="2" t="inlineStr">
        <is>
          <t>374.07%</t>
        </is>
      </c>
      <c r="N402" t="n">
        <v>4</v>
      </c>
      <c r="O402" t="n">
        <v>1</v>
      </c>
      <c r="Q402" t="inlineStr">
        <is>
          <t>InStock</t>
        </is>
      </c>
      <c r="R402" t="inlineStr">
        <is>
          <t>88.0</t>
        </is>
      </c>
      <c r="S402" t="inlineStr">
        <is>
          <t>6</t>
        </is>
      </c>
    </row>
    <row r="403" ht="75" customHeight="1">
      <c r="A403" s="1">
        <f>HYPERLINK("https://www.theoutnet.com/en-us/shop/product/stuart-weitzman/boots/tall-boots/city-leather-and-neoprene-over-the-knee-boots/1647597285282413", "https://www.theoutnet.com/en-us/shop/product/stuart-weitzman/boots/tall-boots/city-leather-and-neoprene-over-the-knee-boots/1647597285282413")</f>
        <v/>
      </c>
      <c r="B403" s="1">
        <f>HYPERLINK("https://www.theoutnet.com/en-us/shop/product/stuart-weitzman/boots/tall-boots/city-leather-and-neoprene-over-the-knee-boots/1647597285282413", "https://www.theoutnet.com/en-us/shop/product/stuart-weitzman/boots/tall-boots/city-leather-and-neoprene-over-the-knee-boots/1647597285282413")</f>
        <v/>
      </c>
      <c r="C403" t="inlineStr">
        <is>
          <t>STUART WEITZMAN</t>
        </is>
      </c>
      <c r="D403" t="inlineStr">
        <is>
          <t>Stuart Weitzman Women's Norah Lug Sole Boots</t>
        </is>
      </c>
      <c r="E403" s="1" t="n"/>
      <c r="F403" t="inlineStr">
        <is>
          <t>B08MH4R493</t>
        </is>
      </c>
      <c r="G403">
        <f>_xlfn.IMAGE("https://www.theoutnet.com/variants/images/1647597285282413/F/w1020_q80.jpg")</f>
        <v/>
      </c>
      <c r="H403">
        <f>_xlfn.IMAGE("https://m.media-amazon.com/images/I/81jbRwRebmL._AC_UL320_.jpg")</f>
        <v/>
      </c>
      <c r="K403" t="inlineStr">
        <is>
          <t>239.0</t>
        </is>
      </c>
      <c r="L403" t="n">
        <v>550</v>
      </c>
      <c r="M403" s="2" t="inlineStr">
        <is>
          <t>130.13%</t>
        </is>
      </c>
      <c r="N403" t="n">
        <v>3.8</v>
      </c>
      <c r="O403" t="n">
        <v>5</v>
      </c>
      <c r="Q403" t="inlineStr">
        <is>
          <t>InStock</t>
        </is>
      </c>
      <c r="R403" t="inlineStr">
        <is>
          <t>795.0</t>
        </is>
      </c>
      <c r="S403" t="inlineStr">
        <is>
          <t>1647597285282413</t>
        </is>
      </c>
    </row>
    <row r="404" ht="75" customHeight="1">
      <c r="A404" s="1">
        <f>HYPERLINK("https://www.theoutnet.com/en-us/shop/product/stuart-weitzman/espadrilles/flat-espadrilles/mykonos-twill-espadrilles/1647597285274259", "https://www.theoutnet.com/en-us/shop/product/stuart-weitzman/espadrilles/flat-espadrilles/mykonos-twill-espadrilles/1647597285274259")</f>
        <v/>
      </c>
      <c r="B404" s="1">
        <f>HYPERLINK("https://www.theoutnet.com/en-us/shop/product/stuart-weitzman/espadrilles/flat-espadrilles/mykonos-twill-espadrilles/1647597285274259", "https://www.theoutnet.com/en-us/shop/product/stuart-weitzman/espadrilles/flat-espadrilles/mykonos-twill-espadrilles/1647597285274259")</f>
        <v/>
      </c>
      <c r="C404" t="inlineStr">
        <is>
          <t>STUART WEITZMAN</t>
        </is>
      </c>
      <c r="D404" t="inlineStr">
        <is>
          <t>Stuart Weitzman Stuart 100 Scallop Pump</t>
        </is>
      </c>
      <c r="E404" s="1">
        <f>HYPERLINK("https://www.amazon.com/Stuart-Weitzman-Scallop-Pump-Silver/dp/B09PL719HJ/ref=sr_1_7?keywords=STUART+WEITZMAN&amp;qid=1695343257&amp;sr=8-7", "https://www.amazon.com/Stuart-Weitzman-Scallop-Pump-Silver/dp/B09PL719HJ/ref=sr_1_7?keywords=STUART+WEITZMAN&amp;qid=1695343257&amp;sr=8-7")</f>
        <v/>
      </c>
      <c r="F404" t="inlineStr">
        <is>
          <t>B09PL719HJ</t>
        </is>
      </c>
      <c r="G404">
        <f>_xlfn.IMAGE("https://www.theoutnet.com/variants/images/1647597285274259/F/w1020_q80.jpg")</f>
        <v/>
      </c>
      <c r="H404">
        <f>_xlfn.IMAGE("https://m.media-amazon.com/images/I/61CyqtJ1btL._AC_UL320_.jpg")</f>
        <v/>
      </c>
      <c r="K404" t="inlineStr">
        <is>
          <t>100.0</t>
        </is>
      </c>
      <c r="L404" t="n">
        <v>246.28</v>
      </c>
      <c r="M404" s="2" t="inlineStr">
        <is>
          <t>146.28%</t>
        </is>
      </c>
      <c r="N404" t="n">
        <v>4.5</v>
      </c>
      <c r="O404" t="n">
        <v>5</v>
      </c>
      <c r="Q404" t="inlineStr">
        <is>
          <t>InStock</t>
        </is>
      </c>
      <c r="R404" t="inlineStr">
        <is>
          <t>331.0</t>
        </is>
      </c>
      <c r="S404" t="inlineStr">
        <is>
          <t>1647597285274259</t>
        </is>
      </c>
    </row>
    <row r="405" ht="75" customHeight="1">
      <c r="A405" s="1">
        <f>HYPERLINK("https://www.theoutnet.com/en-us/shop/product/stuart-weitzman/espadrilles/flat-espadrilles/mykonos-twill-espadrilles/1647597285274259", "https://www.theoutnet.com/en-us/shop/product/stuart-weitzman/espadrilles/flat-espadrilles/mykonos-twill-espadrilles/1647597285274259")</f>
        <v/>
      </c>
      <c r="B405" s="1">
        <f>HYPERLINK("https://www.theoutnet.com/en-us/shop/product/stuart-weitzman/espadrilles/flat-espadrilles/mykonos-twill-espadrilles/1647597285274259", "https://www.theoutnet.com/en-us/shop/product/stuart-weitzman/espadrilles/flat-espadrilles/mykonos-twill-espadrilles/1647597285274259")</f>
        <v/>
      </c>
      <c r="C405" t="inlineStr">
        <is>
          <t>STUART WEITZMAN</t>
        </is>
      </c>
      <c r="D405" t="inlineStr">
        <is>
          <t>Stuart Weitzman Women's Nearlybare Sandals</t>
        </is>
      </c>
      <c r="E405" s="1">
        <f>HYPERLINK("https://www.amazon.com/Stuart-Weitzman-Womens-Nearlybare-Sandals/dp/B0BB98QQS4/ref=sr_1_10?keywords=STUART+WEITZMAN&amp;qid=1695343257&amp;sr=8-10", "https://www.amazon.com/Stuart-Weitzman-Womens-Nearlybare-Sandals/dp/B0BB98QQS4/ref=sr_1_10?keywords=STUART+WEITZMAN&amp;qid=1695343257&amp;sr=8-10")</f>
        <v/>
      </c>
      <c r="F405" t="inlineStr">
        <is>
          <t>B0BB98QQS4</t>
        </is>
      </c>
      <c r="G405">
        <f>_xlfn.IMAGE("https://www.theoutnet.com/variants/images/1647597285274259/F/w1020_q80.jpg")</f>
        <v/>
      </c>
      <c r="H405">
        <f>_xlfn.IMAGE("https://m.media-amazon.com/images/I/517KGaG+NmL._AC_UL320_.jpg")</f>
        <v/>
      </c>
      <c r="K405" t="inlineStr">
        <is>
          <t>100.0</t>
        </is>
      </c>
      <c r="L405" t="n">
        <v>237.5</v>
      </c>
      <c r="M405" s="2" t="inlineStr">
        <is>
          <t>137.50%</t>
        </is>
      </c>
      <c r="N405" t="n">
        <v>5</v>
      </c>
      <c r="O405" t="n">
        <v>1</v>
      </c>
      <c r="Q405" t="inlineStr">
        <is>
          <t>InStock</t>
        </is>
      </c>
      <c r="R405" t="inlineStr">
        <is>
          <t>331.0</t>
        </is>
      </c>
      <c r="S405" t="inlineStr">
        <is>
          <t>1647597285274259</t>
        </is>
      </c>
    </row>
    <row r="406" ht="75" customHeight="1">
      <c r="A406" s="1">
        <f>HYPERLINK("https://www.theoutnet.com/en-us/shop/product/stuart-weitzman/espadrilles/flat-espadrilles/mykonos-twill-espadrilles/1647597285274259", "https://www.theoutnet.com/en-us/shop/product/stuart-weitzman/espadrilles/flat-espadrilles/mykonos-twill-espadrilles/1647597285274259")</f>
        <v/>
      </c>
      <c r="B406" s="1">
        <f>HYPERLINK("https://www.theoutnet.com/en-us/shop/product/stuart-weitzman/espadrilles/flat-espadrilles/mykonos-twill-espadrilles/1647597285274259", "https://www.theoutnet.com/en-us/shop/product/stuart-weitzman/espadrilles/flat-espadrilles/mykonos-twill-espadrilles/1647597285274259")</f>
        <v/>
      </c>
      <c r="C406" t="inlineStr">
        <is>
          <t>STUART WEITZMAN</t>
        </is>
      </c>
      <c r="D406" t="inlineStr">
        <is>
          <t>Stuart Weitzman Women's Mirela Ii Wedge Espadrilles</t>
        </is>
      </c>
      <c r="E406" s="1">
        <f>HYPERLINK("https://www.amazon.com/Stuart-Weitzman-Mirela-Espadrille-Natural/dp/B0BSGWRW5H/ref=sr_1_2?keywords=STUART+WEITZMAN&amp;qid=1695343257&amp;sr=8-2", "https://www.amazon.com/Stuart-Weitzman-Mirela-Espadrille-Natural/dp/B0BSGWRW5H/ref=sr_1_2?keywords=STUART+WEITZMAN&amp;qid=1695343257&amp;sr=8-2")</f>
        <v/>
      </c>
      <c r="F406" t="inlineStr">
        <is>
          <t>B0BSGWRW5H</t>
        </is>
      </c>
      <c r="G406">
        <f>_xlfn.IMAGE("https://www.theoutnet.com/variants/images/1647597285274259/F/w1020_q80.jpg")</f>
        <v/>
      </c>
      <c r="H406">
        <f>_xlfn.IMAGE("https://m.media-amazon.com/images/I/713pNP6rxKL._AC_UL320_.jpg")</f>
        <v/>
      </c>
      <c r="K406" t="inlineStr">
        <is>
          <t>100.0</t>
        </is>
      </c>
      <c r="L406" t="n">
        <v>202.81</v>
      </c>
      <c r="M406" s="2" t="inlineStr">
        <is>
          <t>102.81%</t>
        </is>
      </c>
      <c r="N406" t="n">
        <v>4.6</v>
      </c>
      <c r="O406" t="n">
        <v>3</v>
      </c>
      <c r="Q406" t="inlineStr">
        <is>
          <t>InStock</t>
        </is>
      </c>
      <c r="R406" t="inlineStr">
        <is>
          <t>331.0</t>
        </is>
      </c>
      <c r="S406" t="inlineStr">
        <is>
          <t>1647597285274259</t>
        </is>
      </c>
    </row>
    <row r="407" ht="75" customHeight="1">
      <c r="A407" s="1">
        <f>HYPERLINK("https://www.theoutnet.com/en-us/shop/product/stuart-weitzman/espadrilles/flat-espadrilles/mykonos-twill-espadrilles/1647597285274259", "https://www.theoutnet.com/en-us/shop/product/stuart-weitzman/espadrilles/flat-espadrilles/mykonos-twill-espadrilles/1647597285274259")</f>
        <v/>
      </c>
      <c r="B407" s="1">
        <f>HYPERLINK("https://www.theoutnet.com/en-us/shop/product/stuart-weitzman/espadrilles/flat-espadrilles/mykonos-twill-espadrilles/1647597285274259", "https://www.theoutnet.com/en-us/shop/product/stuart-weitzman/espadrilles/flat-espadrilles/mykonos-twill-espadrilles/1647597285274259")</f>
        <v/>
      </c>
      <c r="C407" t="inlineStr">
        <is>
          <t>STUART WEITZMAN</t>
        </is>
      </c>
      <c r="D407" t="inlineStr">
        <is>
          <t>Stuart Weitzman Cayman 85 Block Slide</t>
        </is>
      </c>
      <c r="E407" s="1">
        <f>HYPERLINK("https://www.amazon.com/Stuart-Weitzman-Cayman-Block-Natural/dp/B0BTHLYHPH/ref=sr_1_9?keywords=STUART+WEITZMAN&amp;qid=1695343257&amp;sr=8-9", "https://www.amazon.com/Stuart-Weitzman-Cayman-Block-Natural/dp/B0BTHLYHPH/ref=sr_1_9?keywords=STUART+WEITZMAN&amp;qid=1695343257&amp;sr=8-9")</f>
        <v/>
      </c>
      <c r="F407" t="inlineStr">
        <is>
          <t>B0BTHLYHPH</t>
        </is>
      </c>
      <c r="G407">
        <f>_xlfn.IMAGE("https://www.theoutnet.com/variants/images/1647597285274259/F/w1020_q80.jpg")</f>
        <v/>
      </c>
      <c r="H407">
        <f>_xlfn.IMAGE("https://m.media-amazon.com/images/I/71lWUv5adVL._AC_UL320_.jpg")</f>
        <v/>
      </c>
      <c r="K407" t="inlineStr">
        <is>
          <t>100.0</t>
        </is>
      </c>
      <c r="L407" t="n">
        <v>174.25</v>
      </c>
      <c r="M407" s="2" t="inlineStr">
        <is>
          <t>74.25%</t>
        </is>
      </c>
      <c r="N407" t="n">
        <v>5</v>
      </c>
      <c r="O407" t="n">
        <v>1</v>
      </c>
      <c r="Q407" t="inlineStr">
        <is>
          <t>InStock</t>
        </is>
      </c>
      <c r="R407" t="inlineStr">
        <is>
          <t>331.0</t>
        </is>
      </c>
      <c r="S407" t="inlineStr">
        <is>
          <t>1647597285274259</t>
        </is>
      </c>
    </row>
    <row r="408" ht="75" customHeight="1">
      <c r="A408" s="1">
        <f>HYPERLINK("https://www.theoutnet.com/en-us/shop/product/stuart-weitzman/espadrilles/flat-espadrilles/mykonos-twill-espadrilles/1647597285274259", "https://www.theoutnet.com/en-us/shop/product/stuart-weitzman/espadrilles/flat-espadrilles/mykonos-twill-espadrilles/1647597285274259")</f>
        <v/>
      </c>
      <c r="B408" s="1">
        <f>HYPERLINK("https://www.theoutnet.com/en-us/shop/product/stuart-weitzman/espadrilles/flat-espadrilles/mykonos-twill-espadrilles/1647597285274259", "https://www.theoutnet.com/en-us/shop/product/stuart-weitzman/espadrilles/flat-espadrilles/mykonos-twill-espadrilles/1647597285274259")</f>
        <v/>
      </c>
      <c r="C408" t="inlineStr">
        <is>
          <t>STUART WEITZMAN</t>
        </is>
      </c>
      <c r="D408" t="inlineStr">
        <is>
          <t>Stuart Weitzman Women's Easyon Reserve Chelsea Boot</t>
        </is>
      </c>
      <c r="E408" s="1">
        <f>HYPERLINK("https://www.amazon.com/Stuart-Weitzman-EASYON-Reserve-Chelsea/dp/B07JBHS7SN/ref=sr_1_3?keywords=STUART+WEITZMAN&amp;qid=1695343257&amp;sr=8-3", "https://www.amazon.com/Stuart-Weitzman-EASYON-Reserve-Chelsea/dp/B07JBHS7SN/ref=sr_1_3?keywords=STUART+WEITZMAN&amp;qid=1695343257&amp;sr=8-3")</f>
        <v/>
      </c>
      <c r="F408" t="inlineStr">
        <is>
          <t>B07JBHS7SN</t>
        </is>
      </c>
      <c r="G408">
        <f>_xlfn.IMAGE("https://www.theoutnet.com/variants/images/1647597285274259/F/w1020_q80.jpg")</f>
        <v/>
      </c>
      <c r="H408">
        <f>_xlfn.IMAGE("https://m.media-amazon.com/images/I/81xxQrKrB7L._AC_UL320_.jpg")</f>
        <v/>
      </c>
      <c r="K408" t="inlineStr">
        <is>
          <t>100.0</t>
        </is>
      </c>
      <c r="L408" t="n">
        <v>172.1</v>
      </c>
      <c r="M408" s="2" t="inlineStr">
        <is>
          <t>72.10%</t>
        </is>
      </c>
      <c r="N408" t="n">
        <v>4.2</v>
      </c>
      <c r="O408" t="n">
        <v>41</v>
      </c>
      <c r="Q408" t="inlineStr">
        <is>
          <t>InStock</t>
        </is>
      </c>
      <c r="R408" t="inlineStr">
        <is>
          <t>331.0</t>
        </is>
      </c>
      <c r="S408" t="inlineStr">
        <is>
          <t>1647597285274259</t>
        </is>
      </c>
    </row>
    <row r="409" ht="75" customHeight="1">
      <c r="A409" s="1">
        <f>HYPERLINK("https://www.theoutnet.com/en-us/shop/product/stuart-weitzman/espadrilles/flat-espadrilles/mykonos-twill-espadrilles/1647597285274259", "https://www.theoutnet.com/en-us/shop/product/stuart-weitzman/espadrilles/flat-espadrilles/mykonos-twill-espadrilles/1647597285274259")</f>
        <v/>
      </c>
      <c r="B409" s="1">
        <f>HYPERLINK("https://www.theoutnet.com/en-us/shop/product/stuart-weitzman/espadrilles/flat-espadrilles/mykonos-twill-espadrilles/1647597285274259", "https://www.theoutnet.com/en-us/shop/product/stuart-weitzman/espadrilles/flat-espadrilles/mykonos-twill-espadrilles/1647597285274259")</f>
        <v/>
      </c>
      <c r="C409" t="inlineStr">
        <is>
          <t>STUART WEITZMAN</t>
        </is>
      </c>
      <c r="D409" t="inlineStr">
        <is>
          <t>Stuart Weitzman Stuart 100 Scallop Pump</t>
        </is>
      </c>
      <c r="E409" s="1">
        <f>HYPERLINK("https://www.amazon.com/Stuart-Weitzman-Scallop-Pump-Silver/dp/B09PL719HJ/ref=sr_1_8?keywords=STUART+WEITZMAN&amp;qid=1695343584&amp;sr=8-8", "https://www.amazon.com/Stuart-Weitzman-Scallop-Pump-Silver/dp/B09PL719HJ/ref=sr_1_8?keywords=STUART+WEITZMAN&amp;qid=1695343584&amp;sr=8-8")</f>
        <v/>
      </c>
      <c r="F409" t="inlineStr">
        <is>
          <t>B09PL719HJ</t>
        </is>
      </c>
      <c r="G409">
        <f>_xlfn.IMAGE("https://www.theoutnet.com/variants/images/1647597285274259/F/w1020_q80.jpg")</f>
        <v/>
      </c>
      <c r="H409">
        <f>_xlfn.IMAGE("https://m.media-amazon.com/images/I/61CyqtJ1btL._AC_UL320_.jpg")</f>
        <v/>
      </c>
      <c r="K409" t="inlineStr">
        <is>
          <t>100.0</t>
        </is>
      </c>
      <c r="L409" t="n">
        <v>246.28</v>
      </c>
      <c r="M409" s="2" t="inlineStr">
        <is>
          <t>146.28%</t>
        </is>
      </c>
      <c r="N409" t="n">
        <v>4.5</v>
      </c>
      <c r="O409" t="n">
        <v>5</v>
      </c>
      <c r="Q409" t="inlineStr">
        <is>
          <t>InStock</t>
        </is>
      </c>
      <c r="R409" t="inlineStr">
        <is>
          <t>331.0</t>
        </is>
      </c>
      <c r="S409" t="inlineStr">
        <is>
          <t>1647597285274259</t>
        </is>
      </c>
    </row>
    <row r="410" ht="75" customHeight="1">
      <c r="A410" s="1">
        <f>HYPERLINK("https://www.theoutnet.com/en-us/shop/product/stuart-weitzman/espadrilles/flat-espadrilles/mykonos-twill-espadrilles/1647597285274259", "https://www.theoutnet.com/en-us/shop/product/stuart-weitzman/espadrilles/flat-espadrilles/mykonos-twill-espadrilles/1647597285274259")</f>
        <v/>
      </c>
      <c r="B410" s="1">
        <f>HYPERLINK("https://www.theoutnet.com/en-us/shop/product/stuart-weitzman/espadrilles/flat-espadrilles/mykonos-twill-espadrilles/1647597285274259", "https://www.theoutnet.com/en-us/shop/product/stuart-weitzman/espadrilles/flat-espadrilles/mykonos-twill-espadrilles/1647597285274259")</f>
        <v/>
      </c>
      <c r="C410" t="inlineStr">
        <is>
          <t>STUART WEITZMAN</t>
        </is>
      </c>
      <c r="D410" t="inlineStr">
        <is>
          <t>Stuart Weitzman Women's Nearlybare Sandals</t>
        </is>
      </c>
      <c r="E410" s="1">
        <f>HYPERLINK("https://www.amazon.com/Stuart-Weitzman-Womens-Nearlybare-Sandals/dp/B0BB98QQS4/ref=sr_1_7?keywords=STUART+WEITZMAN&amp;qid=1695343584&amp;sr=8-7", "https://www.amazon.com/Stuart-Weitzman-Womens-Nearlybare-Sandals/dp/B0BB98QQS4/ref=sr_1_7?keywords=STUART+WEITZMAN&amp;qid=1695343584&amp;sr=8-7")</f>
        <v/>
      </c>
      <c r="F410" t="inlineStr">
        <is>
          <t>B0BB98QQS4</t>
        </is>
      </c>
      <c r="G410">
        <f>_xlfn.IMAGE("https://www.theoutnet.com/variants/images/1647597285274259/F/w1020_q80.jpg")</f>
        <v/>
      </c>
      <c r="H410">
        <f>_xlfn.IMAGE("https://m.media-amazon.com/images/I/517KGaG+NmL._AC_UL320_.jpg")</f>
        <v/>
      </c>
      <c r="K410" t="inlineStr">
        <is>
          <t>100.0</t>
        </is>
      </c>
      <c r="L410" t="n">
        <v>237.5</v>
      </c>
      <c r="M410" s="2" t="inlineStr">
        <is>
          <t>137.50%</t>
        </is>
      </c>
      <c r="N410" t="n">
        <v>5</v>
      </c>
      <c r="O410" t="n">
        <v>1</v>
      </c>
      <c r="Q410" t="inlineStr">
        <is>
          <t>InStock</t>
        </is>
      </c>
      <c r="R410" t="inlineStr">
        <is>
          <t>331.0</t>
        </is>
      </c>
      <c r="S410" t="inlineStr">
        <is>
          <t>1647597285274259</t>
        </is>
      </c>
    </row>
    <row r="411" ht="75" customHeight="1">
      <c r="A411" s="1">
        <f>HYPERLINK("https://www.theoutnet.com/en-us/shop/product/stuart-weitzman/espadrilles/flat-espadrilles/mykonos-twill-espadrilles/1647597285274259", "https://www.theoutnet.com/en-us/shop/product/stuart-weitzman/espadrilles/flat-espadrilles/mykonos-twill-espadrilles/1647597285274259")</f>
        <v/>
      </c>
      <c r="B411" s="1">
        <f>HYPERLINK("https://www.theoutnet.com/en-us/shop/product/stuart-weitzman/espadrilles/flat-espadrilles/mykonos-twill-espadrilles/1647597285274259", "https://www.theoutnet.com/en-us/shop/product/stuart-weitzman/espadrilles/flat-espadrilles/mykonos-twill-espadrilles/1647597285274259")</f>
        <v/>
      </c>
      <c r="C411" t="inlineStr">
        <is>
          <t>STUART WEITZMAN</t>
        </is>
      </c>
      <c r="D411" t="inlineStr">
        <is>
          <t>Stuart Weitzman Women's Mirela Ii Wedge Espadrilles</t>
        </is>
      </c>
      <c r="E411" s="1">
        <f>HYPERLINK("https://www.amazon.com/Stuart-Weitzman-Mirela-Espadrille-Natural/dp/B0BSGWRW5H/ref=sr_1_2?keywords=STUART+WEITZMAN&amp;qid=1695343584&amp;sr=8-2", "https://www.amazon.com/Stuart-Weitzman-Mirela-Espadrille-Natural/dp/B0BSGWRW5H/ref=sr_1_2?keywords=STUART+WEITZMAN&amp;qid=1695343584&amp;sr=8-2")</f>
        <v/>
      </c>
      <c r="F411" t="inlineStr">
        <is>
          <t>B0BSGWRW5H</t>
        </is>
      </c>
      <c r="G411">
        <f>_xlfn.IMAGE("https://www.theoutnet.com/variants/images/1647597285274259/F/w1020_q80.jpg")</f>
        <v/>
      </c>
      <c r="H411">
        <f>_xlfn.IMAGE("https://m.media-amazon.com/images/I/713pNP6rxKL._AC_UL320_.jpg")</f>
        <v/>
      </c>
      <c r="K411" t="inlineStr">
        <is>
          <t>100.0</t>
        </is>
      </c>
      <c r="L411" t="n">
        <v>202.81</v>
      </c>
      <c r="M411" s="2" t="inlineStr">
        <is>
          <t>102.81%</t>
        </is>
      </c>
      <c r="N411" t="n">
        <v>4.6</v>
      </c>
      <c r="O411" t="n">
        <v>3</v>
      </c>
      <c r="Q411" t="inlineStr">
        <is>
          <t>InStock</t>
        </is>
      </c>
      <c r="R411" t="inlineStr">
        <is>
          <t>331.0</t>
        </is>
      </c>
      <c r="S411" t="inlineStr">
        <is>
          <t>1647597285274259</t>
        </is>
      </c>
    </row>
    <row r="412" ht="75" customHeight="1">
      <c r="A412" s="1">
        <f>HYPERLINK("https://www.theoutnet.com/en-us/shop/product/stuart-weitzman/espadrilles/flat-espadrilles/mykonos-twill-espadrilles/1647597285274259", "https://www.theoutnet.com/en-us/shop/product/stuart-weitzman/espadrilles/flat-espadrilles/mykonos-twill-espadrilles/1647597285274259")</f>
        <v/>
      </c>
      <c r="B412" s="1">
        <f>HYPERLINK("https://www.theoutnet.com/en-us/shop/product/stuart-weitzman/espadrilles/flat-espadrilles/mykonos-twill-espadrilles/1647597285274259", "https://www.theoutnet.com/en-us/shop/product/stuart-weitzman/espadrilles/flat-espadrilles/mykonos-twill-espadrilles/1647597285274259")</f>
        <v/>
      </c>
      <c r="C412" t="inlineStr">
        <is>
          <t>STUART WEITZMAN</t>
        </is>
      </c>
      <c r="D412" t="inlineStr">
        <is>
          <t>Stuart Weitzman Cayman 85 Block Slide</t>
        </is>
      </c>
      <c r="E412" s="1">
        <f>HYPERLINK("https://www.amazon.com/Stuart-Weitzman-Cayman-Block-Natural/dp/B0BTHLYHPH/ref=sr_1_10?keywords=STUART+WEITZMAN&amp;qid=1695343584&amp;sr=8-10", "https://www.amazon.com/Stuart-Weitzman-Cayman-Block-Natural/dp/B0BTHLYHPH/ref=sr_1_10?keywords=STUART+WEITZMAN&amp;qid=1695343584&amp;sr=8-10")</f>
        <v/>
      </c>
      <c r="F412" t="inlineStr">
        <is>
          <t>B0BTHLYHPH</t>
        </is>
      </c>
      <c r="G412">
        <f>_xlfn.IMAGE("https://www.theoutnet.com/variants/images/1647597285274259/F/w1020_q80.jpg")</f>
        <v/>
      </c>
      <c r="H412">
        <f>_xlfn.IMAGE("https://m.media-amazon.com/images/I/71lWUv5adVL._AC_UL320_.jpg")</f>
        <v/>
      </c>
      <c r="K412" t="inlineStr">
        <is>
          <t>100.0</t>
        </is>
      </c>
      <c r="L412" t="n">
        <v>174.25</v>
      </c>
      <c r="M412" s="2" t="inlineStr">
        <is>
          <t>74.25%</t>
        </is>
      </c>
      <c r="N412" t="n">
        <v>5</v>
      </c>
      <c r="O412" t="n">
        <v>1</v>
      </c>
      <c r="Q412" t="inlineStr">
        <is>
          <t>InStock</t>
        </is>
      </c>
      <c r="R412" t="inlineStr">
        <is>
          <t>331.0</t>
        </is>
      </c>
      <c r="S412" t="inlineStr">
        <is>
          <t>1647597285274259</t>
        </is>
      </c>
    </row>
    <row r="413" ht="75" customHeight="1">
      <c r="A413" s="1">
        <f>HYPERLINK("https://www.theoutnet.com/en-us/shop/product/stuart-weitzman/espadrilles/flat-espadrilles/mykonos-twill-espadrilles/1647597285274259", "https://www.theoutnet.com/en-us/shop/product/stuart-weitzman/espadrilles/flat-espadrilles/mykonos-twill-espadrilles/1647597285274259")</f>
        <v/>
      </c>
      <c r="B413" s="1">
        <f>HYPERLINK("https://www.theoutnet.com/en-us/shop/product/stuart-weitzman/espadrilles/flat-espadrilles/mykonos-twill-espadrilles/1647597285274259", "https://www.theoutnet.com/en-us/shop/product/stuart-weitzman/espadrilles/flat-espadrilles/mykonos-twill-espadrilles/1647597285274259")</f>
        <v/>
      </c>
      <c r="C413" t="inlineStr">
        <is>
          <t>STUART WEITZMAN</t>
        </is>
      </c>
      <c r="D413" t="inlineStr">
        <is>
          <t>Stuart Weitzman Women's Easyon Reserve Chelsea Boot</t>
        </is>
      </c>
      <c r="E413" s="1">
        <f>HYPERLINK("https://www.amazon.com/Stuart-Weitzman-EASYON-Reserve-Chelsea/dp/B07JBHS7SN/ref=sr_1_3?keywords=STUART+WEITZMAN&amp;qid=1695343584&amp;sr=8-3", "https://www.amazon.com/Stuart-Weitzman-EASYON-Reserve-Chelsea/dp/B07JBHS7SN/ref=sr_1_3?keywords=STUART+WEITZMAN&amp;qid=1695343584&amp;sr=8-3")</f>
        <v/>
      </c>
      <c r="F413" t="inlineStr">
        <is>
          <t>B07JBHS7SN</t>
        </is>
      </c>
      <c r="G413">
        <f>_xlfn.IMAGE("https://www.theoutnet.com/variants/images/1647597285274259/F/w1020_q80.jpg")</f>
        <v/>
      </c>
      <c r="H413">
        <f>_xlfn.IMAGE("https://m.media-amazon.com/images/I/81xxQrKrB7L._AC_UL320_.jpg")</f>
        <v/>
      </c>
      <c r="K413" t="inlineStr">
        <is>
          <t>100.0</t>
        </is>
      </c>
      <c r="L413" t="n">
        <v>172.1</v>
      </c>
      <c r="M413" s="2" t="inlineStr">
        <is>
          <t>72.10%</t>
        </is>
      </c>
      <c r="N413" t="n">
        <v>4.2</v>
      </c>
      <c r="O413" t="n">
        <v>41</v>
      </c>
      <c r="Q413" t="inlineStr">
        <is>
          <t>InStock</t>
        </is>
      </c>
      <c r="R413" t="inlineStr">
        <is>
          <t>331.0</t>
        </is>
      </c>
      <c r="S413" t="inlineStr">
        <is>
          <t>1647597285274259</t>
        </is>
      </c>
    </row>
    <row r="414" ht="75" customHeight="1">
      <c r="A414" s="1">
        <f>HYPERLINK("https://www.theoutnet.com/en-us/shop/product/stuart-weitzman/espadrilles/high-heel-espadrilles/teddi-suede-wedge-espadrille-sandals/1647597278180217", "https://www.theoutnet.com/en-us/shop/product/stuart-weitzman/espadrilles/high-heel-espadrilles/teddi-suede-wedge-espadrille-sandals/1647597278180217")</f>
        <v/>
      </c>
      <c r="B414" s="1">
        <f>HYPERLINK("https://www.theoutnet.com/en-us/shop/product/stuart-weitzman/espadrilles/high-heel-espadrilles/teddi-suede-wedge-espadrille-sandals/1647597278180217", "https://www.theoutnet.com/en-us/shop/product/stuart-weitzman/espadrilles/high-heel-espadrilles/teddi-suede-wedge-espadrille-sandals/1647597278180217")</f>
        <v/>
      </c>
      <c r="C414" t="inlineStr">
        <is>
          <t>STUART WEITZMAN</t>
        </is>
      </c>
      <c r="D414" t="inlineStr">
        <is>
          <t>Stuart Weitzman Stuart 100 Scallop Pump</t>
        </is>
      </c>
      <c r="E414" s="1">
        <f>HYPERLINK("https://www.amazon.com/Stuart-Weitzman-Scallop-Pump-Silver/dp/B09PL719HJ/ref=sr_1_7?keywords=STUART+WEITZMAN&amp;qid=1695343239&amp;sr=8-7", "https://www.amazon.com/Stuart-Weitzman-Scallop-Pump-Silver/dp/B09PL719HJ/ref=sr_1_7?keywords=STUART+WEITZMAN&amp;qid=1695343239&amp;sr=8-7")</f>
        <v/>
      </c>
      <c r="F414" t="inlineStr">
        <is>
          <t>B09PL719HJ</t>
        </is>
      </c>
      <c r="G414">
        <f>_xlfn.IMAGE("https://www.theoutnet.com/variants/images/1647597278180217/F/w1020_q80.jpg")</f>
        <v/>
      </c>
      <c r="H414">
        <f>_xlfn.IMAGE("https://m.media-amazon.com/images/I/61CyqtJ1btL._AC_UL320_.jpg")</f>
        <v/>
      </c>
      <c r="K414" t="inlineStr">
        <is>
          <t>119.0</t>
        </is>
      </c>
      <c r="L414" t="n">
        <v>246.28</v>
      </c>
      <c r="M414" s="2" t="inlineStr">
        <is>
          <t>106.96%</t>
        </is>
      </c>
      <c r="N414" t="n">
        <v>4.5</v>
      </c>
      <c r="O414" t="n">
        <v>5</v>
      </c>
      <c r="Q414" t="inlineStr">
        <is>
          <t>InStock</t>
        </is>
      </c>
      <c r="R414" t="inlineStr">
        <is>
          <t>395.0</t>
        </is>
      </c>
      <c r="S414" t="inlineStr">
        <is>
          <t>1647597278180217</t>
        </is>
      </c>
    </row>
    <row r="415" ht="75" customHeight="1">
      <c r="A415" s="1">
        <f>HYPERLINK("https://www.theoutnet.com/en-us/shop/product/stuart-weitzman/espadrilles/high-heel-espadrilles/teddi-suede-wedge-espadrille-sandals/1647597278180217", "https://www.theoutnet.com/en-us/shop/product/stuart-weitzman/espadrilles/high-heel-espadrilles/teddi-suede-wedge-espadrille-sandals/1647597278180217")</f>
        <v/>
      </c>
      <c r="B415" s="1">
        <f>HYPERLINK("https://www.theoutnet.com/en-us/shop/product/stuart-weitzman/espadrilles/high-heel-espadrilles/teddi-suede-wedge-espadrille-sandals/1647597278180217", "https://www.theoutnet.com/en-us/shop/product/stuart-weitzman/espadrilles/high-heel-espadrilles/teddi-suede-wedge-espadrille-sandals/1647597278180217")</f>
        <v/>
      </c>
      <c r="C415" t="inlineStr">
        <is>
          <t>STUART WEITZMAN</t>
        </is>
      </c>
      <c r="D415" t="inlineStr">
        <is>
          <t>Stuart Weitzman Women's Nearlybare Sandals</t>
        </is>
      </c>
      <c r="E415" s="1">
        <f>HYPERLINK("https://www.amazon.com/Stuart-Weitzman-Womens-Nearlybare-Sandals/dp/B0BB98QQS4/ref=sr_1_10?keywords=STUART+WEITZMAN&amp;qid=1695343239&amp;sr=8-10", "https://www.amazon.com/Stuart-Weitzman-Womens-Nearlybare-Sandals/dp/B0BB98QQS4/ref=sr_1_10?keywords=STUART+WEITZMAN&amp;qid=1695343239&amp;sr=8-10")</f>
        <v/>
      </c>
      <c r="F415" t="inlineStr">
        <is>
          <t>B0BB98QQS4</t>
        </is>
      </c>
      <c r="G415">
        <f>_xlfn.IMAGE("https://www.theoutnet.com/variants/images/1647597278180217/F/w1020_q80.jpg")</f>
        <v/>
      </c>
      <c r="H415">
        <f>_xlfn.IMAGE("https://m.media-amazon.com/images/I/517KGaG+NmL._AC_UL320_.jpg")</f>
        <v/>
      </c>
      <c r="K415" t="inlineStr">
        <is>
          <t>119.0</t>
        </is>
      </c>
      <c r="L415" t="n">
        <v>237.5</v>
      </c>
      <c r="M415" s="2" t="inlineStr">
        <is>
          <t>99.58%</t>
        </is>
      </c>
      <c r="N415" t="n">
        <v>5</v>
      </c>
      <c r="O415" t="n">
        <v>1</v>
      </c>
      <c r="Q415" t="inlineStr">
        <is>
          <t>InStock</t>
        </is>
      </c>
      <c r="R415" t="inlineStr">
        <is>
          <t>395.0</t>
        </is>
      </c>
      <c r="S415" t="inlineStr">
        <is>
          <t>1647597278180217</t>
        </is>
      </c>
    </row>
    <row r="416" ht="75" customHeight="1">
      <c r="A416" s="1">
        <f>HYPERLINK("https://www.theoutnet.com/en-us/shop/product/stuart-weitzman/espadrilles/high-heel-espadrilles/teddi-suede-wedge-espadrille-sandals/1647597278180217", "https://www.theoutnet.com/en-us/shop/product/stuart-weitzman/espadrilles/high-heel-espadrilles/teddi-suede-wedge-espadrille-sandals/1647597278180217")</f>
        <v/>
      </c>
      <c r="B416" s="1">
        <f>HYPERLINK("https://www.theoutnet.com/en-us/shop/product/stuart-weitzman/espadrilles/high-heel-espadrilles/teddi-suede-wedge-espadrille-sandals/1647597278180217", "https://www.theoutnet.com/en-us/shop/product/stuart-weitzman/espadrilles/high-heel-espadrilles/teddi-suede-wedge-espadrille-sandals/1647597278180217")</f>
        <v/>
      </c>
      <c r="C416" t="inlineStr">
        <is>
          <t>STUART WEITZMAN</t>
        </is>
      </c>
      <c r="D416" t="inlineStr">
        <is>
          <t>Stuart Weitzman Women's Mirela Ii Wedge Espadrilles</t>
        </is>
      </c>
      <c r="E416" s="1">
        <f>HYPERLINK("https://www.amazon.com/Stuart-Weitzman-Mirela-Espadrille-Natural/dp/B0BSGWRW5H/ref=sr_1_2?keywords=STUART+WEITZMAN&amp;qid=1695343239&amp;sr=8-2", "https://www.amazon.com/Stuart-Weitzman-Mirela-Espadrille-Natural/dp/B0BSGWRW5H/ref=sr_1_2?keywords=STUART+WEITZMAN&amp;qid=1695343239&amp;sr=8-2")</f>
        <v/>
      </c>
      <c r="F416" t="inlineStr">
        <is>
          <t>B0BSGWRW5H</t>
        </is>
      </c>
      <c r="G416">
        <f>_xlfn.IMAGE("https://www.theoutnet.com/variants/images/1647597278180217/F/w1020_q80.jpg")</f>
        <v/>
      </c>
      <c r="H416">
        <f>_xlfn.IMAGE("https://m.media-amazon.com/images/I/713pNP6rxKL._AC_UL320_.jpg")</f>
        <v/>
      </c>
      <c r="K416" t="inlineStr">
        <is>
          <t>119.0</t>
        </is>
      </c>
      <c r="L416" t="n">
        <v>202.81</v>
      </c>
      <c r="M416" s="2" t="inlineStr">
        <is>
          <t>70.43%</t>
        </is>
      </c>
      <c r="N416" t="n">
        <v>4.6</v>
      </c>
      <c r="O416" t="n">
        <v>3</v>
      </c>
      <c r="Q416" t="inlineStr">
        <is>
          <t>InStock</t>
        </is>
      </c>
      <c r="R416" t="inlineStr">
        <is>
          <t>395.0</t>
        </is>
      </c>
      <c r="S416" t="inlineStr">
        <is>
          <t>1647597278180217</t>
        </is>
      </c>
    </row>
    <row r="417" ht="75" customHeight="1">
      <c r="A417" s="1">
        <f>HYPERLINK("https://www.theoutnet.com/en-us/shop/product/stuart-weitzman/espadrilles/high-heel-espadrilles/teddi-suede-wedge-espadrille-sandals/1647597278180217", "https://www.theoutnet.com/en-us/shop/product/stuart-weitzman/espadrilles/high-heel-espadrilles/teddi-suede-wedge-espadrille-sandals/1647597278180217")</f>
        <v/>
      </c>
      <c r="B417" s="1">
        <f>HYPERLINK("https://www.theoutnet.com/en-us/shop/product/stuart-weitzman/espadrilles/high-heel-espadrilles/teddi-suede-wedge-espadrille-sandals/1647597278180217", "https://www.theoutnet.com/en-us/shop/product/stuart-weitzman/espadrilles/high-heel-espadrilles/teddi-suede-wedge-espadrille-sandals/1647597278180217")</f>
        <v/>
      </c>
      <c r="C417" t="inlineStr">
        <is>
          <t>STUART WEITZMAN</t>
        </is>
      </c>
      <c r="D417" t="inlineStr">
        <is>
          <t>Stuart Weitzman Women's Nearlybare Sandals</t>
        </is>
      </c>
      <c r="E417" s="1">
        <f>HYPERLINK("https://www.amazon.com/Stuart-Weitzman-Womens-Nearlybare-Sandals/dp/B0BB98KL5P/ref=sr_1_7?keywords=STUART+WEITZMAN&amp;qid=1695343579&amp;sr=8-7", "https://www.amazon.com/Stuart-Weitzman-Womens-Nearlybare-Sandals/dp/B0BB98KL5P/ref=sr_1_7?keywords=STUART+WEITZMAN&amp;qid=1695343579&amp;sr=8-7")</f>
        <v/>
      </c>
      <c r="F417" t="inlineStr">
        <is>
          <t>B0BB98KL5P</t>
        </is>
      </c>
      <c r="G417">
        <f>_xlfn.IMAGE("https://www.theoutnet.com/variants/images/1647597278180217/F/w1020_q80.jpg")</f>
        <v/>
      </c>
      <c r="H417">
        <f>_xlfn.IMAGE("https://m.media-amazon.com/images/I/517KGaG+NmL._AC_UL320_.jpg")</f>
        <v/>
      </c>
      <c r="K417" t="inlineStr">
        <is>
          <t>119.0</t>
        </is>
      </c>
      <c r="L417" t="n">
        <v>266.5</v>
      </c>
      <c r="M417" s="2" t="inlineStr">
        <is>
          <t>123.95%</t>
        </is>
      </c>
      <c r="N417" t="n">
        <v>5</v>
      </c>
      <c r="O417" t="n">
        <v>1</v>
      </c>
      <c r="Q417" t="inlineStr">
        <is>
          <t>InStock</t>
        </is>
      </c>
      <c r="R417" t="inlineStr">
        <is>
          <t>395.0</t>
        </is>
      </c>
      <c r="S417" t="inlineStr">
        <is>
          <t>1647597278180217</t>
        </is>
      </c>
    </row>
    <row r="418" ht="75" customHeight="1">
      <c r="A418" s="1">
        <f>HYPERLINK("https://www.theoutnet.com/en-us/shop/product/stuart-weitzman/espadrilles/high-heel-espadrilles/teddi-suede-wedge-espadrille-sandals/1647597278180217", "https://www.theoutnet.com/en-us/shop/product/stuart-weitzman/espadrilles/high-heel-espadrilles/teddi-suede-wedge-espadrille-sandals/1647597278180217")</f>
        <v/>
      </c>
      <c r="B418" s="1">
        <f>HYPERLINK("https://www.theoutnet.com/en-us/shop/product/stuart-weitzman/espadrilles/high-heel-espadrilles/teddi-suede-wedge-espadrille-sandals/1647597278180217", "https://www.theoutnet.com/en-us/shop/product/stuart-weitzman/espadrilles/high-heel-espadrilles/teddi-suede-wedge-espadrille-sandals/1647597278180217")</f>
        <v/>
      </c>
      <c r="C418" t="inlineStr">
        <is>
          <t>STUART WEITZMAN</t>
        </is>
      </c>
      <c r="D418" t="inlineStr">
        <is>
          <t>Stuart Weitzman Stuart 100 Scallop Pump</t>
        </is>
      </c>
      <c r="E418" s="1">
        <f>HYPERLINK("https://www.amazon.com/Stuart-Weitzman-Scallop-Pump-Silver/dp/B09PL719HJ/ref=sr_1_8?keywords=STUART+WEITZMAN&amp;qid=1695343579&amp;sr=8-8", "https://www.amazon.com/Stuart-Weitzman-Scallop-Pump-Silver/dp/B09PL719HJ/ref=sr_1_8?keywords=STUART+WEITZMAN&amp;qid=1695343579&amp;sr=8-8")</f>
        <v/>
      </c>
      <c r="F418" t="inlineStr">
        <is>
          <t>B09PL719HJ</t>
        </is>
      </c>
      <c r="G418">
        <f>_xlfn.IMAGE("https://www.theoutnet.com/variants/images/1647597278180217/F/w1020_q80.jpg")</f>
        <v/>
      </c>
      <c r="H418">
        <f>_xlfn.IMAGE("https://m.media-amazon.com/images/I/61CyqtJ1btL._AC_UL320_.jpg")</f>
        <v/>
      </c>
      <c r="K418" t="inlineStr">
        <is>
          <t>119.0</t>
        </is>
      </c>
      <c r="L418" t="n">
        <v>246.28</v>
      </c>
      <c r="M418" s="2" t="inlineStr">
        <is>
          <t>106.96%</t>
        </is>
      </c>
      <c r="N418" t="n">
        <v>4.5</v>
      </c>
      <c r="O418" t="n">
        <v>5</v>
      </c>
      <c r="Q418" t="inlineStr">
        <is>
          <t>InStock</t>
        </is>
      </c>
      <c r="R418" t="inlineStr">
        <is>
          <t>395.0</t>
        </is>
      </c>
      <c r="S418" t="inlineStr">
        <is>
          <t>1647597278180217</t>
        </is>
      </c>
    </row>
    <row r="419" ht="75" customHeight="1">
      <c r="A419" s="1">
        <f>HYPERLINK("https://www.theoutnet.com/en-us/shop/product/stuart-weitzman/espadrilles/high-heel-espadrilles/teddi-suede-wedge-espadrille-sandals/1647597278180217", "https://www.theoutnet.com/en-us/shop/product/stuart-weitzman/espadrilles/high-heel-espadrilles/teddi-suede-wedge-espadrille-sandals/1647597278180217")</f>
        <v/>
      </c>
      <c r="B419" s="1">
        <f>HYPERLINK("https://www.theoutnet.com/en-us/shop/product/stuart-weitzman/espadrilles/high-heel-espadrilles/teddi-suede-wedge-espadrille-sandals/1647597278180217", "https://www.theoutnet.com/en-us/shop/product/stuart-weitzman/espadrilles/high-heel-espadrilles/teddi-suede-wedge-espadrille-sandals/1647597278180217")</f>
        <v/>
      </c>
      <c r="C419" t="inlineStr">
        <is>
          <t>STUART WEITZMAN</t>
        </is>
      </c>
      <c r="D419" t="inlineStr">
        <is>
          <t>Stuart Weitzman Women's Mirela Ii Wedge Espadrilles</t>
        </is>
      </c>
      <c r="E419" s="1">
        <f>HYPERLINK("https://www.amazon.com/Stuart-Weitzman-Mirela-Espadrille-Natural/dp/B0BSGWRW5H/ref=sr_1_2?keywords=STUART+WEITZMAN&amp;qid=1695343579&amp;sr=8-2", "https://www.amazon.com/Stuart-Weitzman-Mirela-Espadrille-Natural/dp/B0BSGWRW5H/ref=sr_1_2?keywords=STUART+WEITZMAN&amp;qid=1695343579&amp;sr=8-2")</f>
        <v/>
      </c>
      <c r="F419" t="inlineStr">
        <is>
          <t>B0BSGWRW5H</t>
        </is>
      </c>
      <c r="G419">
        <f>_xlfn.IMAGE("https://www.theoutnet.com/variants/images/1647597278180217/F/w1020_q80.jpg")</f>
        <v/>
      </c>
      <c r="H419">
        <f>_xlfn.IMAGE("https://m.media-amazon.com/images/I/713pNP6rxKL._AC_UL320_.jpg")</f>
        <v/>
      </c>
      <c r="K419" t="inlineStr">
        <is>
          <t>119.0</t>
        </is>
      </c>
      <c r="L419" t="n">
        <v>202.81</v>
      </c>
      <c r="M419" s="2" t="inlineStr">
        <is>
          <t>70.43%</t>
        </is>
      </c>
      <c r="N419" t="n">
        <v>4.6</v>
      </c>
      <c r="O419" t="n">
        <v>3</v>
      </c>
      <c r="Q419" t="inlineStr">
        <is>
          <t>InStock</t>
        </is>
      </c>
      <c r="R419" t="inlineStr">
        <is>
          <t>395.0</t>
        </is>
      </c>
      <c r="S419" t="inlineStr">
        <is>
          <t>1647597278180217</t>
        </is>
      </c>
    </row>
    <row r="420" ht="75" customHeight="1">
      <c r="A420" s="1">
        <f>HYPERLINK("https://www.theoutnet.com/en-us/shop/product/stuart-weitzman/pumps/mid-heel-pumps/poco-leather-pumps/1647597317787309", "https://www.theoutnet.com/en-us/shop/product/stuart-weitzman/pumps/mid-heel-pumps/poco-leather-pumps/1647597317787309")</f>
        <v/>
      </c>
      <c r="B420" s="1">
        <f>HYPERLINK("https://www.theoutnet.com/en-us/shop/product/stuart-weitzman/pumps/mid-heel-pumps/poco-leather-pumps/1647597317787309", "https://www.theoutnet.com/en-us/shop/product/stuart-weitzman/pumps/mid-heel-pumps/poco-leather-pumps/1647597317787309")</f>
        <v/>
      </c>
      <c r="C420" t="inlineStr">
        <is>
          <t>STUART WEITZMAN</t>
        </is>
      </c>
      <c r="D420" t="inlineStr">
        <is>
          <t>Stuart Weitzman Norah</t>
        </is>
      </c>
      <c r="E420" s="1" t="n"/>
      <c r="F420" t="inlineStr">
        <is>
          <t>B08H85BR6D</t>
        </is>
      </c>
      <c r="G420">
        <f>_xlfn.IMAGE("https://www.theoutnet.com/variants/images/1647597317787309/F/w1020_q80.jpg")</f>
        <v/>
      </c>
      <c r="H420">
        <f>_xlfn.IMAGE("https://m.media-amazon.com/images/I/710su5wiQWL._AC_UL320_.jpg")</f>
        <v/>
      </c>
      <c r="K420" t="inlineStr">
        <is>
          <t>214.0</t>
        </is>
      </c>
      <c r="L420" t="n">
        <v>550</v>
      </c>
      <c r="M420" s="2" t="inlineStr">
        <is>
          <t>157.01%</t>
        </is>
      </c>
      <c r="N420" t="n">
        <v>4.2</v>
      </c>
      <c r="O420" t="n">
        <v>3</v>
      </c>
      <c r="Q420" t="inlineStr">
        <is>
          <t>InStock</t>
        </is>
      </c>
      <c r="R420" t="inlineStr">
        <is>
          <t>475.0</t>
        </is>
      </c>
      <c r="S420" t="inlineStr">
        <is>
          <t>1647597317787309</t>
        </is>
      </c>
    </row>
    <row r="421" ht="75" customHeight="1">
      <c r="A421" s="1">
        <f>HYPERLINK("https://www.theoutnet.com/en-us/shop/product/stuart-weitzman/sandals/blockheel/leather-and-pvc-sandals/1647597301144394", "https://www.theoutnet.com/en-us/shop/product/stuart-weitzman/sandals/blockheel/leather-and-pvc-sandals/1647597301144394")</f>
        <v/>
      </c>
      <c r="B421" s="1">
        <f>HYPERLINK("https://www.theoutnet.com/en-us/shop/product/stuart-weitzman/sandals/blockheel/leather-and-pvc-sandals/1647597301144394", "https://www.theoutnet.com/en-us/shop/product/stuart-weitzman/sandals/blockheel/leather-and-pvc-sandals/1647597301144394")</f>
        <v/>
      </c>
      <c r="C421" t="inlineStr">
        <is>
          <t>STUART WEITZMAN</t>
        </is>
      </c>
      <c r="D421" t="inlineStr">
        <is>
          <t>Stuart Weitzman Norah</t>
        </is>
      </c>
      <c r="E421" s="1" t="n"/>
      <c r="F421" t="inlineStr">
        <is>
          <t>B08H85BR6D</t>
        </is>
      </c>
      <c r="G421">
        <f>_xlfn.IMAGE("https://www.theoutnet.com/variants/images/1647597301144394/F/w1020_q80.jpg")</f>
        <v/>
      </c>
      <c r="H421">
        <f>_xlfn.IMAGE("https://m.media-amazon.com/images/I/710su5wiQWL._AC_UL320_.jpg")</f>
        <v/>
      </c>
      <c r="K421" t="inlineStr">
        <is>
          <t>237.0</t>
        </is>
      </c>
      <c r="L421" t="n">
        <v>550</v>
      </c>
      <c r="M421" s="2" t="inlineStr">
        <is>
          <t>132.07%</t>
        </is>
      </c>
      <c r="N421" t="n">
        <v>4.2</v>
      </c>
      <c r="O421" t="n">
        <v>3</v>
      </c>
      <c r="Q421" t="inlineStr">
        <is>
          <t>InStock</t>
        </is>
      </c>
      <c r="R421" t="inlineStr">
        <is>
          <t>475.0</t>
        </is>
      </c>
      <c r="S421" t="inlineStr">
        <is>
          <t>1647597301144394</t>
        </is>
      </c>
    </row>
    <row r="422" ht="75" customHeight="1">
      <c r="A422" s="1">
        <f>HYPERLINK("https://www.theoutnet.com/en-us/shop/product/stuart-weitzman/sandals/blockheel/leather-and-pvc-sandals/1647597301144394", "https://www.theoutnet.com/en-us/shop/product/stuart-weitzman/sandals/blockheel/leather-and-pvc-sandals/1647597301144394")</f>
        <v/>
      </c>
      <c r="B422" s="1">
        <f>HYPERLINK("https://www.theoutnet.com/en-us/shop/product/stuart-weitzman/sandals/blockheel/leather-and-pvc-sandals/1647597301144394", "https://www.theoutnet.com/en-us/shop/product/stuart-weitzman/sandals/blockheel/leather-and-pvc-sandals/1647597301144394")</f>
        <v/>
      </c>
      <c r="C422" t="inlineStr">
        <is>
          <t>STUART WEITZMAN</t>
        </is>
      </c>
      <c r="D422" t="inlineStr">
        <is>
          <t>Stuart Weitzman Women's Norah Lug Sole Boots</t>
        </is>
      </c>
      <c r="E422" s="1" t="n"/>
      <c r="F422" t="inlineStr">
        <is>
          <t>B08MH4R493</t>
        </is>
      </c>
      <c r="G422">
        <f>_xlfn.IMAGE("https://www.theoutnet.com/variants/images/1647597301144394/F/w1020_q80.jpg")</f>
        <v/>
      </c>
      <c r="H422">
        <f>_xlfn.IMAGE("https://m.media-amazon.com/images/I/81jbRwRebmL._AC_UL320_.jpg")</f>
        <v/>
      </c>
      <c r="K422" t="inlineStr">
        <is>
          <t>237.0</t>
        </is>
      </c>
      <c r="L422" t="n">
        <v>550</v>
      </c>
      <c r="M422" s="2" t="inlineStr">
        <is>
          <t>132.07%</t>
        </is>
      </c>
      <c r="N422" t="n">
        <v>3.8</v>
      </c>
      <c r="O422" t="n">
        <v>5</v>
      </c>
      <c r="Q422" t="inlineStr">
        <is>
          <t>InStock</t>
        </is>
      </c>
      <c r="R422" t="inlineStr">
        <is>
          <t>475.0</t>
        </is>
      </c>
      <c r="S422" t="inlineStr">
        <is>
          <t>1647597301144394</t>
        </is>
      </c>
    </row>
    <row r="423" ht="75" customHeight="1">
      <c r="A423" s="1">
        <f>HYPERLINK("https://www.theoutnet.com/en-us/shop/product/stuart-weitzman/sandals/flat-sandals/catherine-croc-effect-leather-slides/1647597317762956", "https://www.theoutnet.com/en-us/shop/product/stuart-weitzman/sandals/flat-sandals/catherine-croc-effect-leather-slides/1647597317762956")</f>
        <v/>
      </c>
      <c r="B423" s="1">
        <f>HYPERLINK("https://www.theoutnet.com/en-us/shop/product/stuart-weitzman/sandals/flat-sandals/catherine-croc-effect-leather-slides/1647597317762956", "https://www.theoutnet.com/en-us/shop/product/stuart-weitzman/sandals/flat-sandals/catherine-croc-effect-leather-slides/1647597317762956")</f>
        <v/>
      </c>
      <c r="C423" t="inlineStr">
        <is>
          <t>STUART WEITZMAN</t>
        </is>
      </c>
      <c r="D423" t="inlineStr">
        <is>
          <t>Stuart Weitzman Women's Stuart 85 Scallop Pumps</t>
        </is>
      </c>
      <c r="E423" s="1" t="n"/>
      <c r="F423" t="inlineStr">
        <is>
          <t>B09HR828NB</t>
        </is>
      </c>
      <c r="G423">
        <f>_xlfn.IMAGE("https://www.theoutnet.com/variants/images/1647597317762956/F/w1020_q80.jpg")</f>
        <v/>
      </c>
      <c r="H423">
        <f>_xlfn.IMAGE("https://m.media-amazon.com/images/I/61WsvvCf6kL._AC_UL320_.jpg")</f>
        <v/>
      </c>
      <c r="K423" t="inlineStr">
        <is>
          <t>193.0</t>
        </is>
      </c>
      <c r="L423" t="n">
        <v>525</v>
      </c>
      <c r="M423" s="2" t="inlineStr">
        <is>
          <t>172.02%</t>
        </is>
      </c>
      <c r="N423" t="n">
        <v>4.5</v>
      </c>
      <c r="O423" t="n">
        <v>2</v>
      </c>
      <c r="Q423" t="inlineStr">
        <is>
          <t>InStock</t>
        </is>
      </c>
      <c r="R423" t="inlineStr">
        <is>
          <t>350.0</t>
        </is>
      </c>
      <c r="S423" t="inlineStr">
        <is>
          <t>1647597317762956</t>
        </is>
      </c>
    </row>
    <row r="424" ht="75" customHeight="1">
      <c r="A424" s="1">
        <f>HYPERLINK("https://www.theoutnet.com/en-us/shop/product/stuart-weitzman/sandals/flat-sandals/catherine-croc-effect-leather-slides/1647597317762956", "https://www.theoutnet.com/en-us/shop/product/stuart-weitzman/sandals/flat-sandals/catherine-croc-effect-leather-slides/1647597317762956")</f>
        <v/>
      </c>
      <c r="B424" s="1">
        <f>HYPERLINK("https://www.theoutnet.com/en-us/shop/product/stuart-weitzman/sandals/flat-sandals/catherine-croc-effect-leather-slides/1647597317762956", "https://www.theoutnet.com/en-us/shop/product/stuart-weitzman/sandals/flat-sandals/catherine-croc-effect-leather-slides/1647597317762956")</f>
        <v/>
      </c>
      <c r="C424" t="inlineStr">
        <is>
          <t>STUART WEITZMAN</t>
        </is>
      </c>
      <c r="D424" t="inlineStr">
        <is>
          <t>Stuart Weitzman Stuart 100 Scallop Pump</t>
        </is>
      </c>
      <c r="E424" s="1" t="n"/>
      <c r="F424" t="inlineStr">
        <is>
          <t>B0B5P8S7VY</t>
        </is>
      </c>
      <c r="G424">
        <f>_xlfn.IMAGE("https://www.theoutnet.com/variants/images/1647597317762956/F/w1020_q80.jpg")</f>
        <v/>
      </c>
      <c r="H424">
        <f>_xlfn.IMAGE("https://m.media-amazon.com/images/I/61TvKbGJqWL._AC_UL320_.jpg")</f>
        <v/>
      </c>
      <c r="K424" t="inlineStr">
        <is>
          <t>193.0</t>
        </is>
      </c>
      <c r="L424" t="n">
        <v>475</v>
      </c>
      <c r="M424" s="2" t="inlineStr">
        <is>
          <t>146.11%</t>
        </is>
      </c>
      <c r="N424" t="n">
        <v>4.5</v>
      </c>
      <c r="O424" t="n">
        <v>5</v>
      </c>
      <c r="Q424" t="inlineStr">
        <is>
          <t>InStock</t>
        </is>
      </c>
      <c r="R424" t="inlineStr">
        <is>
          <t>350.0</t>
        </is>
      </c>
      <c r="S424" t="inlineStr">
        <is>
          <t>1647597317762956</t>
        </is>
      </c>
    </row>
    <row r="425" ht="75" customHeight="1">
      <c r="A425" s="1">
        <f>HYPERLINK("https://www.theoutnet.com/en-us/shop/product/stuart-weitzman/sandals/flat-sandals/embellished-suede-sandals/1647597317763472", "https://www.theoutnet.com/en-us/shop/product/stuart-weitzman/sandals/flat-sandals/embellished-suede-sandals/1647597317763472")</f>
        <v/>
      </c>
      <c r="B425" s="1">
        <f>HYPERLINK("https://www.theoutnet.com/en-us/shop/product/stuart-weitzman/sandals/flat-sandals/embellished-suede-sandals/1647597317763472", "https://www.theoutnet.com/en-us/shop/product/stuart-weitzman/sandals/flat-sandals/embellished-suede-sandals/1647597317763472")</f>
        <v/>
      </c>
      <c r="C425" t="inlineStr">
        <is>
          <t>STUART WEITZMAN</t>
        </is>
      </c>
      <c r="D425" t="inlineStr">
        <is>
          <t>Stuart Weitzman Women's Norah Lug Sole Boots</t>
        </is>
      </c>
      <c r="E425" s="1" t="n"/>
      <c r="F425" t="inlineStr">
        <is>
          <t>B08MH4R493</t>
        </is>
      </c>
      <c r="G425">
        <f>_xlfn.IMAGE("https://www.theoutnet.com/variants/images/1647597317763472/F/w1020_q80.jpg")</f>
        <v/>
      </c>
      <c r="H425">
        <f>_xlfn.IMAGE("https://m.media-amazon.com/images/I/81jbRwRebmL._AC_UL320_.jpg")</f>
        <v/>
      </c>
      <c r="K425" t="inlineStr">
        <is>
          <t>225.0</t>
        </is>
      </c>
      <c r="L425" t="n">
        <v>550</v>
      </c>
      <c r="M425" s="2" t="inlineStr">
        <is>
          <t>144.44%</t>
        </is>
      </c>
      <c r="N425" t="n">
        <v>3.8</v>
      </c>
      <c r="O425" t="n">
        <v>5</v>
      </c>
      <c r="Q425" t="inlineStr">
        <is>
          <t>InStock</t>
        </is>
      </c>
      <c r="R425" t="inlineStr">
        <is>
          <t>450.0</t>
        </is>
      </c>
      <c r="S425" t="inlineStr">
        <is>
          <t>1647597317763472</t>
        </is>
      </c>
    </row>
    <row r="426" ht="75" customHeight="1">
      <c r="A426" s="1">
        <f>HYPERLINK("https://www.theoutnet.com/en-us/shop/product/stuart-weitzman/sandals/flat-sandals/leather-sandals/43769801094704455", "https://www.theoutnet.com/en-us/shop/product/stuart-weitzman/sandals/flat-sandals/leather-sandals/43769801094704455")</f>
        <v/>
      </c>
      <c r="B426" s="1">
        <f>HYPERLINK("https://www.theoutnet.com/en-us/shop/product/stuart-weitzman/sandals/flat-sandals/leather-sandals/43769801094704455", "https://www.theoutnet.com/en-us/shop/product/stuart-weitzman/sandals/flat-sandals/leather-sandals/43769801094704455")</f>
        <v/>
      </c>
      <c r="C426" t="inlineStr">
        <is>
          <t>STUART WEITZMAN</t>
        </is>
      </c>
      <c r="D426" t="inlineStr">
        <is>
          <t>Stuart Weitzman Women's Nearlybare Sandals</t>
        </is>
      </c>
      <c r="E426" s="1">
        <f>HYPERLINK("https://www.amazon.com/Stuart-Weitzman-Womens-Nearlybare-Sandals/dp/B0BB98KL5P/ref=sr_1_7?keywords=STUART+WEITZMAN&amp;qid=1695343303&amp;sr=8-7", "https://www.amazon.com/Stuart-Weitzman-Womens-Nearlybare-Sandals/dp/B0BB98KL5P/ref=sr_1_7?keywords=STUART+WEITZMAN&amp;qid=1695343303&amp;sr=8-7")</f>
        <v/>
      </c>
      <c r="F426" t="inlineStr">
        <is>
          <t>B0BB98KL5P</t>
        </is>
      </c>
      <c r="G426">
        <f>_xlfn.IMAGE("https://www.theoutnet.com/variants/images/43769801094704455/F/w1020_q80.jpg")</f>
        <v/>
      </c>
      <c r="H426">
        <f>_xlfn.IMAGE("https://m.media-amazon.com/images/I/517KGaG+NmL._AC_UL320_.jpg")</f>
        <v/>
      </c>
      <c r="K426" t="inlineStr">
        <is>
          <t>105.0</t>
        </is>
      </c>
      <c r="L426" t="n">
        <v>266.5</v>
      </c>
      <c r="M426" s="2" t="inlineStr">
        <is>
          <t>153.81%</t>
        </is>
      </c>
      <c r="N426" t="n">
        <v>5</v>
      </c>
      <c r="O426" t="n">
        <v>1</v>
      </c>
      <c r="Q426" t="inlineStr">
        <is>
          <t>InStock</t>
        </is>
      </c>
      <c r="R426" t="inlineStr">
        <is>
          <t>350.0</t>
        </is>
      </c>
      <c r="S426" t="inlineStr">
        <is>
          <t>43769801094704455</t>
        </is>
      </c>
    </row>
    <row r="427" ht="75" customHeight="1">
      <c r="A427" s="1">
        <f>HYPERLINK("https://www.theoutnet.com/en-us/shop/product/stuart-weitzman/sandals/flat-sandals/leather-sandals/43769801094704455", "https://www.theoutnet.com/en-us/shop/product/stuart-weitzman/sandals/flat-sandals/leather-sandals/43769801094704455")</f>
        <v/>
      </c>
      <c r="B427" s="1">
        <f>HYPERLINK("https://www.theoutnet.com/en-us/shop/product/stuart-weitzman/sandals/flat-sandals/leather-sandals/43769801094704455", "https://www.theoutnet.com/en-us/shop/product/stuart-weitzman/sandals/flat-sandals/leather-sandals/43769801094704455")</f>
        <v/>
      </c>
      <c r="C427" t="inlineStr">
        <is>
          <t>STUART WEITZMAN</t>
        </is>
      </c>
      <c r="D427" t="inlineStr">
        <is>
          <t>Stuart Weitzman Stuart 100 Scallop Pump</t>
        </is>
      </c>
      <c r="E427" s="1">
        <f>HYPERLINK("https://www.amazon.com/Stuart-Weitzman-Scallop-Pump-Silver/dp/B09PL719HJ/ref=sr_1_8?keywords=STUART+WEITZMAN&amp;qid=1695343303&amp;sr=8-8", "https://www.amazon.com/Stuart-Weitzman-Scallop-Pump-Silver/dp/B09PL719HJ/ref=sr_1_8?keywords=STUART+WEITZMAN&amp;qid=1695343303&amp;sr=8-8")</f>
        <v/>
      </c>
      <c r="F427" t="inlineStr">
        <is>
          <t>B09PL719HJ</t>
        </is>
      </c>
      <c r="G427">
        <f>_xlfn.IMAGE("https://www.theoutnet.com/variants/images/43769801094704455/F/w1020_q80.jpg")</f>
        <v/>
      </c>
      <c r="H427">
        <f>_xlfn.IMAGE("https://m.media-amazon.com/images/I/61CyqtJ1btL._AC_UL320_.jpg")</f>
        <v/>
      </c>
      <c r="K427" t="inlineStr">
        <is>
          <t>105.0</t>
        </is>
      </c>
      <c r="L427" t="n">
        <v>246.28</v>
      </c>
      <c r="M427" s="2" t="inlineStr">
        <is>
          <t>134.55%</t>
        </is>
      </c>
      <c r="N427" t="n">
        <v>4.5</v>
      </c>
      <c r="O427" t="n">
        <v>5</v>
      </c>
      <c r="Q427" t="inlineStr">
        <is>
          <t>InStock</t>
        </is>
      </c>
      <c r="R427" t="inlineStr">
        <is>
          <t>350.0</t>
        </is>
      </c>
      <c r="S427" t="inlineStr">
        <is>
          <t>43769801094704455</t>
        </is>
      </c>
    </row>
    <row r="428" ht="75" customHeight="1">
      <c r="A428" s="1">
        <f>HYPERLINK("https://www.theoutnet.com/en-us/shop/product/stuart-weitzman/sandals/flat-sandals/leather-sandals/43769801094704455", "https://www.theoutnet.com/en-us/shop/product/stuart-weitzman/sandals/flat-sandals/leather-sandals/43769801094704455")</f>
        <v/>
      </c>
      <c r="B428" s="1">
        <f>HYPERLINK("https://www.theoutnet.com/en-us/shop/product/stuart-weitzman/sandals/flat-sandals/leather-sandals/43769801094704455", "https://www.theoutnet.com/en-us/shop/product/stuart-weitzman/sandals/flat-sandals/leather-sandals/43769801094704455")</f>
        <v/>
      </c>
      <c r="C428" t="inlineStr">
        <is>
          <t>STUART WEITZMAN</t>
        </is>
      </c>
      <c r="D428" t="inlineStr">
        <is>
          <t>Stuart Weitzman Women's Mirela Ii Wedge Espadrilles</t>
        </is>
      </c>
      <c r="E428" s="1">
        <f>HYPERLINK("https://www.amazon.com/Stuart-Weitzman-Mirela-Espadrille-Natural/dp/B0BSGWRW5H/ref=sr_1_2?keywords=STUART+WEITZMAN&amp;qid=1695343303&amp;sr=8-2", "https://www.amazon.com/Stuart-Weitzman-Mirela-Espadrille-Natural/dp/B0BSGWRW5H/ref=sr_1_2?keywords=STUART+WEITZMAN&amp;qid=1695343303&amp;sr=8-2")</f>
        <v/>
      </c>
      <c r="F428" t="inlineStr">
        <is>
          <t>B0BSGWRW5H</t>
        </is>
      </c>
      <c r="G428">
        <f>_xlfn.IMAGE("https://www.theoutnet.com/variants/images/43769801094704455/F/w1020_q80.jpg")</f>
        <v/>
      </c>
      <c r="H428">
        <f>_xlfn.IMAGE("https://m.media-amazon.com/images/I/713pNP6rxKL._AC_UL320_.jpg")</f>
        <v/>
      </c>
      <c r="K428" t="inlineStr">
        <is>
          <t>105.0</t>
        </is>
      </c>
      <c r="L428" t="n">
        <v>202.81</v>
      </c>
      <c r="M428" s="2" t="inlineStr">
        <is>
          <t>93.15%</t>
        </is>
      </c>
      <c r="N428" t="n">
        <v>4.6</v>
      </c>
      <c r="O428" t="n">
        <v>3</v>
      </c>
      <c r="Q428" t="inlineStr">
        <is>
          <t>InStock</t>
        </is>
      </c>
      <c r="R428" t="inlineStr">
        <is>
          <t>350.0</t>
        </is>
      </c>
      <c r="S428" t="inlineStr">
        <is>
          <t>43769801094704455</t>
        </is>
      </c>
    </row>
    <row r="429" ht="75" customHeight="1">
      <c r="A429" s="1">
        <f>HYPERLINK("https://www.theoutnet.com/en-us/shop/product/stuart-weitzman/sandals/flat-sandals/leather-sandals/43769801094704455", "https://www.theoutnet.com/en-us/shop/product/stuart-weitzman/sandals/flat-sandals/leather-sandals/43769801094704455")</f>
        <v/>
      </c>
      <c r="B429" s="1">
        <f>HYPERLINK("https://www.theoutnet.com/en-us/shop/product/stuart-weitzman/sandals/flat-sandals/leather-sandals/43769801094704455", "https://www.theoutnet.com/en-us/shop/product/stuart-weitzman/sandals/flat-sandals/leather-sandals/43769801094704455")</f>
        <v/>
      </c>
      <c r="C429" t="inlineStr">
        <is>
          <t>STUART WEITZMAN</t>
        </is>
      </c>
      <c r="D429" t="inlineStr">
        <is>
          <t>Stuart Weitzman Cayman 85 Block Slide</t>
        </is>
      </c>
      <c r="E429" s="1">
        <f>HYPERLINK("https://www.amazon.com/Stuart-Weitzman-Cayman-Block-Natural/dp/B0BTHLYHPH/ref=sr_1_10?keywords=STUART+WEITZMAN&amp;qid=1695343303&amp;sr=8-10", "https://www.amazon.com/Stuart-Weitzman-Cayman-Block-Natural/dp/B0BTHLYHPH/ref=sr_1_10?keywords=STUART+WEITZMAN&amp;qid=1695343303&amp;sr=8-10")</f>
        <v/>
      </c>
      <c r="F429" t="inlineStr">
        <is>
          <t>B0BTHLYHPH</t>
        </is>
      </c>
      <c r="G429">
        <f>_xlfn.IMAGE("https://www.theoutnet.com/variants/images/43769801094704455/F/w1020_q80.jpg")</f>
        <v/>
      </c>
      <c r="H429">
        <f>_xlfn.IMAGE("https://m.media-amazon.com/images/I/71lWUv5adVL._AC_UL320_.jpg")</f>
        <v/>
      </c>
      <c r="K429" t="inlineStr">
        <is>
          <t>105.0</t>
        </is>
      </c>
      <c r="L429" t="n">
        <v>174.25</v>
      </c>
      <c r="M429" s="2" t="inlineStr">
        <is>
          <t>65.95%</t>
        </is>
      </c>
      <c r="N429" t="n">
        <v>5</v>
      </c>
      <c r="O429" t="n">
        <v>1</v>
      </c>
      <c r="Q429" t="inlineStr">
        <is>
          <t>InStock</t>
        </is>
      </c>
      <c r="R429" t="inlineStr">
        <is>
          <t>350.0</t>
        </is>
      </c>
      <c r="S429" t="inlineStr">
        <is>
          <t>43769801094704455</t>
        </is>
      </c>
    </row>
    <row r="430" ht="75" customHeight="1">
      <c r="A430" s="1">
        <f>HYPERLINK("https://www.theoutnet.com/en-us/shop/product/stuart-weitzman/sandals/flat-sandals/leather-slides/43769801094705630", "https://www.theoutnet.com/en-us/shop/product/stuart-weitzman/sandals/flat-sandals/leather-slides/43769801094705630")</f>
        <v/>
      </c>
      <c r="B430" s="1">
        <f>HYPERLINK("https://www.theoutnet.com/en-us/shop/product/stuart-weitzman/sandals/flat-sandals/leather-slides/43769801094705630", "https://www.theoutnet.com/en-us/shop/product/stuart-weitzman/sandals/flat-sandals/leather-slides/43769801094705630")</f>
        <v/>
      </c>
      <c r="C430" t="inlineStr">
        <is>
          <t>STUART WEITZMAN</t>
        </is>
      </c>
      <c r="D430" t="inlineStr">
        <is>
          <t>Stuart Weitzman Women's Nudist Curve Espadrille Wedges</t>
        </is>
      </c>
      <c r="E430" s="1">
        <f>HYPERLINK("https://www.amazon.com/Stuart-Weitzman-Nudistcurve-Espadrille-Wedge/dp/B0BRKP4RTL/ref=sr_1_8?keywords=STUART+WEITZMAN&amp;qid=1695343559&amp;sr=8-8", "https://www.amazon.com/Stuart-Weitzman-Nudistcurve-Espadrille-Wedge/dp/B0BRKP4RTL/ref=sr_1_8?keywords=STUART+WEITZMAN&amp;qid=1695343559&amp;sr=8-8")</f>
        <v/>
      </c>
      <c r="F430" t="inlineStr">
        <is>
          <t>B0BRKP4RTL</t>
        </is>
      </c>
      <c r="G430">
        <f>_xlfn.IMAGE("https://www.theoutnet.com/variants/images/43769801094705630/F/w1020_q80.jpg")</f>
        <v/>
      </c>
      <c r="H430">
        <f>_xlfn.IMAGE("https://m.media-amazon.com/images/I/71nHQcTwiiL._AC_UL320_.jpg")</f>
        <v/>
      </c>
      <c r="K430" t="inlineStr">
        <is>
          <t>98.0</t>
        </is>
      </c>
      <c r="L430" t="n">
        <v>395</v>
      </c>
      <c r="M430" s="2" t="inlineStr">
        <is>
          <t>303.06%</t>
        </is>
      </c>
      <c r="N430" t="n">
        <v>4.5</v>
      </c>
      <c r="O430" t="n">
        <v>13</v>
      </c>
      <c r="Q430" t="inlineStr">
        <is>
          <t>InStock</t>
        </is>
      </c>
      <c r="R430" t="inlineStr">
        <is>
          <t>325.0</t>
        </is>
      </c>
      <c r="S430" t="inlineStr">
        <is>
          <t>43769801094705630</t>
        </is>
      </c>
    </row>
    <row r="431" ht="75" customHeight="1">
      <c r="A431" s="1">
        <f>HYPERLINK("https://www.theoutnet.com/en-us/shop/product/stuart-weitzman/sandals/flat-sandals/leather-slides/43769801094705630", "https://www.theoutnet.com/en-us/shop/product/stuart-weitzman/sandals/flat-sandals/leather-slides/43769801094705630")</f>
        <v/>
      </c>
      <c r="B431" s="1">
        <f>HYPERLINK("https://www.theoutnet.com/en-us/shop/product/stuart-weitzman/sandals/flat-sandals/leather-slides/43769801094705630", "https://www.theoutnet.com/en-us/shop/product/stuart-weitzman/sandals/flat-sandals/leather-slides/43769801094705630")</f>
        <v/>
      </c>
      <c r="C431" t="inlineStr">
        <is>
          <t>STUART WEITZMAN</t>
        </is>
      </c>
      <c r="D431" t="inlineStr">
        <is>
          <t>Stuart Weitzman Womens Xcurve 100 Pump</t>
        </is>
      </c>
      <c r="E431" s="1">
        <f>HYPERLINK("https://www.amazon.com/Stuart-Weitzman-Xcurve-Pump-Adobe/dp/B09Z2W8SKH/ref=sr_1_9?keywords=STUART+WEITZMAN&amp;qid=1695343559&amp;sr=8-9", "https://www.amazon.com/Stuart-Weitzman-Xcurve-Pump-Adobe/dp/B09Z2W8SKH/ref=sr_1_9?keywords=STUART+WEITZMAN&amp;qid=1695343559&amp;sr=8-9")</f>
        <v/>
      </c>
      <c r="F431" t="inlineStr">
        <is>
          <t>B09Z2W8SKH</t>
        </is>
      </c>
      <c r="G431">
        <f>_xlfn.IMAGE("https://www.theoutnet.com/variants/images/43769801094705630/F/w1020_q80.jpg")</f>
        <v/>
      </c>
      <c r="H431">
        <f>_xlfn.IMAGE("https://m.media-amazon.com/images/I/61kOfyQ0hvL._AC_UL320_.jpg")</f>
        <v/>
      </c>
      <c r="K431" t="inlineStr">
        <is>
          <t>98.0</t>
        </is>
      </c>
      <c r="L431" t="n">
        <v>275.5</v>
      </c>
      <c r="M431" s="2" t="inlineStr">
        <is>
          <t>181.12%</t>
        </is>
      </c>
      <c r="N431" t="n">
        <v>5</v>
      </c>
      <c r="O431" t="n">
        <v>2</v>
      </c>
      <c r="Q431" t="inlineStr">
        <is>
          <t>InStock</t>
        </is>
      </c>
      <c r="R431" t="inlineStr">
        <is>
          <t>325.0</t>
        </is>
      </c>
      <c r="S431" t="inlineStr">
        <is>
          <t>43769801094705630</t>
        </is>
      </c>
    </row>
    <row r="432" ht="75" customHeight="1">
      <c r="A432" s="1">
        <f>HYPERLINK("https://www.theoutnet.com/en-us/shop/product/stuart-weitzman/sandals/flat-sandals/leather-slides/43769801094705630", "https://www.theoutnet.com/en-us/shop/product/stuart-weitzman/sandals/flat-sandals/leather-slides/43769801094705630")</f>
        <v/>
      </c>
      <c r="B432" s="1">
        <f>HYPERLINK("https://www.theoutnet.com/en-us/shop/product/stuart-weitzman/sandals/flat-sandals/leather-slides/43769801094705630", "https://www.theoutnet.com/en-us/shop/product/stuart-weitzman/sandals/flat-sandals/leather-slides/43769801094705630")</f>
        <v/>
      </c>
      <c r="C432" t="inlineStr">
        <is>
          <t>STUART WEITZMAN</t>
        </is>
      </c>
      <c r="D432" t="inlineStr">
        <is>
          <t>Stuart Weitzman Women's Nearlybare Sandals</t>
        </is>
      </c>
      <c r="E432" s="1">
        <f>HYPERLINK("https://www.amazon.com/Stuart-Weitzman-Womens-Nearlybare-Sandals/dp/B0BB997CZS/ref=sr_1_3?keywords=STUART+WEITZMAN&amp;qid=1695343559&amp;sr=8-3", "https://www.amazon.com/Stuart-Weitzman-Womens-Nearlybare-Sandals/dp/B0BB997CZS/ref=sr_1_3?keywords=STUART+WEITZMAN&amp;qid=1695343559&amp;sr=8-3")</f>
        <v/>
      </c>
      <c r="F432" t="inlineStr">
        <is>
          <t>B0BB997CZS</t>
        </is>
      </c>
      <c r="G432">
        <f>_xlfn.IMAGE("https://www.theoutnet.com/variants/images/43769801094705630/F/w1020_q80.jpg")</f>
        <v/>
      </c>
      <c r="H432">
        <f>_xlfn.IMAGE("https://m.media-amazon.com/images/I/517KGaG+NmL._AC_UL320_.jpg")</f>
        <v/>
      </c>
      <c r="K432" t="inlineStr">
        <is>
          <t>98.0</t>
        </is>
      </c>
      <c r="L432" t="n">
        <v>266.5</v>
      </c>
      <c r="M432" s="2" t="inlineStr">
        <is>
          <t>171.94%</t>
        </is>
      </c>
      <c r="N432" t="n">
        <v>5</v>
      </c>
      <c r="O432" t="n">
        <v>1</v>
      </c>
      <c r="Q432" t="inlineStr">
        <is>
          <t>InStock</t>
        </is>
      </c>
      <c r="R432" t="inlineStr">
        <is>
          <t>325.0</t>
        </is>
      </c>
      <c r="S432" t="inlineStr">
        <is>
          <t>43769801094705630</t>
        </is>
      </c>
    </row>
    <row r="433" ht="75" customHeight="1">
      <c r="A433" s="1">
        <f>HYPERLINK("https://www.theoutnet.com/en-us/shop/product/stuart-weitzman/sandals/flat-sandals/leather-slides/43769801094705630", "https://www.theoutnet.com/en-us/shop/product/stuart-weitzman/sandals/flat-sandals/leather-slides/43769801094705630")</f>
        <v/>
      </c>
      <c r="B433" s="1">
        <f>HYPERLINK("https://www.theoutnet.com/en-us/shop/product/stuart-weitzman/sandals/flat-sandals/leather-slides/43769801094705630", "https://www.theoutnet.com/en-us/shop/product/stuart-weitzman/sandals/flat-sandals/leather-slides/43769801094705630")</f>
        <v/>
      </c>
      <c r="C433" t="inlineStr">
        <is>
          <t>STUART WEITZMAN</t>
        </is>
      </c>
      <c r="D433" t="inlineStr">
        <is>
          <t>Stuart Weitzman Stuart 100 Scallop Pump</t>
        </is>
      </c>
      <c r="E433" s="1">
        <f>HYPERLINK("https://www.amazon.com/Stuart-Weitzman-Scallop-Pump-Silver/dp/B09PL719HJ/ref=sr_1_4?keywords=STUART+WEITZMAN&amp;qid=1695343559&amp;sr=8-4", "https://www.amazon.com/Stuart-Weitzman-Scallop-Pump-Silver/dp/B09PL719HJ/ref=sr_1_4?keywords=STUART+WEITZMAN&amp;qid=1695343559&amp;sr=8-4")</f>
        <v/>
      </c>
      <c r="F433" t="inlineStr">
        <is>
          <t>B09PL719HJ</t>
        </is>
      </c>
      <c r="G433">
        <f>_xlfn.IMAGE("https://www.theoutnet.com/variants/images/43769801094705630/F/w1020_q80.jpg")</f>
        <v/>
      </c>
      <c r="H433">
        <f>_xlfn.IMAGE("https://m.media-amazon.com/images/I/61CyqtJ1btL._AC_UL320_.jpg")</f>
        <v/>
      </c>
      <c r="K433" t="inlineStr">
        <is>
          <t>98.0</t>
        </is>
      </c>
      <c r="L433" t="n">
        <v>246.28</v>
      </c>
      <c r="M433" s="2" t="inlineStr">
        <is>
          <t>151.31%</t>
        </is>
      </c>
      <c r="N433" t="n">
        <v>4.5</v>
      </c>
      <c r="O433" t="n">
        <v>5</v>
      </c>
      <c r="Q433" t="inlineStr">
        <is>
          <t>InStock</t>
        </is>
      </c>
      <c r="R433" t="inlineStr">
        <is>
          <t>325.0</t>
        </is>
      </c>
      <c r="S433" t="inlineStr">
        <is>
          <t>43769801094705630</t>
        </is>
      </c>
    </row>
    <row r="434" ht="75" customHeight="1">
      <c r="A434" s="1">
        <f>HYPERLINK("https://www.theoutnet.com/en-us/shop/product/stuart-weitzman/sandals/flat-sandals/leather-slides/43769801094705630", "https://www.theoutnet.com/en-us/shop/product/stuart-weitzman/sandals/flat-sandals/leather-slides/43769801094705630")</f>
        <v/>
      </c>
      <c r="B434" s="1">
        <f>HYPERLINK("https://www.theoutnet.com/en-us/shop/product/stuart-weitzman/sandals/flat-sandals/leather-slides/43769801094705630", "https://www.theoutnet.com/en-us/shop/product/stuart-weitzman/sandals/flat-sandals/leather-slides/43769801094705630")</f>
        <v/>
      </c>
      <c r="C434" t="inlineStr">
        <is>
          <t>STUART WEITZMAN</t>
        </is>
      </c>
      <c r="D434" t="inlineStr">
        <is>
          <t>Stuart Weitzman Cayman 85 Block Slide</t>
        </is>
      </c>
      <c r="E434" s="1">
        <f>HYPERLINK("https://www.amazon.com/Stuart-Weitzman-Cayman-Block-Natural/dp/B0BTHLYHPH/ref=sr_1_6?keywords=STUART+WEITZMAN&amp;qid=1695343559&amp;sr=8-6", "https://www.amazon.com/Stuart-Weitzman-Cayman-Block-Natural/dp/B0BTHLYHPH/ref=sr_1_6?keywords=STUART+WEITZMAN&amp;qid=1695343559&amp;sr=8-6")</f>
        <v/>
      </c>
      <c r="F434" t="inlineStr">
        <is>
          <t>B0BTHLYHPH</t>
        </is>
      </c>
      <c r="G434">
        <f>_xlfn.IMAGE("https://www.theoutnet.com/variants/images/43769801094705630/F/w1020_q80.jpg")</f>
        <v/>
      </c>
      <c r="H434">
        <f>_xlfn.IMAGE("https://m.media-amazon.com/images/I/71lWUv5adVL._AC_UL320_.jpg")</f>
        <v/>
      </c>
      <c r="K434" t="inlineStr">
        <is>
          <t>98.0</t>
        </is>
      </c>
      <c r="L434" t="n">
        <v>174.25</v>
      </c>
      <c r="M434" s="2" t="inlineStr">
        <is>
          <t>77.81%</t>
        </is>
      </c>
      <c r="N434" t="n">
        <v>5</v>
      </c>
      <c r="O434" t="n">
        <v>1</v>
      </c>
      <c r="Q434" t="inlineStr">
        <is>
          <t>InStock</t>
        </is>
      </c>
      <c r="R434" t="inlineStr">
        <is>
          <t>325.0</t>
        </is>
      </c>
      <c r="S434" t="inlineStr">
        <is>
          <t>43769801094705630</t>
        </is>
      </c>
    </row>
    <row r="435" ht="75" customHeight="1">
      <c r="A435" s="1">
        <f>HYPERLINK("https://www.theoutnet.com/en-us/shop/product/stuart-weitzman/sandals/flat-sandals/leather-slides/43769801094705630", "https://www.theoutnet.com/en-us/shop/product/stuart-weitzman/sandals/flat-sandals/leather-slides/43769801094705630")</f>
        <v/>
      </c>
      <c r="B435" s="1">
        <f>HYPERLINK("https://www.theoutnet.com/en-us/shop/product/stuart-weitzman/sandals/flat-sandals/leather-slides/43769801094705630", "https://www.theoutnet.com/en-us/shop/product/stuart-weitzman/sandals/flat-sandals/leather-slides/43769801094705630")</f>
        <v/>
      </c>
      <c r="C435" t="inlineStr">
        <is>
          <t>STUART WEITZMAN</t>
        </is>
      </c>
      <c r="D435" t="inlineStr">
        <is>
          <t>Stuart Weitzman Women's Easyon Reserve Chelsea Boot</t>
        </is>
      </c>
      <c r="E435" s="1">
        <f>HYPERLINK("https://www.amazon.com/Stuart-Weitzman-EASYON-Reserve-Chelsea/dp/B07JBHS7SN/ref=sr_1_1?keywords=STUART+WEITZMAN&amp;qid=1695343559&amp;sr=8-1", "https://www.amazon.com/Stuart-Weitzman-EASYON-Reserve-Chelsea/dp/B07JBHS7SN/ref=sr_1_1?keywords=STUART+WEITZMAN&amp;qid=1695343559&amp;sr=8-1")</f>
        <v/>
      </c>
      <c r="F435" t="inlineStr">
        <is>
          <t>B07JBHS7SN</t>
        </is>
      </c>
      <c r="G435">
        <f>_xlfn.IMAGE("https://www.theoutnet.com/variants/images/43769801094705630/F/w1020_q80.jpg")</f>
        <v/>
      </c>
      <c r="H435">
        <f>_xlfn.IMAGE("https://m.media-amazon.com/images/I/81xxQrKrB7L._AC_UL320_.jpg")</f>
        <v/>
      </c>
      <c r="K435" t="inlineStr">
        <is>
          <t>98.0</t>
        </is>
      </c>
      <c r="L435" t="n">
        <v>172.1</v>
      </c>
      <c r="M435" s="2" t="inlineStr">
        <is>
          <t>75.61%</t>
        </is>
      </c>
      <c r="N435" t="n">
        <v>4.2</v>
      </c>
      <c r="O435" t="n">
        <v>41</v>
      </c>
      <c r="Q435" t="inlineStr">
        <is>
          <t>InStock</t>
        </is>
      </c>
      <c r="R435" t="inlineStr">
        <is>
          <t>325.0</t>
        </is>
      </c>
      <c r="S435" t="inlineStr">
        <is>
          <t>43769801094705630</t>
        </is>
      </c>
    </row>
    <row r="436" ht="75" customHeight="1">
      <c r="A436" s="1">
        <f>HYPERLINK("https://www.theoutnet.com/en-us/shop/product/stuart-weitzman/sandals/flat-sandals/twistie-smooth-and-patent-leather-slingback-sandals/1647597316239640", "https://www.theoutnet.com/en-us/shop/product/stuart-weitzman/sandals/flat-sandals/twistie-smooth-and-patent-leather-slingback-sandals/1647597316239640")</f>
        <v/>
      </c>
      <c r="B436" s="1">
        <f>HYPERLINK("https://www.theoutnet.com/en-us/shop/product/stuart-weitzman/sandals/flat-sandals/twistie-smooth-and-patent-leather-slingback-sandals/1647597316239640", "https://www.theoutnet.com/en-us/shop/product/stuart-weitzman/sandals/flat-sandals/twistie-smooth-and-patent-leather-slingback-sandals/1647597316239640")</f>
        <v/>
      </c>
      <c r="C436" t="inlineStr">
        <is>
          <t>STUART WEITZMAN</t>
        </is>
      </c>
      <c r="D436" t="inlineStr">
        <is>
          <t>Stuart Weitzman Women's Norah Lug Sole Boots</t>
        </is>
      </c>
      <c r="E436" s="1" t="n"/>
      <c r="F436" t="inlineStr">
        <is>
          <t>B08MH4R493</t>
        </is>
      </c>
      <c r="G436">
        <f>_xlfn.IMAGE("https://www.theoutnet.com/variants/images/1647597316239640/F/w1020_q80.jpg")</f>
        <v/>
      </c>
      <c r="H436">
        <f>_xlfn.IMAGE("https://m.media-amazon.com/images/I/81jbRwRebmL._AC_UL320_.jpg")</f>
        <v/>
      </c>
      <c r="K436" t="inlineStr">
        <is>
          <t>234.0</t>
        </is>
      </c>
      <c r="L436" t="n">
        <v>550</v>
      </c>
      <c r="M436" s="2" t="inlineStr">
        <is>
          <t>135.04%</t>
        </is>
      </c>
      <c r="N436" t="n">
        <v>3.8</v>
      </c>
      <c r="O436" t="n">
        <v>5</v>
      </c>
      <c r="Q436" t="inlineStr">
        <is>
          <t>InStock</t>
        </is>
      </c>
      <c r="R436" t="inlineStr">
        <is>
          <t>425.0</t>
        </is>
      </c>
      <c r="S436" t="inlineStr">
        <is>
          <t>1647597316239640</t>
        </is>
      </c>
    </row>
    <row r="437" ht="75" customHeight="1">
      <c r="A437" s="1">
        <f>HYPERLINK("https://www.theoutnet.com/en-us/shop/product/stuart-weitzman/sandals/flat-sandals/twistie-smooth-and-patent-leather-slingback-sandals/1647597316239640", "https://www.theoutnet.com/en-us/shop/product/stuart-weitzman/sandals/flat-sandals/twistie-smooth-and-patent-leather-slingback-sandals/1647597316239640")</f>
        <v/>
      </c>
      <c r="B437" s="1">
        <f>HYPERLINK("https://www.theoutnet.com/en-us/shop/product/stuart-weitzman/sandals/flat-sandals/twistie-smooth-and-patent-leather-slingback-sandals/1647597316239640", "https://www.theoutnet.com/en-us/shop/product/stuart-weitzman/sandals/flat-sandals/twistie-smooth-and-patent-leather-slingback-sandals/1647597316239640")</f>
        <v/>
      </c>
      <c r="C437" t="inlineStr">
        <is>
          <t>STUART WEITZMAN</t>
        </is>
      </c>
      <c r="D437" t="inlineStr">
        <is>
          <t>Stuart Weitzman Norah</t>
        </is>
      </c>
      <c r="E437" s="1" t="n"/>
      <c r="F437" t="inlineStr">
        <is>
          <t>B08H85BR6D</t>
        </is>
      </c>
      <c r="G437">
        <f>_xlfn.IMAGE("https://www.theoutnet.com/variants/images/1647597316239640/F/w1020_q80.jpg")</f>
        <v/>
      </c>
      <c r="H437">
        <f>_xlfn.IMAGE("https://m.media-amazon.com/images/I/710su5wiQWL._AC_UL320_.jpg")</f>
        <v/>
      </c>
      <c r="K437" t="inlineStr">
        <is>
          <t>234.0</t>
        </is>
      </c>
      <c r="L437" t="n">
        <v>550</v>
      </c>
      <c r="M437" s="2" t="inlineStr">
        <is>
          <t>135.04%</t>
        </is>
      </c>
      <c r="N437" t="n">
        <v>4.2</v>
      </c>
      <c r="O437" t="n">
        <v>3</v>
      </c>
      <c r="Q437" t="inlineStr">
        <is>
          <t>InStock</t>
        </is>
      </c>
      <c r="R437" t="inlineStr">
        <is>
          <t>425.0</t>
        </is>
      </c>
      <c r="S437" t="inlineStr">
        <is>
          <t>1647597316239640</t>
        </is>
      </c>
    </row>
    <row r="438" ht="75" customHeight="1">
      <c r="A438" s="1">
        <f>HYPERLINK("https://www.theoutnet.com/en-us/shop/product/stuart-weitzman/sandals/flat-sandals/vail-croc-effect-leather-sandals/1647597286732647", "https://www.theoutnet.com/en-us/shop/product/stuart-weitzman/sandals/flat-sandals/vail-croc-effect-leather-sandals/1647597286732647")</f>
        <v/>
      </c>
      <c r="B438" s="1">
        <f>HYPERLINK("https://www.theoutnet.com/en-us/shop/product/stuart-weitzman/sandals/flat-sandals/vail-croc-effect-leather-sandals/1647597286732647", "https://www.theoutnet.com/en-us/shop/product/stuart-weitzman/sandals/flat-sandals/vail-croc-effect-leather-sandals/1647597286732647")</f>
        <v/>
      </c>
      <c r="C438" t="inlineStr">
        <is>
          <t>STUART WEITZMAN</t>
        </is>
      </c>
      <c r="D438" t="inlineStr">
        <is>
          <t>Stuart Weitzman Women's Nearlybare Sandals</t>
        </is>
      </c>
      <c r="E438" s="1">
        <f>HYPERLINK("https://www.amazon.com/Stuart-Weitzman-Womens-Nearlybare-Sandals/dp/B0BB98KL5P/ref=sr_1_7?keywords=STUART+WEITZMAN&amp;qid=1695343301&amp;sr=8-7", "https://www.amazon.com/Stuart-Weitzman-Womens-Nearlybare-Sandals/dp/B0BB98KL5P/ref=sr_1_7?keywords=STUART+WEITZMAN&amp;qid=1695343301&amp;sr=8-7")</f>
        <v/>
      </c>
      <c r="F438" t="inlineStr">
        <is>
          <t>B0BB98KL5P</t>
        </is>
      </c>
      <c r="G438">
        <f>_xlfn.IMAGE("https://www.theoutnet.com/variants/images/1647597286732647/F/w1020_q80.jpg")</f>
        <v/>
      </c>
      <c r="H438">
        <f>_xlfn.IMAGE("https://m.media-amazon.com/images/I/517KGaG+NmL._AC_UL320_.jpg")</f>
        <v/>
      </c>
      <c r="K438" t="inlineStr">
        <is>
          <t>68.0</t>
        </is>
      </c>
      <c r="L438" t="n">
        <v>266.5</v>
      </c>
      <c r="M438" s="2" t="inlineStr">
        <is>
          <t>291.91%</t>
        </is>
      </c>
      <c r="N438" t="n">
        <v>5</v>
      </c>
      <c r="O438" t="n">
        <v>1</v>
      </c>
      <c r="Q438" t="inlineStr">
        <is>
          <t>InStock</t>
        </is>
      </c>
      <c r="R438" t="inlineStr">
        <is>
          <t>225.0</t>
        </is>
      </c>
      <c r="S438" t="inlineStr">
        <is>
          <t>1</t>
        </is>
      </c>
    </row>
    <row r="439" ht="75" customHeight="1">
      <c r="A439" s="1">
        <f>HYPERLINK("https://www.theoutnet.com/en-us/shop/product/stuart-weitzman/sandals/flat-sandals/vail-croc-effect-leather-sandals/1647597286732647", "https://www.theoutnet.com/en-us/shop/product/stuart-weitzman/sandals/flat-sandals/vail-croc-effect-leather-sandals/1647597286732647")</f>
        <v/>
      </c>
      <c r="B439" s="1">
        <f>HYPERLINK("https://www.theoutnet.com/en-us/shop/product/stuart-weitzman/sandals/flat-sandals/vail-croc-effect-leather-sandals/1647597286732647", "https://www.theoutnet.com/en-us/shop/product/stuart-weitzman/sandals/flat-sandals/vail-croc-effect-leather-sandals/1647597286732647")</f>
        <v/>
      </c>
      <c r="C439" t="inlineStr">
        <is>
          <t>STUART WEITZMAN</t>
        </is>
      </c>
      <c r="D439" t="inlineStr">
        <is>
          <t>Stuart Weitzman Stuart 100 Scallop Pump</t>
        </is>
      </c>
      <c r="E439" s="1">
        <f>HYPERLINK("https://www.amazon.com/Stuart-Weitzman-Scallop-Pump-Silver/dp/B09PL719HJ/ref=sr_1_8?keywords=STUART+WEITZMAN&amp;qid=1695343301&amp;sr=8-8", "https://www.amazon.com/Stuart-Weitzman-Scallop-Pump-Silver/dp/B09PL719HJ/ref=sr_1_8?keywords=STUART+WEITZMAN&amp;qid=1695343301&amp;sr=8-8")</f>
        <v/>
      </c>
      <c r="F439" t="inlineStr">
        <is>
          <t>B09PL719HJ</t>
        </is>
      </c>
      <c r="G439">
        <f>_xlfn.IMAGE("https://www.theoutnet.com/variants/images/1647597286732647/F/w1020_q80.jpg")</f>
        <v/>
      </c>
      <c r="H439">
        <f>_xlfn.IMAGE("https://m.media-amazon.com/images/I/61CyqtJ1btL._AC_UL320_.jpg")</f>
        <v/>
      </c>
      <c r="K439" t="inlineStr">
        <is>
          <t>68.0</t>
        </is>
      </c>
      <c r="L439" t="n">
        <v>246.28</v>
      </c>
      <c r="M439" s="2" t="inlineStr">
        <is>
          <t>262.18%</t>
        </is>
      </c>
      <c r="N439" t="n">
        <v>4.5</v>
      </c>
      <c r="O439" t="n">
        <v>5</v>
      </c>
      <c r="Q439" t="inlineStr">
        <is>
          <t>InStock</t>
        </is>
      </c>
      <c r="R439" t="inlineStr">
        <is>
          <t>225.0</t>
        </is>
      </c>
      <c r="S439" t="inlineStr">
        <is>
          <t>1</t>
        </is>
      </c>
    </row>
    <row r="440" ht="75" customHeight="1">
      <c r="A440" s="1">
        <f>HYPERLINK("https://www.theoutnet.com/en-us/shop/product/stuart-weitzman/sandals/flat-sandals/vail-croc-effect-leather-sandals/1647597286732647", "https://www.theoutnet.com/en-us/shop/product/stuart-weitzman/sandals/flat-sandals/vail-croc-effect-leather-sandals/1647597286732647")</f>
        <v/>
      </c>
      <c r="B440" s="1">
        <f>HYPERLINK("https://www.theoutnet.com/en-us/shop/product/stuart-weitzman/sandals/flat-sandals/vail-croc-effect-leather-sandals/1647597286732647", "https://www.theoutnet.com/en-us/shop/product/stuart-weitzman/sandals/flat-sandals/vail-croc-effect-leather-sandals/1647597286732647")</f>
        <v/>
      </c>
      <c r="C440" t="inlineStr">
        <is>
          <t>STUART WEITZMAN</t>
        </is>
      </c>
      <c r="D440" t="inlineStr">
        <is>
          <t>Stuart Weitzman Women's Mirela Ii Wedge Espadrilles</t>
        </is>
      </c>
      <c r="E440" s="1">
        <f>HYPERLINK("https://www.amazon.com/Stuart-Weitzman-Mirela-Espadrille-Natural/dp/B0BSGWRW5H/ref=sr_1_2?keywords=STUART+WEITZMAN&amp;qid=1695343301&amp;sr=8-2", "https://www.amazon.com/Stuart-Weitzman-Mirela-Espadrille-Natural/dp/B0BSGWRW5H/ref=sr_1_2?keywords=STUART+WEITZMAN&amp;qid=1695343301&amp;sr=8-2")</f>
        <v/>
      </c>
      <c r="F440" t="inlineStr">
        <is>
          <t>B0BSGWRW5H</t>
        </is>
      </c>
      <c r="G440">
        <f>_xlfn.IMAGE("https://www.theoutnet.com/variants/images/1647597286732647/F/w1020_q80.jpg")</f>
        <v/>
      </c>
      <c r="H440">
        <f>_xlfn.IMAGE("https://m.media-amazon.com/images/I/713pNP6rxKL._AC_UL320_.jpg")</f>
        <v/>
      </c>
      <c r="K440" t="inlineStr">
        <is>
          <t>68.0</t>
        </is>
      </c>
      <c r="L440" t="n">
        <v>202.81</v>
      </c>
      <c r="M440" s="2" t="inlineStr">
        <is>
          <t>198.25%</t>
        </is>
      </c>
      <c r="N440" t="n">
        <v>4.6</v>
      </c>
      <c r="O440" t="n">
        <v>3</v>
      </c>
      <c r="Q440" t="inlineStr">
        <is>
          <t>InStock</t>
        </is>
      </c>
      <c r="R440" t="inlineStr">
        <is>
          <t>225.0</t>
        </is>
      </c>
      <c r="S440" t="inlineStr">
        <is>
          <t>1</t>
        </is>
      </c>
    </row>
    <row r="441" ht="75" customHeight="1">
      <c r="A441" s="1">
        <f>HYPERLINK("https://www.theoutnet.com/en-us/shop/product/stuart-weitzman/sandals/flat-sandals/vail-croc-effect-leather-sandals/1647597286732647", "https://www.theoutnet.com/en-us/shop/product/stuart-weitzman/sandals/flat-sandals/vail-croc-effect-leather-sandals/1647597286732647")</f>
        <v/>
      </c>
      <c r="B441" s="1">
        <f>HYPERLINK("https://www.theoutnet.com/en-us/shop/product/stuart-weitzman/sandals/flat-sandals/vail-croc-effect-leather-sandals/1647597286732647", "https://www.theoutnet.com/en-us/shop/product/stuart-weitzman/sandals/flat-sandals/vail-croc-effect-leather-sandals/1647597286732647")</f>
        <v/>
      </c>
      <c r="C441" t="inlineStr">
        <is>
          <t>STUART WEITZMAN</t>
        </is>
      </c>
      <c r="D441" t="inlineStr">
        <is>
          <t>Stuart Weitzman Cayman 85 Block Slide</t>
        </is>
      </c>
      <c r="E441" s="1">
        <f>HYPERLINK("https://www.amazon.com/Stuart-Weitzman-Cayman-Block-Natural/dp/B0BTHLYHPH/ref=sr_1_10?keywords=STUART+WEITZMAN&amp;qid=1695343301&amp;sr=8-10", "https://www.amazon.com/Stuart-Weitzman-Cayman-Block-Natural/dp/B0BTHLYHPH/ref=sr_1_10?keywords=STUART+WEITZMAN&amp;qid=1695343301&amp;sr=8-10")</f>
        <v/>
      </c>
      <c r="F441" t="inlineStr">
        <is>
          <t>B0BTHLYHPH</t>
        </is>
      </c>
      <c r="G441">
        <f>_xlfn.IMAGE("https://www.theoutnet.com/variants/images/1647597286732647/F/w1020_q80.jpg")</f>
        <v/>
      </c>
      <c r="H441">
        <f>_xlfn.IMAGE("https://m.media-amazon.com/images/I/71lWUv5adVL._AC_UL320_.jpg")</f>
        <v/>
      </c>
      <c r="K441" t="inlineStr">
        <is>
          <t>68.0</t>
        </is>
      </c>
      <c r="L441" t="n">
        <v>174.25</v>
      </c>
      <c r="M441" s="2" t="inlineStr">
        <is>
          <t>156.25%</t>
        </is>
      </c>
      <c r="N441" t="n">
        <v>5</v>
      </c>
      <c r="O441" t="n">
        <v>1</v>
      </c>
      <c r="Q441" t="inlineStr">
        <is>
          <t>InStock</t>
        </is>
      </c>
      <c r="R441" t="inlineStr">
        <is>
          <t>225.0</t>
        </is>
      </c>
      <c r="S441" t="inlineStr">
        <is>
          <t>1</t>
        </is>
      </c>
    </row>
    <row r="442" ht="75" customHeight="1">
      <c r="A442" s="1">
        <f>HYPERLINK("https://www.theoutnet.com/en-us/shop/product/stuart-weitzman/sandals/flat-sandals/vail-croc-effect-leather-sandals/1647597286732647", "https://www.theoutnet.com/en-us/shop/product/stuart-weitzman/sandals/flat-sandals/vail-croc-effect-leather-sandals/1647597286732647")</f>
        <v/>
      </c>
      <c r="B442" s="1">
        <f>HYPERLINK("https://www.theoutnet.com/en-us/shop/product/stuart-weitzman/sandals/flat-sandals/vail-croc-effect-leather-sandals/1647597286732647", "https://www.theoutnet.com/en-us/shop/product/stuart-weitzman/sandals/flat-sandals/vail-croc-effect-leather-sandals/1647597286732647")</f>
        <v/>
      </c>
      <c r="C442" t="inlineStr">
        <is>
          <t>STUART WEITZMAN</t>
        </is>
      </c>
      <c r="D442" t="inlineStr">
        <is>
          <t>Stuart Weitzman Women's Easyon Reserve Chelsea Boot</t>
        </is>
      </c>
      <c r="E442" s="1">
        <f>HYPERLINK("https://www.amazon.com/Stuart-Weitzman-EASYON-Reserve-Chelsea/dp/B07JBHS7SN/ref=sr_1_3?keywords=STUART+WEITZMAN&amp;qid=1695343301&amp;sr=8-3", "https://www.amazon.com/Stuart-Weitzman-EASYON-Reserve-Chelsea/dp/B07JBHS7SN/ref=sr_1_3?keywords=STUART+WEITZMAN&amp;qid=1695343301&amp;sr=8-3")</f>
        <v/>
      </c>
      <c r="F442" t="inlineStr">
        <is>
          <t>B07JBHS7SN</t>
        </is>
      </c>
      <c r="G442">
        <f>_xlfn.IMAGE("https://www.theoutnet.com/variants/images/1647597286732647/F/w1020_q80.jpg")</f>
        <v/>
      </c>
      <c r="H442">
        <f>_xlfn.IMAGE("https://m.media-amazon.com/images/I/81xxQrKrB7L._AC_UL320_.jpg")</f>
        <v/>
      </c>
      <c r="K442" t="inlineStr">
        <is>
          <t>68.0</t>
        </is>
      </c>
      <c r="L442" t="n">
        <v>172.1</v>
      </c>
      <c r="M442" s="2" t="inlineStr">
        <is>
          <t>153.09%</t>
        </is>
      </c>
      <c r="N442" t="n">
        <v>4.2</v>
      </c>
      <c r="O442" t="n">
        <v>41</v>
      </c>
      <c r="Q442" t="inlineStr">
        <is>
          <t>InStock</t>
        </is>
      </c>
      <c r="R442" t="inlineStr">
        <is>
          <t>225.0</t>
        </is>
      </c>
      <c r="S442" t="inlineStr">
        <is>
          <t>1</t>
        </is>
      </c>
    </row>
    <row r="443" ht="75" customHeight="1">
      <c r="A443" s="1">
        <f>HYPERLINK("https://www.theoutnet.com/en-us/shop/product/stuart-weitzman/sandals/flat-sandals/vail-croc-effect-leather-sandals/1647597286732647", "https://www.theoutnet.com/en-us/shop/product/stuart-weitzman/sandals/flat-sandals/vail-croc-effect-leather-sandals/1647597286732647")</f>
        <v/>
      </c>
      <c r="B443" s="1">
        <f>HYPERLINK("https://www.theoutnet.com/en-us/shop/product/stuart-weitzman/sandals/flat-sandals/vail-croc-effect-leather-sandals/1647597286732647", "https://www.theoutnet.com/en-us/shop/product/stuart-weitzman/sandals/flat-sandals/vail-croc-effect-leather-sandals/1647597286732647")</f>
        <v/>
      </c>
      <c r="C443" t="inlineStr">
        <is>
          <t>STUART WEITZMAN</t>
        </is>
      </c>
      <c r="D443" t="inlineStr">
        <is>
          <t>Stuart Weitzman Stuart 100 Scallop Pump</t>
        </is>
      </c>
      <c r="E443" s="1">
        <f>HYPERLINK("https://www.amazon.com/Stuart-Weitzman-Scallop-Pump-Silver/dp/B09PL719HJ/ref=sr_1_7?keywords=STUART+WEITZMAN&amp;qid=1695343518&amp;sr=8-7", "https://www.amazon.com/Stuart-Weitzman-Scallop-Pump-Silver/dp/B09PL719HJ/ref=sr_1_7?keywords=STUART+WEITZMAN&amp;qid=1695343518&amp;sr=8-7")</f>
        <v/>
      </c>
      <c r="F443" t="inlineStr">
        <is>
          <t>B09PL719HJ</t>
        </is>
      </c>
      <c r="G443">
        <f>_xlfn.IMAGE("https://www.theoutnet.com/variants/images/1647597286732647/F/w1020_q80.jpg")</f>
        <v/>
      </c>
      <c r="H443">
        <f>_xlfn.IMAGE("https://m.media-amazon.com/images/I/61CyqtJ1btL._AC_UL320_.jpg")</f>
        <v/>
      </c>
      <c r="K443" t="inlineStr">
        <is>
          <t>68.0</t>
        </is>
      </c>
      <c r="L443" t="n">
        <v>246.28</v>
      </c>
      <c r="M443" s="2" t="inlineStr">
        <is>
          <t>262.18%</t>
        </is>
      </c>
      <c r="N443" t="n">
        <v>4.5</v>
      </c>
      <c r="O443" t="n">
        <v>5</v>
      </c>
      <c r="Q443" t="inlineStr">
        <is>
          <t>InStock</t>
        </is>
      </c>
      <c r="R443" t="inlineStr">
        <is>
          <t>225.0</t>
        </is>
      </c>
      <c r="S443" t="inlineStr">
        <is>
          <t>1</t>
        </is>
      </c>
    </row>
    <row r="444" ht="75" customHeight="1">
      <c r="A444" s="1">
        <f>HYPERLINK("https://www.theoutnet.com/en-us/shop/product/stuart-weitzman/sandals/flat-sandals/vail-croc-effect-leather-sandals/1647597286732647", "https://www.theoutnet.com/en-us/shop/product/stuart-weitzman/sandals/flat-sandals/vail-croc-effect-leather-sandals/1647597286732647")</f>
        <v/>
      </c>
      <c r="B444" s="1">
        <f>HYPERLINK("https://www.theoutnet.com/en-us/shop/product/stuart-weitzman/sandals/flat-sandals/vail-croc-effect-leather-sandals/1647597286732647", "https://www.theoutnet.com/en-us/shop/product/stuart-weitzman/sandals/flat-sandals/vail-croc-effect-leather-sandals/1647597286732647")</f>
        <v/>
      </c>
      <c r="C444" t="inlineStr">
        <is>
          <t>STUART WEITZMAN</t>
        </is>
      </c>
      <c r="D444" t="inlineStr">
        <is>
          <t>Stuart Weitzman Women's Nearlybare Sandals</t>
        </is>
      </c>
      <c r="E444" s="1">
        <f>HYPERLINK("https://www.amazon.com/Stuart-Weitzman-Womens-Nearlybare-Sandals/dp/B0BB98QQS4/ref=sr_1_10?keywords=STUART+WEITZMAN&amp;qid=1695343518&amp;sr=8-10", "https://www.amazon.com/Stuart-Weitzman-Womens-Nearlybare-Sandals/dp/B0BB98QQS4/ref=sr_1_10?keywords=STUART+WEITZMAN&amp;qid=1695343518&amp;sr=8-10")</f>
        <v/>
      </c>
      <c r="F444" t="inlineStr">
        <is>
          <t>B0BB98QQS4</t>
        </is>
      </c>
      <c r="G444">
        <f>_xlfn.IMAGE("https://www.theoutnet.com/variants/images/1647597286732647/F/w1020_q80.jpg")</f>
        <v/>
      </c>
      <c r="H444">
        <f>_xlfn.IMAGE("https://m.media-amazon.com/images/I/517KGaG+NmL._AC_UL320_.jpg")</f>
        <v/>
      </c>
      <c r="K444" t="inlineStr">
        <is>
          <t>68.0</t>
        </is>
      </c>
      <c r="L444" t="n">
        <v>237.5</v>
      </c>
      <c r="M444" s="2" t="inlineStr">
        <is>
          <t>249.26%</t>
        </is>
      </c>
      <c r="N444" t="n">
        <v>5</v>
      </c>
      <c r="O444" t="n">
        <v>1</v>
      </c>
      <c r="Q444" t="inlineStr">
        <is>
          <t>InStock</t>
        </is>
      </c>
      <c r="R444" t="inlineStr">
        <is>
          <t>225.0</t>
        </is>
      </c>
      <c r="S444" t="inlineStr">
        <is>
          <t>1</t>
        </is>
      </c>
    </row>
    <row r="445" ht="75" customHeight="1">
      <c r="A445" s="1">
        <f>HYPERLINK("https://www.theoutnet.com/en-us/shop/product/stuart-weitzman/sandals/flat-sandals/vail-croc-effect-leather-sandals/1647597286732647", "https://www.theoutnet.com/en-us/shop/product/stuart-weitzman/sandals/flat-sandals/vail-croc-effect-leather-sandals/1647597286732647")</f>
        <v/>
      </c>
      <c r="B445" s="1">
        <f>HYPERLINK("https://www.theoutnet.com/en-us/shop/product/stuart-weitzman/sandals/flat-sandals/vail-croc-effect-leather-sandals/1647597286732647", "https://www.theoutnet.com/en-us/shop/product/stuart-weitzman/sandals/flat-sandals/vail-croc-effect-leather-sandals/1647597286732647")</f>
        <v/>
      </c>
      <c r="C445" t="inlineStr">
        <is>
          <t>STUART WEITZMAN</t>
        </is>
      </c>
      <c r="D445" t="inlineStr">
        <is>
          <t>Stuart Weitzman Women's Mirela Ii Wedge Espadrilles</t>
        </is>
      </c>
      <c r="E445" s="1">
        <f>HYPERLINK("https://www.amazon.com/Stuart-Weitzman-Mirela-Espadrille-Natural/dp/B0BSGWRW5H/ref=sr_1_2?keywords=STUART+WEITZMAN&amp;qid=1695343518&amp;sr=8-2", "https://www.amazon.com/Stuart-Weitzman-Mirela-Espadrille-Natural/dp/B0BSGWRW5H/ref=sr_1_2?keywords=STUART+WEITZMAN&amp;qid=1695343518&amp;sr=8-2")</f>
        <v/>
      </c>
      <c r="F445" t="inlineStr">
        <is>
          <t>B0BSGWRW5H</t>
        </is>
      </c>
      <c r="G445">
        <f>_xlfn.IMAGE("https://www.theoutnet.com/variants/images/1647597286732647/F/w1020_q80.jpg")</f>
        <v/>
      </c>
      <c r="H445">
        <f>_xlfn.IMAGE("https://m.media-amazon.com/images/I/713pNP6rxKL._AC_UL320_.jpg")</f>
        <v/>
      </c>
      <c r="K445" t="inlineStr">
        <is>
          <t>68.0</t>
        </is>
      </c>
      <c r="L445" t="n">
        <v>202.81</v>
      </c>
      <c r="M445" s="2" t="inlineStr">
        <is>
          <t>198.25%</t>
        </is>
      </c>
      <c r="N445" t="n">
        <v>4.6</v>
      </c>
      <c r="O445" t="n">
        <v>3</v>
      </c>
      <c r="Q445" t="inlineStr">
        <is>
          <t>InStock</t>
        </is>
      </c>
      <c r="R445" t="inlineStr">
        <is>
          <t>225.0</t>
        </is>
      </c>
      <c r="S445" t="inlineStr">
        <is>
          <t>1</t>
        </is>
      </c>
    </row>
    <row r="446" ht="75" customHeight="1">
      <c r="A446" s="1">
        <f>HYPERLINK("https://www.theoutnet.com/en-us/shop/product/stuart-weitzman/sandals/flat-sandals/vail-croc-effect-leather-sandals/1647597286732647", "https://www.theoutnet.com/en-us/shop/product/stuart-weitzman/sandals/flat-sandals/vail-croc-effect-leather-sandals/1647597286732647")</f>
        <v/>
      </c>
      <c r="B446" s="1">
        <f>HYPERLINK("https://www.theoutnet.com/en-us/shop/product/stuart-weitzman/sandals/flat-sandals/vail-croc-effect-leather-sandals/1647597286732647", "https://www.theoutnet.com/en-us/shop/product/stuart-weitzman/sandals/flat-sandals/vail-croc-effect-leather-sandals/1647597286732647")</f>
        <v/>
      </c>
      <c r="C446" t="inlineStr">
        <is>
          <t>STUART WEITZMAN</t>
        </is>
      </c>
      <c r="D446" t="inlineStr">
        <is>
          <t>Stuart Weitzman Cayman 85 Block Slide</t>
        </is>
      </c>
      <c r="E446" s="1">
        <f>HYPERLINK("https://www.amazon.com/Stuart-Weitzman-Cayman-Block-Natural/dp/B0BTHLYHPH/ref=sr_1_9?keywords=STUART+WEITZMAN&amp;qid=1695343518&amp;sr=8-9", "https://www.amazon.com/Stuart-Weitzman-Cayman-Block-Natural/dp/B0BTHLYHPH/ref=sr_1_9?keywords=STUART+WEITZMAN&amp;qid=1695343518&amp;sr=8-9")</f>
        <v/>
      </c>
      <c r="F446" t="inlineStr">
        <is>
          <t>B0BTHLYHPH</t>
        </is>
      </c>
      <c r="G446">
        <f>_xlfn.IMAGE("https://www.theoutnet.com/variants/images/1647597286732647/F/w1020_q80.jpg")</f>
        <v/>
      </c>
      <c r="H446">
        <f>_xlfn.IMAGE("https://m.media-amazon.com/images/I/71lWUv5adVL._AC_UL320_.jpg")</f>
        <v/>
      </c>
      <c r="K446" t="inlineStr">
        <is>
          <t>68.0</t>
        </is>
      </c>
      <c r="L446" t="n">
        <v>174.25</v>
      </c>
      <c r="M446" s="2" t="inlineStr">
        <is>
          <t>156.25%</t>
        </is>
      </c>
      <c r="N446" t="n">
        <v>5</v>
      </c>
      <c r="O446" t="n">
        <v>1</v>
      </c>
      <c r="Q446" t="inlineStr">
        <is>
          <t>InStock</t>
        </is>
      </c>
      <c r="R446" t="inlineStr">
        <is>
          <t>225.0</t>
        </is>
      </c>
      <c r="S446" t="inlineStr">
        <is>
          <t>1</t>
        </is>
      </c>
    </row>
    <row r="447" ht="75" customHeight="1">
      <c r="A447" s="1">
        <f>HYPERLINK("https://www.theoutnet.com/en-us/shop/product/stuart-weitzman/sandals/flat-sandals/vail-croc-effect-leather-sandals/1647597286732647", "https://www.theoutnet.com/en-us/shop/product/stuart-weitzman/sandals/flat-sandals/vail-croc-effect-leather-sandals/1647597286732647")</f>
        <v/>
      </c>
      <c r="B447" s="1">
        <f>HYPERLINK("https://www.theoutnet.com/en-us/shop/product/stuart-weitzman/sandals/flat-sandals/vail-croc-effect-leather-sandals/1647597286732647", "https://www.theoutnet.com/en-us/shop/product/stuart-weitzman/sandals/flat-sandals/vail-croc-effect-leather-sandals/1647597286732647")</f>
        <v/>
      </c>
      <c r="C447" t="inlineStr">
        <is>
          <t>STUART WEITZMAN</t>
        </is>
      </c>
      <c r="D447" t="inlineStr">
        <is>
          <t>Stuart Weitzman Women's Easyon Reserve Chelsea Boot</t>
        </is>
      </c>
      <c r="E447" s="1">
        <f>HYPERLINK("https://www.amazon.com/Stuart-Weitzman-EASYON-Reserve-Chelsea/dp/B07JBHS7SN/ref=sr_1_3?keywords=STUART+WEITZMAN&amp;qid=1695343518&amp;sr=8-3", "https://www.amazon.com/Stuart-Weitzman-EASYON-Reserve-Chelsea/dp/B07JBHS7SN/ref=sr_1_3?keywords=STUART+WEITZMAN&amp;qid=1695343518&amp;sr=8-3")</f>
        <v/>
      </c>
      <c r="F447" t="inlineStr">
        <is>
          <t>B07JBHS7SN</t>
        </is>
      </c>
      <c r="G447">
        <f>_xlfn.IMAGE("https://www.theoutnet.com/variants/images/1647597286732647/F/w1020_q80.jpg")</f>
        <v/>
      </c>
      <c r="H447">
        <f>_xlfn.IMAGE("https://m.media-amazon.com/images/I/81xxQrKrB7L._AC_UL320_.jpg")</f>
        <v/>
      </c>
      <c r="K447" t="inlineStr">
        <is>
          <t>68.0</t>
        </is>
      </c>
      <c r="L447" t="n">
        <v>172.1</v>
      </c>
      <c r="M447" s="2" t="inlineStr">
        <is>
          <t>153.09%</t>
        </is>
      </c>
      <c r="N447" t="n">
        <v>4.2</v>
      </c>
      <c r="O447" t="n">
        <v>41</v>
      </c>
      <c r="Q447" t="inlineStr">
        <is>
          <t>InStock</t>
        </is>
      </c>
      <c r="R447" t="inlineStr">
        <is>
          <t>225.0</t>
        </is>
      </c>
      <c r="S447" t="inlineStr">
        <is>
          <t>1</t>
        </is>
      </c>
    </row>
    <row r="448" ht="75" customHeight="1">
      <c r="A448" s="1">
        <f>HYPERLINK("https://www.theoutnet.com/en-us/shop/product/stuart-weitzman/sandals/flat-sandals/vail-croc-effect-leather-slingback-sandals/1647597308556646", "https://www.theoutnet.com/en-us/shop/product/stuart-weitzman/sandals/flat-sandals/vail-croc-effect-leather-slingback-sandals/1647597308556646")</f>
        <v/>
      </c>
      <c r="B448" s="1">
        <f>HYPERLINK("https://www.theoutnet.com/en-us/shop/product/stuart-weitzman/sandals/flat-sandals/vail-croc-effect-leather-slingback-sandals/1647597308556646", "https://www.theoutnet.com/en-us/shop/product/stuart-weitzman/sandals/flat-sandals/vail-croc-effect-leather-slingback-sandals/1647597308556646")</f>
        <v/>
      </c>
      <c r="C448" t="inlineStr">
        <is>
          <t>STUART WEITZMAN</t>
        </is>
      </c>
      <c r="D448" t="inlineStr">
        <is>
          <t>Stuart Weitzman Stuart 100 Scallop Pump</t>
        </is>
      </c>
      <c r="E448" s="1">
        <f>HYPERLINK("https://www.amazon.com/Stuart-Weitzman-Scallop-Pump-Silver/dp/B09PL719HJ/ref=sr_1_8?keywords=STUART+WEITZMAN&amp;qid=1695343614&amp;sr=8-8", "https://www.amazon.com/Stuart-Weitzman-Scallop-Pump-Silver/dp/B09PL719HJ/ref=sr_1_8?keywords=STUART+WEITZMAN&amp;qid=1695343614&amp;sr=8-8")</f>
        <v/>
      </c>
      <c r="F448" t="inlineStr">
        <is>
          <t>B09PL719HJ</t>
        </is>
      </c>
      <c r="G448">
        <f>_xlfn.IMAGE("https://www.theoutnet.com/variants/images/1647597308556646/F/w1020_q80.jpg")</f>
        <v/>
      </c>
      <c r="H448">
        <f>_xlfn.IMAGE("https://m.media-amazon.com/images/I/61CyqtJ1btL._AC_UL320_.jpg")</f>
        <v/>
      </c>
      <c r="K448" t="inlineStr">
        <is>
          <t>138.0</t>
        </is>
      </c>
      <c r="L448" t="n">
        <v>246.28</v>
      </c>
      <c r="M448" s="2" t="inlineStr">
        <is>
          <t>78.46%</t>
        </is>
      </c>
      <c r="N448" t="n">
        <v>4.5</v>
      </c>
      <c r="O448" t="n">
        <v>5</v>
      </c>
      <c r="Q448" t="inlineStr">
        <is>
          <t>InStock</t>
        </is>
      </c>
      <c r="R448" t="inlineStr">
        <is>
          <t>250.0</t>
        </is>
      </c>
      <c r="S448" t="inlineStr">
        <is>
          <t>1647597308556646</t>
        </is>
      </c>
    </row>
    <row r="449" ht="75" customHeight="1">
      <c r="A449" s="1">
        <f>HYPERLINK("https://www.theoutnet.com/en-us/shop/product/stuart-weitzman/sandals/flat-sandals/vail-croc-effect-leather-slingback-sandals/1647597308556646", "https://www.theoutnet.com/en-us/shop/product/stuart-weitzman/sandals/flat-sandals/vail-croc-effect-leather-slingback-sandals/1647597308556646")</f>
        <v/>
      </c>
      <c r="B449" s="1">
        <f>HYPERLINK("https://www.theoutnet.com/en-us/shop/product/stuart-weitzman/sandals/flat-sandals/vail-croc-effect-leather-slingback-sandals/1647597308556646", "https://www.theoutnet.com/en-us/shop/product/stuart-weitzman/sandals/flat-sandals/vail-croc-effect-leather-slingback-sandals/1647597308556646")</f>
        <v/>
      </c>
      <c r="C449" t="inlineStr">
        <is>
          <t>STUART WEITZMAN</t>
        </is>
      </c>
      <c r="D449" t="inlineStr">
        <is>
          <t>Stuart Weitzman Women's Nearlybare Sandals</t>
        </is>
      </c>
      <c r="E449" s="1">
        <f>HYPERLINK("https://www.amazon.com/Stuart-Weitzman-Womens-Nearlybare-Sandals/dp/B0BB98QQS4/ref=sr_1_7?keywords=STUART+WEITZMAN&amp;qid=1695343614&amp;sr=8-7", "https://www.amazon.com/Stuart-Weitzman-Womens-Nearlybare-Sandals/dp/B0BB98QQS4/ref=sr_1_7?keywords=STUART+WEITZMAN&amp;qid=1695343614&amp;sr=8-7")</f>
        <v/>
      </c>
      <c r="F449" t="inlineStr">
        <is>
          <t>B0BB98QQS4</t>
        </is>
      </c>
      <c r="G449">
        <f>_xlfn.IMAGE("https://www.theoutnet.com/variants/images/1647597308556646/F/w1020_q80.jpg")</f>
        <v/>
      </c>
      <c r="H449">
        <f>_xlfn.IMAGE("https://m.media-amazon.com/images/I/517KGaG+NmL._AC_UL320_.jpg")</f>
        <v/>
      </c>
      <c r="K449" t="inlineStr">
        <is>
          <t>138.0</t>
        </is>
      </c>
      <c r="L449" t="n">
        <v>237.5</v>
      </c>
      <c r="M449" s="2" t="inlineStr">
        <is>
          <t>72.10%</t>
        </is>
      </c>
      <c r="N449" t="n">
        <v>5</v>
      </c>
      <c r="O449" t="n">
        <v>1</v>
      </c>
      <c r="Q449" t="inlineStr">
        <is>
          <t>InStock</t>
        </is>
      </c>
      <c r="R449" t="inlineStr">
        <is>
          <t>250.0</t>
        </is>
      </c>
      <c r="S449" t="inlineStr">
        <is>
          <t>1647597308556646</t>
        </is>
      </c>
    </row>
    <row r="450" ht="75" customHeight="1">
      <c r="A450" s="1">
        <f>HYPERLINK("https://www.theoutnet.com/en-us/shop/product/stuart-weitzman/sandals/flat-sandals/vail-leopard-print-suede-slingback-sandals/1647597285403137", "https://www.theoutnet.com/en-us/shop/product/stuart-weitzman/sandals/flat-sandals/vail-leopard-print-suede-slingback-sandals/1647597285403137")</f>
        <v/>
      </c>
      <c r="B450" s="1">
        <f>HYPERLINK("https://www.theoutnet.com/en-us/shop/product/stuart-weitzman/sandals/flat-sandals/vail-leopard-print-suede-slingback-sandals/1647597285403137", "https://www.theoutnet.com/en-us/shop/product/stuart-weitzman/sandals/flat-sandals/vail-leopard-print-suede-slingback-sandals/1647597285403137")</f>
        <v/>
      </c>
      <c r="C450" t="inlineStr">
        <is>
          <t>STUART WEITZMAN</t>
        </is>
      </c>
      <c r="D450" t="inlineStr">
        <is>
          <t>Stuart Weitzman Women's Nearlybare Sandals</t>
        </is>
      </c>
      <c r="E450" s="1">
        <f>HYPERLINK("https://www.amazon.com/Stuart-Weitzman-Womens-Nearlybare-Sandals/dp/B0BB98KL5P/ref=sr_1_7?keywords=STUART+WEITZMAN&amp;qid=1695343252&amp;sr=8-7", "https://www.amazon.com/Stuart-Weitzman-Womens-Nearlybare-Sandals/dp/B0BB98KL5P/ref=sr_1_7?keywords=STUART+WEITZMAN&amp;qid=1695343252&amp;sr=8-7")</f>
        <v/>
      </c>
      <c r="F450" t="inlineStr">
        <is>
          <t>B0BB98KL5P</t>
        </is>
      </c>
      <c r="G450">
        <f>_xlfn.IMAGE("https://www.theoutnet.com/variants/images/1647597285403137/F/w1020_q80.jpg")</f>
        <v/>
      </c>
      <c r="H450">
        <f>_xlfn.IMAGE("https://m.media-amazon.com/images/I/517KGaG+NmL._AC_UL320_.jpg")</f>
        <v/>
      </c>
      <c r="K450" t="inlineStr">
        <is>
          <t>68.0</t>
        </is>
      </c>
      <c r="L450" t="n">
        <v>266.5</v>
      </c>
      <c r="M450" s="2" t="inlineStr">
        <is>
          <t>291.91%</t>
        </is>
      </c>
      <c r="N450" t="n">
        <v>5</v>
      </c>
      <c r="O450" t="n">
        <v>1</v>
      </c>
      <c r="Q450" t="inlineStr">
        <is>
          <t>InStock</t>
        </is>
      </c>
      <c r="R450" t="inlineStr">
        <is>
          <t>225.0</t>
        </is>
      </c>
      <c r="S450" t="inlineStr">
        <is>
          <t>1647597285403137</t>
        </is>
      </c>
    </row>
    <row r="451" ht="75" customHeight="1">
      <c r="A451" s="1">
        <f>HYPERLINK("https://www.theoutnet.com/en-us/shop/product/stuart-weitzman/sandals/flat-sandals/vail-leopard-print-suede-slingback-sandals/1647597285403137", "https://www.theoutnet.com/en-us/shop/product/stuart-weitzman/sandals/flat-sandals/vail-leopard-print-suede-slingback-sandals/1647597285403137")</f>
        <v/>
      </c>
      <c r="B451" s="1">
        <f>HYPERLINK("https://www.theoutnet.com/en-us/shop/product/stuart-weitzman/sandals/flat-sandals/vail-leopard-print-suede-slingback-sandals/1647597285403137", "https://www.theoutnet.com/en-us/shop/product/stuart-weitzman/sandals/flat-sandals/vail-leopard-print-suede-slingback-sandals/1647597285403137")</f>
        <v/>
      </c>
      <c r="C451" t="inlineStr">
        <is>
          <t>STUART WEITZMAN</t>
        </is>
      </c>
      <c r="D451" t="inlineStr">
        <is>
          <t>Stuart Weitzman Stuart 100 Scallop Pump</t>
        </is>
      </c>
      <c r="E451" s="1">
        <f>HYPERLINK("https://www.amazon.com/Stuart-Weitzman-Scallop-Pump-Silver/dp/B09PL719HJ/ref=sr_1_8?keywords=STUART+WEITZMAN&amp;qid=1695343252&amp;sr=8-8", "https://www.amazon.com/Stuart-Weitzman-Scallop-Pump-Silver/dp/B09PL719HJ/ref=sr_1_8?keywords=STUART+WEITZMAN&amp;qid=1695343252&amp;sr=8-8")</f>
        <v/>
      </c>
      <c r="F451" t="inlineStr">
        <is>
          <t>B09PL719HJ</t>
        </is>
      </c>
      <c r="G451">
        <f>_xlfn.IMAGE("https://www.theoutnet.com/variants/images/1647597285403137/F/w1020_q80.jpg")</f>
        <v/>
      </c>
      <c r="H451">
        <f>_xlfn.IMAGE("https://m.media-amazon.com/images/I/61CyqtJ1btL._AC_UL320_.jpg")</f>
        <v/>
      </c>
      <c r="K451" t="inlineStr">
        <is>
          <t>68.0</t>
        </is>
      </c>
      <c r="L451" t="n">
        <v>246.28</v>
      </c>
      <c r="M451" s="2" t="inlineStr">
        <is>
          <t>262.18%</t>
        </is>
      </c>
      <c r="N451" t="n">
        <v>4.5</v>
      </c>
      <c r="O451" t="n">
        <v>5</v>
      </c>
      <c r="Q451" t="inlineStr">
        <is>
          <t>InStock</t>
        </is>
      </c>
      <c r="R451" t="inlineStr">
        <is>
          <t>225.0</t>
        </is>
      </c>
      <c r="S451" t="inlineStr">
        <is>
          <t>1647597285403137</t>
        </is>
      </c>
    </row>
    <row r="452" ht="75" customHeight="1">
      <c r="A452" s="1">
        <f>HYPERLINK("https://www.theoutnet.com/en-us/shop/product/stuart-weitzman/sandals/flat-sandals/vail-leopard-print-suede-slingback-sandals/1647597285403137", "https://www.theoutnet.com/en-us/shop/product/stuart-weitzman/sandals/flat-sandals/vail-leopard-print-suede-slingback-sandals/1647597285403137")</f>
        <v/>
      </c>
      <c r="B452" s="1">
        <f>HYPERLINK("https://www.theoutnet.com/en-us/shop/product/stuart-weitzman/sandals/flat-sandals/vail-leopard-print-suede-slingback-sandals/1647597285403137", "https://www.theoutnet.com/en-us/shop/product/stuart-weitzman/sandals/flat-sandals/vail-leopard-print-suede-slingback-sandals/1647597285403137")</f>
        <v/>
      </c>
      <c r="C452" t="inlineStr">
        <is>
          <t>STUART WEITZMAN</t>
        </is>
      </c>
      <c r="D452" t="inlineStr">
        <is>
          <t>Stuart Weitzman Women's Mirela Ii Wedge Espadrilles</t>
        </is>
      </c>
      <c r="E452" s="1">
        <f>HYPERLINK("https://www.amazon.com/Stuart-Weitzman-Mirela-Espadrille-Natural/dp/B0BSGWRW5H/ref=sr_1_2?keywords=STUART+WEITZMAN&amp;qid=1695343252&amp;sr=8-2", "https://www.amazon.com/Stuart-Weitzman-Mirela-Espadrille-Natural/dp/B0BSGWRW5H/ref=sr_1_2?keywords=STUART+WEITZMAN&amp;qid=1695343252&amp;sr=8-2")</f>
        <v/>
      </c>
      <c r="F452" t="inlineStr">
        <is>
          <t>B0BSGWRW5H</t>
        </is>
      </c>
      <c r="G452">
        <f>_xlfn.IMAGE("https://www.theoutnet.com/variants/images/1647597285403137/F/w1020_q80.jpg")</f>
        <v/>
      </c>
      <c r="H452">
        <f>_xlfn.IMAGE("https://m.media-amazon.com/images/I/713pNP6rxKL._AC_UL320_.jpg")</f>
        <v/>
      </c>
      <c r="K452" t="inlineStr">
        <is>
          <t>68.0</t>
        </is>
      </c>
      <c r="L452" t="n">
        <v>202.81</v>
      </c>
      <c r="M452" s="2" t="inlineStr">
        <is>
          <t>198.25%</t>
        </is>
      </c>
      <c r="N452" t="n">
        <v>4.6</v>
      </c>
      <c r="O452" t="n">
        <v>3</v>
      </c>
      <c r="Q452" t="inlineStr">
        <is>
          <t>InStock</t>
        </is>
      </c>
      <c r="R452" t="inlineStr">
        <is>
          <t>225.0</t>
        </is>
      </c>
      <c r="S452" t="inlineStr">
        <is>
          <t>1647597285403137</t>
        </is>
      </c>
    </row>
    <row r="453" ht="75" customHeight="1">
      <c r="A453" s="1">
        <f>HYPERLINK("https://www.theoutnet.com/en-us/shop/product/stuart-weitzman/sandals/flat-sandals/vail-leopard-print-suede-slingback-sandals/1647597285403137", "https://www.theoutnet.com/en-us/shop/product/stuart-weitzman/sandals/flat-sandals/vail-leopard-print-suede-slingback-sandals/1647597285403137")</f>
        <v/>
      </c>
      <c r="B453" s="1">
        <f>HYPERLINK("https://www.theoutnet.com/en-us/shop/product/stuart-weitzman/sandals/flat-sandals/vail-leopard-print-suede-slingback-sandals/1647597285403137", "https://www.theoutnet.com/en-us/shop/product/stuart-weitzman/sandals/flat-sandals/vail-leopard-print-suede-slingback-sandals/1647597285403137")</f>
        <v/>
      </c>
      <c r="C453" t="inlineStr">
        <is>
          <t>STUART WEITZMAN</t>
        </is>
      </c>
      <c r="D453" t="inlineStr">
        <is>
          <t>Stuart Weitzman Cayman 85 Block Slide</t>
        </is>
      </c>
      <c r="E453" s="1">
        <f>HYPERLINK("https://www.amazon.com/Stuart-Weitzman-Cayman-Block-Natural/dp/B0BTHLYHPH/ref=sr_1_10?keywords=STUART+WEITZMAN&amp;qid=1695343252&amp;sr=8-10", "https://www.amazon.com/Stuart-Weitzman-Cayman-Block-Natural/dp/B0BTHLYHPH/ref=sr_1_10?keywords=STUART+WEITZMAN&amp;qid=1695343252&amp;sr=8-10")</f>
        <v/>
      </c>
      <c r="F453" t="inlineStr">
        <is>
          <t>B0BTHLYHPH</t>
        </is>
      </c>
      <c r="G453">
        <f>_xlfn.IMAGE("https://www.theoutnet.com/variants/images/1647597285403137/F/w1020_q80.jpg")</f>
        <v/>
      </c>
      <c r="H453">
        <f>_xlfn.IMAGE("https://m.media-amazon.com/images/I/71lWUv5adVL._AC_UL320_.jpg")</f>
        <v/>
      </c>
      <c r="K453" t="inlineStr">
        <is>
          <t>68.0</t>
        </is>
      </c>
      <c r="L453" t="n">
        <v>174.25</v>
      </c>
      <c r="M453" s="2" t="inlineStr">
        <is>
          <t>156.25%</t>
        </is>
      </c>
      <c r="N453" t="n">
        <v>5</v>
      </c>
      <c r="O453" t="n">
        <v>1</v>
      </c>
      <c r="Q453" t="inlineStr">
        <is>
          <t>InStock</t>
        </is>
      </c>
      <c r="R453" t="inlineStr">
        <is>
          <t>225.0</t>
        </is>
      </c>
      <c r="S453" t="inlineStr">
        <is>
          <t>1647597285403137</t>
        </is>
      </c>
    </row>
    <row r="454" ht="75" customHeight="1">
      <c r="A454" s="1">
        <f>HYPERLINK("https://www.theoutnet.com/en-us/shop/product/stuart-weitzman/sandals/flat-sandals/vail-leopard-print-suede-slingback-sandals/1647597285403137", "https://www.theoutnet.com/en-us/shop/product/stuart-weitzman/sandals/flat-sandals/vail-leopard-print-suede-slingback-sandals/1647597285403137")</f>
        <v/>
      </c>
      <c r="B454" s="1">
        <f>HYPERLINK("https://www.theoutnet.com/en-us/shop/product/stuart-weitzman/sandals/flat-sandals/vail-leopard-print-suede-slingback-sandals/1647597285403137", "https://www.theoutnet.com/en-us/shop/product/stuart-weitzman/sandals/flat-sandals/vail-leopard-print-suede-slingback-sandals/1647597285403137")</f>
        <v/>
      </c>
      <c r="C454" t="inlineStr">
        <is>
          <t>STUART WEITZMAN</t>
        </is>
      </c>
      <c r="D454" t="inlineStr">
        <is>
          <t>Stuart Weitzman Women's Easyon Reserve Chelsea Boot</t>
        </is>
      </c>
      <c r="E454" s="1">
        <f>HYPERLINK("https://www.amazon.com/Stuart-Weitzman-EASYON-Reserve-Chelsea/dp/B07JBHS7SN/ref=sr_1_3?keywords=STUART+WEITZMAN&amp;qid=1695343252&amp;sr=8-3", "https://www.amazon.com/Stuart-Weitzman-EASYON-Reserve-Chelsea/dp/B07JBHS7SN/ref=sr_1_3?keywords=STUART+WEITZMAN&amp;qid=1695343252&amp;sr=8-3")</f>
        <v/>
      </c>
      <c r="F454" t="inlineStr">
        <is>
          <t>B07JBHS7SN</t>
        </is>
      </c>
      <c r="G454">
        <f>_xlfn.IMAGE("https://www.theoutnet.com/variants/images/1647597285403137/F/w1020_q80.jpg")</f>
        <v/>
      </c>
      <c r="H454">
        <f>_xlfn.IMAGE("https://m.media-amazon.com/images/I/81xxQrKrB7L._AC_UL320_.jpg")</f>
        <v/>
      </c>
      <c r="K454" t="inlineStr">
        <is>
          <t>68.0</t>
        </is>
      </c>
      <c r="L454" t="n">
        <v>172.1</v>
      </c>
      <c r="M454" s="2" t="inlineStr">
        <is>
          <t>153.09%</t>
        </is>
      </c>
      <c r="N454" t="n">
        <v>4.2</v>
      </c>
      <c r="O454" t="n">
        <v>41</v>
      </c>
      <c r="Q454" t="inlineStr">
        <is>
          <t>InStock</t>
        </is>
      </c>
      <c r="R454" t="inlineStr">
        <is>
          <t>225.0</t>
        </is>
      </c>
      <c r="S454" t="inlineStr">
        <is>
          <t>1647597285403137</t>
        </is>
      </c>
    </row>
    <row r="455" ht="75" customHeight="1">
      <c r="A455" s="1">
        <f>HYPERLINK("https://www.theoutnet.com/en-us/shop/product/stuart-weitzman/sandals/flat-sandals/vail-leopard-print-suede-slingback-sandals/1647597285403137", "https://www.theoutnet.com/en-us/shop/product/stuart-weitzman/sandals/flat-sandals/vail-leopard-print-suede-slingback-sandals/1647597285403137")</f>
        <v/>
      </c>
      <c r="B455" s="1">
        <f>HYPERLINK("https://www.theoutnet.com/en-us/shop/product/stuart-weitzman/sandals/flat-sandals/vail-leopard-print-suede-slingback-sandals/1647597285403137", "https://www.theoutnet.com/en-us/shop/product/stuart-weitzman/sandals/flat-sandals/vail-leopard-print-suede-slingback-sandals/1647597285403137")</f>
        <v/>
      </c>
      <c r="C455" t="inlineStr">
        <is>
          <t>STUART WEITZMAN</t>
        </is>
      </c>
      <c r="D455" t="inlineStr">
        <is>
          <t>Stuart Weitzman Women's Nearlybare Sandals</t>
        </is>
      </c>
      <c r="E455" s="1">
        <f>HYPERLINK("https://www.amazon.com/Stuart-Weitzman-Womens-Nearlybare-Sandals/dp/B0BB98KL5P/ref=sr_1_7?keywords=STUART+WEITZMAN&amp;qid=1695343515&amp;sr=8-7", "https://www.amazon.com/Stuart-Weitzman-Womens-Nearlybare-Sandals/dp/B0BB98KL5P/ref=sr_1_7?keywords=STUART+WEITZMAN&amp;qid=1695343515&amp;sr=8-7")</f>
        <v/>
      </c>
      <c r="F455" t="inlineStr">
        <is>
          <t>B0BB98KL5P</t>
        </is>
      </c>
      <c r="G455">
        <f>_xlfn.IMAGE("https://www.theoutnet.com/variants/images/1647597285403137/F/w1020_q80.jpg")</f>
        <v/>
      </c>
      <c r="H455">
        <f>_xlfn.IMAGE("https://m.media-amazon.com/images/I/517KGaG+NmL._AC_UL320_.jpg")</f>
        <v/>
      </c>
      <c r="K455" t="inlineStr">
        <is>
          <t>68.0</t>
        </is>
      </c>
      <c r="L455" t="n">
        <v>266.5</v>
      </c>
      <c r="M455" s="2" t="inlineStr">
        <is>
          <t>291.91%</t>
        </is>
      </c>
      <c r="N455" t="n">
        <v>5</v>
      </c>
      <c r="O455" t="n">
        <v>1</v>
      </c>
      <c r="Q455" t="inlineStr">
        <is>
          <t>InStock</t>
        </is>
      </c>
      <c r="R455" t="inlineStr">
        <is>
          <t>225.0</t>
        </is>
      </c>
      <c r="S455" t="inlineStr">
        <is>
          <t>1647597285403137</t>
        </is>
      </c>
    </row>
    <row r="456" ht="75" customHeight="1">
      <c r="A456" s="1">
        <f>HYPERLINK("https://www.theoutnet.com/en-us/shop/product/stuart-weitzman/sandals/flat-sandals/vail-leopard-print-suede-slingback-sandals/1647597285403137", "https://www.theoutnet.com/en-us/shop/product/stuart-weitzman/sandals/flat-sandals/vail-leopard-print-suede-slingback-sandals/1647597285403137")</f>
        <v/>
      </c>
      <c r="B456" s="1">
        <f>HYPERLINK("https://www.theoutnet.com/en-us/shop/product/stuart-weitzman/sandals/flat-sandals/vail-leopard-print-suede-slingback-sandals/1647597285403137", "https://www.theoutnet.com/en-us/shop/product/stuart-weitzman/sandals/flat-sandals/vail-leopard-print-suede-slingback-sandals/1647597285403137")</f>
        <v/>
      </c>
      <c r="C456" t="inlineStr">
        <is>
          <t>STUART WEITZMAN</t>
        </is>
      </c>
      <c r="D456" t="inlineStr">
        <is>
          <t>Stuart Weitzman Stuart 100 Scallop Pump</t>
        </is>
      </c>
      <c r="E456" s="1">
        <f>HYPERLINK("https://www.amazon.com/Stuart-Weitzman-Scallop-Pump-Silver/dp/B09PL719HJ/ref=sr_1_8?keywords=STUART+WEITZMAN&amp;qid=1695343515&amp;sr=8-8", "https://www.amazon.com/Stuart-Weitzman-Scallop-Pump-Silver/dp/B09PL719HJ/ref=sr_1_8?keywords=STUART+WEITZMAN&amp;qid=1695343515&amp;sr=8-8")</f>
        <v/>
      </c>
      <c r="F456" t="inlineStr">
        <is>
          <t>B09PL719HJ</t>
        </is>
      </c>
      <c r="G456">
        <f>_xlfn.IMAGE("https://www.theoutnet.com/variants/images/1647597285403137/F/w1020_q80.jpg")</f>
        <v/>
      </c>
      <c r="H456">
        <f>_xlfn.IMAGE("https://m.media-amazon.com/images/I/61CyqtJ1btL._AC_UL320_.jpg")</f>
        <v/>
      </c>
      <c r="K456" t="inlineStr">
        <is>
          <t>68.0</t>
        </is>
      </c>
      <c r="L456" t="n">
        <v>246.28</v>
      </c>
      <c r="M456" s="2" t="inlineStr">
        <is>
          <t>262.18%</t>
        </is>
      </c>
      <c r="N456" t="n">
        <v>4.5</v>
      </c>
      <c r="O456" t="n">
        <v>5</v>
      </c>
      <c r="Q456" t="inlineStr">
        <is>
          <t>InStock</t>
        </is>
      </c>
      <c r="R456" t="inlineStr">
        <is>
          <t>225.0</t>
        </is>
      </c>
      <c r="S456" t="inlineStr">
        <is>
          <t>1647597285403137</t>
        </is>
      </c>
    </row>
    <row r="457" ht="75" customHeight="1">
      <c r="A457" s="1">
        <f>HYPERLINK("https://www.theoutnet.com/en-us/shop/product/stuart-weitzman/sandals/flat-sandals/vail-leopard-print-suede-slingback-sandals/1647597285403137", "https://www.theoutnet.com/en-us/shop/product/stuart-weitzman/sandals/flat-sandals/vail-leopard-print-suede-slingback-sandals/1647597285403137")</f>
        <v/>
      </c>
      <c r="B457" s="1">
        <f>HYPERLINK("https://www.theoutnet.com/en-us/shop/product/stuart-weitzman/sandals/flat-sandals/vail-leopard-print-suede-slingback-sandals/1647597285403137", "https://www.theoutnet.com/en-us/shop/product/stuart-weitzman/sandals/flat-sandals/vail-leopard-print-suede-slingback-sandals/1647597285403137")</f>
        <v/>
      </c>
      <c r="C457" t="inlineStr">
        <is>
          <t>STUART WEITZMAN</t>
        </is>
      </c>
      <c r="D457" t="inlineStr">
        <is>
          <t>Stuart Weitzman Women's Mirela Ii Wedge Espadrilles</t>
        </is>
      </c>
      <c r="E457" s="1">
        <f>HYPERLINK("https://www.amazon.com/Stuart-Weitzman-Mirela-Espadrille-Natural/dp/B0BSGWRW5H/ref=sr_1_2?keywords=STUART+WEITZMAN&amp;qid=1695343515&amp;sr=8-2", "https://www.amazon.com/Stuart-Weitzman-Mirela-Espadrille-Natural/dp/B0BSGWRW5H/ref=sr_1_2?keywords=STUART+WEITZMAN&amp;qid=1695343515&amp;sr=8-2")</f>
        <v/>
      </c>
      <c r="F457" t="inlineStr">
        <is>
          <t>B0BSGWRW5H</t>
        </is>
      </c>
      <c r="G457">
        <f>_xlfn.IMAGE("https://www.theoutnet.com/variants/images/1647597285403137/F/w1020_q80.jpg")</f>
        <v/>
      </c>
      <c r="H457">
        <f>_xlfn.IMAGE("https://m.media-amazon.com/images/I/713pNP6rxKL._AC_UL320_.jpg")</f>
        <v/>
      </c>
      <c r="K457" t="inlineStr">
        <is>
          <t>68.0</t>
        </is>
      </c>
      <c r="L457" t="n">
        <v>202.81</v>
      </c>
      <c r="M457" s="2" t="inlineStr">
        <is>
          <t>198.25%</t>
        </is>
      </c>
      <c r="N457" t="n">
        <v>4.6</v>
      </c>
      <c r="O457" t="n">
        <v>3</v>
      </c>
      <c r="Q457" t="inlineStr">
        <is>
          <t>InStock</t>
        </is>
      </c>
      <c r="R457" t="inlineStr">
        <is>
          <t>225.0</t>
        </is>
      </c>
      <c r="S457" t="inlineStr">
        <is>
          <t>1647597285403137</t>
        </is>
      </c>
    </row>
    <row r="458" ht="75" customHeight="1">
      <c r="A458" s="1">
        <f>HYPERLINK("https://www.theoutnet.com/en-us/shop/product/stuart-weitzman/sandals/flat-sandals/vail-leopard-print-suede-slingback-sandals/1647597285403137", "https://www.theoutnet.com/en-us/shop/product/stuart-weitzman/sandals/flat-sandals/vail-leopard-print-suede-slingback-sandals/1647597285403137")</f>
        <v/>
      </c>
      <c r="B458" s="1">
        <f>HYPERLINK("https://www.theoutnet.com/en-us/shop/product/stuart-weitzman/sandals/flat-sandals/vail-leopard-print-suede-slingback-sandals/1647597285403137", "https://www.theoutnet.com/en-us/shop/product/stuart-weitzman/sandals/flat-sandals/vail-leopard-print-suede-slingback-sandals/1647597285403137")</f>
        <v/>
      </c>
      <c r="C458" t="inlineStr">
        <is>
          <t>STUART WEITZMAN</t>
        </is>
      </c>
      <c r="D458" t="inlineStr">
        <is>
          <t>Stuart Weitzman Cayman 85 Block Slide</t>
        </is>
      </c>
      <c r="E458" s="1">
        <f>HYPERLINK("https://www.amazon.com/Stuart-Weitzman-Cayman-Block-Natural/dp/B0BTHLYHPH/ref=sr_1_10?keywords=STUART+WEITZMAN&amp;qid=1695343515&amp;sr=8-10", "https://www.amazon.com/Stuart-Weitzman-Cayman-Block-Natural/dp/B0BTHLYHPH/ref=sr_1_10?keywords=STUART+WEITZMAN&amp;qid=1695343515&amp;sr=8-10")</f>
        <v/>
      </c>
      <c r="F458" t="inlineStr">
        <is>
          <t>B0BTHLYHPH</t>
        </is>
      </c>
      <c r="G458">
        <f>_xlfn.IMAGE("https://www.theoutnet.com/variants/images/1647597285403137/F/w1020_q80.jpg")</f>
        <v/>
      </c>
      <c r="H458">
        <f>_xlfn.IMAGE("https://m.media-amazon.com/images/I/71lWUv5adVL._AC_UL320_.jpg")</f>
        <v/>
      </c>
      <c r="K458" t="inlineStr">
        <is>
          <t>68.0</t>
        </is>
      </c>
      <c r="L458" t="n">
        <v>174.25</v>
      </c>
      <c r="M458" s="2" t="inlineStr">
        <is>
          <t>156.25%</t>
        </is>
      </c>
      <c r="N458" t="n">
        <v>5</v>
      </c>
      <c r="O458" t="n">
        <v>1</v>
      </c>
      <c r="Q458" t="inlineStr">
        <is>
          <t>InStock</t>
        </is>
      </c>
      <c r="R458" t="inlineStr">
        <is>
          <t>225.0</t>
        </is>
      </c>
      <c r="S458" t="inlineStr">
        <is>
          <t>1647597285403137</t>
        </is>
      </c>
    </row>
    <row r="459" ht="75" customHeight="1">
      <c r="A459" s="1">
        <f>HYPERLINK("https://www.theoutnet.com/en-us/shop/product/stuart-weitzman/sandals/flat-sandals/vail-leopard-print-suede-slingback-sandals/1647597285403137", "https://www.theoutnet.com/en-us/shop/product/stuart-weitzman/sandals/flat-sandals/vail-leopard-print-suede-slingback-sandals/1647597285403137")</f>
        <v/>
      </c>
      <c r="B459" s="1">
        <f>HYPERLINK("https://www.theoutnet.com/en-us/shop/product/stuart-weitzman/sandals/flat-sandals/vail-leopard-print-suede-slingback-sandals/1647597285403137", "https://www.theoutnet.com/en-us/shop/product/stuart-weitzman/sandals/flat-sandals/vail-leopard-print-suede-slingback-sandals/1647597285403137")</f>
        <v/>
      </c>
      <c r="C459" t="inlineStr">
        <is>
          <t>STUART WEITZMAN</t>
        </is>
      </c>
      <c r="D459" t="inlineStr">
        <is>
          <t>Stuart Weitzman Women's Easyon Reserve Chelsea Boot</t>
        </is>
      </c>
      <c r="E459" s="1">
        <f>HYPERLINK("https://www.amazon.com/Stuart-Weitzman-EASYON-Reserve-Chelsea/dp/B07JBHS7SN/ref=sr_1_3?keywords=STUART+WEITZMAN&amp;qid=1695343515&amp;sr=8-3", "https://www.amazon.com/Stuart-Weitzman-EASYON-Reserve-Chelsea/dp/B07JBHS7SN/ref=sr_1_3?keywords=STUART+WEITZMAN&amp;qid=1695343515&amp;sr=8-3")</f>
        <v/>
      </c>
      <c r="F459" t="inlineStr">
        <is>
          <t>B07JBHS7SN</t>
        </is>
      </c>
      <c r="G459">
        <f>_xlfn.IMAGE("https://www.theoutnet.com/variants/images/1647597285403137/F/w1020_q80.jpg")</f>
        <v/>
      </c>
      <c r="H459">
        <f>_xlfn.IMAGE("https://m.media-amazon.com/images/I/81xxQrKrB7L._AC_UL320_.jpg")</f>
        <v/>
      </c>
      <c r="K459" t="inlineStr">
        <is>
          <t>68.0</t>
        </is>
      </c>
      <c r="L459" t="n">
        <v>172.1</v>
      </c>
      <c r="M459" s="2" t="inlineStr">
        <is>
          <t>153.09%</t>
        </is>
      </c>
      <c r="N459" t="n">
        <v>4.2</v>
      </c>
      <c r="O459" t="n">
        <v>41</v>
      </c>
      <c r="Q459" t="inlineStr">
        <is>
          <t>InStock</t>
        </is>
      </c>
      <c r="R459" t="inlineStr">
        <is>
          <t>225.0</t>
        </is>
      </c>
      <c r="S459" t="inlineStr">
        <is>
          <t>1647597285403137</t>
        </is>
      </c>
    </row>
    <row r="460" ht="75" customHeight="1">
      <c r="A460" s="1">
        <f>HYPERLINK("https://www.theoutnet.com/en-us/shop/product/stuart-weitzman/sandals/mid-heel-sandals/tibby-leather-sandals/1647597286051949", "https://www.theoutnet.com/en-us/shop/product/stuart-weitzman/sandals/mid-heel-sandals/tibby-leather-sandals/1647597286051949")</f>
        <v/>
      </c>
      <c r="B460" s="1">
        <f>HYPERLINK("https://www.theoutnet.com/en-us/shop/product/stuart-weitzman/sandals/mid-heel-sandals/tibby-leather-sandals/1647597286051949", "https://www.theoutnet.com/en-us/shop/product/stuart-weitzman/sandals/mid-heel-sandals/tibby-leather-sandals/1647597286051949")</f>
        <v/>
      </c>
      <c r="C460" t="inlineStr">
        <is>
          <t>STUART WEITZMAN</t>
        </is>
      </c>
      <c r="D460" t="inlineStr">
        <is>
          <t>Stuart Weitzman Women's Nearlybare Sandals</t>
        </is>
      </c>
      <c r="E460" s="1">
        <f>HYPERLINK("https://www.amazon.com/Stuart-Weitzman-Womens-Nearlybare-Sandals/dp/B0BB98KL5P/ref=sr_1_7?keywords=STUART+WEITZMAN&amp;qid=1695343262&amp;sr=8-7", "https://www.amazon.com/Stuart-Weitzman-Womens-Nearlybare-Sandals/dp/B0BB98KL5P/ref=sr_1_7?keywords=STUART+WEITZMAN&amp;qid=1695343262&amp;sr=8-7")</f>
        <v/>
      </c>
      <c r="F460" t="inlineStr">
        <is>
          <t>B0BB98KL5P</t>
        </is>
      </c>
      <c r="G460">
        <f>_xlfn.IMAGE("https://www.theoutnet.com/variants/images/1647597286051949/F/w1020_q80.jpg")</f>
        <v/>
      </c>
      <c r="H460">
        <f>_xlfn.IMAGE("https://m.media-amazon.com/images/I/517KGaG+NmL._AC_UL320_.jpg")</f>
        <v/>
      </c>
      <c r="K460" t="inlineStr">
        <is>
          <t>135.0</t>
        </is>
      </c>
      <c r="L460" t="n">
        <v>266.5</v>
      </c>
      <c r="M460" s="2" t="inlineStr">
        <is>
          <t>97.41%</t>
        </is>
      </c>
      <c r="N460" t="n">
        <v>5</v>
      </c>
      <c r="O460" t="n">
        <v>1</v>
      </c>
      <c r="Q460" t="inlineStr">
        <is>
          <t>InStock</t>
        </is>
      </c>
      <c r="R460" t="inlineStr">
        <is>
          <t>450.0</t>
        </is>
      </c>
      <c r="S460" t="inlineStr">
        <is>
          <t>1</t>
        </is>
      </c>
    </row>
    <row r="461" ht="75" customHeight="1">
      <c r="A461" s="1">
        <f>HYPERLINK("https://www.theoutnet.com/en-us/shop/product/stuart-weitzman/sandals/mid-heel-sandals/tibby-leather-sandals/1647597286051949", "https://www.theoutnet.com/en-us/shop/product/stuart-weitzman/sandals/mid-heel-sandals/tibby-leather-sandals/1647597286051949")</f>
        <v/>
      </c>
      <c r="B461" s="1">
        <f>HYPERLINK("https://www.theoutnet.com/en-us/shop/product/stuart-weitzman/sandals/mid-heel-sandals/tibby-leather-sandals/1647597286051949", "https://www.theoutnet.com/en-us/shop/product/stuart-weitzman/sandals/mid-heel-sandals/tibby-leather-sandals/1647597286051949")</f>
        <v/>
      </c>
      <c r="C461" t="inlineStr">
        <is>
          <t>STUART WEITZMAN</t>
        </is>
      </c>
      <c r="D461" t="inlineStr">
        <is>
          <t>Stuart Weitzman Stuart 100 Scallop Pump</t>
        </is>
      </c>
      <c r="E461" s="1">
        <f>HYPERLINK("https://www.amazon.com/Stuart-Weitzman-Scallop-Pump-Silver/dp/B09PL719HJ/ref=sr_1_8?keywords=STUART+WEITZMAN&amp;qid=1695343262&amp;sr=8-8", "https://www.amazon.com/Stuart-Weitzman-Scallop-Pump-Silver/dp/B09PL719HJ/ref=sr_1_8?keywords=STUART+WEITZMAN&amp;qid=1695343262&amp;sr=8-8")</f>
        <v/>
      </c>
      <c r="F461" t="inlineStr">
        <is>
          <t>B09PL719HJ</t>
        </is>
      </c>
      <c r="G461">
        <f>_xlfn.IMAGE("https://www.theoutnet.com/variants/images/1647597286051949/F/w1020_q80.jpg")</f>
        <v/>
      </c>
      <c r="H461">
        <f>_xlfn.IMAGE("https://m.media-amazon.com/images/I/61CyqtJ1btL._AC_UL320_.jpg")</f>
        <v/>
      </c>
      <c r="K461" t="inlineStr">
        <is>
          <t>135.0</t>
        </is>
      </c>
      <c r="L461" t="n">
        <v>246.28</v>
      </c>
      <c r="M461" s="2" t="inlineStr">
        <is>
          <t>82.43%</t>
        </is>
      </c>
      <c r="N461" t="n">
        <v>4.5</v>
      </c>
      <c r="O461" t="n">
        <v>5</v>
      </c>
      <c r="Q461" t="inlineStr">
        <is>
          <t>InStock</t>
        </is>
      </c>
      <c r="R461" t="inlineStr">
        <is>
          <t>450.0</t>
        </is>
      </c>
      <c r="S461" t="inlineStr">
        <is>
          <t>1</t>
        </is>
      </c>
    </row>
    <row r="462" ht="75" customHeight="1">
      <c r="A462" s="1">
        <f>HYPERLINK("https://www.theoutnet.com/en-us/shop/product/stuart-weitzman/sandals/mid-heel-sandals/tibby-leather-sandals/1647597286051949", "https://www.theoutnet.com/en-us/shop/product/stuart-weitzman/sandals/mid-heel-sandals/tibby-leather-sandals/1647597286051949")</f>
        <v/>
      </c>
      <c r="B462" s="1">
        <f>HYPERLINK("https://www.theoutnet.com/en-us/shop/product/stuart-weitzman/sandals/mid-heel-sandals/tibby-leather-sandals/1647597286051949", "https://www.theoutnet.com/en-us/shop/product/stuart-weitzman/sandals/mid-heel-sandals/tibby-leather-sandals/1647597286051949")</f>
        <v/>
      </c>
      <c r="C462" t="inlineStr">
        <is>
          <t>STUART WEITZMAN</t>
        </is>
      </c>
      <c r="D462" t="inlineStr">
        <is>
          <t>Stuart Weitzman Women's Nearlybare Sandals</t>
        </is>
      </c>
      <c r="E462" s="1">
        <f>HYPERLINK("https://www.amazon.com/Stuart-Weitzman-Womens-Nearlybare-Sandals/dp/B0BB98KL5P/ref=sr_1_7?keywords=STUART+WEITZMAN&amp;qid=1695343602&amp;sr=8-7", "https://www.amazon.com/Stuart-Weitzman-Womens-Nearlybare-Sandals/dp/B0BB98KL5P/ref=sr_1_7?keywords=STUART+WEITZMAN&amp;qid=1695343602&amp;sr=8-7")</f>
        <v/>
      </c>
      <c r="F462" t="inlineStr">
        <is>
          <t>B0BB98KL5P</t>
        </is>
      </c>
      <c r="G462">
        <f>_xlfn.IMAGE("https://www.theoutnet.com/variants/images/1647597286051949/F/w1020_q80.jpg")</f>
        <v/>
      </c>
      <c r="H462">
        <f>_xlfn.IMAGE("https://m.media-amazon.com/images/I/517KGaG+NmL._AC_UL320_.jpg")</f>
        <v/>
      </c>
      <c r="K462" t="inlineStr">
        <is>
          <t>135.0</t>
        </is>
      </c>
      <c r="L462" t="n">
        <v>266.5</v>
      </c>
      <c r="M462" s="2" t="inlineStr">
        <is>
          <t>97.41%</t>
        </is>
      </c>
      <c r="N462" t="n">
        <v>5</v>
      </c>
      <c r="O462" t="n">
        <v>1</v>
      </c>
      <c r="Q462" t="inlineStr">
        <is>
          <t>InStock</t>
        </is>
      </c>
      <c r="R462" t="inlineStr">
        <is>
          <t>450.0</t>
        </is>
      </c>
      <c r="S462" t="inlineStr">
        <is>
          <t>1</t>
        </is>
      </c>
    </row>
    <row r="463" ht="75" customHeight="1">
      <c r="A463" s="1">
        <f>HYPERLINK("https://www.theoutnet.com/en-us/shop/product/stuart-weitzman/sandals/mid-heel-sandals/tibby-leather-sandals/1647597286051949", "https://www.theoutnet.com/en-us/shop/product/stuart-weitzman/sandals/mid-heel-sandals/tibby-leather-sandals/1647597286051949")</f>
        <v/>
      </c>
      <c r="B463" s="1">
        <f>HYPERLINK("https://www.theoutnet.com/en-us/shop/product/stuart-weitzman/sandals/mid-heel-sandals/tibby-leather-sandals/1647597286051949", "https://www.theoutnet.com/en-us/shop/product/stuart-weitzman/sandals/mid-heel-sandals/tibby-leather-sandals/1647597286051949")</f>
        <v/>
      </c>
      <c r="C463" t="inlineStr">
        <is>
          <t>STUART WEITZMAN</t>
        </is>
      </c>
      <c r="D463" t="inlineStr">
        <is>
          <t>Stuart Weitzman Stuart 100 Scallop Pump</t>
        </is>
      </c>
      <c r="E463" s="1">
        <f>HYPERLINK("https://www.amazon.com/Stuart-Weitzman-Scallop-Pump-Silver/dp/B09PL719HJ/ref=sr_1_8?keywords=STUART+WEITZMAN&amp;qid=1695343602&amp;sr=8-8", "https://www.amazon.com/Stuart-Weitzman-Scallop-Pump-Silver/dp/B09PL719HJ/ref=sr_1_8?keywords=STUART+WEITZMAN&amp;qid=1695343602&amp;sr=8-8")</f>
        <v/>
      </c>
      <c r="F463" t="inlineStr">
        <is>
          <t>B09PL719HJ</t>
        </is>
      </c>
      <c r="G463">
        <f>_xlfn.IMAGE("https://www.theoutnet.com/variants/images/1647597286051949/F/w1020_q80.jpg")</f>
        <v/>
      </c>
      <c r="H463">
        <f>_xlfn.IMAGE("https://m.media-amazon.com/images/I/61CyqtJ1btL._AC_UL320_.jpg")</f>
        <v/>
      </c>
      <c r="K463" t="inlineStr">
        <is>
          <t>135.0</t>
        </is>
      </c>
      <c r="L463" t="n">
        <v>246.28</v>
      </c>
      <c r="M463" s="2" t="inlineStr">
        <is>
          <t>82.43%</t>
        </is>
      </c>
      <c r="N463" t="n">
        <v>4.5</v>
      </c>
      <c r="O463" t="n">
        <v>5</v>
      </c>
      <c r="Q463" t="inlineStr">
        <is>
          <t>InStock</t>
        </is>
      </c>
      <c r="R463" t="inlineStr">
        <is>
          <t>450.0</t>
        </is>
      </c>
      <c r="S463" t="inlineStr">
        <is>
          <t>1</t>
        </is>
      </c>
    </row>
    <row r="464" ht="75" customHeight="1">
      <c r="A464" s="1">
        <f>HYPERLINK("https://www.theoutnet.com/en-us/shop/product/stuart-weitzman/sandals/mid-heel-sandals/tibby-suede-sandals/1647597286055462", "https://www.theoutnet.com/en-us/shop/product/stuart-weitzman/sandals/mid-heel-sandals/tibby-suede-sandals/1647597286055462")</f>
        <v/>
      </c>
      <c r="B464" s="1">
        <f>HYPERLINK("https://www.theoutnet.com/en-us/shop/product/stuart-weitzman/sandals/mid-heel-sandals/tibby-suede-sandals/1647597286055462", "https://www.theoutnet.com/en-us/shop/product/stuart-weitzman/sandals/mid-heel-sandals/tibby-suede-sandals/1647597286055462")</f>
        <v/>
      </c>
      <c r="C464" t="inlineStr">
        <is>
          <t>STUART WEITZMAN</t>
        </is>
      </c>
      <c r="D464" t="inlineStr">
        <is>
          <t>Stuart Weitzman Stuart 100 Scallop Pump</t>
        </is>
      </c>
      <c r="E464" s="1">
        <f>HYPERLINK("https://www.amazon.com/Stuart-Weitzman-Scallop-Pump-Silver/dp/B09PL719HJ/ref=sr_1_7?keywords=STUART+WEITZMAN&amp;qid=1695343180&amp;sr=8-7", "https://www.amazon.com/Stuart-Weitzman-Scallop-Pump-Silver/dp/B09PL719HJ/ref=sr_1_7?keywords=STUART+WEITZMAN&amp;qid=1695343180&amp;sr=8-7")</f>
        <v/>
      </c>
      <c r="F464" t="inlineStr">
        <is>
          <t>B09PL719HJ</t>
        </is>
      </c>
      <c r="G464">
        <f>_xlfn.IMAGE("https://www.theoutnet.com/variants/images/1647597286055462/F/w1020_q80.jpg")</f>
        <v/>
      </c>
      <c r="H464">
        <f>_xlfn.IMAGE("https://m.media-amazon.com/images/I/61CyqtJ1btL._AC_UL320_.jpg")</f>
        <v/>
      </c>
      <c r="K464" t="inlineStr">
        <is>
          <t>135.0</t>
        </is>
      </c>
      <c r="L464" t="n">
        <v>246.28</v>
      </c>
      <c r="M464" s="2" t="inlineStr">
        <is>
          <t>82.43%</t>
        </is>
      </c>
      <c r="N464" t="n">
        <v>4.5</v>
      </c>
      <c r="O464" t="n">
        <v>5</v>
      </c>
      <c r="Q464" t="inlineStr">
        <is>
          <t>InStock</t>
        </is>
      </c>
      <c r="R464" t="inlineStr">
        <is>
          <t>450.0</t>
        </is>
      </c>
      <c r="S464" t="inlineStr">
        <is>
          <t>1647597286055462</t>
        </is>
      </c>
    </row>
    <row r="465" ht="75" customHeight="1">
      <c r="A465" s="1">
        <f>HYPERLINK("https://www.theoutnet.com/en-us/shop/product/stuart-weitzman/sandals/mid-heel-sandals/tibby-suede-sandals/1647597286055462", "https://www.theoutnet.com/en-us/shop/product/stuart-weitzman/sandals/mid-heel-sandals/tibby-suede-sandals/1647597286055462")</f>
        <v/>
      </c>
      <c r="B465" s="1">
        <f>HYPERLINK("https://www.theoutnet.com/en-us/shop/product/stuart-weitzman/sandals/mid-heel-sandals/tibby-suede-sandals/1647597286055462", "https://www.theoutnet.com/en-us/shop/product/stuart-weitzman/sandals/mid-heel-sandals/tibby-suede-sandals/1647597286055462")</f>
        <v/>
      </c>
      <c r="C465" t="inlineStr">
        <is>
          <t>STUART WEITZMAN</t>
        </is>
      </c>
      <c r="D465" t="inlineStr">
        <is>
          <t>Stuart Weitzman Women's Nearlybare Sandals</t>
        </is>
      </c>
      <c r="E465" s="1">
        <f>HYPERLINK("https://www.amazon.com/Stuart-Weitzman-Womens-Nearlybare-Sandals/dp/B0BB98QQS4/ref=sr_1_10?keywords=STUART+WEITZMAN&amp;qid=1695343180&amp;sr=8-10", "https://www.amazon.com/Stuart-Weitzman-Womens-Nearlybare-Sandals/dp/B0BB98QQS4/ref=sr_1_10?keywords=STUART+WEITZMAN&amp;qid=1695343180&amp;sr=8-10")</f>
        <v/>
      </c>
      <c r="F465" t="inlineStr">
        <is>
          <t>B0BB98QQS4</t>
        </is>
      </c>
      <c r="G465">
        <f>_xlfn.IMAGE("https://www.theoutnet.com/variants/images/1647597286055462/F/w1020_q80.jpg")</f>
        <v/>
      </c>
      <c r="H465">
        <f>_xlfn.IMAGE("https://m.media-amazon.com/images/I/517KGaG+NmL._AC_UL320_.jpg")</f>
        <v/>
      </c>
      <c r="K465" t="inlineStr">
        <is>
          <t>135.0</t>
        </is>
      </c>
      <c r="L465" t="n">
        <v>237.5</v>
      </c>
      <c r="M465" s="2" t="inlineStr">
        <is>
          <t>75.93%</t>
        </is>
      </c>
      <c r="N465" t="n">
        <v>5</v>
      </c>
      <c r="O465" t="n">
        <v>1</v>
      </c>
      <c r="Q465" t="inlineStr">
        <is>
          <t>InStock</t>
        </is>
      </c>
      <c r="R465" t="inlineStr">
        <is>
          <t>450.0</t>
        </is>
      </c>
      <c r="S465" t="inlineStr">
        <is>
          <t>1647597286055462</t>
        </is>
      </c>
    </row>
    <row r="466" ht="75" customHeight="1">
      <c r="A466" s="1">
        <f>HYPERLINK("https://www.theoutnet.com/en-us/shop/product/stuart-weitzman/sandals/mid-heel-sandals/tibby-suede-sandals/1647597286055462", "https://www.theoutnet.com/en-us/shop/product/stuart-weitzman/sandals/mid-heel-sandals/tibby-suede-sandals/1647597286055462")</f>
        <v/>
      </c>
      <c r="B466" s="1">
        <f>HYPERLINK("https://www.theoutnet.com/en-us/shop/product/stuart-weitzman/sandals/mid-heel-sandals/tibby-suede-sandals/1647597286055462", "https://www.theoutnet.com/en-us/shop/product/stuart-weitzman/sandals/mid-heel-sandals/tibby-suede-sandals/1647597286055462")</f>
        <v/>
      </c>
      <c r="C466" t="inlineStr">
        <is>
          <t>STUART WEITZMAN</t>
        </is>
      </c>
      <c r="D466" t="inlineStr">
        <is>
          <t>Stuart Weitzman Women's Nearlybare Sandals</t>
        </is>
      </c>
      <c r="E466" s="1">
        <f>HYPERLINK("https://www.amazon.com/Stuart-Weitzman-Womens-Nearlybare-Sandals/dp/B0BB98KL5P/ref=sr_1_7?keywords=STUART+WEITZMAN&amp;qid=1695343396&amp;sr=8-7", "https://www.amazon.com/Stuart-Weitzman-Womens-Nearlybare-Sandals/dp/B0BB98KL5P/ref=sr_1_7?keywords=STUART+WEITZMAN&amp;qid=1695343396&amp;sr=8-7")</f>
        <v/>
      </c>
      <c r="F466" t="inlineStr">
        <is>
          <t>B0BB98KL5P</t>
        </is>
      </c>
      <c r="G466">
        <f>_xlfn.IMAGE("https://www.theoutnet.com/variants/images/1647597286055462/F/w1020_q80.jpg")</f>
        <v/>
      </c>
      <c r="H466">
        <f>_xlfn.IMAGE("https://m.media-amazon.com/images/I/517KGaG+NmL._AC_UL320_.jpg")</f>
        <v/>
      </c>
      <c r="K466" t="inlineStr">
        <is>
          <t>135.0</t>
        </is>
      </c>
      <c r="L466" t="n">
        <v>266.5</v>
      </c>
      <c r="M466" s="2" t="inlineStr">
        <is>
          <t>97.41%</t>
        </is>
      </c>
      <c r="N466" t="n">
        <v>5</v>
      </c>
      <c r="O466" t="n">
        <v>1</v>
      </c>
      <c r="Q466" t="inlineStr">
        <is>
          <t>InStock</t>
        </is>
      </c>
      <c r="R466" t="inlineStr">
        <is>
          <t>450.0</t>
        </is>
      </c>
      <c r="S466" t="inlineStr">
        <is>
          <t>1647597286055462</t>
        </is>
      </c>
    </row>
    <row r="467" ht="75" customHeight="1">
      <c r="A467" s="1">
        <f>HYPERLINK("https://www.theoutnet.com/en-us/shop/product/stuart-weitzman/sandals/mid-heel-sandals/tibby-suede-sandals/1647597286055462", "https://www.theoutnet.com/en-us/shop/product/stuart-weitzman/sandals/mid-heel-sandals/tibby-suede-sandals/1647597286055462")</f>
        <v/>
      </c>
      <c r="B467" s="1">
        <f>HYPERLINK("https://www.theoutnet.com/en-us/shop/product/stuart-weitzman/sandals/mid-heel-sandals/tibby-suede-sandals/1647597286055462", "https://www.theoutnet.com/en-us/shop/product/stuart-weitzman/sandals/mid-heel-sandals/tibby-suede-sandals/1647597286055462")</f>
        <v/>
      </c>
      <c r="C467" t="inlineStr">
        <is>
          <t>STUART WEITZMAN</t>
        </is>
      </c>
      <c r="D467" t="inlineStr">
        <is>
          <t>Stuart Weitzman Stuart 100 Scallop Pump</t>
        </is>
      </c>
      <c r="E467" s="1">
        <f>HYPERLINK("https://www.amazon.com/Stuart-Weitzman-Scallop-Pump-Silver/dp/B09PL719HJ/ref=sr_1_8?keywords=STUART+WEITZMAN&amp;qid=1695343396&amp;sr=8-8", "https://www.amazon.com/Stuart-Weitzman-Scallop-Pump-Silver/dp/B09PL719HJ/ref=sr_1_8?keywords=STUART+WEITZMAN&amp;qid=1695343396&amp;sr=8-8")</f>
        <v/>
      </c>
      <c r="F467" t="inlineStr">
        <is>
          <t>B09PL719HJ</t>
        </is>
      </c>
      <c r="G467">
        <f>_xlfn.IMAGE("https://www.theoutnet.com/variants/images/1647597286055462/F/w1020_q80.jpg")</f>
        <v/>
      </c>
      <c r="H467">
        <f>_xlfn.IMAGE("https://m.media-amazon.com/images/I/61CyqtJ1btL._AC_UL320_.jpg")</f>
        <v/>
      </c>
      <c r="K467" t="inlineStr">
        <is>
          <t>135.0</t>
        </is>
      </c>
      <c r="L467" t="n">
        <v>246.28</v>
      </c>
      <c r="M467" s="2" t="inlineStr">
        <is>
          <t>82.43%</t>
        </is>
      </c>
      <c r="N467" t="n">
        <v>4.5</v>
      </c>
      <c r="O467" t="n">
        <v>5</v>
      </c>
      <c r="Q467" t="inlineStr">
        <is>
          <t>InStock</t>
        </is>
      </c>
      <c r="R467" t="inlineStr">
        <is>
          <t>450.0</t>
        </is>
      </c>
      <c r="S467" t="inlineStr">
        <is>
          <t>1647597286055462</t>
        </is>
      </c>
    </row>
    <row r="468" ht="75" customHeight="1">
      <c r="A468" s="1">
        <f>HYPERLINK("https://www.theoutnet.com/en-us/shop/product/stuart-weitzman/sandals/mid-heel-sandals/tibby-suede-sandals/1647597286055462", "https://www.theoutnet.com/en-us/shop/product/stuart-weitzman/sandals/mid-heel-sandals/tibby-suede-sandals/1647597286055462")</f>
        <v/>
      </c>
      <c r="B468" s="1">
        <f>HYPERLINK("https://www.theoutnet.com/en-us/shop/product/stuart-weitzman/sandals/mid-heel-sandals/tibby-suede-sandals/1647597286055462", "https://www.theoutnet.com/en-us/shop/product/stuart-weitzman/sandals/mid-heel-sandals/tibby-suede-sandals/1647597286055462")</f>
        <v/>
      </c>
      <c r="C468" t="inlineStr">
        <is>
          <t>STUART WEITZMAN</t>
        </is>
      </c>
      <c r="D468" t="inlineStr">
        <is>
          <t>Stuart Weitzman Stuart 100 Scallop Pump</t>
        </is>
      </c>
      <c r="E468" s="1">
        <f>HYPERLINK("https://www.amazon.com/Stuart-Weitzman-Scallop-Pump-Silver/dp/B09PL719HJ/ref=sr_1_8?keywords=STUART+WEITZMAN&amp;qid=1695343601&amp;sr=8-8", "https://www.amazon.com/Stuart-Weitzman-Scallop-Pump-Silver/dp/B09PL719HJ/ref=sr_1_8?keywords=STUART+WEITZMAN&amp;qid=1695343601&amp;sr=8-8")</f>
        <v/>
      </c>
      <c r="F468" t="inlineStr">
        <is>
          <t>B09PL719HJ</t>
        </is>
      </c>
      <c r="G468">
        <f>_xlfn.IMAGE("https://www.theoutnet.com/variants/images/1647597286055462/F/w1020_q80.jpg")</f>
        <v/>
      </c>
      <c r="H468">
        <f>_xlfn.IMAGE("https://m.media-amazon.com/images/I/61CyqtJ1btL._AC_UL320_.jpg")</f>
        <v/>
      </c>
      <c r="K468" t="inlineStr">
        <is>
          <t>135.0</t>
        </is>
      </c>
      <c r="L468" t="n">
        <v>246.28</v>
      </c>
      <c r="M468" s="2" t="inlineStr">
        <is>
          <t>82.43%</t>
        </is>
      </c>
      <c r="N468" t="n">
        <v>4.5</v>
      </c>
      <c r="O468" t="n">
        <v>5</v>
      </c>
      <c r="Q468" t="inlineStr">
        <is>
          <t>InStock</t>
        </is>
      </c>
      <c r="R468" t="inlineStr">
        <is>
          <t>450.0</t>
        </is>
      </c>
      <c r="S468" t="inlineStr">
        <is>
          <t>1647597286055462</t>
        </is>
      </c>
    </row>
    <row r="469" ht="75" customHeight="1">
      <c r="A469" s="1">
        <f>HYPERLINK("https://www.theoutnet.com/en-us/shop/product/stuart-weitzman/sandals/mid-heel-sandals/tibby-suede-sandals/1647597286055462", "https://www.theoutnet.com/en-us/shop/product/stuart-weitzman/sandals/mid-heel-sandals/tibby-suede-sandals/1647597286055462")</f>
        <v/>
      </c>
      <c r="B469" s="1">
        <f>HYPERLINK("https://www.theoutnet.com/en-us/shop/product/stuart-weitzman/sandals/mid-heel-sandals/tibby-suede-sandals/1647597286055462", "https://www.theoutnet.com/en-us/shop/product/stuart-weitzman/sandals/mid-heel-sandals/tibby-suede-sandals/1647597286055462")</f>
        <v/>
      </c>
      <c r="C469" t="inlineStr">
        <is>
          <t>STUART WEITZMAN</t>
        </is>
      </c>
      <c r="D469" t="inlineStr">
        <is>
          <t>Stuart Weitzman Women's Nearlybare Sandals</t>
        </is>
      </c>
      <c r="E469" s="1">
        <f>HYPERLINK("https://www.amazon.com/Stuart-Weitzman-Womens-Nearlybare-Sandals/dp/B0BB98QQS4/ref=sr_1_6?keywords=STUART+WEITZMAN&amp;qid=1695343601&amp;sr=8-6", "https://www.amazon.com/Stuart-Weitzman-Womens-Nearlybare-Sandals/dp/B0BB98QQS4/ref=sr_1_6?keywords=STUART+WEITZMAN&amp;qid=1695343601&amp;sr=8-6")</f>
        <v/>
      </c>
      <c r="F469" t="inlineStr">
        <is>
          <t>B0BB98QQS4</t>
        </is>
      </c>
      <c r="G469">
        <f>_xlfn.IMAGE("https://www.theoutnet.com/variants/images/1647597286055462/F/w1020_q80.jpg")</f>
        <v/>
      </c>
      <c r="H469">
        <f>_xlfn.IMAGE("https://m.media-amazon.com/images/I/517KGaG+NmL._AC_UL320_.jpg")</f>
        <v/>
      </c>
      <c r="K469" t="inlineStr">
        <is>
          <t>135.0</t>
        </is>
      </c>
      <c r="L469" t="n">
        <v>237.5</v>
      </c>
      <c r="M469" s="2" t="inlineStr">
        <is>
          <t>75.93%</t>
        </is>
      </c>
      <c r="N469" t="n">
        <v>5</v>
      </c>
      <c r="O469" t="n">
        <v>1</v>
      </c>
      <c r="Q469" t="inlineStr">
        <is>
          <t>InStock</t>
        </is>
      </c>
      <c r="R469" t="inlineStr">
        <is>
          <t>450.0</t>
        </is>
      </c>
      <c r="S469" t="inlineStr">
        <is>
          <t>1647597286055462</t>
        </is>
      </c>
    </row>
    <row r="470" ht="75" customHeight="1">
      <c r="A470" s="1">
        <f>HYPERLINK("https://www.theoutnet.com/en-us/shop/product/stuart-weitzman/sandals/mid-heel-sandals/twistie-block-75-smooth-and-patent-leather-mules/1647597305966585", "https://www.theoutnet.com/en-us/shop/product/stuart-weitzman/sandals/mid-heel-sandals/twistie-block-75-smooth-and-patent-leather-mules/1647597305966585")</f>
        <v/>
      </c>
      <c r="B470" s="1">
        <f>HYPERLINK("https://www.theoutnet.com/en-us/shop/product/stuart-weitzman/sandals/mid-heel-sandals/twistie-block-75-smooth-and-patent-leather-mules/1647597305966585", "https://www.theoutnet.com/en-us/shop/product/stuart-weitzman/sandals/mid-heel-sandals/twistie-block-75-smooth-and-patent-leather-mules/1647597305966585")</f>
        <v/>
      </c>
      <c r="C470" t="inlineStr">
        <is>
          <t>STUART WEITZMAN</t>
        </is>
      </c>
      <c r="D470" t="inlineStr">
        <is>
          <t>Stuart Weitzman Women's Nudist Curve Espadrille Wedges</t>
        </is>
      </c>
      <c r="E470" s="1">
        <f>HYPERLINK("https://www.amazon.com/Stuart-Weitzman-Nudistcurve-Espadrille-Wedge/dp/B0BRKP4RTL/ref=sr_1_8?keywords=STUART+WEITZMAN&amp;qid=1695343773&amp;sr=8-8", "https://www.amazon.com/Stuart-Weitzman-Nudistcurve-Espadrille-Wedge/dp/B0BRKP4RTL/ref=sr_1_8?keywords=STUART+WEITZMAN&amp;qid=1695343773&amp;sr=8-8")</f>
        <v/>
      </c>
      <c r="F470" t="inlineStr">
        <is>
          <t>B0BRKP4RTL</t>
        </is>
      </c>
      <c r="G470">
        <f>_xlfn.IMAGE("https://www.theoutnet.com/variants/images/1647597305966585/F/w1020_q80.jpg")</f>
        <v/>
      </c>
      <c r="H470">
        <f>_xlfn.IMAGE("https://m.media-amazon.com/images/I/71nHQcTwiiL._AC_UL320_.jpg")</f>
        <v/>
      </c>
      <c r="K470" t="inlineStr">
        <is>
          <t>238.0</t>
        </is>
      </c>
      <c r="L470" t="n">
        <v>395</v>
      </c>
      <c r="M470" s="2" t="inlineStr">
        <is>
          <t>65.97%</t>
        </is>
      </c>
      <c r="N470" t="n">
        <v>4.5</v>
      </c>
      <c r="O470" t="n">
        <v>13</v>
      </c>
      <c r="Q470" t="inlineStr">
        <is>
          <t>InStock</t>
        </is>
      </c>
      <c r="R470" t="inlineStr">
        <is>
          <t>475.0</t>
        </is>
      </c>
      <c r="S470" t="inlineStr">
        <is>
          <t>1647597305966585</t>
        </is>
      </c>
    </row>
    <row r="471" ht="75" customHeight="1">
      <c r="A471" s="1">
        <f>HYPERLINK("https://www.theoutnet.com/en-us/shop/product/stuart-weitzman/sneakers/fashion-sneakers/goldie-faux-pearl-embellished-leather-collapsible-heel-sneakers/1647597295311442", "https://www.theoutnet.com/en-us/shop/product/stuart-weitzman/sneakers/fashion-sneakers/goldie-faux-pearl-embellished-leather-collapsible-heel-sneakers/1647597295311442")</f>
        <v/>
      </c>
      <c r="B471" s="1">
        <f>HYPERLINK("https://www.theoutnet.com/en-us/shop/product/stuart-weitzman/sneakers/fashion-sneakers/goldie-faux-pearl-embellished-leather-collapsible-heel-sneakers/1647597295311442", "https://www.theoutnet.com/en-us/shop/product/stuart-weitzman/sneakers/fashion-sneakers/goldie-faux-pearl-embellished-leather-collapsible-heel-sneakers/1647597295311442")</f>
        <v/>
      </c>
      <c r="C471" t="inlineStr">
        <is>
          <t>STUART WEITZMAN</t>
        </is>
      </c>
      <c r="D471" t="inlineStr">
        <is>
          <t>Stuart Weitzman Women's Nearlybare Sandals</t>
        </is>
      </c>
      <c r="E471" s="1">
        <f>HYPERLINK("https://www.amazon.com/Stuart-Weitzman-Womens-Nearlybare-Sandals/dp/B0BB98KL5P/ref=sr_1_7?keywords=STUART+WEITZMAN&amp;qid=1695343072&amp;sr=8-7", "https://www.amazon.com/Stuart-Weitzman-Womens-Nearlybare-Sandals/dp/B0BB98KL5P/ref=sr_1_7?keywords=STUART+WEITZMAN&amp;qid=1695343072&amp;sr=8-7")</f>
        <v/>
      </c>
      <c r="F471" t="inlineStr">
        <is>
          <t>B0BB98KL5P</t>
        </is>
      </c>
      <c r="G471">
        <f>_xlfn.IMAGE("https://www.theoutnet.com/variants/images/1647597295311442/F/w1020_q80.jpg")</f>
        <v/>
      </c>
      <c r="H471">
        <f>_xlfn.IMAGE("https://m.media-amazon.com/images/I/517KGaG+NmL._AC_UL320_.jpg")</f>
        <v/>
      </c>
      <c r="K471" t="inlineStr">
        <is>
          <t>132.0</t>
        </is>
      </c>
      <c r="L471" t="n">
        <v>266.5</v>
      </c>
      <c r="M471" s="2" t="inlineStr">
        <is>
          <t>101.89%</t>
        </is>
      </c>
      <c r="N471" t="n">
        <v>5</v>
      </c>
      <c r="O471" t="n">
        <v>1</v>
      </c>
      <c r="Q471" t="inlineStr">
        <is>
          <t>InStock</t>
        </is>
      </c>
      <c r="R471" t="inlineStr">
        <is>
          <t>295.0</t>
        </is>
      </c>
      <c r="S471" t="inlineStr">
        <is>
          <t>1</t>
        </is>
      </c>
    </row>
    <row r="472" ht="75" customHeight="1">
      <c r="A472" s="1">
        <f>HYPERLINK("https://www.theoutnet.com/en-us/shop/product/stuart-weitzman/sneakers/fashion-sneakers/goldie-faux-pearl-embellished-leather-collapsible-heel-sneakers/1647597295311442", "https://www.theoutnet.com/en-us/shop/product/stuart-weitzman/sneakers/fashion-sneakers/goldie-faux-pearl-embellished-leather-collapsible-heel-sneakers/1647597295311442")</f>
        <v/>
      </c>
      <c r="B472" s="1">
        <f>HYPERLINK("https://www.theoutnet.com/en-us/shop/product/stuart-weitzman/sneakers/fashion-sneakers/goldie-faux-pearl-embellished-leather-collapsible-heel-sneakers/1647597295311442", "https://www.theoutnet.com/en-us/shop/product/stuart-weitzman/sneakers/fashion-sneakers/goldie-faux-pearl-embellished-leather-collapsible-heel-sneakers/1647597295311442")</f>
        <v/>
      </c>
      <c r="C472" t="inlineStr">
        <is>
          <t>STUART WEITZMAN</t>
        </is>
      </c>
      <c r="D472" t="inlineStr">
        <is>
          <t>Stuart Weitzman Stuart 100 Scallop Pump</t>
        </is>
      </c>
      <c r="E472" s="1">
        <f>HYPERLINK("https://www.amazon.com/Stuart-Weitzman-Scallop-Pump-Silver/dp/B09PL719HJ/ref=sr_1_8?keywords=STUART+WEITZMAN&amp;qid=1695343072&amp;sr=8-8", "https://www.amazon.com/Stuart-Weitzman-Scallop-Pump-Silver/dp/B09PL719HJ/ref=sr_1_8?keywords=STUART+WEITZMAN&amp;qid=1695343072&amp;sr=8-8")</f>
        <v/>
      </c>
      <c r="F472" t="inlineStr">
        <is>
          <t>B09PL719HJ</t>
        </is>
      </c>
      <c r="G472">
        <f>_xlfn.IMAGE("https://www.theoutnet.com/variants/images/1647597295311442/F/w1020_q80.jpg")</f>
        <v/>
      </c>
      <c r="H472">
        <f>_xlfn.IMAGE("https://m.media-amazon.com/images/I/61CyqtJ1btL._AC_UL320_.jpg")</f>
        <v/>
      </c>
      <c r="K472" t="inlineStr">
        <is>
          <t>132.0</t>
        </is>
      </c>
      <c r="L472" t="n">
        <v>246.28</v>
      </c>
      <c r="M472" s="2" t="inlineStr">
        <is>
          <t>86.58%</t>
        </is>
      </c>
      <c r="N472" t="n">
        <v>4.5</v>
      </c>
      <c r="O472" t="n">
        <v>5</v>
      </c>
      <c r="Q472" t="inlineStr">
        <is>
          <t>InStock</t>
        </is>
      </c>
      <c r="R472" t="inlineStr">
        <is>
          <t>295.0</t>
        </is>
      </c>
      <c r="S472" t="inlineStr">
        <is>
          <t>1</t>
        </is>
      </c>
    </row>
    <row r="473" ht="75" customHeight="1">
      <c r="A473" s="1">
        <f>HYPERLINK("https://www.theoutnet.com/en-us/shop/product/vanessa-bruno/sandals/blockheel/talon-metallic-textured-leather-sandals/1647597276584045", "https://www.theoutnet.com/en-us/shop/product/vanessa-bruno/sandals/blockheel/talon-metallic-textured-leather-sandals/1647597276584045")</f>
        <v/>
      </c>
      <c r="B473" s="1">
        <f>HYPERLINK("https://www.theoutnet.com/en-us/shop/product/vanessa-bruno/sandals/blockheel/talon-metallic-textured-leather-sandals/1647597276584045", "https://www.theoutnet.com/en-us/shop/product/vanessa-bruno/sandals/blockheel/talon-metallic-textured-leather-sandals/1647597276584045")</f>
        <v/>
      </c>
      <c r="C473" t="inlineStr">
        <is>
          <t>VANESSA BRUNO</t>
        </is>
      </c>
      <c r="D473" t="inlineStr">
        <is>
          <t>Vanessa Bruno Tote</t>
        </is>
      </c>
      <c r="E473" s="1">
        <f>HYPERLINK("https://www.amazon.com/VANESSA-BRUNO-Tote-Grey-Calcaire/dp/B07NZXDNWQ/ref=sr_1_4?keywords=VANESSA+BRUNO&amp;qid=1695343290&amp;sr=8-4", "https://www.amazon.com/VANESSA-BRUNO-Tote-Grey-Calcaire/dp/B07NZXDNWQ/ref=sr_1_4?keywords=VANESSA+BRUNO&amp;qid=1695343290&amp;sr=8-4")</f>
        <v/>
      </c>
      <c r="F473" t="inlineStr">
        <is>
          <t>B07NZXDNWQ</t>
        </is>
      </c>
      <c r="G473">
        <f>_xlfn.IMAGE("https://www.theoutnet.com/variants/images/1647597276584045/F/w1020_q80.jpg")</f>
        <v/>
      </c>
      <c r="H473">
        <f>_xlfn.IMAGE("https://m.media-amazon.com/images/I/71y3ikavxWL._AC_UL320_.jpg")</f>
        <v/>
      </c>
      <c r="K473" t="inlineStr">
        <is>
          <t>117.0</t>
        </is>
      </c>
      <c r="L473" t="n">
        <v>350</v>
      </c>
      <c r="M473" s="2" t="inlineStr">
        <is>
          <t>199.15%</t>
        </is>
      </c>
      <c r="N473" t="n">
        <v>5</v>
      </c>
      <c r="O473" t="n">
        <v>1</v>
      </c>
      <c r="Q473" t="inlineStr">
        <is>
          <t>InStock</t>
        </is>
      </c>
      <c r="R473" t="inlineStr">
        <is>
          <t>390.0</t>
        </is>
      </c>
      <c r="S473" t="inlineStr">
        <is>
          <t>1</t>
        </is>
      </c>
    </row>
    <row r="474" ht="75" customHeight="1">
      <c r="A474" s="1">
        <f>HYPERLINK("https://www.theoutnet.com/en-us/shop/product/vanessa-bruno/sandals/blockheel/talon-metallic-textured-leather-sandals/1647597276584045", "https://www.theoutnet.com/en-us/shop/product/vanessa-bruno/sandals/blockheel/talon-metallic-textured-leather-sandals/1647597276584045")</f>
        <v/>
      </c>
      <c r="B474" s="1">
        <f>HYPERLINK("https://www.theoutnet.com/en-us/shop/product/vanessa-bruno/sandals/blockheel/talon-metallic-textured-leather-sandals/1647597276584045", "https://www.theoutnet.com/en-us/shop/product/vanessa-bruno/sandals/blockheel/talon-metallic-textured-leather-sandals/1647597276584045")</f>
        <v/>
      </c>
      <c r="C474" t="inlineStr">
        <is>
          <t>VANESSA BRUNO</t>
        </is>
      </c>
      <c r="D474" t="inlineStr">
        <is>
          <t>Vanessa Bruno Tote</t>
        </is>
      </c>
      <c r="E474" s="1">
        <f>HYPERLINK("https://www.amazon.com/VANESSA-BRUNO-Tote-Grey-Calcaire/dp/B07NZXDNWQ/ref=sr_1_4?keywords=VANESSA+BRUNO&amp;qid=1695343574&amp;sr=8-4", "https://www.amazon.com/VANESSA-BRUNO-Tote-Grey-Calcaire/dp/B07NZXDNWQ/ref=sr_1_4?keywords=VANESSA+BRUNO&amp;qid=1695343574&amp;sr=8-4")</f>
        <v/>
      </c>
      <c r="F474" t="inlineStr">
        <is>
          <t>B07NZXDNWQ</t>
        </is>
      </c>
      <c r="G474">
        <f>_xlfn.IMAGE("https://www.theoutnet.com/variants/images/1647597276584045/F/w1020_q80.jpg")</f>
        <v/>
      </c>
      <c r="H474">
        <f>_xlfn.IMAGE("https://m.media-amazon.com/images/I/71y3ikavxWL._AC_UL320_.jpg")</f>
        <v/>
      </c>
      <c r="K474" t="inlineStr">
        <is>
          <t>117.0</t>
        </is>
      </c>
      <c r="L474" t="n">
        <v>350</v>
      </c>
      <c r="M474" s="2" t="inlineStr">
        <is>
          <t>199.15%</t>
        </is>
      </c>
      <c r="N474" t="n">
        <v>5</v>
      </c>
      <c r="O474" t="n">
        <v>1</v>
      </c>
      <c r="Q474" t="inlineStr">
        <is>
          <t>InStock</t>
        </is>
      </c>
      <c r="R474" t="inlineStr">
        <is>
          <t>390.0</t>
        </is>
      </c>
      <c r="S474" t="inlineStr">
        <is>
          <t>1</t>
        </is>
      </c>
    </row>
    <row r="475" ht="75" customHeight="1">
      <c r="A475" s="1">
        <f>HYPERLINK("https://www.theoutnet.com/en-us/shop/product/vanessa-bruno/sandals/flat-sandals/leather-sandals/1647597276576292", "https://www.theoutnet.com/en-us/shop/product/vanessa-bruno/sandals/flat-sandals/leather-sandals/1647597276576292")</f>
        <v/>
      </c>
      <c r="B475" s="1">
        <f>HYPERLINK("https://www.theoutnet.com/en-us/shop/product/vanessa-bruno/sandals/flat-sandals/leather-sandals/1647597276576292", "https://www.theoutnet.com/en-us/shop/product/vanessa-bruno/sandals/flat-sandals/leather-sandals/1647597276576292")</f>
        <v/>
      </c>
      <c r="C475" t="inlineStr">
        <is>
          <t>VANESSA BRUNO</t>
        </is>
      </c>
      <c r="D475" t="inlineStr">
        <is>
          <t>Vanessa Bruno Tote</t>
        </is>
      </c>
      <c r="E475" s="1">
        <f>HYPERLINK("https://www.amazon.com/VANESSA-BRUNO-Tote-Grey-Calcaire/dp/B07NZXDNWQ/ref=sr_1_4?keywords=VANESSA+BRUNO&amp;qid=1695343621&amp;sr=8-4", "https://www.amazon.com/VANESSA-BRUNO-Tote-Grey-Calcaire/dp/B07NZXDNWQ/ref=sr_1_4?keywords=VANESSA+BRUNO&amp;qid=1695343621&amp;sr=8-4")</f>
        <v/>
      </c>
      <c r="F475" t="inlineStr">
        <is>
          <t>B07NZXDNWQ</t>
        </is>
      </c>
      <c r="G475">
        <f>_xlfn.IMAGE("https://www.theoutnet.com/variants/images/1647597276576292/F/w1020_q80.jpg")</f>
        <v/>
      </c>
      <c r="H475">
        <f>_xlfn.IMAGE("https://m.media-amazon.com/images/I/71y3ikavxWL._AC_UL320_.jpg")</f>
        <v/>
      </c>
      <c r="K475" t="inlineStr">
        <is>
          <t>144.0</t>
        </is>
      </c>
      <c r="L475" t="n">
        <v>350</v>
      </c>
      <c r="M475" s="2" t="inlineStr">
        <is>
          <t>143.06%</t>
        </is>
      </c>
      <c r="N475" t="n">
        <v>5</v>
      </c>
      <c r="O475" t="n">
        <v>1</v>
      </c>
      <c r="Q475" t="inlineStr">
        <is>
          <t>InStock</t>
        </is>
      </c>
      <c r="R475" t="inlineStr">
        <is>
          <t>360.0</t>
        </is>
      </c>
      <c r="S475" t="inlineStr">
        <is>
          <t>1647597276576292</t>
        </is>
      </c>
    </row>
    <row r="476" ht="75" customHeight="1">
      <c r="A476" s="1">
        <f>HYPERLINK("https://www.theoutnet.com/en-us/shop/product/veronica-beard/sandals/high-heel-sandals/analita-leather-slingback-sandals/1647597291583838", "https://www.theoutnet.com/en-us/shop/product/veronica-beard/sandals/high-heel-sandals/analita-leather-slingback-sandals/1647597291583838")</f>
        <v/>
      </c>
      <c r="B476" s="1">
        <f>HYPERLINK("https://www.theoutnet.com/en-us/shop/product/veronica-beard/sandals/high-heel-sandals/analita-leather-slingback-sandals/1647597291583838", "https://www.theoutnet.com/en-us/shop/product/veronica-beard/sandals/high-heel-sandals/analita-leather-slingback-sandals/1647597291583838")</f>
        <v/>
      </c>
      <c r="C476" t="inlineStr">
        <is>
          <t>VERONICA BEARD</t>
        </is>
      </c>
      <c r="D476" t="inlineStr">
        <is>
          <t>Veronica Beard Jean Women's Beverly High Rise Skinny Flare Jeans</t>
        </is>
      </c>
      <c r="E476" s="1">
        <f>HYPERLINK("https://www.amazon.com/Veronica-Beard-Jean-Beverly-Iceberg/dp/B0B4F65MWQ/ref=sr_1_7?keywords=VERONICA+BEARD&amp;qid=1695343283&amp;sr=8-7", "https://www.amazon.com/Veronica-Beard-Jean-Beverly-Iceberg/dp/B0B4F65MWQ/ref=sr_1_7?keywords=VERONICA+BEARD&amp;qid=1695343283&amp;sr=8-7")</f>
        <v/>
      </c>
      <c r="F476" t="inlineStr">
        <is>
          <t>B0B4F65MWQ</t>
        </is>
      </c>
      <c r="G476">
        <f>_xlfn.IMAGE("https://www.theoutnet.com/variants/images/1647597291583838/F/w1020_q80.jpg")</f>
        <v/>
      </c>
      <c r="H476">
        <f>_xlfn.IMAGE("https://m.media-amazon.com/images/I/81w+msjKwOL._AC_UL320_.jpg")</f>
        <v/>
      </c>
      <c r="K476" t="inlineStr">
        <is>
          <t>105.0</t>
        </is>
      </c>
      <c r="L476" t="n">
        <v>228</v>
      </c>
      <c r="M476" s="2" t="inlineStr">
        <is>
          <t>117.14%</t>
        </is>
      </c>
      <c r="N476" t="n">
        <v>5</v>
      </c>
      <c r="O476" t="n">
        <v>1</v>
      </c>
      <c r="Q476" t="inlineStr">
        <is>
          <t>InStock</t>
        </is>
      </c>
      <c r="R476" t="inlineStr">
        <is>
          <t>350.0</t>
        </is>
      </c>
      <c r="S476" t="inlineStr">
        <is>
          <t>1</t>
        </is>
      </c>
    </row>
    <row r="477" ht="75" customHeight="1">
      <c r="A477" s="1">
        <f>HYPERLINK("https://www.theoutnet.com/en-us/shop/product/veronica-beard/sandals/high-heel-sandals/analita-leather-slingback-sandals/1647597291583838", "https://www.theoutnet.com/en-us/shop/product/veronica-beard/sandals/high-heel-sandals/analita-leather-slingback-sandals/1647597291583838")</f>
        <v/>
      </c>
      <c r="B477" s="1">
        <f>HYPERLINK("https://www.theoutnet.com/en-us/shop/product/veronica-beard/sandals/high-heel-sandals/analita-leather-slingback-sandals/1647597291583838", "https://www.theoutnet.com/en-us/shop/product/veronica-beard/sandals/high-heel-sandals/analita-leather-slingback-sandals/1647597291583838")</f>
        <v/>
      </c>
      <c r="C477" t="inlineStr">
        <is>
          <t>VERONICA BEARD</t>
        </is>
      </c>
      <c r="D477" t="inlineStr">
        <is>
          <t>Veronica Beard Jean Women's Theresa Turtleneck</t>
        </is>
      </c>
      <c r="E477" s="1">
        <f>HYPERLINK("https://www.amazon.com/Veronica-Beard-Jean-Theresa-Turtleneck/dp/B09LRKVXZY/ref=sr_1_4?keywords=VERONICA+BEARD&amp;qid=1695343283&amp;sr=8-4", "https://www.amazon.com/Veronica-Beard-Jean-Theresa-Turtleneck/dp/B09LRKVXZY/ref=sr_1_4?keywords=VERONICA+BEARD&amp;qid=1695343283&amp;sr=8-4")</f>
        <v/>
      </c>
      <c r="F477" t="inlineStr">
        <is>
          <t>B09LRKVXZY</t>
        </is>
      </c>
      <c r="G477">
        <f>_xlfn.IMAGE("https://www.theoutnet.com/variants/images/1647597291583838/F/w1020_q80.jpg")</f>
        <v/>
      </c>
      <c r="H477">
        <f>_xlfn.IMAGE("https://m.media-amazon.com/images/I/61P-Gbe6KpL._AC_UL320_.jpg")</f>
        <v/>
      </c>
      <c r="K477" t="inlineStr">
        <is>
          <t>105.0</t>
        </is>
      </c>
      <c r="L477" t="n">
        <v>198</v>
      </c>
      <c r="M477" s="2" t="inlineStr">
        <is>
          <t>88.57%</t>
        </is>
      </c>
      <c r="N477" t="n">
        <v>5</v>
      </c>
      <c r="O477" t="n">
        <v>1</v>
      </c>
      <c r="Q477" t="inlineStr">
        <is>
          <t>InStock</t>
        </is>
      </c>
      <c r="R477" t="inlineStr">
        <is>
          <t>350.0</t>
        </is>
      </c>
      <c r="S477" t="inlineStr">
        <is>
          <t>1</t>
        </is>
      </c>
    </row>
    <row r="478" ht="75" customHeight="1">
      <c r="A478" s="1">
        <f>HYPERLINK("https://www.theoutnet.com/en-us/shop/product/veronica-beard/sandals/high-heel-sandals/analita-leather-slingback-sandals/1647597291583838", "https://www.theoutnet.com/en-us/shop/product/veronica-beard/sandals/high-heel-sandals/analita-leather-slingback-sandals/1647597291583838")</f>
        <v/>
      </c>
      <c r="B478" s="1">
        <f>HYPERLINK("https://www.theoutnet.com/en-us/shop/product/veronica-beard/sandals/high-heel-sandals/analita-leather-slingback-sandals/1647597291583838", "https://www.theoutnet.com/en-us/shop/product/veronica-beard/sandals/high-heel-sandals/analita-leather-slingback-sandals/1647597291583838")</f>
        <v/>
      </c>
      <c r="C478" t="inlineStr">
        <is>
          <t>VERONICA BEARD</t>
        </is>
      </c>
      <c r="D478" t="inlineStr">
        <is>
          <t>Veronica Beard Jean Women's Coralee Top</t>
        </is>
      </c>
      <c r="E478" s="1">
        <f>HYPERLINK("https://www.amazon.com/Veronica-Beard-Jean-Womens-Coralee/dp/B09LRLBR49/ref=sr_1_6?keywords=VERONICA+BEARD&amp;qid=1695343283&amp;sr=8-6", "https://www.amazon.com/Veronica-Beard-Jean-Womens-Coralee/dp/B09LRLBR49/ref=sr_1_6?keywords=VERONICA+BEARD&amp;qid=1695343283&amp;sr=8-6")</f>
        <v/>
      </c>
      <c r="F478" t="inlineStr">
        <is>
          <t>B09LRLBR49</t>
        </is>
      </c>
      <c r="G478">
        <f>_xlfn.IMAGE("https://www.theoutnet.com/variants/images/1647597291583838/F/w1020_q80.jpg")</f>
        <v/>
      </c>
      <c r="H478">
        <f>_xlfn.IMAGE("https://m.media-amazon.com/images/I/A1eWwpOmYaL._AC_UL320_.jpg")</f>
        <v/>
      </c>
      <c r="K478" t="inlineStr">
        <is>
          <t>105.0</t>
        </is>
      </c>
      <c r="L478" t="n">
        <v>198</v>
      </c>
      <c r="M478" s="2" t="inlineStr">
        <is>
          <t>88.57%</t>
        </is>
      </c>
      <c r="N478" t="n">
        <v>4.7</v>
      </c>
      <c r="O478" t="n">
        <v>4</v>
      </c>
      <c r="Q478" t="inlineStr">
        <is>
          <t>InStock</t>
        </is>
      </c>
      <c r="R478" t="inlineStr">
        <is>
          <t>350.0</t>
        </is>
      </c>
      <c r="S478" t="inlineStr">
        <is>
          <t>1</t>
        </is>
      </c>
    </row>
    <row r="479" ht="75" customHeight="1">
      <c r="A479" s="1">
        <f>HYPERLINK("https://www.theoutnet.com/en-us/shop/product/veronica-beard/sandals/high-heel-sandals/analita-leather-slingback-sandals/1647597291583838", "https://www.theoutnet.com/en-us/shop/product/veronica-beard/sandals/high-heel-sandals/analita-leather-slingback-sandals/1647597291583838")</f>
        <v/>
      </c>
      <c r="B479" s="1">
        <f>HYPERLINK("https://www.theoutnet.com/en-us/shop/product/veronica-beard/sandals/high-heel-sandals/analita-leather-slingback-sandals/1647597291583838", "https://www.theoutnet.com/en-us/shop/product/veronica-beard/sandals/high-heel-sandals/analita-leather-slingback-sandals/1647597291583838")</f>
        <v/>
      </c>
      <c r="C479" t="inlineStr">
        <is>
          <t>VERONICA BEARD</t>
        </is>
      </c>
      <c r="D479" t="inlineStr">
        <is>
          <t>Veronica Beard Jean Women's Coralee Top</t>
        </is>
      </c>
      <c r="E479" s="1" t="n"/>
      <c r="F479" t="inlineStr">
        <is>
          <t>B09YWHJDZ9</t>
        </is>
      </c>
      <c r="G479">
        <f>_xlfn.IMAGE("https://www.theoutnet.com/variants/images/1647597291583838/F/w1020_q80.jpg")</f>
        <v/>
      </c>
      <c r="H479">
        <f>_xlfn.IMAGE("https://m.media-amazon.com/images/I/71iJmR-l8fL._AC_UL320_.jpg")</f>
        <v/>
      </c>
      <c r="K479" t="inlineStr">
        <is>
          <t>105.0</t>
        </is>
      </c>
      <c r="L479" t="n">
        <v>198</v>
      </c>
      <c r="M479" s="2" t="inlineStr">
        <is>
          <t>88.57%</t>
        </is>
      </c>
      <c r="N479" t="n">
        <v>4.7</v>
      </c>
      <c r="O479" t="n">
        <v>4</v>
      </c>
      <c r="Q479" t="inlineStr">
        <is>
          <t>InStock</t>
        </is>
      </c>
      <c r="R479" t="inlineStr">
        <is>
          <t>350.0</t>
        </is>
      </c>
      <c r="S479" t="inlineStr">
        <is>
          <t>1</t>
        </is>
      </c>
    </row>
    <row r="480" ht="75" customHeight="1">
      <c r="A480" s="1">
        <f>HYPERLINK("https://www.theoutnet.com/en-us/shop/product/veronica-beard/sandals/high-heel-sandals/analita-leather-slingback-sandals/1647597291583838", "https://www.theoutnet.com/en-us/shop/product/veronica-beard/sandals/high-heel-sandals/analita-leather-slingback-sandals/1647597291583838")</f>
        <v/>
      </c>
      <c r="B480" s="1">
        <f>HYPERLINK("https://www.theoutnet.com/en-us/shop/product/veronica-beard/sandals/high-heel-sandals/analita-leather-slingback-sandals/1647597291583838", "https://www.theoutnet.com/en-us/shop/product/veronica-beard/sandals/high-heel-sandals/analita-leather-slingback-sandals/1647597291583838")</f>
        <v/>
      </c>
      <c r="C480" t="inlineStr">
        <is>
          <t>VERONICA BEARD</t>
        </is>
      </c>
      <c r="D480" t="inlineStr">
        <is>
          <t>Veronica Beard Jean Women's Coralee Top</t>
        </is>
      </c>
      <c r="E480" s="1">
        <f>HYPERLINK("https://www.amazon.com/Veronica-Beard-Jean-Womens-Coralee/dp/B09LRLBR49/ref=sr_1_9?keywords=VERONICA+BEARD&amp;qid=1695343558&amp;sr=8-9", "https://www.amazon.com/Veronica-Beard-Jean-Womens-Coralee/dp/B09LRLBR49/ref=sr_1_9?keywords=VERONICA+BEARD&amp;qid=1695343558&amp;sr=8-9")</f>
        <v/>
      </c>
      <c r="F480" t="inlineStr">
        <is>
          <t>B09LRLBR49</t>
        </is>
      </c>
      <c r="G480">
        <f>_xlfn.IMAGE("https://www.theoutnet.com/variants/images/1647597291583838/F/w1020_q80.jpg")</f>
        <v/>
      </c>
      <c r="H480">
        <f>_xlfn.IMAGE("https://m.media-amazon.com/images/I/A1eWwpOmYaL._AC_UL320_.jpg")</f>
        <v/>
      </c>
      <c r="K480" t="inlineStr">
        <is>
          <t>105.0</t>
        </is>
      </c>
      <c r="L480" t="n">
        <v>198</v>
      </c>
      <c r="M480" s="2" t="inlineStr">
        <is>
          <t>88.57%</t>
        </is>
      </c>
      <c r="N480" t="n">
        <v>4.7</v>
      </c>
      <c r="O480" t="n">
        <v>4</v>
      </c>
      <c r="Q480" t="inlineStr">
        <is>
          <t>InStock</t>
        </is>
      </c>
      <c r="R480" t="inlineStr">
        <is>
          <t>350.0</t>
        </is>
      </c>
      <c r="S480" t="inlineStr">
        <is>
          <t>1</t>
        </is>
      </c>
    </row>
    <row r="481" ht="75" customHeight="1">
      <c r="A481" s="1">
        <f>HYPERLINK("https://www.theoutnet.com/en-us/shop/product/veronica-beard/sandals/high-heel-sandals/analita-leather-slingback-sandals/1647597291583838", "https://www.theoutnet.com/en-us/shop/product/veronica-beard/sandals/high-heel-sandals/analita-leather-slingback-sandals/1647597291583838")</f>
        <v/>
      </c>
      <c r="B481" s="1">
        <f>HYPERLINK("https://www.theoutnet.com/en-us/shop/product/veronica-beard/sandals/high-heel-sandals/analita-leather-slingback-sandals/1647597291583838", "https://www.theoutnet.com/en-us/shop/product/veronica-beard/sandals/high-heel-sandals/analita-leather-slingback-sandals/1647597291583838")</f>
        <v/>
      </c>
      <c r="C481" t="inlineStr">
        <is>
          <t>VERONICA BEARD</t>
        </is>
      </c>
      <c r="D481" t="inlineStr">
        <is>
          <t>Veronica Beard Jean Women's Theresa Turtleneck</t>
        </is>
      </c>
      <c r="E481" s="1">
        <f>HYPERLINK("https://www.amazon.com/Veronica-Beard-Jean-Theresa-Turtleneck/dp/B09LRKVXZY/ref=sr_1_10?keywords=VERONICA+BEARD&amp;qid=1695343558&amp;sr=8-10", "https://www.amazon.com/Veronica-Beard-Jean-Theresa-Turtleneck/dp/B09LRKVXZY/ref=sr_1_10?keywords=VERONICA+BEARD&amp;qid=1695343558&amp;sr=8-10")</f>
        <v/>
      </c>
      <c r="F481" t="inlineStr">
        <is>
          <t>B09LRKVXZY</t>
        </is>
      </c>
      <c r="G481">
        <f>_xlfn.IMAGE("https://www.theoutnet.com/variants/images/1647597291583838/F/w1020_q80.jpg")</f>
        <v/>
      </c>
      <c r="H481">
        <f>_xlfn.IMAGE("https://m.media-amazon.com/images/I/61P-Gbe6KpL._AC_UL320_.jpg")</f>
        <v/>
      </c>
      <c r="K481" t="inlineStr">
        <is>
          <t>105.0</t>
        </is>
      </c>
      <c r="L481" t="n">
        <v>198</v>
      </c>
      <c r="M481" s="2" t="inlineStr">
        <is>
          <t>88.57%</t>
        </is>
      </c>
      <c r="N481" t="n">
        <v>5</v>
      </c>
      <c r="O481" t="n">
        <v>1</v>
      </c>
      <c r="Q481" t="inlineStr">
        <is>
          <t>InStock</t>
        </is>
      </c>
      <c r="R481" t="inlineStr">
        <is>
          <t>350.0</t>
        </is>
      </c>
      <c r="S481" t="inlineStr">
        <is>
          <t>1</t>
        </is>
      </c>
    </row>
    <row r="482" ht="75" customHeight="1">
      <c r="A482" s="1">
        <f>HYPERLINK("https://www.theoutnet.com/en-us/shop/product/veronica-beard/sandals/high-heel-sandals/analita-leather-slingback-sandals/1647597291596589", "https://www.theoutnet.com/en-us/shop/product/veronica-beard/sandals/high-heel-sandals/analita-leather-slingback-sandals/1647597291596589")</f>
        <v/>
      </c>
      <c r="B482" s="1">
        <f>HYPERLINK("https://www.theoutnet.com/en-us/shop/product/veronica-beard/sandals/high-heel-sandals/analita-leather-slingback-sandals/1647597291596589", "https://www.theoutnet.com/en-us/shop/product/veronica-beard/sandals/high-heel-sandals/analita-leather-slingback-sandals/1647597291596589")</f>
        <v/>
      </c>
      <c r="C482" t="inlineStr">
        <is>
          <t>VERONICA BEARD</t>
        </is>
      </c>
      <c r="D482" t="inlineStr">
        <is>
          <t>Veronica Beard Jean Women's Beverly High Rise Skinny Flare Jeans</t>
        </is>
      </c>
      <c r="E482" s="1">
        <f>HYPERLINK("https://www.amazon.com/Veronica-Beard-Jean-Beverly-Iceberg/dp/B0B4F65MWQ/ref=sr_1_7?keywords=VERONICA+BEARD&amp;qid=1695343297&amp;sr=8-7", "https://www.amazon.com/Veronica-Beard-Jean-Beverly-Iceberg/dp/B0B4F65MWQ/ref=sr_1_7?keywords=VERONICA+BEARD&amp;qid=1695343297&amp;sr=8-7")</f>
        <v/>
      </c>
      <c r="F482" t="inlineStr">
        <is>
          <t>B0B4F65MWQ</t>
        </is>
      </c>
      <c r="G482">
        <f>_xlfn.IMAGE("https://www.theoutnet.com/variants/images/1647597291596589/F/w1020_q80.jpg")</f>
        <v/>
      </c>
      <c r="H482">
        <f>_xlfn.IMAGE("https://m.media-amazon.com/images/I/81w+msjKwOL._AC_UL320_.jpg")</f>
        <v/>
      </c>
      <c r="K482" t="inlineStr">
        <is>
          <t>105.0</t>
        </is>
      </c>
      <c r="L482" t="n">
        <v>228</v>
      </c>
      <c r="M482" s="2" t="inlineStr">
        <is>
          <t>117.14%</t>
        </is>
      </c>
      <c r="N482" t="n">
        <v>5</v>
      </c>
      <c r="O482" t="n">
        <v>1</v>
      </c>
      <c r="Q482" t="inlineStr">
        <is>
          <t>InStock</t>
        </is>
      </c>
      <c r="R482" t="inlineStr">
        <is>
          <t>350.0</t>
        </is>
      </c>
      <c r="S482" t="inlineStr">
        <is>
          <t>6</t>
        </is>
      </c>
    </row>
    <row r="483" ht="75" customHeight="1">
      <c r="A483" s="1">
        <f>HYPERLINK("https://www.theoutnet.com/en-us/shop/product/veronica-beard/sandals/high-heel-sandals/analita-leather-slingback-sandals/1647597291596589", "https://www.theoutnet.com/en-us/shop/product/veronica-beard/sandals/high-heel-sandals/analita-leather-slingback-sandals/1647597291596589")</f>
        <v/>
      </c>
      <c r="B483" s="1">
        <f>HYPERLINK("https://www.theoutnet.com/en-us/shop/product/veronica-beard/sandals/high-heel-sandals/analita-leather-slingback-sandals/1647597291596589", "https://www.theoutnet.com/en-us/shop/product/veronica-beard/sandals/high-heel-sandals/analita-leather-slingback-sandals/1647597291596589")</f>
        <v/>
      </c>
      <c r="C483" t="inlineStr">
        <is>
          <t>VERONICA BEARD</t>
        </is>
      </c>
      <c r="D483" t="inlineStr">
        <is>
          <t>Veronica Beard Jean Women's Coralee Top</t>
        </is>
      </c>
      <c r="E483" s="1">
        <f>HYPERLINK("https://www.amazon.com/Veronica-Beard-Jean-Womens-Coralee/dp/B09LRLBR49/ref=sr_1_6?keywords=VERONICA+BEARD&amp;qid=1695343297&amp;sr=8-6", "https://www.amazon.com/Veronica-Beard-Jean-Womens-Coralee/dp/B09LRLBR49/ref=sr_1_6?keywords=VERONICA+BEARD&amp;qid=1695343297&amp;sr=8-6")</f>
        <v/>
      </c>
      <c r="F483" t="inlineStr">
        <is>
          <t>B09LRLBR49</t>
        </is>
      </c>
      <c r="G483">
        <f>_xlfn.IMAGE("https://www.theoutnet.com/variants/images/1647597291596589/F/w1020_q80.jpg")</f>
        <v/>
      </c>
      <c r="H483">
        <f>_xlfn.IMAGE("https://m.media-amazon.com/images/I/A1eWwpOmYaL._AC_UL320_.jpg")</f>
        <v/>
      </c>
      <c r="K483" t="inlineStr">
        <is>
          <t>105.0</t>
        </is>
      </c>
      <c r="L483" t="n">
        <v>198</v>
      </c>
      <c r="M483" s="2" t="inlineStr">
        <is>
          <t>88.57%</t>
        </is>
      </c>
      <c r="N483" t="n">
        <v>4.7</v>
      </c>
      <c r="O483" t="n">
        <v>4</v>
      </c>
      <c r="Q483" t="inlineStr">
        <is>
          <t>InStock</t>
        </is>
      </c>
      <c r="R483" t="inlineStr">
        <is>
          <t>350.0</t>
        </is>
      </c>
      <c r="S483" t="inlineStr">
        <is>
          <t>6</t>
        </is>
      </c>
    </row>
    <row r="484" ht="75" customHeight="1">
      <c r="A484" s="1">
        <f>HYPERLINK("https://www.theoutnet.com/en-us/shop/product/veronica-beard/sandals/high-heel-sandals/analita-leather-slingback-sandals/1647597291596589", "https://www.theoutnet.com/en-us/shop/product/veronica-beard/sandals/high-heel-sandals/analita-leather-slingback-sandals/1647597291596589")</f>
        <v/>
      </c>
      <c r="B484" s="1">
        <f>HYPERLINK("https://www.theoutnet.com/en-us/shop/product/veronica-beard/sandals/high-heel-sandals/analita-leather-slingback-sandals/1647597291596589", "https://www.theoutnet.com/en-us/shop/product/veronica-beard/sandals/high-heel-sandals/analita-leather-slingback-sandals/1647597291596589")</f>
        <v/>
      </c>
      <c r="C484" t="inlineStr">
        <is>
          <t>VERONICA BEARD</t>
        </is>
      </c>
      <c r="D484" t="inlineStr">
        <is>
          <t>Veronica Beard Jean Women's Theresa Turtleneck</t>
        </is>
      </c>
      <c r="E484" s="1">
        <f>HYPERLINK("https://www.amazon.com/Veronica-Beard-Jean-Theresa-Turtleneck/dp/B09LRKVXZY/ref=sr_1_4?keywords=VERONICA+BEARD&amp;qid=1695343297&amp;sr=8-4", "https://www.amazon.com/Veronica-Beard-Jean-Theresa-Turtleneck/dp/B09LRKVXZY/ref=sr_1_4?keywords=VERONICA+BEARD&amp;qid=1695343297&amp;sr=8-4")</f>
        <v/>
      </c>
      <c r="F484" t="inlineStr">
        <is>
          <t>B09LRKVXZY</t>
        </is>
      </c>
      <c r="G484">
        <f>_xlfn.IMAGE("https://www.theoutnet.com/variants/images/1647597291596589/F/w1020_q80.jpg")</f>
        <v/>
      </c>
      <c r="H484">
        <f>_xlfn.IMAGE("https://m.media-amazon.com/images/I/61P-Gbe6KpL._AC_UL320_.jpg")</f>
        <v/>
      </c>
      <c r="K484" t="inlineStr">
        <is>
          <t>105.0</t>
        </is>
      </c>
      <c r="L484" t="n">
        <v>198</v>
      </c>
      <c r="M484" s="2" t="inlineStr">
        <is>
          <t>88.57%</t>
        </is>
      </c>
      <c r="N484" t="n">
        <v>5</v>
      </c>
      <c r="O484" t="n">
        <v>1</v>
      </c>
      <c r="Q484" t="inlineStr">
        <is>
          <t>InStock</t>
        </is>
      </c>
      <c r="R484" t="inlineStr">
        <is>
          <t>350.0</t>
        </is>
      </c>
      <c r="S484" t="inlineStr">
        <is>
          <t>6</t>
        </is>
      </c>
    </row>
    <row r="485" ht="75" customHeight="1">
      <c r="A485" s="1">
        <f>HYPERLINK("https://www.theoutnet.com/en-us/shop/product/veronica-beard/sandals/high-heel-sandals/analita-leather-slingback-sandals/1647597291596589", "https://www.theoutnet.com/en-us/shop/product/veronica-beard/sandals/high-heel-sandals/analita-leather-slingback-sandals/1647597291596589")</f>
        <v/>
      </c>
      <c r="B485" s="1">
        <f>HYPERLINK("https://www.theoutnet.com/en-us/shop/product/veronica-beard/sandals/high-heel-sandals/analita-leather-slingback-sandals/1647597291596589", "https://www.theoutnet.com/en-us/shop/product/veronica-beard/sandals/high-heel-sandals/analita-leather-slingback-sandals/1647597291596589")</f>
        <v/>
      </c>
      <c r="C485" t="inlineStr">
        <is>
          <t>VERONICA BEARD</t>
        </is>
      </c>
      <c r="D485" t="inlineStr">
        <is>
          <t>Veronica Beard Jean Women's Beverly High Rise Skinny Flare Jeans</t>
        </is>
      </c>
      <c r="E485" s="1">
        <f>HYPERLINK("https://www.amazon.com/Veronica-Beard-Jean-Beverly-Iceberg/dp/B0B4F65MWQ/ref=sr_1_7?keywords=VERONICA+BEARD&amp;qid=1695343617&amp;sr=8-7", "https://www.amazon.com/Veronica-Beard-Jean-Beverly-Iceberg/dp/B0B4F65MWQ/ref=sr_1_7?keywords=VERONICA+BEARD&amp;qid=1695343617&amp;sr=8-7")</f>
        <v/>
      </c>
      <c r="F485" t="inlineStr">
        <is>
          <t>B0B4F65MWQ</t>
        </is>
      </c>
      <c r="G485">
        <f>_xlfn.IMAGE("https://www.theoutnet.com/variants/images/1647597291596589/F/w1020_q80.jpg")</f>
        <v/>
      </c>
      <c r="H485">
        <f>_xlfn.IMAGE("https://m.media-amazon.com/images/I/81w+msjKwOL._AC_UL320_.jpg")</f>
        <v/>
      </c>
      <c r="K485" t="inlineStr">
        <is>
          <t>105.0</t>
        </is>
      </c>
      <c r="L485" t="n">
        <v>228</v>
      </c>
      <c r="M485" s="2" t="inlineStr">
        <is>
          <t>117.14%</t>
        </is>
      </c>
      <c r="N485" t="n">
        <v>5</v>
      </c>
      <c r="O485" t="n">
        <v>1</v>
      </c>
      <c r="Q485" t="inlineStr">
        <is>
          <t>InStock</t>
        </is>
      </c>
      <c r="R485" t="inlineStr">
        <is>
          <t>350.0</t>
        </is>
      </c>
      <c r="S485" t="inlineStr">
        <is>
          <t>6</t>
        </is>
      </c>
    </row>
    <row r="486" ht="75" customHeight="1">
      <c r="A486" s="1">
        <f>HYPERLINK("https://www.theoutnet.com/en-us/shop/product/veronica-beard/sandals/high-heel-sandals/analita-leather-slingback-sandals/1647597291596589", "https://www.theoutnet.com/en-us/shop/product/veronica-beard/sandals/high-heel-sandals/analita-leather-slingback-sandals/1647597291596589")</f>
        <v/>
      </c>
      <c r="B486" s="1">
        <f>HYPERLINK("https://www.theoutnet.com/en-us/shop/product/veronica-beard/sandals/high-heel-sandals/analita-leather-slingback-sandals/1647597291596589", "https://www.theoutnet.com/en-us/shop/product/veronica-beard/sandals/high-heel-sandals/analita-leather-slingback-sandals/1647597291596589")</f>
        <v/>
      </c>
      <c r="C486" t="inlineStr">
        <is>
          <t>VERONICA BEARD</t>
        </is>
      </c>
      <c r="D486" t="inlineStr">
        <is>
          <t>Veronica Beard Jean Women's Theresa Turtleneck</t>
        </is>
      </c>
      <c r="E486" s="1">
        <f>HYPERLINK("https://www.amazon.com/Veronica-Beard-Jean-Theresa-Turtleneck/dp/B09LRKVXZY/ref=sr_1_4?keywords=VERONICA+BEARD&amp;qid=1695343617&amp;sr=8-4", "https://www.amazon.com/Veronica-Beard-Jean-Theresa-Turtleneck/dp/B09LRKVXZY/ref=sr_1_4?keywords=VERONICA+BEARD&amp;qid=1695343617&amp;sr=8-4")</f>
        <v/>
      </c>
      <c r="F486" t="inlineStr">
        <is>
          <t>B09LRKVXZY</t>
        </is>
      </c>
      <c r="G486">
        <f>_xlfn.IMAGE("https://www.theoutnet.com/variants/images/1647597291596589/F/w1020_q80.jpg")</f>
        <v/>
      </c>
      <c r="H486">
        <f>_xlfn.IMAGE("https://m.media-amazon.com/images/I/61P-Gbe6KpL._AC_UL320_.jpg")</f>
        <v/>
      </c>
      <c r="K486" t="inlineStr">
        <is>
          <t>105.0</t>
        </is>
      </c>
      <c r="L486" t="n">
        <v>198</v>
      </c>
      <c r="M486" s="2" t="inlineStr">
        <is>
          <t>88.57%</t>
        </is>
      </c>
      <c r="N486" t="n">
        <v>5</v>
      </c>
      <c r="O486" t="n">
        <v>1</v>
      </c>
      <c r="Q486" t="inlineStr">
        <is>
          <t>InStock</t>
        </is>
      </c>
      <c r="R486" t="inlineStr">
        <is>
          <t>350.0</t>
        </is>
      </c>
      <c r="S486" t="inlineStr">
        <is>
          <t>6</t>
        </is>
      </c>
    </row>
    <row r="487" ht="75" customHeight="1">
      <c r="A487" s="1">
        <f>HYPERLINK("https://www.theoutnet.com/en-us/shop/product/veronica-beard/sandals/high-heel-sandals/analita-leather-slingback-sandals/1647597291596589", "https://www.theoutnet.com/en-us/shop/product/veronica-beard/sandals/high-heel-sandals/analita-leather-slingback-sandals/1647597291596589")</f>
        <v/>
      </c>
      <c r="B487" s="1">
        <f>HYPERLINK("https://www.theoutnet.com/en-us/shop/product/veronica-beard/sandals/high-heel-sandals/analita-leather-slingback-sandals/1647597291596589", "https://www.theoutnet.com/en-us/shop/product/veronica-beard/sandals/high-heel-sandals/analita-leather-slingback-sandals/1647597291596589")</f>
        <v/>
      </c>
      <c r="C487" t="inlineStr">
        <is>
          <t>VERONICA BEARD</t>
        </is>
      </c>
      <c r="D487" t="inlineStr">
        <is>
          <t>Veronica Beard Jean Women's Coralee Top</t>
        </is>
      </c>
      <c r="E487" s="1">
        <f>HYPERLINK("https://www.amazon.com/Veronica-Beard-Jean-Womens-Coralee/dp/B09LRLBR49/ref=sr_1_6?keywords=VERONICA+BEARD&amp;qid=1695343617&amp;sr=8-6", "https://www.amazon.com/Veronica-Beard-Jean-Womens-Coralee/dp/B09LRLBR49/ref=sr_1_6?keywords=VERONICA+BEARD&amp;qid=1695343617&amp;sr=8-6")</f>
        <v/>
      </c>
      <c r="F487" t="inlineStr">
        <is>
          <t>B09LRLBR49</t>
        </is>
      </c>
      <c r="G487">
        <f>_xlfn.IMAGE("https://www.theoutnet.com/variants/images/1647597291596589/F/w1020_q80.jpg")</f>
        <v/>
      </c>
      <c r="H487">
        <f>_xlfn.IMAGE("https://m.media-amazon.com/images/I/A1eWwpOmYaL._AC_UL320_.jpg")</f>
        <v/>
      </c>
      <c r="K487" t="inlineStr">
        <is>
          <t>105.0</t>
        </is>
      </c>
      <c r="L487" t="n">
        <v>198</v>
      </c>
      <c r="M487" s="2" t="inlineStr">
        <is>
          <t>88.57%</t>
        </is>
      </c>
      <c r="N487" t="n">
        <v>4.7</v>
      </c>
      <c r="O487" t="n">
        <v>4</v>
      </c>
      <c r="Q487" t="inlineStr">
        <is>
          <t>InStock</t>
        </is>
      </c>
      <c r="R487" t="inlineStr">
        <is>
          <t>350.0</t>
        </is>
      </c>
      <c r="S487" t="inlineStr">
        <is>
          <t>6</t>
        </is>
      </c>
    </row>
    <row r="488" ht="75" customHeight="1">
      <c r="A488" s="1">
        <f>HYPERLINK("https://www.theoutnet.com/en-us/shop/product/veronica-beard/sandals/high-heel-sandals/avita-knotted-metallic-leather-mules/1647597291880531", "https://www.theoutnet.com/en-us/shop/product/veronica-beard/sandals/high-heel-sandals/avita-knotted-metallic-leather-mules/1647597291880531")</f>
        <v/>
      </c>
      <c r="B488" s="1">
        <f>HYPERLINK("https://www.theoutnet.com/en-us/shop/product/veronica-beard/sandals/high-heel-sandals/avita-knotted-metallic-leather-mules/1647597291880531", "https://www.theoutnet.com/en-us/shop/product/veronica-beard/sandals/high-heel-sandals/avita-knotted-metallic-leather-mules/1647597291880531")</f>
        <v/>
      </c>
      <c r="C488" t="inlineStr">
        <is>
          <t>VERONICA BEARD</t>
        </is>
      </c>
      <c r="D488" t="inlineStr">
        <is>
          <t>Veronica Beard Jean Women's Beverly High Rise Skinny Flare Jeans</t>
        </is>
      </c>
      <c r="E488" s="1">
        <f>HYPERLINK("https://www.amazon.com/Veronica-Beard-Jean-Beverly-Iceberg/dp/B0B4F65MWQ/ref=sr_1_7?keywords=VERONICA+BEARD&amp;qid=1695343291&amp;sr=8-7", "https://www.amazon.com/Veronica-Beard-Jean-Beverly-Iceberg/dp/B0B4F65MWQ/ref=sr_1_7?keywords=VERONICA+BEARD&amp;qid=1695343291&amp;sr=8-7")</f>
        <v/>
      </c>
      <c r="F488" t="inlineStr">
        <is>
          <t>B0B4F65MWQ</t>
        </is>
      </c>
      <c r="G488">
        <f>_xlfn.IMAGE("https://www.theoutnet.com/variants/images/1647597291880531/F/w1020_q80.jpg")</f>
        <v/>
      </c>
      <c r="H488">
        <f>_xlfn.IMAGE("https://m.media-amazon.com/images/I/81w+msjKwOL._AC_UL320_.jpg")</f>
        <v/>
      </c>
      <c r="K488" t="inlineStr">
        <is>
          <t>119.0</t>
        </is>
      </c>
      <c r="L488" t="n">
        <v>228</v>
      </c>
      <c r="M488" s="2" t="inlineStr">
        <is>
          <t>91.60%</t>
        </is>
      </c>
      <c r="N488" t="n">
        <v>5</v>
      </c>
      <c r="O488" t="n">
        <v>1</v>
      </c>
      <c r="Q488" t="inlineStr">
        <is>
          <t>InStock</t>
        </is>
      </c>
      <c r="R488" t="inlineStr">
        <is>
          <t>395.0</t>
        </is>
      </c>
      <c r="S488" t="inlineStr">
        <is>
          <t>1647597291880531</t>
        </is>
      </c>
    </row>
    <row r="489" ht="75" customHeight="1">
      <c r="A489" s="1">
        <f>HYPERLINK("https://www.theoutnet.com/en-us/shop/product/veronica-beard/sandals/high-heel-sandals/avita-knotted-metallic-leather-mules/1647597291880531", "https://www.theoutnet.com/en-us/shop/product/veronica-beard/sandals/high-heel-sandals/avita-knotted-metallic-leather-mules/1647597291880531")</f>
        <v/>
      </c>
      <c r="B489" s="1">
        <f>HYPERLINK("https://www.theoutnet.com/en-us/shop/product/veronica-beard/sandals/high-heel-sandals/avita-knotted-metallic-leather-mules/1647597291880531", "https://www.theoutnet.com/en-us/shop/product/veronica-beard/sandals/high-heel-sandals/avita-knotted-metallic-leather-mules/1647597291880531")</f>
        <v/>
      </c>
      <c r="C489" t="inlineStr">
        <is>
          <t>VERONICA BEARD</t>
        </is>
      </c>
      <c r="D489" t="inlineStr">
        <is>
          <t>Veronica Beard Jean Women's Coralee Top</t>
        </is>
      </c>
      <c r="E489" s="1">
        <f>HYPERLINK("https://www.amazon.com/Veronica-Beard-Jean-Womens-Coralee/dp/B09LRLBR49/ref=sr_1_5?keywords=VERONICA+BEARD&amp;qid=1695343291&amp;sr=8-5", "https://www.amazon.com/Veronica-Beard-Jean-Womens-Coralee/dp/B09LRLBR49/ref=sr_1_5?keywords=VERONICA+BEARD&amp;qid=1695343291&amp;sr=8-5")</f>
        <v/>
      </c>
      <c r="F489" t="inlineStr">
        <is>
          <t>B09LRLBR49</t>
        </is>
      </c>
      <c r="G489">
        <f>_xlfn.IMAGE("https://www.theoutnet.com/variants/images/1647597291880531/F/w1020_q80.jpg")</f>
        <v/>
      </c>
      <c r="H489">
        <f>_xlfn.IMAGE("https://m.media-amazon.com/images/I/A1eWwpOmYaL._AC_UL320_.jpg")</f>
        <v/>
      </c>
      <c r="K489" t="inlineStr">
        <is>
          <t>119.0</t>
        </is>
      </c>
      <c r="L489" t="n">
        <v>198</v>
      </c>
      <c r="M489" s="2" t="inlineStr">
        <is>
          <t>66.39%</t>
        </is>
      </c>
      <c r="N489" t="n">
        <v>4.7</v>
      </c>
      <c r="O489" t="n">
        <v>4</v>
      </c>
      <c r="Q489" t="inlineStr">
        <is>
          <t>InStock</t>
        </is>
      </c>
      <c r="R489" t="inlineStr">
        <is>
          <t>395.0</t>
        </is>
      </c>
      <c r="S489" t="inlineStr">
        <is>
          <t>1647597291880531</t>
        </is>
      </c>
    </row>
    <row r="490" ht="75" customHeight="1">
      <c r="A490" s="1">
        <f>HYPERLINK("https://www.theoutnet.com/en-us/shop/product/veronica-beard/sandals/high-heel-sandals/avita-knotted-metallic-leather-mules/1647597291880531", "https://www.theoutnet.com/en-us/shop/product/veronica-beard/sandals/high-heel-sandals/avita-knotted-metallic-leather-mules/1647597291880531")</f>
        <v/>
      </c>
      <c r="B490" s="1">
        <f>HYPERLINK("https://www.theoutnet.com/en-us/shop/product/veronica-beard/sandals/high-heel-sandals/avita-knotted-metallic-leather-mules/1647597291880531", "https://www.theoutnet.com/en-us/shop/product/veronica-beard/sandals/high-heel-sandals/avita-knotted-metallic-leather-mules/1647597291880531")</f>
        <v/>
      </c>
      <c r="C490" t="inlineStr">
        <is>
          <t>VERONICA BEARD</t>
        </is>
      </c>
      <c r="D490" t="inlineStr">
        <is>
          <t>Veronica Beard Jean Women's Theresa Turtleneck</t>
        </is>
      </c>
      <c r="E490" s="1">
        <f>HYPERLINK("https://www.amazon.com/Veronica-Beard-Jean-Theresa-Turtleneck/dp/B09LRKVXZY/ref=sr_1_6?keywords=VERONICA+BEARD&amp;qid=1695343291&amp;sr=8-6", "https://www.amazon.com/Veronica-Beard-Jean-Theresa-Turtleneck/dp/B09LRKVXZY/ref=sr_1_6?keywords=VERONICA+BEARD&amp;qid=1695343291&amp;sr=8-6")</f>
        <v/>
      </c>
      <c r="F490" t="inlineStr">
        <is>
          <t>B09LRKVXZY</t>
        </is>
      </c>
      <c r="G490">
        <f>_xlfn.IMAGE("https://www.theoutnet.com/variants/images/1647597291880531/F/w1020_q80.jpg")</f>
        <v/>
      </c>
      <c r="H490">
        <f>_xlfn.IMAGE("https://m.media-amazon.com/images/I/61P-Gbe6KpL._AC_UL320_.jpg")</f>
        <v/>
      </c>
      <c r="K490" t="inlineStr">
        <is>
          <t>119.0</t>
        </is>
      </c>
      <c r="L490" t="n">
        <v>198</v>
      </c>
      <c r="M490" s="2" t="inlineStr">
        <is>
          <t>66.39%</t>
        </is>
      </c>
      <c r="N490" t="n">
        <v>5</v>
      </c>
      <c r="O490" t="n">
        <v>1</v>
      </c>
      <c r="Q490" t="inlineStr">
        <is>
          <t>InStock</t>
        </is>
      </c>
      <c r="R490" t="inlineStr">
        <is>
          <t>395.0</t>
        </is>
      </c>
      <c r="S490" t="inlineStr">
        <is>
          <t>1647597291880531</t>
        </is>
      </c>
    </row>
    <row r="491" ht="75" customHeight="1">
      <c r="A491" s="1">
        <f>HYPERLINK("https://www.theoutnet.com/en-us/shop/product/veronica-beard/sandals/high-heel-sandals/avita-knotted-metallic-leather-mules/1647597291880531", "https://www.theoutnet.com/en-us/shop/product/veronica-beard/sandals/high-heel-sandals/avita-knotted-metallic-leather-mules/1647597291880531")</f>
        <v/>
      </c>
      <c r="B491" s="1">
        <f>HYPERLINK("https://www.theoutnet.com/en-us/shop/product/veronica-beard/sandals/high-heel-sandals/avita-knotted-metallic-leather-mules/1647597291880531", "https://www.theoutnet.com/en-us/shop/product/veronica-beard/sandals/high-heel-sandals/avita-knotted-metallic-leather-mules/1647597291880531")</f>
        <v/>
      </c>
      <c r="C491" t="inlineStr">
        <is>
          <t>VERONICA BEARD</t>
        </is>
      </c>
      <c r="D491" t="inlineStr">
        <is>
          <t>Veronica Beard Jean Women's Beverly High Rise Skinny Flare Jeans</t>
        </is>
      </c>
      <c r="E491" s="1">
        <f>HYPERLINK("https://www.amazon.com/Veronica-Beard-Jean-Beverly-Iceberg/dp/B0B4F65MWQ/ref=sr_1_7?keywords=VERONICA+BEARD&amp;qid=1695343583&amp;sr=8-7", "https://www.amazon.com/Veronica-Beard-Jean-Beverly-Iceberg/dp/B0B4F65MWQ/ref=sr_1_7?keywords=VERONICA+BEARD&amp;qid=1695343583&amp;sr=8-7")</f>
        <v/>
      </c>
      <c r="F491" t="inlineStr">
        <is>
          <t>B0B4F65MWQ</t>
        </is>
      </c>
      <c r="G491">
        <f>_xlfn.IMAGE("https://www.theoutnet.com/variants/images/1647597291880531/F/w1020_q80.jpg")</f>
        <v/>
      </c>
      <c r="H491">
        <f>_xlfn.IMAGE("https://m.media-amazon.com/images/I/81w+msjKwOL._AC_UL320_.jpg")</f>
        <v/>
      </c>
      <c r="K491" t="inlineStr">
        <is>
          <t>119.0</t>
        </is>
      </c>
      <c r="L491" t="n">
        <v>228</v>
      </c>
      <c r="M491" s="2" t="inlineStr">
        <is>
          <t>91.60%</t>
        </is>
      </c>
      <c r="N491" t="n">
        <v>5</v>
      </c>
      <c r="O491" t="n">
        <v>1</v>
      </c>
      <c r="Q491" t="inlineStr">
        <is>
          <t>InStock</t>
        </is>
      </c>
      <c r="R491" t="inlineStr">
        <is>
          <t>395.0</t>
        </is>
      </c>
      <c r="S491" t="inlineStr">
        <is>
          <t>1647597291880531</t>
        </is>
      </c>
    </row>
    <row r="492" ht="75" customHeight="1">
      <c r="A492" s="1">
        <f>HYPERLINK("https://www.theoutnet.com/en-us/shop/product/veronica-beard/sandals/high-heel-sandals/avita-knotted-metallic-leather-mules/1647597291880531", "https://www.theoutnet.com/en-us/shop/product/veronica-beard/sandals/high-heel-sandals/avita-knotted-metallic-leather-mules/1647597291880531")</f>
        <v/>
      </c>
      <c r="B492" s="1">
        <f>HYPERLINK("https://www.theoutnet.com/en-us/shop/product/veronica-beard/sandals/high-heel-sandals/avita-knotted-metallic-leather-mules/1647597291880531", "https://www.theoutnet.com/en-us/shop/product/veronica-beard/sandals/high-heel-sandals/avita-knotted-metallic-leather-mules/1647597291880531")</f>
        <v/>
      </c>
      <c r="C492" t="inlineStr">
        <is>
          <t>VERONICA BEARD</t>
        </is>
      </c>
      <c r="D492" t="inlineStr">
        <is>
          <t>Veronica Beard Jean Women's Theresa Turtleneck</t>
        </is>
      </c>
      <c r="E492" s="1">
        <f>HYPERLINK("https://www.amazon.com/Veronica-Beard-Jean-Theresa-Turtleneck/dp/B09LRKVXZY/ref=sr_1_6?keywords=VERONICA+BEARD&amp;qid=1695343583&amp;sr=8-6", "https://www.amazon.com/Veronica-Beard-Jean-Theresa-Turtleneck/dp/B09LRKVXZY/ref=sr_1_6?keywords=VERONICA+BEARD&amp;qid=1695343583&amp;sr=8-6")</f>
        <v/>
      </c>
      <c r="F492" t="inlineStr">
        <is>
          <t>B09LRKVXZY</t>
        </is>
      </c>
      <c r="G492">
        <f>_xlfn.IMAGE("https://www.theoutnet.com/variants/images/1647597291880531/F/w1020_q80.jpg")</f>
        <v/>
      </c>
      <c r="H492">
        <f>_xlfn.IMAGE("https://m.media-amazon.com/images/I/61P-Gbe6KpL._AC_UL320_.jpg")</f>
        <v/>
      </c>
      <c r="K492" t="inlineStr">
        <is>
          <t>119.0</t>
        </is>
      </c>
      <c r="L492" t="n">
        <v>198</v>
      </c>
      <c r="M492" s="2" t="inlineStr">
        <is>
          <t>66.39%</t>
        </is>
      </c>
      <c r="N492" t="n">
        <v>5</v>
      </c>
      <c r="O492" t="n">
        <v>1</v>
      </c>
      <c r="Q492" t="inlineStr">
        <is>
          <t>InStock</t>
        </is>
      </c>
      <c r="R492" t="inlineStr">
        <is>
          <t>395.0</t>
        </is>
      </c>
      <c r="S492" t="inlineStr">
        <is>
          <t>1647597291880531</t>
        </is>
      </c>
    </row>
    <row r="493" ht="75" customHeight="1">
      <c r="A493" s="1">
        <f>HYPERLINK("https://www.theoutnet.com/en-us/shop/product/veronica-beard/sandals/high-heel-sandals/avita-knotted-metallic-leather-mules/1647597291880531", "https://www.theoutnet.com/en-us/shop/product/veronica-beard/sandals/high-heel-sandals/avita-knotted-metallic-leather-mules/1647597291880531")</f>
        <v/>
      </c>
      <c r="B493" s="1">
        <f>HYPERLINK("https://www.theoutnet.com/en-us/shop/product/veronica-beard/sandals/high-heel-sandals/avita-knotted-metallic-leather-mules/1647597291880531", "https://www.theoutnet.com/en-us/shop/product/veronica-beard/sandals/high-heel-sandals/avita-knotted-metallic-leather-mules/1647597291880531")</f>
        <v/>
      </c>
      <c r="C493" t="inlineStr">
        <is>
          <t>VERONICA BEARD</t>
        </is>
      </c>
      <c r="D493" t="inlineStr">
        <is>
          <t>Veronica Beard Jean Women's Coralee Top</t>
        </is>
      </c>
      <c r="E493" s="1">
        <f>HYPERLINK("https://www.amazon.com/Veronica-Beard-Jean-Womens-Coralee/dp/B09LRLBR49/ref=sr_1_5?keywords=VERONICA+BEARD&amp;qid=1695343583&amp;sr=8-5", "https://www.amazon.com/Veronica-Beard-Jean-Womens-Coralee/dp/B09LRLBR49/ref=sr_1_5?keywords=VERONICA+BEARD&amp;qid=1695343583&amp;sr=8-5")</f>
        <v/>
      </c>
      <c r="F493" t="inlineStr">
        <is>
          <t>B09LRLBR49</t>
        </is>
      </c>
      <c r="G493">
        <f>_xlfn.IMAGE("https://www.theoutnet.com/variants/images/1647597291880531/F/w1020_q80.jpg")</f>
        <v/>
      </c>
      <c r="H493">
        <f>_xlfn.IMAGE("https://m.media-amazon.com/images/I/A1eWwpOmYaL._AC_UL320_.jpg")</f>
        <v/>
      </c>
      <c r="K493" t="inlineStr">
        <is>
          <t>119.0</t>
        </is>
      </c>
      <c r="L493" t="n">
        <v>198</v>
      </c>
      <c r="M493" s="2" t="inlineStr">
        <is>
          <t>66.39%</t>
        </is>
      </c>
      <c r="N493" t="n">
        <v>4.7</v>
      </c>
      <c r="O493" t="n">
        <v>4</v>
      </c>
      <c r="Q493" t="inlineStr">
        <is>
          <t>InStock</t>
        </is>
      </c>
      <c r="R493" t="inlineStr">
        <is>
          <t>395.0</t>
        </is>
      </c>
      <c r="S493" t="inlineStr">
        <is>
          <t>1647597291880531</t>
        </is>
      </c>
    </row>
    <row r="494" ht="75" customHeight="1">
      <c r="A494" s="1">
        <f>HYPERLINK("https://www.theoutnet.com/en-us/shop/product/veronica-beard/sneakers/fashion-sneakers/hartley-leopard-print-suede-and-textured-leather-sneakers/1647597328457538", "https://www.theoutnet.com/en-us/shop/product/veronica-beard/sneakers/fashion-sneakers/hartley-leopard-print-suede-and-textured-leather-sneakers/1647597328457538")</f>
        <v/>
      </c>
      <c r="B494" s="1">
        <f>HYPERLINK("https://www.theoutnet.com/en-us/shop/product/veronica-beard/sneakers/fashion-sneakers/hartley-leopard-print-suede-and-textured-leather-sneakers/1647597328457538", "https://www.theoutnet.com/en-us/shop/product/veronica-beard/sneakers/fashion-sneakers/hartley-leopard-print-suede-and-textured-leather-sneakers/1647597328457538")</f>
        <v/>
      </c>
      <c r="C494" t="inlineStr">
        <is>
          <t>VERONICA BEARD</t>
        </is>
      </c>
      <c r="D494" t="inlineStr">
        <is>
          <t>Veronica Beard Jean Women's Beverly High Rise Skinny Flare Jeans</t>
        </is>
      </c>
      <c r="E494" s="1">
        <f>HYPERLINK("https://www.amazon.com/Veronica-Beard-Jean-Beverly-Iceberg/dp/B0B4F65MWQ/ref=sr_1_7?keywords=VERONICA+BEARD&amp;qid=1695343608&amp;sr=8-7", "https://www.amazon.com/Veronica-Beard-Jean-Beverly-Iceberg/dp/B0B4F65MWQ/ref=sr_1_7?keywords=VERONICA+BEARD&amp;qid=1695343608&amp;sr=8-7")</f>
        <v/>
      </c>
      <c r="F494" t="inlineStr">
        <is>
          <t>B0B4F65MWQ</t>
        </is>
      </c>
      <c r="G494">
        <f>_xlfn.IMAGE("https://www.theoutnet.com/variants/images/1647597328457538/F/w1020_q80.jpg")</f>
        <v/>
      </c>
      <c r="H494">
        <f>_xlfn.IMAGE("https://m.media-amazon.com/images/I/81w+msjKwOL._AC_UL320_.jpg")</f>
        <v/>
      </c>
      <c r="K494" t="inlineStr">
        <is>
          <t>133.0</t>
        </is>
      </c>
      <c r="L494" t="n">
        <v>228</v>
      </c>
      <c r="M494" s="2" t="inlineStr">
        <is>
          <t>71.43%</t>
        </is>
      </c>
      <c r="N494" t="n">
        <v>5</v>
      </c>
      <c r="O494" t="n">
        <v>1</v>
      </c>
      <c r="Q494" t="inlineStr">
        <is>
          <t>InStock</t>
        </is>
      </c>
      <c r="R494" t="inlineStr">
        <is>
          <t>295.0</t>
        </is>
      </c>
      <c r="S494" t="inlineStr">
        <is>
          <t>1647597328457538</t>
        </is>
      </c>
    </row>
    <row r="495" ht="75" customHeight="1">
      <c r="A495" s="1">
        <f>HYPERLINK("https://www.theoutnet.com/en-us/shop/product/vix-paula-hermanny/swimwear-beachwear/bikini-bottoms/fany-tie-dyed-low-rise-bikini-briefs/33258524071949330", "https://www.theoutnet.com/en-us/shop/product/vix-paula-hermanny/swimwear-beachwear/bikini-bottoms/fany-tie-dyed-low-rise-bikini-briefs/33258524071949330")</f>
        <v/>
      </c>
      <c r="B495" s="1">
        <f>HYPERLINK("https://www.theoutnet.com/en-us/shop/product/vix-paula-hermanny/swimwear-beachwear/bikini-bottoms/fany-tie-dyed-low-rise-bikini-briefs/33258524071949330", "https://www.theoutnet.com/en-us/shop/product/vix-paula-hermanny/swimwear-beachwear/bikini-bottoms/fany-tie-dyed-low-rise-bikini-briefs/33258524071949330")</f>
        <v/>
      </c>
      <c r="C495" t="inlineStr">
        <is>
          <t>VIX PAULA HERMANNY</t>
        </is>
      </c>
      <c r="D495" t="inlineStr">
        <is>
          <t>ViX Paula Hermanny Women’s Tie Side Solid Full Coverage Bikini Bottoms</t>
        </is>
      </c>
      <c r="E495" s="1">
        <f>HYPERLINK("https://www.amazon.com/ViX-Paula-Hermanny-Coverage-Bottoms/dp/B001NYVI2Q/ref=sr_1_9?keywords=VIX+PAULA+HERMANNY&amp;qid=1695343028&amp;sr=8-9", "https://www.amazon.com/ViX-Paula-Hermanny-Coverage-Bottoms/dp/B001NYVI2Q/ref=sr_1_9?keywords=VIX+PAULA+HERMANNY&amp;qid=1695343028&amp;sr=8-9")</f>
        <v/>
      </c>
      <c r="F495" t="inlineStr">
        <is>
          <t>B001NYVI2Q</t>
        </is>
      </c>
      <c r="G495">
        <f>_xlfn.IMAGE("https://www.theoutnet.com/variants/images/33258524071949330/F/w1020_q80.jpg")</f>
        <v/>
      </c>
      <c r="H495">
        <f>_xlfn.IMAGE("https://m.media-amazon.com/images/I/61Wy9rMND1L._MCnd_AC_UL320_.jpg")</f>
        <v/>
      </c>
      <c r="K495" t="inlineStr">
        <is>
          <t>29.0</t>
        </is>
      </c>
      <c r="L495" t="n">
        <v>110</v>
      </c>
      <c r="M495" s="2" t="inlineStr">
        <is>
          <t>279.31%</t>
        </is>
      </c>
      <c r="N495" t="n">
        <v>5</v>
      </c>
      <c r="O495" t="n">
        <v>6</v>
      </c>
      <c r="Q495" t="inlineStr">
        <is>
          <t>InStock</t>
        </is>
      </c>
      <c r="R495" t="inlineStr">
        <is>
          <t>94.0</t>
        </is>
      </c>
      <c r="S495" t="inlineStr">
        <is>
          <t>33258524071949330</t>
        </is>
      </c>
    </row>
    <row r="496" ht="75" customHeight="1">
      <c r="A496" s="1">
        <f>HYPERLINK("https://www.theoutnet.com/en-us/shop/product/vix-paula-hermanny/swimwear-beachwear/bikini-bottoms/fany-tie-dyed-low-rise-bikini-briefs/33258524071949330", "https://www.theoutnet.com/en-us/shop/product/vix-paula-hermanny/swimwear-beachwear/bikini-bottoms/fany-tie-dyed-low-rise-bikini-briefs/33258524071949330")</f>
        <v/>
      </c>
      <c r="B496" s="1">
        <f>HYPERLINK("https://www.theoutnet.com/en-us/shop/product/vix-paula-hermanny/swimwear-beachwear/bikini-bottoms/fany-tie-dyed-low-rise-bikini-briefs/33258524071949330", "https://www.theoutnet.com/en-us/shop/product/vix-paula-hermanny/swimwear-beachwear/bikini-bottoms/fany-tie-dyed-low-rise-bikini-briefs/33258524071949330")</f>
        <v/>
      </c>
      <c r="C496" t="inlineStr">
        <is>
          <t>VIX PAULA HERMANNY</t>
        </is>
      </c>
      <c r="D496" t="inlineStr">
        <is>
          <t>ViX Paula Hermanny womens Solid Bia Tube Full Bikini Bottom</t>
        </is>
      </c>
      <c r="E496" s="1">
        <f>HYPERLINK("https://www.amazon.com/ViX-Womens-Bikini-Bottom-Medium/dp/B01LXMB5LZ/ref=sr_1_4?keywords=VIX+PAULA+HERMANNY&amp;qid=1695343028&amp;sr=8-4", "https://www.amazon.com/ViX-Womens-Bikini-Bottom-Medium/dp/B01LXMB5LZ/ref=sr_1_4?keywords=VIX+PAULA+HERMANNY&amp;qid=1695343028&amp;sr=8-4")</f>
        <v/>
      </c>
      <c r="F496" t="inlineStr">
        <is>
          <t>B01LXMB5LZ</t>
        </is>
      </c>
      <c r="G496">
        <f>_xlfn.IMAGE("https://www.theoutnet.com/variants/images/33258524071949330/F/w1020_q80.jpg")</f>
        <v/>
      </c>
      <c r="H496">
        <f>_xlfn.IMAGE("https://m.media-amazon.com/images/I/71zI2w46vFL._MCnd_AC_UL320_.jpg")</f>
        <v/>
      </c>
      <c r="K496" t="inlineStr">
        <is>
          <t>29.0</t>
        </is>
      </c>
      <c r="L496" t="n">
        <v>108</v>
      </c>
      <c r="M496" s="2" t="inlineStr">
        <is>
          <t>272.41%</t>
        </is>
      </c>
      <c r="N496" t="n">
        <v>5</v>
      </c>
      <c r="O496" t="n">
        <v>10</v>
      </c>
      <c r="Q496" t="inlineStr">
        <is>
          <t>InStock</t>
        </is>
      </c>
      <c r="R496" t="inlineStr">
        <is>
          <t>94.0</t>
        </is>
      </c>
      <c r="S496" t="inlineStr">
        <is>
          <t>33258524071949330</t>
        </is>
      </c>
    </row>
    <row r="497" ht="75" customHeight="1">
      <c r="A497" s="1">
        <f>HYPERLINK("https://www.theoutnet.com/en-us/shop/product/vix-paula-hermanny/swimwear-beachwear/bikini-bottoms/fany-tie-dyed-low-rise-bikini-briefs/33258524071949330", "https://www.theoutnet.com/en-us/shop/product/vix-paula-hermanny/swimwear-beachwear/bikini-bottoms/fany-tie-dyed-low-rise-bikini-briefs/33258524071949330")</f>
        <v/>
      </c>
      <c r="B497" s="1">
        <f>HYPERLINK("https://www.theoutnet.com/en-us/shop/product/vix-paula-hermanny/swimwear-beachwear/bikini-bottoms/fany-tie-dyed-low-rise-bikini-briefs/33258524071949330", "https://www.theoutnet.com/en-us/shop/product/vix-paula-hermanny/swimwear-beachwear/bikini-bottoms/fany-tie-dyed-low-rise-bikini-briefs/33258524071949330")</f>
        <v/>
      </c>
      <c r="C497" t="inlineStr">
        <is>
          <t>VIX PAULA HERMANNY</t>
        </is>
      </c>
      <c r="D497" t="inlineStr">
        <is>
          <t>ViX Paula Hermanny Women's Standard White Bia Tube Full Bottom</t>
        </is>
      </c>
      <c r="E497" s="1">
        <f>HYPERLINK("https://www.amazon.com/ViX-Womens-White-Bottom-Small/dp/B01MQX3FLC/ref=sr_1_2?keywords=VIX+PAULA+HERMANNY&amp;qid=1695343028&amp;sr=8-2", "https://www.amazon.com/ViX-Womens-White-Bottom-Small/dp/B01MQX3FLC/ref=sr_1_2?keywords=VIX+PAULA+HERMANNY&amp;qid=1695343028&amp;sr=8-2")</f>
        <v/>
      </c>
      <c r="F497" t="inlineStr">
        <is>
          <t>B01MQX3FLC</t>
        </is>
      </c>
      <c r="G497">
        <f>_xlfn.IMAGE("https://www.theoutnet.com/variants/images/33258524071949330/F/w1020_q80.jpg")</f>
        <v/>
      </c>
      <c r="H497">
        <f>_xlfn.IMAGE("https://m.media-amazon.com/images/I/71fOf52yTPL._MCnd_AC_UL320_.jpg")</f>
        <v/>
      </c>
      <c r="K497" t="inlineStr">
        <is>
          <t>29.0</t>
        </is>
      </c>
      <c r="L497" t="n">
        <v>108</v>
      </c>
      <c r="M497" s="2" t="inlineStr">
        <is>
          <t>272.41%</t>
        </is>
      </c>
      <c r="N497" t="n">
        <v>4.8</v>
      </c>
      <c r="O497" t="n">
        <v>11</v>
      </c>
      <c r="Q497" t="inlineStr">
        <is>
          <t>InStock</t>
        </is>
      </c>
      <c r="R497" t="inlineStr">
        <is>
          <t>94.0</t>
        </is>
      </c>
      <c r="S497" t="inlineStr">
        <is>
          <t>33258524071949330</t>
        </is>
      </c>
    </row>
    <row r="498" ht="75" customHeight="1">
      <c r="A498" s="1">
        <f>HYPERLINK("https://www.theoutnet.com/en-us/shop/product/vix-paula-hermanny/swimwear-beachwear/bikini-bottoms/fany-tie-dyed-low-rise-bikini-briefs/33258524071949330", "https://www.theoutnet.com/en-us/shop/product/vix-paula-hermanny/swimwear-beachwear/bikini-bottoms/fany-tie-dyed-low-rise-bikini-briefs/33258524071949330")</f>
        <v/>
      </c>
      <c r="B498" s="1">
        <f>HYPERLINK("https://www.theoutnet.com/en-us/shop/product/vix-paula-hermanny/swimwear-beachwear/bikini-bottoms/fany-tie-dyed-low-rise-bikini-briefs/33258524071949330", "https://www.theoutnet.com/en-us/shop/product/vix-paula-hermanny/swimwear-beachwear/bikini-bottoms/fany-tie-dyed-low-rise-bikini-briefs/33258524071949330")</f>
        <v/>
      </c>
      <c r="C498" t="inlineStr">
        <is>
          <t>VIX PAULA HERMANNY</t>
        </is>
      </c>
      <c r="D498" t="inlineStr">
        <is>
          <t>ViX Paula Hermanny Women's Standard White Bia Tube Top</t>
        </is>
      </c>
      <c r="E498" s="1">
        <f>HYPERLINK("https://www.amazon.com/ViX-Paula-Hermanny-Womens-Bikini/dp/B01LZWCXGM/ref=sr_1_5?keywords=VIX+PAULA+HERMANNY&amp;qid=1695343028&amp;sr=8-5", "https://www.amazon.com/ViX-Paula-Hermanny-Womens-Bikini/dp/B01LZWCXGM/ref=sr_1_5?keywords=VIX+PAULA+HERMANNY&amp;qid=1695343028&amp;sr=8-5")</f>
        <v/>
      </c>
      <c r="F498" t="inlineStr">
        <is>
          <t>B01LZWCXGM</t>
        </is>
      </c>
      <c r="G498">
        <f>_xlfn.IMAGE("https://www.theoutnet.com/variants/images/33258524071949330/F/w1020_q80.jpg")</f>
        <v/>
      </c>
      <c r="H498">
        <f>_xlfn.IMAGE("https://m.media-amazon.com/images/I/61t7d0CuX-L._MCnd_AC_UL320_.jpg")</f>
        <v/>
      </c>
      <c r="K498" t="inlineStr">
        <is>
          <t>29.0</t>
        </is>
      </c>
      <c r="L498" t="n">
        <v>108</v>
      </c>
      <c r="M498" s="2" t="inlineStr">
        <is>
          <t>272.41%</t>
        </is>
      </c>
      <c r="N498" t="n">
        <v>4.3</v>
      </c>
      <c r="O498" t="n">
        <v>15</v>
      </c>
      <c r="Q498" t="inlineStr">
        <is>
          <t>InStock</t>
        </is>
      </c>
      <c r="R498" t="inlineStr">
        <is>
          <t>94.0</t>
        </is>
      </c>
      <c r="S498" t="inlineStr">
        <is>
          <t>33258524071949330</t>
        </is>
      </c>
    </row>
    <row r="499" ht="75" customHeight="1">
      <c r="A499" s="1">
        <f>HYPERLINK("https://www.theoutnet.com/en-us/shop/product/vix-paula-hermanny/swimwear-beachwear/bikini-bottoms/printed-low-rise-bikini-briefs/36594538429988925", "https://www.theoutnet.com/en-us/shop/product/vix-paula-hermanny/swimwear-beachwear/bikini-bottoms/printed-low-rise-bikini-briefs/36594538429988925")</f>
        <v/>
      </c>
      <c r="B499" s="1">
        <f>HYPERLINK("https://www.theoutnet.com/en-us/shop/product/vix-paula-hermanny/swimwear-beachwear/bikini-bottoms/printed-low-rise-bikini-briefs/36594538429988925", "https://www.theoutnet.com/en-us/shop/product/vix-paula-hermanny/swimwear-beachwear/bikini-bottoms/printed-low-rise-bikini-briefs/36594538429988925")</f>
        <v/>
      </c>
      <c r="C499" t="inlineStr">
        <is>
          <t>VIX PAULA HERMANNY</t>
        </is>
      </c>
      <c r="D499" t="inlineStr">
        <is>
          <t>ViX Paula Hermanny Women’s Tie Side Solid Full Coverage Bikini Bottoms</t>
        </is>
      </c>
      <c r="E499" s="1">
        <f>HYPERLINK("https://www.amazon.com/ViX-Paula-Hermanny-Coverage-Bottoms/dp/B001NYVI2Q/ref=sr_1_9?keywords=VIX+PAULA+HERMANNY&amp;qid=1695343035&amp;sr=8-9", "https://www.amazon.com/ViX-Paula-Hermanny-Coverage-Bottoms/dp/B001NYVI2Q/ref=sr_1_9?keywords=VIX+PAULA+HERMANNY&amp;qid=1695343035&amp;sr=8-9")</f>
        <v/>
      </c>
      <c r="F499" t="inlineStr">
        <is>
          <t>B001NYVI2Q</t>
        </is>
      </c>
      <c r="G499">
        <f>_xlfn.IMAGE("https://www.theoutnet.com/variants/images/36594538429988925/F/w1020_q80.jpg")</f>
        <v/>
      </c>
      <c r="H499">
        <f>_xlfn.IMAGE("https://m.media-amazon.com/images/I/61Wy9rMND1L._MCnd_AC_UL320_.jpg")</f>
        <v/>
      </c>
      <c r="K499" t="inlineStr">
        <is>
          <t>30.0</t>
        </is>
      </c>
      <c r="L499" t="n">
        <v>110</v>
      </c>
      <c r="M499" s="2" t="inlineStr">
        <is>
          <t>266.67%</t>
        </is>
      </c>
      <c r="N499" t="n">
        <v>5</v>
      </c>
      <c r="O499" t="n">
        <v>6</v>
      </c>
      <c r="Q499" t="inlineStr">
        <is>
          <t>InStock</t>
        </is>
      </c>
      <c r="R499" t="inlineStr">
        <is>
          <t>98.0</t>
        </is>
      </c>
      <c r="S499" t="inlineStr">
        <is>
          <t>3</t>
        </is>
      </c>
    </row>
    <row r="500" ht="75" customHeight="1">
      <c r="A500" s="1">
        <f>HYPERLINK("https://www.theoutnet.com/en-us/shop/product/vix-paula-hermanny/swimwear-beachwear/bikini-bottoms/printed-low-rise-bikini-briefs/36594538429988925", "https://www.theoutnet.com/en-us/shop/product/vix-paula-hermanny/swimwear-beachwear/bikini-bottoms/printed-low-rise-bikini-briefs/36594538429988925")</f>
        <v/>
      </c>
      <c r="B500" s="1">
        <f>HYPERLINK("https://www.theoutnet.com/en-us/shop/product/vix-paula-hermanny/swimwear-beachwear/bikini-bottoms/printed-low-rise-bikini-briefs/36594538429988925", "https://www.theoutnet.com/en-us/shop/product/vix-paula-hermanny/swimwear-beachwear/bikini-bottoms/printed-low-rise-bikini-briefs/36594538429988925")</f>
        <v/>
      </c>
      <c r="C500" t="inlineStr">
        <is>
          <t>VIX PAULA HERMANNY</t>
        </is>
      </c>
      <c r="D500" t="inlineStr">
        <is>
          <t>ViX Paula Hermanny Women's Standard White Bia Tube Top</t>
        </is>
      </c>
      <c r="E500" s="1">
        <f>HYPERLINK("https://www.amazon.com/ViX-Paula-Hermanny-Womens-Bikini/dp/B01LZWCXGM/ref=sr_1_5?keywords=VIX+PAULA+HERMANNY&amp;qid=1695343035&amp;sr=8-5", "https://www.amazon.com/ViX-Paula-Hermanny-Womens-Bikini/dp/B01LZWCXGM/ref=sr_1_5?keywords=VIX+PAULA+HERMANNY&amp;qid=1695343035&amp;sr=8-5")</f>
        <v/>
      </c>
      <c r="F500" t="inlineStr">
        <is>
          <t>B01LZWCXGM</t>
        </is>
      </c>
      <c r="G500">
        <f>_xlfn.IMAGE("https://www.theoutnet.com/variants/images/36594538429988925/F/w1020_q80.jpg")</f>
        <v/>
      </c>
      <c r="H500">
        <f>_xlfn.IMAGE("https://m.media-amazon.com/images/I/61t7d0CuX-L._MCnd_AC_UL320_.jpg")</f>
        <v/>
      </c>
      <c r="K500" t="inlineStr">
        <is>
          <t>30.0</t>
        </is>
      </c>
      <c r="L500" t="n">
        <v>108</v>
      </c>
      <c r="M500" s="2" t="inlineStr">
        <is>
          <t>260.00%</t>
        </is>
      </c>
      <c r="N500" t="n">
        <v>4.3</v>
      </c>
      <c r="O500" t="n">
        <v>15</v>
      </c>
      <c r="Q500" t="inlineStr">
        <is>
          <t>InStock</t>
        </is>
      </c>
      <c r="R500" t="inlineStr">
        <is>
          <t>98.0</t>
        </is>
      </c>
      <c r="S500" t="inlineStr">
        <is>
          <t>3</t>
        </is>
      </c>
    </row>
    <row r="501" ht="75" customHeight="1">
      <c r="A501" s="1">
        <f>HYPERLINK("https://www.theoutnet.com/en-us/shop/product/vix-paula-hermanny/swimwear-beachwear/bikini-bottoms/printed-low-rise-bikini-briefs/36594538429988925", "https://www.theoutnet.com/en-us/shop/product/vix-paula-hermanny/swimwear-beachwear/bikini-bottoms/printed-low-rise-bikini-briefs/36594538429988925")</f>
        <v/>
      </c>
      <c r="B501" s="1">
        <f>HYPERLINK("https://www.theoutnet.com/en-us/shop/product/vix-paula-hermanny/swimwear-beachwear/bikini-bottoms/printed-low-rise-bikini-briefs/36594538429988925", "https://www.theoutnet.com/en-us/shop/product/vix-paula-hermanny/swimwear-beachwear/bikini-bottoms/printed-low-rise-bikini-briefs/36594538429988925")</f>
        <v/>
      </c>
      <c r="C501" t="inlineStr">
        <is>
          <t>VIX PAULA HERMANNY</t>
        </is>
      </c>
      <c r="D501" t="inlineStr">
        <is>
          <t>ViX Paula Hermanny womens Solid Bia Tube Full Bikini Bottom</t>
        </is>
      </c>
      <c r="E501" s="1">
        <f>HYPERLINK("https://www.amazon.com/ViX-Womens-Bikini-Bottom-Medium/dp/B01LXMB5LZ/ref=sr_1_4?keywords=VIX+PAULA+HERMANNY&amp;qid=1695343035&amp;sr=8-4", "https://www.amazon.com/ViX-Womens-Bikini-Bottom-Medium/dp/B01LXMB5LZ/ref=sr_1_4?keywords=VIX+PAULA+HERMANNY&amp;qid=1695343035&amp;sr=8-4")</f>
        <v/>
      </c>
      <c r="F501" t="inlineStr">
        <is>
          <t>B01LXMB5LZ</t>
        </is>
      </c>
      <c r="G501">
        <f>_xlfn.IMAGE("https://www.theoutnet.com/variants/images/36594538429988925/F/w1020_q80.jpg")</f>
        <v/>
      </c>
      <c r="H501">
        <f>_xlfn.IMAGE("https://m.media-amazon.com/images/I/71zI2w46vFL._MCnd_AC_UL320_.jpg")</f>
        <v/>
      </c>
      <c r="K501" t="inlineStr">
        <is>
          <t>30.0</t>
        </is>
      </c>
      <c r="L501" t="n">
        <v>108</v>
      </c>
      <c r="M501" s="2" t="inlineStr">
        <is>
          <t>260.00%</t>
        </is>
      </c>
      <c r="N501" t="n">
        <v>5</v>
      </c>
      <c r="O501" t="n">
        <v>10</v>
      </c>
      <c r="Q501" t="inlineStr">
        <is>
          <t>InStock</t>
        </is>
      </c>
      <c r="R501" t="inlineStr">
        <is>
          <t>98.0</t>
        </is>
      </c>
      <c r="S501" t="inlineStr">
        <is>
          <t>3</t>
        </is>
      </c>
    </row>
    <row r="502" ht="75" customHeight="1">
      <c r="A502" s="1">
        <f>HYPERLINK("https://www.theoutnet.com/en-us/shop/product/vix-paula-hermanny/swimwear-beachwear/bikini-bottoms/printed-low-rise-bikini-briefs/36594538429988925", "https://www.theoutnet.com/en-us/shop/product/vix-paula-hermanny/swimwear-beachwear/bikini-bottoms/printed-low-rise-bikini-briefs/36594538429988925")</f>
        <v/>
      </c>
      <c r="B502" s="1">
        <f>HYPERLINK("https://www.theoutnet.com/en-us/shop/product/vix-paula-hermanny/swimwear-beachwear/bikini-bottoms/printed-low-rise-bikini-briefs/36594538429988925", "https://www.theoutnet.com/en-us/shop/product/vix-paula-hermanny/swimwear-beachwear/bikini-bottoms/printed-low-rise-bikini-briefs/36594538429988925")</f>
        <v/>
      </c>
      <c r="C502" t="inlineStr">
        <is>
          <t>VIX PAULA HERMANNY</t>
        </is>
      </c>
      <c r="D502" t="inlineStr">
        <is>
          <t>ViX Paula Hermanny Women's Standard White Bia Tube Full Bottom</t>
        </is>
      </c>
      <c r="E502" s="1">
        <f>HYPERLINK("https://www.amazon.com/ViX-Womens-White-Bottom-Small/dp/B01MQX3FLC/ref=sr_1_2?keywords=VIX+PAULA+HERMANNY&amp;qid=1695343035&amp;sr=8-2", "https://www.amazon.com/ViX-Womens-White-Bottom-Small/dp/B01MQX3FLC/ref=sr_1_2?keywords=VIX+PAULA+HERMANNY&amp;qid=1695343035&amp;sr=8-2")</f>
        <v/>
      </c>
      <c r="F502" t="inlineStr">
        <is>
          <t>B01MQX3FLC</t>
        </is>
      </c>
      <c r="G502">
        <f>_xlfn.IMAGE("https://www.theoutnet.com/variants/images/36594538429988925/F/w1020_q80.jpg")</f>
        <v/>
      </c>
      <c r="H502">
        <f>_xlfn.IMAGE("https://m.media-amazon.com/images/I/71fOf52yTPL._MCnd_AC_UL320_.jpg")</f>
        <v/>
      </c>
      <c r="K502" t="inlineStr">
        <is>
          <t>30.0</t>
        </is>
      </c>
      <c r="L502" t="n">
        <v>108</v>
      </c>
      <c r="M502" s="2" t="inlineStr">
        <is>
          <t>260.00%</t>
        </is>
      </c>
      <c r="N502" t="n">
        <v>4.8</v>
      </c>
      <c r="O502" t="n">
        <v>11</v>
      </c>
      <c r="Q502" t="inlineStr">
        <is>
          <t>InStock</t>
        </is>
      </c>
      <c r="R502" t="inlineStr">
        <is>
          <t>98.0</t>
        </is>
      </c>
      <c r="S502" t="inlineStr">
        <is>
          <t>3</t>
        </is>
      </c>
    </row>
    <row r="503" ht="75" customHeight="1">
      <c r="A503" s="1">
        <f>HYPERLINK("https://www.theoutnet.com/en-us/shop/product/vix-paula-hermanny/swimwear-beachwear/bikini-bottoms/shaye-polka-dot-low-rise-bikini-briefs/36594538429991117", "https://www.theoutnet.com/en-us/shop/product/vix-paula-hermanny/swimwear-beachwear/bikini-bottoms/shaye-polka-dot-low-rise-bikini-briefs/36594538429991117")</f>
        <v/>
      </c>
      <c r="B503" s="1">
        <f>HYPERLINK("https://www.theoutnet.com/en-us/shop/product/vix-paula-hermanny/swimwear-beachwear/bikini-bottoms/shaye-polka-dot-low-rise-bikini-briefs/36594538429991117", "https://www.theoutnet.com/en-us/shop/product/vix-paula-hermanny/swimwear-beachwear/bikini-bottoms/shaye-polka-dot-low-rise-bikini-briefs/36594538429991117")</f>
        <v/>
      </c>
      <c r="C503" t="inlineStr">
        <is>
          <t>VIX PAULA HERMANNY</t>
        </is>
      </c>
      <c r="D503" t="inlineStr">
        <is>
          <t>ViX Paula Hermanny Women’s Tie Side Solid Full Coverage Bikini Bottoms</t>
        </is>
      </c>
      <c r="E503" s="1">
        <f>HYPERLINK("https://www.amazon.com/ViX-Paula-Hermanny-Coverage-Bottoms/dp/B001NYVI2Q/ref=sr_1_9?keywords=VIX+PAULA+HERMANNY&amp;qid=1695343031&amp;sr=8-9", "https://www.amazon.com/ViX-Paula-Hermanny-Coverage-Bottoms/dp/B001NYVI2Q/ref=sr_1_9?keywords=VIX+PAULA+HERMANNY&amp;qid=1695343031&amp;sr=8-9")</f>
        <v/>
      </c>
      <c r="F503" t="inlineStr">
        <is>
          <t>B001NYVI2Q</t>
        </is>
      </c>
      <c r="G503">
        <f>_xlfn.IMAGE("https://www.theoutnet.com/variants/images/36594538429991117/F/w1020_q80.jpg")</f>
        <v/>
      </c>
      <c r="H503">
        <f>_xlfn.IMAGE("https://m.media-amazon.com/images/I/61Wy9rMND1L._MCnd_AC_UL320_.jpg")</f>
        <v/>
      </c>
      <c r="K503" t="inlineStr">
        <is>
          <t>33.0</t>
        </is>
      </c>
      <c r="L503" t="n">
        <v>110</v>
      </c>
      <c r="M503" s="2" t="inlineStr">
        <is>
          <t>233.33%</t>
        </is>
      </c>
      <c r="N503" t="n">
        <v>5</v>
      </c>
      <c r="O503" t="n">
        <v>6</v>
      </c>
      <c r="Q503" t="inlineStr">
        <is>
          <t>InStock</t>
        </is>
      </c>
      <c r="R503" t="inlineStr">
        <is>
          <t>110.0</t>
        </is>
      </c>
      <c r="S503" t="inlineStr">
        <is>
          <t>3</t>
        </is>
      </c>
    </row>
    <row r="504" ht="75" customHeight="1">
      <c r="A504" s="1">
        <f>HYPERLINK("https://www.theoutnet.com/en-us/shop/product/vix-paula-hermanny/swimwear-beachwear/bikini-bottoms/shaye-polka-dot-low-rise-bikini-briefs/36594538429991117", "https://www.theoutnet.com/en-us/shop/product/vix-paula-hermanny/swimwear-beachwear/bikini-bottoms/shaye-polka-dot-low-rise-bikini-briefs/36594538429991117")</f>
        <v/>
      </c>
      <c r="B504" s="1">
        <f>HYPERLINK("https://www.theoutnet.com/en-us/shop/product/vix-paula-hermanny/swimwear-beachwear/bikini-bottoms/shaye-polka-dot-low-rise-bikini-briefs/36594538429991117", "https://www.theoutnet.com/en-us/shop/product/vix-paula-hermanny/swimwear-beachwear/bikini-bottoms/shaye-polka-dot-low-rise-bikini-briefs/36594538429991117")</f>
        <v/>
      </c>
      <c r="C504" t="inlineStr">
        <is>
          <t>VIX PAULA HERMANNY</t>
        </is>
      </c>
      <c r="D504" t="inlineStr">
        <is>
          <t>ViX Paula Hermanny womens Solid Bia Tube Full Bikini Bottom</t>
        </is>
      </c>
      <c r="E504" s="1">
        <f>HYPERLINK("https://www.amazon.com/ViX-Womens-Bikini-Bottom-Medium/dp/B01LXMB5LZ/ref=sr_1_4?keywords=VIX+PAULA+HERMANNY&amp;qid=1695343031&amp;sr=8-4", "https://www.amazon.com/ViX-Womens-Bikini-Bottom-Medium/dp/B01LXMB5LZ/ref=sr_1_4?keywords=VIX+PAULA+HERMANNY&amp;qid=1695343031&amp;sr=8-4")</f>
        <v/>
      </c>
      <c r="F504" t="inlineStr">
        <is>
          <t>B01LXMB5LZ</t>
        </is>
      </c>
      <c r="G504">
        <f>_xlfn.IMAGE("https://www.theoutnet.com/variants/images/36594538429991117/F/w1020_q80.jpg")</f>
        <v/>
      </c>
      <c r="H504">
        <f>_xlfn.IMAGE("https://m.media-amazon.com/images/I/71zI2w46vFL._MCnd_AC_UL320_.jpg")</f>
        <v/>
      </c>
      <c r="K504" t="inlineStr">
        <is>
          <t>33.0</t>
        </is>
      </c>
      <c r="L504" t="n">
        <v>108</v>
      </c>
      <c r="M504" s="2" t="inlineStr">
        <is>
          <t>227.27%</t>
        </is>
      </c>
      <c r="N504" t="n">
        <v>5</v>
      </c>
      <c r="O504" t="n">
        <v>10</v>
      </c>
      <c r="Q504" t="inlineStr">
        <is>
          <t>InStock</t>
        </is>
      </c>
      <c r="R504" t="inlineStr">
        <is>
          <t>110.0</t>
        </is>
      </c>
      <c r="S504" t="inlineStr">
        <is>
          <t>3</t>
        </is>
      </c>
    </row>
    <row r="505" ht="75" customHeight="1">
      <c r="A505" s="1">
        <f>HYPERLINK("https://www.theoutnet.com/en-us/shop/product/vix-paula-hermanny/swimwear-beachwear/bikini-bottoms/shaye-polka-dot-low-rise-bikini-briefs/36594538429991117", "https://www.theoutnet.com/en-us/shop/product/vix-paula-hermanny/swimwear-beachwear/bikini-bottoms/shaye-polka-dot-low-rise-bikini-briefs/36594538429991117")</f>
        <v/>
      </c>
      <c r="B505" s="1">
        <f>HYPERLINK("https://www.theoutnet.com/en-us/shop/product/vix-paula-hermanny/swimwear-beachwear/bikini-bottoms/shaye-polka-dot-low-rise-bikini-briefs/36594538429991117", "https://www.theoutnet.com/en-us/shop/product/vix-paula-hermanny/swimwear-beachwear/bikini-bottoms/shaye-polka-dot-low-rise-bikini-briefs/36594538429991117")</f>
        <v/>
      </c>
      <c r="C505" t="inlineStr">
        <is>
          <t>VIX PAULA HERMANNY</t>
        </is>
      </c>
      <c r="D505" t="inlineStr">
        <is>
          <t>ViX Paula Hermanny Women's Standard White Bia Tube Top</t>
        </is>
      </c>
      <c r="E505" s="1">
        <f>HYPERLINK("https://www.amazon.com/ViX-Paula-Hermanny-Womens-Bikini/dp/B01LZWCXGM/ref=sr_1_5?keywords=VIX+PAULA+HERMANNY&amp;qid=1695343031&amp;sr=8-5", "https://www.amazon.com/ViX-Paula-Hermanny-Womens-Bikini/dp/B01LZWCXGM/ref=sr_1_5?keywords=VIX+PAULA+HERMANNY&amp;qid=1695343031&amp;sr=8-5")</f>
        <v/>
      </c>
      <c r="F505" t="inlineStr">
        <is>
          <t>B01LZWCXGM</t>
        </is>
      </c>
      <c r="G505">
        <f>_xlfn.IMAGE("https://www.theoutnet.com/variants/images/36594538429991117/F/w1020_q80.jpg")</f>
        <v/>
      </c>
      <c r="H505">
        <f>_xlfn.IMAGE("https://m.media-amazon.com/images/I/61t7d0CuX-L._MCnd_AC_UL320_.jpg")</f>
        <v/>
      </c>
      <c r="K505" t="inlineStr">
        <is>
          <t>33.0</t>
        </is>
      </c>
      <c r="L505" t="n">
        <v>108</v>
      </c>
      <c r="M505" s="2" t="inlineStr">
        <is>
          <t>227.27%</t>
        </is>
      </c>
      <c r="N505" t="n">
        <v>4.3</v>
      </c>
      <c r="O505" t="n">
        <v>15</v>
      </c>
      <c r="Q505" t="inlineStr">
        <is>
          <t>InStock</t>
        </is>
      </c>
      <c r="R505" t="inlineStr">
        <is>
          <t>110.0</t>
        </is>
      </c>
      <c r="S505" t="inlineStr">
        <is>
          <t>3</t>
        </is>
      </c>
    </row>
    <row r="506" ht="75" customHeight="1">
      <c r="A506" s="1">
        <f>HYPERLINK("https://www.theoutnet.com/en-us/shop/product/vix-paula-hermanny/swimwear-beachwear/bikini-bottoms/shaye-polka-dot-low-rise-bikini-briefs/36594538429991117", "https://www.theoutnet.com/en-us/shop/product/vix-paula-hermanny/swimwear-beachwear/bikini-bottoms/shaye-polka-dot-low-rise-bikini-briefs/36594538429991117")</f>
        <v/>
      </c>
      <c r="B506" s="1">
        <f>HYPERLINK("https://www.theoutnet.com/en-us/shop/product/vix-paula-hermanny/swimwear-beachwear/bikini-bottoms/shaye-polka-dot-low-rise-bikini-briefs/36594538429991117", "https://www.theoutnet.com/en-us/shop/product/vix-paula-hermanny/swimwear-beachwear/bikini-bottoms/shaye-polka-dot-low-rise-bikini-briefs/36594538429991117")</f>
        <v/>
      </c>
      <c r="C506" t="inlineStr">
        <is>
          <t>VIX PAULA HERMANNY</t>
        </is>
      </c>
      <c r="D506" t="inlineStr">
        <is>
          <t>ViX Paula Hermanny Women's Standard White Bia Tube Full Bottom</t>
        </is>
      </c>
      <c r="E506" s="1">
        <f>HYPERLINK("https://www.amazon.com/ViX-Womens-White-Bottom-Small/dp/B01MQX3FLC/ref=sr_1_2?keywords=VIX+PAULA+HERMANNY&amp;qid=1695343031&amp;sr=8-2", "https://www.amazon.com/ViX-Womens-White-Bottom-Small/dp/B01MQX3FLC/ref=sr_1_2?keywords=VIX+PAULA+HERMANNY&amp;qid=1695343031&amp;sr=8-2")</f>
        <v/>
      </c>
      <c r="F506" t="inlineStr">
        <is>
          <t>B01MQX3FLC</t>
        </is>
      </c>
      <c r="G506">
        <f>_xlfn.IMAGE("https://www.theoutnet.com/variants/images/36594538429991117/F/w1020_q80.jpg")</f>
        <v/>
      </c>
      <c r="H506">
        <f>_xlfn.IMAGE("https://m.media-amazon.com/images/I/71fOf52yTPL._MCnd_AC_UL320_.jpg")</f>
        <v/>
      </c>
      <c r="K506" t="inlineStr">
        <is>
          <t>33.0</t>
        </is>
      </c>
      <c r="L506" t="n">
        <v>108</v>
      </c>
      <c r="M506" s="2" t="inlineStr">
        <is>
          <t>227.27%</t>
        </is>
      </c>
      <c r="N506" t="n">
        <v>4.8</v>
      </c>
      <c r="O506" t="n">
        <v>11</v>
      </c>
      <c r="Q506" t="inlineStr">
        <is>
          <t>InStock</t>
        </is>
      </c>
      <c r="R506" t="inlineStr">
        <is>
          <t>110.0</t>
        </is>
      </c>
      <c r="S506" t="inlineStr">
        <is>
          <t>3</t>
        </is>
      </c>
    </row>
    <row r="507" ht="75" customHeight="1">
      <c r="A507" s="1">
        <f>HYPERLINK("https://www.theoutnet.com/en-us/shop/product/vix-paula-hermanny/swimwear-beachwear/bikini-tops/bardot-embellished-tie-dyed-triangle-bikini-top/33258524071949329", "https://www.theoutnet.com/en-us/shop/product/vix-paula-hermanny/swimwear-beachwear/bikini-tops/bardot-embellished-tie-dyed-triangle-bikini-top/33258524071949329")</f>
        <v/>
      </c>
      <c r="B507" s="1">
        <f>HYPERLINK("https://www.theoutnet.com/en-us/shop/product/vix-paula-hermanny/swimwear-beachwear/bikini-tops/bardot-embellished-tie-dyed-triangle-bikini-top/33258524071949329", "https://www.theoutnet.com/en-us/shop/product/vix-paula-hermanny/swimwear-beachwear/bikini-tops/bardot-embellished-tie-dyed-triangle-bikini-top/33258524071949329")</f>
        <v/>
      </c>
      <c r="C507" t="inlineStr">
        <is>
          <t>VIX PAULA HERMANNY</t>
        </is>
      </c>
      <c r="D507" t="inlineStr">
        <is>
          <t>ViX Paula Hermanny Women’s Tie Side Solid Full Coverage Bikini Bottoms</t>
        </is>
      </c>
      <c r="E507" s="1">
        <f>HYPERLINK("https://www.amazon.com/ViX-Paula-Hermanny-Coverage-Bottoms/dp/B001NYVI2Q/ref=sr_1_8?keywords=VIX+PAULA+HERMANNY&amp;qid=1695343033&amp;sr=8-8", "https://www.amazon.com/ViX-Paula-Hermanny-Coverage-Bottoms/dp/B001NYVI2Q/ref=sr_1_8?keywords=VIX+PAULA+HERMANNY&amp;qid=1695343033&amp;sr=8-8")</f>
        <v/>
      </c>
      <c r="F507" t="inlineStr">
        <is>
          <t>B001NYVI2Q</t>
        </is>
      </c>
      <c r="G507">
        <f>_xlfn.IMAGE("https://www.theoutnet.com/variants/images/33258524071949329/F/w1020_q80.jpg")</f>
        <v/>
      </c>
      <c r="H507">
        <f>_xlfn.IMAGE("https://m.media-amazon.com/images/I/61Wy9rMND1L._MCnd_AC_UL320_.jpg")</f>
        <v/>
      </c>
      <c r="K507" t="inlineStr">
        <is>
          <t>30.0</t>
        </is>
      </c>
      <c r="L507" t="n">
        <v>110</v>
      </c>
      <c r="M507" s="2" t="inlineStr">
        <is>
          <t>266.67%</t>
        </is>
      </c>
      <c r="N507" t="n">
        <v>5</v>
      </c>
      <c r="O507" t="n">
        <v>6</v>
      </c>
      <c r="Q507" t="inlineStr">
        <is>
          <t>InStock</t>
        </is>
      </c>
      <c r="R507" t="inlineStr">
        <is>
          <t>98.0</t>
        </is>
      </c>
      <c r="S507" t="inlineStr">
        <is>
          <t>33258524071949329</t>
        </is>
      </c>
    </row>
    <row r="508" ht="75" customHeight="1">
      <c r="A508" s="1">
        <f>HYPERLINK("https://www.theoutnet.com/en-us/shop/product/vix-paula-hermanny/swimwear-beachwear/bikini-tops/bardot-embellished-tie-dyed-triangle-bikini-top/33258524071949329", "https://www.theoutnet.com/en-us/shop/product/vix-paula-hermanny/swimwear-beachwear/bikini-tops/bardot-embellished-tie-dyed-triangle-bikini-top/33258524071949329")</f>
        <v/>
      </c>
      <c r="B508" s="1">
        <f>HYPERLINK("https://www.theoutnet.com/en-us/shop/product/vix-paula-hermanny/swimwear-beachwear/bikini-tops/bardot-embellished-tie-dyed-triangle-bikini-top/33258524071949329", "https://www.theoutnet.com/en-us/shop/product/vix-paula-hermanny/swimwear-beachwear/bikini-tops/bardot-embellished-tie-dyed-triangle-bikini-top/33258524071949329")</f>
        <v/>
      </c>
      <c r="C508" t="inlineStr">
        <is>
          <t>VIX PAULA HERMANNY</t>
        </is>
      </c>
      <c r="D508" t="inlineStr">
        <is>
          <t>ViX Paula Hermanny Women's Standard White Bia Tube Full Bottom</t>
        </is>
      </c>
      <c r="E508" s="1">
        <f>HYPERLINK("https://www.amazon.com/ViX-Womens-White-Bottom-Small/dp/B01MQX3FLC/ref=sr_1_2?keywords=VIX+PAULA+HERMANNY&amp;qid=1695343033&amp;sr=8-2", "https://www.amazon.com/ViX-Womens-White-Bottom-Small/dp/B01MQX3FLC/ref=sr_1_2?keywords=VIX+PAULA+HERMANNY&amp;qid=1695343033&amp;sr=8-2")</f>
        <v/>
      </c>
      <c r="F508" t="inlineStr">
        <is>
          <t>B01MQX3FLC</t>
        </is>
      </c>
      <c r="G508">
        <f>_xlfn.IMAGE("https://www.theoutnet.com/variants/images/33258524071949329/F/w1020_q80.jpg")</f>
        <v/>
      </c>
      <c r="H508">
        <f>_xlfn.IMAGE("https://m.media-amazon.com/images/I/71fOf52yTPL._MCnd_AC_UL320_.jpg")</f>
        <v/>
      </c>
      <c r="K508" t="inlineStr">
        <is>
          <t>30.0</t>
        </is>
      </c>
      <c r="L508" t="n">
        <v>108</v>
      </c>
      <c r="M508" s="2" t="inlineStr">
        <is>
          <t>260.00%</t>
        </is>
      </c>
      <c r="N508" t="n">
        <v>4.8</v>
      </c>
      <c r="O508" t="n">
        <v>11</v>
      </c>
      <c r="Q508" t="inlineStr">
        <is>
          <t>InStock</t>
        </is>
      </c>
      <c r="R508" t="inlineStr">
        <is>
          <t>98.0</t>
        </is>
      </c>
      <c r="S508" t="inlineStr">
        <is>
          <t>33258524071949329</t>
        </is>
      </c>
    </row>
    <row r="509" ht="75" customHeight="1">
      <c r="A509" s="1">
        <f>HYPERLINK("https://www.theoutnet.com/en-us/shop/product/vix-paula-hermanny/swimwear-beachwear/bikini-tops/bardot-embellished-tie-dyed-triangle-bikini-top/33258524071949329", "https://www.theoutnet.com/en-us/shop/product/vix-paula-hermanny/swimwear-beachwear/bikini-tops/bardot-embellished-tie-dyed-triangle-bikini-top/33258524071949329")</f>
        <v/>
      </c>
      <c r="B509" s="1">
        <f>HYPERLINK("https://www.theoutnet.com/en-us/shop/product/vix-paula-hermanny/swimwear-beachwear/bikini-tops/bardot-embellished-tie-dyed-triangle-bikini-top/33258524071949329", "https://www.theoutnet.com/en-us/shop/product/vix-paula-hermanny/swimwear-beachwear/bikini-tops/bardot-embellished-tie-dyed-triangle-bikini-top/33258524071949329")</f>
        <v/>
      </c>
      <c r="C509" t="inlineStr">
        <is>
          <t>VIX PAULA HERMANNY</t>
        </is>
      </c>
      <c r="D509" t="inlineStr">
        <is>
          <t>ViX Paula Hermanny womens Solid Bia Tube Full Bikini Bottom</t>
        </is>
      </c>
      <c r="E509" s="1">
        <f>HYPERLINK("https://www.amazon.com/ViX-Womens-Bikini-Bottom-Medium/dp/B01LXMB5LZ/ref=sr_1_4?keywords=VIX+PAULA+HERMANNY&amp;qid=1695343033&amp;sr=8-4", "https://www.amazon.com/ViX-Womens-Bikini-Bottom-Medium/dp/B01LXMB5LZ/ref=sr_1_4?keywords=VIX+PAULA+HERMANNY&amp;qid=1695343033&amp;sr=8-4")</f>
        <v/>
      </c>
      <c r="F509" t="inlineStr">
        <is>
          <t>B01LXMB5LZ</t>
        </is>
      </c>
      <c r="G509">
        <f>_xlfn.IMAGE("https://www.theoutnet.com/variants/images/33258524071949329/F/w1020_q80.jpg")</f>
        <v/>
      </c>
      <c r="H509">
        <f>_xlfn.IMAGE("https://m.media-amazon.com/images/I/71zI2w46vFL._MCnd_AC_UL320_.jpg")</f>
        <v/>
      </c>
      <c r="K509" t="inlineStr">
        <is>
          <t>30.0</t>
        </is>
      </c>
      <c r="L509" t="n">
        <v>108</v>
      </c>
      <c r="M509" s="2" t="inlineStr">
        <is>
          <t>260.00%</t>
        </is>
      </c>
      <c r="N509" t="n">
        <v>5</v>
      </c>
      <c r="O509" t="n">
        <v>10</v>
      </c>
      <c r="Q509" t="inlineStr">
        <is>
          <t>InStock</t>
        </is>
      </c>
      <c r="R509" t="inlineStr">
        <is>
          <t>98.0</t>
        </is>
      </c>
      <c r="S509" t="inlineStr">
        <is>
          <t>33258524071949329</t>
        </is>
      </c>
    </row>
    <row r="510" ht="75" customHeight="1">
      <c r="A510" s="1">
        <f>HYPERLINK("https://www.theoutnet.com/en-us/shop/product/vix-paula-hermanny/swimwear-beachwear/bikini-tops/bardot-embellished-tie-dyed-triangle-bikini-top/33258524071949329", "https://www.theoutnet.com/en-us/shop/product/vix-paula-hermanny/swimwear-beachwear/bikini-tops/bardot-embellished-tie-dyed-triangle-bikini-top/33258524071949329")</f>
        <v/>
      </c>
      <c r="B510" s="1">
        <f>HYPERLINK("https://www.theoutnet.com/en-us/shop/product/vix-paula-hermanny/swimwear-beachwear/bikini-tops/bardot-embellished-tie-dyed-triangle-bikini-top/33258524071949329", "https://www.theoutnet.com/en-us/shop/product/vix-paula-hermanny/swimwear-beachwear/bikini-tops/bardot-embellished-tie-dyed-triangle-bikini-top/33258524071949329")</f>
        <v/>
      </c>
      <c r="C510" t="inlineStr">
        <is>
          <t>VIX PAULA HERMANNY</t>
        </is>
      </c>
      <c r="D510" t="inlineStr">
        <is>
          <t>ViX Paula Hermanny Women's Standard White Bia Tube Top</t>
        </is>
      </c>
      <c r="E510" s="1">
        <f>HYPERLINK("https://www.amazon.com/ViX-Paula-Hermanny-Womens-Bikini/dp/B01LZWCXGM/ref=sr_1_5?keywords=VIX+PAULA+HERMANNY&amp;qid=1695343033&amp;sr=8-5", "https://www.amazon.com/ViX-Paula-Hermanny-Womens-Bikini/dp/B01LZWCXGM/ref=sr_1_5?keywords=VIX+PAULA+HERMANNY&amp;qid=1695343033&amp;sr=8-5")</f>
        <v/>
      </c>
      <c r="F510" t="inlineStr">
        <is>
          <t>B01LZWCXGM</t>
        </is>
      </c>
      <c r="G510">
        <f>_xlfn.IMAGE("https://www.theoutnet.com/variants/images/33258524071949329/F/w1020_q80.jpg")</f>
        <v/>
      </c>
      <c r="H510">
        <f>_xlfn.IMAGE("https://m.media-amazon.com/images/I/61t7d0CuX-L._MCnd_AC_UL320_.jpg")</f>
        <v/>
      </c>
      <c r="K510" t="inlineStr">
        <is>
          <t>30.0</t>
        </is>
      </c>
      <c r="L510" t="n">
        <v>108</v>
      </c>
      <c r="M510" s="2" t="inlineStr">
        <is>
          <t>260.00%</t>
        </is>
      </c>
      <c r="N510" t="n">
        <v>4.3</v>
      </c>
      <c r="O510" t="n">
        <v>15</v>
      </c>
      <c r="Q510" t="inlineStr">
        <is>
          <t>InStock</t>
        </is>
      </c>
      <c r="R510" t="inlineStr">
        <is>
          <t>98.0</t>
        </is>
      </c>
      <c r="S510" t="inlineStr">
        <is>
          <t>33258524071949329</t>
        </is>
      </c>
    </row>
    <row r="511" ht="75" customHeight="1">
      <c r="A511" s="1">
        <f>HYPERLINK("https://www.theoutnet.com/en-us/shop/product/vix-paula-hermanny/swimwear-beachwear/bikini-tops/paris-erin-chain-trimmed-floral-print-bikini-top/25185454456520085", "https://www.theoutnet.com/en-us/shop/product/vix-paula-hermanny/swimwear-beachwear/bikini-tops/paris-erin-chain-trimmed-floral-print-bikini-top/25185454456520085")</f>
        <v/>
      </c>
      <c r="B511" s="1">
        <f>HYPERLINK("https://www.theoutnet.com/en-us/shop/product/vix-paula-hermanny/swimwear-beachwear/bikini-tops/paris-erin-chain-trimmed-floral-print-bikini-top/25185454456520085", "https://www.theoutnet.com/en-us/shop/product/vix-paula-hermanny/swimwear-beachwear/bikini-tops/paris-erin-chain-trimmed-floral-print-bikini-top/25185454456520085")</f>
        <v/>
      </c>
      <c r="C511" t="inlineStr">
        <is>
          <t>VIX PAULA HERMANNY</t>
        </is>
      </c>
      <c r="D511" t="inlineStr">
        <is>
          <t>ViX Paula Hermanny Women’s Tie Side Solid Full Coverage Bikini Bottoms</t>
        </is>
      </c>
      <c r="E511" s="1">
        <f>HYPERLINK("https://www.amazon.com/ViX-Paula-Hermanny-Coverage-Bottoms/dp/B001NYVI2Q/ref=sr_1_9?keywords=VIX+PAULA+HERMANNY&amp;qid=1695343033&amp;sr=8-9", "https://www.amazon.com/ViX-Paula-Hermanny-Coverage-Bottoms/dp/B001NYVI2Q/ref=sr_1_9?keywords=VIX+PAULA+HERMANNY&amp;qid=1695343033&amp;sr=8-9")</f>
        <v/>
      </c>
      <c r="F511" t="inlineStr">
        <is>
          <t>B001NYVI2Q</t>
        </is>
      </c>
      <c r="G511">
        <f>_xlfn.IMAGE("https://www.theoutnet.com/variants/images/25185454456520085/F/w1020_q80.jpg")</f>
        <v/>
      </c>
      <c r="H511">
        <f>_xlfn.IMAGE("https://m.media-amazon.com/images/I/61Wy9rMND1L._MCnd_AC_UL320_.jpg")</f>
        <v/>
      </c>
      <c r="K511" t="inlineStr">
        <is>
          <t>33.0</t>
        </is>
      </c>
      <c r="L511" t="n">
        <v>110</v>
      </c>
      <c r="M511" s="2" t="inlineStr">
        <is>
          <t>233.33%</t>
        </is>
      </c>
      <c r="N511" t="n">
        <v>5</v>
      </c>
      <c r="O511" t="n">
        <v>6</v>
      </c>
      <c r="Q511" t="inlineStr">
        <is>
          <t>InStock</t>
        </is>
      </c>
      <c r="R511" t="inlineStr">
        <is>
          <t>108.0</t>
        </is>
      </c>
      <c r="S511" t="inlineStr">
        <is>
          <t>2</t>
        </is>
      </c>
    </row>
    <row r="512" ht="75" customHeight="1">
      <c r="A512" s="1">
        <f>HYPERLINK("https://www.theoutnet.com/en-us/shop/product/vix-paula-hermanny/swimwear-beachwear/bikini-tops/paris-erin-chain-trimmed-floral-print-bikini-top/25185454456520085", "https://www.theoutnet.com/en-us/shop/product/vix-paula-hermanny/swimwear-beachwear/bikini-tops/paris-erin-chain-trimmed-floral-print-bikini-top/25185454456520085")</f>
        <v/>
      </c>
      <c r="B512" s="1">
        <f>HYPERLINK("https://www.theoutnet.com/en-us/shop/product/vix-paula-hermanny/swimwear-beachwear/bikini-tops/paris-erin-chain-trimmed-floral-print-bikini-top/25185454456520085", "https://www.theoutnet.com/en-us/shop/product/vix-paula-hermanny/swimwear-beachwear/bikini-tops/paris-erin-chain-trimmed-floral-print-bikini-top/25185454456520085")</f>
        <v/>
      </c>
      <c r="C512" t="inlineStr">
        <is>
          <t>VIX PAULA HERMANNY</t>
        </is>
      </c>
      <c r="D512" t="inlineStr">
        <is>
          <t>ViX Paula Hermanny Women's Standard White Bia Tube Full Bottom</t>
        </is>
      </c>
      <c r="E512" s="1">
        <f>HYPERLINK("https://www.amazon.com/ViX-Womens-White-Bottom-Small/dp/B01MQX3FLC/ref=sr_1_2?keywords=VIX+PAULA+HERMANNY&amp;qid=1695343033&amp;sr=8-2", "https://www.amazon.com/ViX-Womens-White-Bottom-Small/dp/B01MQX3FLC/ref=sr_1_2?keywords=VIX+PAULA+HERMANNY&amp;qid=1695343033&amp;sr=8-2")</f>
        <v/>
      </c>
      <c r="F512" t="inlineStr">
        <is>
          <t>B01MQX3FLC</t>
        </is>
      </c>
      <c r="G512">
        <f>_xlfn.IMAGE("https://www.theoutnet.com/variants/images/25185454456520085/F/w1020_q80.jpg")</f>
        <v/>
      </c>
      <c r="H512">
        <f>_xlfn.IMAGE("https://m.media-amazon.com/images/I/71fOf52yTPL._MCnd_AC_UL320_.jpg")</f>
        <v/>
      </c>
      <c r="K512" t="inlineStr">
        <is>
          <t>33.0</t>
        </is>
      </c>
      <c r="L512" t="n">
        <v>108</v>
      </c>
      <c r="M512" s="2" t="inlineStr">
        <is>
          <t>227.27%</t>
        </is>
      </c>
      <c r="N512" t="n">
        <v>4.8</v>
      </c>
      <c r="O512" t="n">
        <v>11</v>
      </c>
      <c r="Q512" t="inlineStr">
        <is>
          <t>InStock</t>
        </is>
      </c>
      <c r="R512" t="inlineStr">
        <is>
          <t>108.0</t>
        </is>
      </c>
      <c r="S512" t="inlineStr">
        <is>
          <t>2</t>
        </is>
      </c>
    </row>
    <row r="513" ht="75" customHeight="1">
      <c r="A513" s="1">
        <f>HYPERLINK("https://www.theoutnet.com/en-us/shop/product/vix-paula-hermanny/swimwear-beachwear/bikini-tops/paris-erin-chain-trimmed-floral-print-bikini-top/25185454456520085", "https://www.theoutnet.com/en-us/shop/product/vix-paula-hermanny/swimwear-beachwear/bikini-tops/paris-erin-chain-trimmed-floral-print-bikini-top/25185454456520085")</f>
        <v/>
      </c>
      <c r="B513" s="1">
        <f>HYPERLINK("https://www.theoutnet.com/en-us/shop/product/vix-paula-hermanny/swimwear-beachwear/bikini-tops/paris-erin-chain-trimmed-floral-print-bikini-top/25185454456520085", "https://www.theoutnet.com/en-us/shop/product/vix-paula-hermanny/swimwear-beachwear/bikini-tops/paris-erin-chain-trimmed-floral-print-bikini-top/25185454456520085")</f>
        <v/>
      </c>
      <c r="C513" t="inlineStr">
        <is>
          <t>VIX PAULA HERMANNY</t>
        </is>
      </c>
      <c r="D513" t="inlineStr">
        <is>
          <t>ViX Paula Hermanny womens Solid Bia Tube Full Bikini Bottom</t>
        </is>
      </c>
      <c r="E513" s="1">
        <f>HYPERLINK("https://www.amazon.com/ViX-Womens-Bikini-Bottom-Medium/dp/B01LXMB5LZ/ref=sr_1_4?keywords=VIX+PAULA+HERMANNY&amp;qid=1695343033&amp;sr=8-4", "https://www.amazon.com/ViX-Womens-Bikini-Bottom-Medium/dp/B01LXMB5LZ/ref=sr_1_4?keywords=VIX+PAULA+HERMANNY&amp;qid=1695343033&amp;sr=8-4")</f>
        <v/>
      </c>
      <c r="F513" t="inlineStr">
        <is>
          <t>B01LXMB5LZ</t>
        </is>
      </c>
      <c r="G513">
        <f>_xlfn.IMAGE("https://www.theoutnet.com/variants/images/25185454456520085/F/w1020_q80.jpg")</f>
        <v/>
      </c>
      <c r="H513">
        <f>_xlfn.IMAGE("https://m.media-amazon.com/images/I/71zI2w46vFL._MCnd_AC_UL320_.jpg")</f>
        <v/>
      </c>
      <c r="K513" t="inlineStr">
        <is>
          <t>33.0</t>
        </is>
      </c>
      <c r="L513" t="n">
        <v>108</v>
      </c>
      <c r="M513" s="2" t="inlineStr">
        <is>
          <t>227.27%</t>
        </is>
      </c>
      <c r="N513" t="n">
        <v>5</v>
      </c>
      <c r="O513" t="n">
        <v>10</v>
      </c>
      <c r="Q513" t="inlineStr">
        <is>
          <t>InStock</t>
        </is>
      </c>
      <c r="R513" t="inlineStr">
        <is>
          <t>108.0</t>
        </is>
      </c>
      <c r="S513" t="inlineStr">
        <is>
          <t>2</t>
        </is>
      </c>
    </row>
    <row r="514" ht="75" customHeight="1">
      <c r="A514" s="1">
        <f>HYPERLINK("https://www.theoutnet.com/en-us/shop/product/vix-paula-hermanny/swimwear-beachwear/bikini-tops/paris-erin-chain-trimmed-floral-print-bikini-top/25185454456520085", "https://www.theoutnet.com/en-us/shop/product/vix-paula-hermanny/swimwear-beachwear/bikini-tops/paris-erin-chain-trimmed-floral-print-bikini-top/25185454456520085")</f>
        <v/>
      </c>
      <c r="B514" s="1">
        <f>HYPERLINK("https://www.theoutnet.com/en-us/shop/product/vix-paula-hermanny/swimwear-beachwear/bikini-tops/paris-erin-chain-trimmed-floral-print-bikini-top/25185454456520085", "https://www.theoutnet.com/en-us/shop/product/vix-paula-hermanny/swimwear-beachwear/bikini-tops/paris-erin-chain-trimmed-floral-print-bikini-top/25185454456520085")</f>
        <v/>
      </c>
      <c r="C514" t="inlineStr">
        <is>
          <t>VIX PAULA HERMANNY</t>
        </is>
      </c>
      <c r="D514" t="inlineStr">
        <is>
          <t>ViX Paula Hermanny Women's Standard White Bia Tube Top</t>
        </is>
      </c>
      <c r="E514" s="1">
        <f>HYPERLINK("https://www.amazon.com/ViX-Paula-Hermanny-Womens-Bikini/dp/B01LZWCXGM/ref=sr_1_5?keywords=VIX+PAULA+HERMANNY&amp;qid=1695343033&amp;sr=8-5", "https://www.amazon.com/ViX-Paula-Hermanny-Womens-Bikini/dp/B01LZWCXGM/ref=sr_1_5?keywords=VIX+PAULA+HERMANNY&amp;qid=1695343033&amp;sr=8-5")</f>
        <v/>
      </c>
      <c r="F514" t="inlineStr">
        <is>
          <t>B01LZWCXGM</t>
        </is>
      </c>
      <c r="G514">
        <f>_xlfn.IMAGE("https://www.theoutnet.com/variants/images/25185454456520085/F/w1020_q80.jpg")</f>
        <v/>
      </c>
      <c r="H514">
        <f>_xlfn.IMAGE("https://m.media-amazon.com/images/I/61t7d0CuX-L._MCnd_AC_UL320_.jpg")</f>
        <v/>
      </c>
      <c r="K514" t="inlineStr">
        <is>
          <t>33.0</t>
        </is>
      </c>
      <c r="L514" t="n">
        <v>108</v>
      </c>
      <c r="M514" s="2" t="inlineStr">
        <is>
          <t>227.27%</t>
        </is>
      </c>
      <c r="N514" t="n">
        <v>4.3</v>
      </c>
      <c r="O514" t="n">
        <v>15</v>
      </c>
      <c r="Q514" t="inlineStr">
        <is>
          <t>InStock</t>
        </is>
      </c>
      <c r="R514" t="inlineStr">
        <is>
          <t>108.0</t>
        </is>
      </c>
      <c r="S514" t="inlineStr">
        <is>
          <t>2</t>
        </is>
      </c>
    </row>
    <row r="515" ht="75" customHeight="1">
      <c r="A515" s="1">
        <f>HYPERLINK("https://www.theoutnet.com/en-us/shop/product/zimmermann/jewelry/earrings/gold-tone-amethyst-earrings/1647597319984055", "https://www.theoutnet.com/en-us/shop/product/zimmermann/jewelry/earrings/gold-tone-amethyst-earrings/1647597319984055")</f>
        <v/>
      </c>
      <c r="B515" s="1">
        <f>HYPERLINK("https://www.theoutnet.com/en-us/shop/product/zimmermann/jewelry/earrings/gold-tone-amethyst-earrings/1647597319984055", "https://www.theoutnet.com/en-us/shop/product/zimmermann/jewelry/earrings/gold-tone-amethyst-earrings/1647597319984055")</f>
        <v/>
      </c>
      <c r="C515" t="inlineStr">
        <is>
          <t>Gold-tone amethyst earrings</t>
        </is>
      </c>
      <c r="D515" t="inlineStr">
        <is>
          <t>Amazon 14k Gold 8 x 10mm Oval Gemstone Dangle Earrings for Women with Leverbacks</t>
        </is>
      </c>
      <c r="E515" s="1">
        <f>HYPERLINK("https://www.amazon.com/Amazon-Collection-February-Birthstone-Leverbackss/dp/B06XFT5C1W/ref=sr_1_4?keywords=Gold-tone+amethyst+earrings&amp;qid=1695343046&amp;sr=8-4", "https://www.amazon.com/Amazon-Collection-February-Birthstone-Leverbackss/dp/B06XFT5C1W/ref=sr_1_4?keywords=Gold-tone+amethyst+earrings&amp;qid=1695343046&amp;sr=8-4")</f>
        <v/>
      </c>
      <c r="F515" t="inlineStr">
        <is>
          <t>B06XFT5C1W</t>
        </is>
      </c>
      <c r="G515">
        <f>_xlfn.IMAGE("https://www.theoutnet.com/variants/images/1647597319984055/F/w1020_q80.jpg")</f>
        <v/>
      </c>
      <c r="H515">
        <f>_xlfn.IMAGE("https://m.media-amazon.com/images/I/61plpcSdV2L._AC_UL320_.jpg")</f>
        <v/>
      </c>
      <c r="K515" t="inlineStr">
        <is>
          <t>71.0</t>
        </is>
      </c>
      <c r="L515" t="n">
        <v>298.89</v>
      </c>
      <c r="M515" s="2" t="inlineStr">
        <is>
          <t>320.97%</t>
        </is>
      </c>
      <c r="N515" t="n">
        <v>4.5</v>
      </c>
      <c r="O515" t="n">
        <v>573</v>
      </c>
      <c r="Q515" t="inlineStr">
        <is>
          <t>InStock</t>
        </is>
      </c>
      <c r="R515" t="inlineStr">
        <is>
          <t>235.0</t>
        </is>
      </c>
      <c r="S515" t="inlineStr">
        <is>
          <t>1647597319984055</t>
        </is>
      </c>
    </row>
    <row r="516" ht="75" customHeight="1">
      <c r="A516" s="1">
        <f>HYPERLINK("https://www.theoutnet.com/en-us/shop/product/zimmermann/jewelry/earrings/gold-tone-amethyst-earrings/1647597319984055", "https://www.theoutnet.com/en-us/shop/product/zimmermann/jewelry/earrings/gold-tone-amethyst-earrings/1647597319984055")</f>
        <v/>
      </c>
      <c r="B516" s="1">
        <f>HYPERLINK("https://www.theoutnet.com/en-us/shop/product/zimmermann/jewelry/earrings/gold-tone-amethyst-earrings/1647597319984055", "https://www.theoutnet.com/en-us/shop/product/zimmermann/jewelry/earrings/gold-tone-amethyst-earrings/1647597319984055")</f>
        <v/>
      </c>
      <c r="C516" t="inlineStr">
        <is>
          <t>Gold-tone amethyst earrings</t>
        </is>
      </c>
      <c r="D516" t="inlineStr">
        <is>
          <t>14k Gold Large Round Stud Earrings for Women | 9mm Birthstone Earrings | Gemstone Earrings for Women | Gemstone Stud Earrings for Women by MAX + STONE</t>
        </is>
      </c>
      <c r="E516" s="1">
        <f>HYPERLINK("https://www.amazon.com/Amethyst-Stud-Earrings-Rose-CT-TW/dp/B07P14Y3P4/ref=sr_1_6?keywords=Gold-tone+amethyst+earrings&amp;qid=1695343046&amp;sr=8-6", "https://www.amazon.com/Amethyst-Stud-Earrings-Rose-CT-TW/dp/B07P14Y3P4/ref=sr_1_6?keywords=Gold-tone+amethyst+earrings&amp;qid=1695343046&amp;sr=8-6")</f>
        <v/>
      </c>
      <c r="F516" t="inlineStr">
        <is>
          <t>B07P14Y3P4</t>
        </is>
      </c>
      <c r="G516">
        <f>_xlfn.IMAGE("https://www.theoutnet.com/variants/images/1647597319984055/F/w1020_q80.jpg")</f>
        <v/>
      </c>
      <c r="H516">
        <f>_xlfn.IMAGE("https://m.media-amazon.com/images/I/61NKOY+xupL._AC_UL320_.jpg")</f>
        <v/>
      </c>
      <c r="K516" t="inlineStr">
        <is>
          <t>71.0</t>
        </is>
      </c>
      <c r="L516" t="n">
        <v>194</v>
      </c>
      <c r="M516" s="2" t="inlineStr">
        <is>
          <t>173.24%</t>
        </is>
      </c>
      <c r="N516" t="n">
        <v>4.2</v>
      </c>
      <c r="O516" t="n">
        <v>213</v>
      </c>
      <c r="Q516" t="inlineStr">
        <is>
          <t>InStock</t>
        </is>
      </c>
      <c r="R516" t="inlineStr">
        <is>
          <t>235.0</t>
        </is>
      </c>
      <c r="S516" t="inlineStr">
        <is>
          <t>1647597319984055</t>
        </is>
      </c>
    </row>
    <row r="517" ht="75" customHeight="1">
      <c r="A517" s="1">
        <f>HYPERLINK("https://www.theoutnet.com/en-us/shop/product/zimmermann/jewelry/earrings/gold-tone-malachite-earrings/1647597319983380", "https://www.theoutnet.com/en-us/shop/product/zimmermann/jewelry/earrings/gold-tone-malachite-earrings/1647597319983380")</f>
        <v/>
      </c>
      <c r="B517" s="1">
        <f>HYPERLINK("https://www.theoutnet.com/en-us/shop/product/zimmermann/jewelry/earrings/gold-tone-malachite-earrings/1647597319983380", "https://www.theoutnet.com/en-us/shop/product/zimmermann/jewelry/earrings/gold-tone-malachite-earrings/1647597319983380")</f>
        <v/>
      </c>
      <c r="C517" t="inlineStr">
        <is>
          <t>Gold-tone malachite earrings</t>
        </is>
      </c>
      <c r="D517" t="inlineStr">
        <is>
          <t>Ross-Simons Malachite Hoop Earrings in 14kt Yellow Gold</t>
        </is>
      </c>
      <c r="E517" s="1">
        <f>HYPERLINK("https://www.amazon.com/Ross-Simons-Malachite-Hoop-Earrings-Yellow/dp/B07BY676VW/ref=sr_1_7?keywords=Gold-tone+malachite+earrings&amp;qid=1695343046&amp;sr=8-7", "https://www.amazon.com/Ross-Simons-Malachite-Hoop-Earrings-Yellow/dp/B07BY676VW/ref=sr_1_7?keywords=Gold-tone+malachite+earrings&amp;qid=1695343046&amp;sr=8-7")</f>
        <v/>
      </c>
      <c r="F517" t="inlineStr">
        <is>
          <t>B07BY676VW</t>
        </is>
      </c>
      <c r="G517">
        <f>_xlfn.IMAGE("https://www.theoutnet.com/variants/images/1647597319983380/F/w1020_q80.jpg")</f>
        <v/>
      </c>
      <c r="H517">
        <f>_xlfn.IMAGE("https://m.media-amazon.com/images/I/717xAoo5HuL._AC_UL320_.jpg")</f>
        <v/>
      </c>
      <c r="K517" t="inlineStr">
        <is>
          <t>71.0</t>
        </is>
      </c>
      <c r="L517" t="n">
        <v>201.75</v>
      </c>
      <c r="M517" s="2" t="inlineStr">
        <is>
          <t>184.15%</t>
        </is>
      </c>
      <c r="N517" t="n">
        <v>4.2</v>
      </c>
      <c r="O517" t="n">
        <v>8</v>
      </c>
      <c r="Q517" t="inlineStr">
        <is>
          <t>InStock</t>
        </is>
      </c>
      <c r="R517" t="inlineStr">
        <is>
          <t>235.0</t>
        </is>
      </c>
      <c r="S517" t="inlineStr">
        <is>
          <t>1647597319983380</t>
        </is>
      </c>
    </row>
    <row r="518" ht="75" customHeight="1">
      <c r="A518" s="1">
        <f>HYPERLINK("https://www.theoutnet.com/en-us/shop/product/zimmermann/jewelry/rings/gold-tone-amethyst-ring/1647597319983688", "https://www.theoutnet.com/en-us/shop/product/zimmermann/jewelry/rings/gold-tone-amethyst-ring/1647597319983688")</f>
        <v/>
      </c>
      <c r="B518" s="1">
        <f>HYPERLINK("https://www.theoutnet.com/en-us/shop/product/zimmermann/jewelry/rings/gold-tone-amethyst-ring/1647597319983688", "https://www.theoutnet.com/en-us/shop/product/zimmermann/jewelry/rings/gold-tone-amethyst-ring/1647597319983688")</f>
        <v/>
      </c>
      <c r="C518" t="inlineStr">
        <is>
          <t>Gold-tone amethyst ring</t>
        </is>
      </c>
      <c r="D518" t="inlineStr">
        <is>
          <t>Ross-Simons 3.00 Carat Amethyst Woven Ring in 14kt Yellow Gold</t>
        </is>
      </c>
      <c r="E518" s="1" t="n"/>
      <c r="F518" t="inlineStr">
        <is>
          <t>B0CJ36SK3L</t>
        </is>
      </c>
      <c r="G518">
        <f>_xlfn.IMAGE("https://www.theoutnet.com/variants/images/1647597319983688/F/w1020_q80.jpg")</f>
        <v/>
      </c>
      <c r="H518">
        <f>_xlfn.IMAGE("https://m.media-amazon.com/images/I/81oopGmZINL._AC_UL320_.jpg")</f>
        <v/>
      </c>
      <c r="K518" t="inlineStr">
        <is>
          <t>50.0</t>
        </is>
      </c>
      <c r="L518" t="n">
        <v>449</v>
      </c>
      <c r="M518" s="2" t="inlineStr">
        <is>
          <t>798.00%</t>
        </is>
      </c>
      <c r="N518" t="n">
        <v>4.7</v>
      </c>
      <c r="O518" t="n">
        <v>8</v>
      </c>
      <c r="Q518" t="inlineStr">
        <is>
          <t>InStock</t>
        </is>
      </c>
      <c r="R518" t="inlineStr">
        <is>
          <t>165.0</t>
        </is>
      </c>
      <c r="S518" t="inlineStr">
        <is>
          <t>1</t>
        </is>
      </c>
    </row>
    <row r="519" ht="75" customHeight="1">
      <c r="A519" s="1">
        <f>HYPERLINK("https://www.theoutnet.com/en-us/shop/product/zimmermann/jewelry/rings/gold-tone-amethyst-ring/1647597319983688", "https://www.theoutnet.com/en-us/shop/product/zimmermann/jewelry/rings/gold-tone-amethyst-ring/1647597319983688")</f>
        <v/>
      </c>
      <c r="B519" s="1">
        <f>HYPERLINK("https://www.theoutnet.com/en-us/shop/product/zimmermann/jewelry/rings/gold-tone-amethyst-ring/1647597319983688", "https://www.theoutnet.com/en-us/shop/product/zimmermann/jewelry/rings/gold-tone-amethyst-ring/1647597319983688")</f>
        <v/>
      </c>
      <c r="C519" t="inlineStr">
        <is>
          <t>Gold-tone amethyst ring</t>
        </is>
      </c>
      <c r="D519" t="inlineStr">
        <is>
          <t>Ross-Simons Italian 14kt 2-Tone Gold Spiral Ring</t>
        </is>
      </c>
      <c r="E519" s="1" t="n"/>
      <c r="F519" t="inlineStr">
        <is>
          <t>B098F6WJXV</t>
        </is>
      </c>
      <c r="G519">
        <f>_xlfn.IMAGE("https://www.theoutnet.com/variants/images/1647597319983688/F/w1020_q80.jpg")</f>
        <v/>
      </c>
      <c r="H519">
        <f>_xlfn.IMAGE("https://m.media-amazon.com/images/I/61e6nXIEskL._AC_UL320_.jpg")</f>
        <v/>
      </c>
      <c r="K519" t="inlineStr">
        <is>
          <t>50.0</t>
        </is>
      </c>
      <c r="L519" t="n">
        <v>249</v>
      </c>
      <c r="M519" s="2" t="inlineStr">
        <is>
          <t>398.00%</t>
        </is>
      </c>
      <c r="N519" t="n">
        <v>5</v>
      </c>
      <c r="O519" t="n">
        <v>9</v>
      </c>
      <c r="Q519" t="inlineStr">
        <is>
          <t>InStock</t>
        </is>
      </c>
      <c r="R519" t="inlineStr">
        <is>
          <t>165.0</t>
        </is>
      </c>
      <c r="S519" t="inlineStr">
        <is>
          <t>1</t>
        </is>
      </c>
    </row>
    <row r="520" ht="75" customHeight="1">
      <c r="A520" s="1">
        <f>HYPERLINK("https://www.theoutnet.com/en-us/shop/product/zimmermann/jewelry/rings/gold-tone-amethyst-ring/1647597319983688", "https://www.theoutnet.com/en-us/shop/product/zimmermann/jewelry/rings/gold-tone-amethyst-ring/1647597319983688")</f>
        <v/>
      </c>
      <c r="B520" s="1">
        <f>HYPERLINK("https://www.theoutnet.com/en-us/shop/product/zimmermann/jewelry/rings/gold-tone-amethyst-ring/1647597319983688", "https://www.theoutnet.com/en-us/shop/product/zimmermann/jewelry/rings/gold-tone-amethyst-ring/1647597319983688")</f>
        <v/>
      </c>
      <c r="C520" t="inlineStr">
        <is>
          <t>Gold-tone amethyst ring</t>
        </is>
      </c>
      <c r="D520" t="inlineStr">
        <is>
          <t>Gem Stone King 2-Tone 925 Sterling Silver and 10K Yellow Gold Purple Amethyst and White Lab Grown Diamond Pendant Necklace For Women (1.11 Cttw, Gemstone Birthstone, with 18 Inch Chain)</t>
        </is>
      </c>
      <c r="E520" s="1" t="n"/>
      <c r="F520" t="inlineStr">
        <is>
          <t>B092QMR38F</t>
        </is>
      </c>
      <c r="G520">
        <f>_xlfn.IMAGE("https://www.theoutnet.com/variants/images/1647597319983688/F/w1020_q80.jpg")</f>
        <v/>
      </c>
      <c r="H520">
        <f>_xlfn.IMAGE("https://m.media-amazon.com/images/I/61Qd1PMKCPS._AC_UL320_.jpg")</f>
        <v/>
      </c>
      <c r="K520" t="inlineStr">
        <is>
          <t>50.0</t>
        </is>
      </c>
      <c r="L520" t="n">
        <v>134.99</v>
      </c>
      <c r="M520" s="2" t="inlineStr">
        <is>
          <t>169.98%</t>
        </is>
      </c>
      <c r="N520" t="n">
        <v>5</v>
      </c>
      <c r="O520" t="n">
        <v>1</v>
      </c>
      <c r="Q520" t="inlineStr">
        <is>
          <t>InStock</t>
        </is>
      </c>
      <c r="R520" t="inlineStr">
        <is>
          <t>165.0</t>
        </is>
      </c>
      <c r="S520" t="inlineStr">
        <is>
          <t>1</t>
        </is>
      </c>
    </row>
    <row r="521" ht="75" customHeight="1">
      <c r="A521" s="1">
        <f>HYPERLINK("https://www.theoutnet.com/en-us/shop/product/zimmermann/jewelry/rings/gold-tone-quartz-ring/1647597319983673", "https://www.theoutnet.com/en-us/shop/product/zimmermann/jewelry/rings/gold-tone-quartz-ring/1647597319983673")</f>
        <v/>
      </c>
      <c r="B521" s="1">
        <f>HYPERLINK("https://www.theoutnet.com/en-us/shop/product/zimmermann/jewelry/rings/gold-tone-quartz-ring/1647597319983673", "https://www.theoutnet.com/en-us/shop/product/zimmermann/jewelry/rings/gold-tone-quartz-ring/1647597319983673")</f>
        <v/>
      </c>
      <c r="C521" t="inlineStr">
        <is>
          <t>Gold-tone quartz ring</t>
        </is>
      </c>
      <c r="D521" t="inlineStr">
        <is>
          <t>Ross-Simons Gemstone Twist Rope Ring in 14kt Yellow Gold</t>
        </is>
      </c>
      <c r="E521" s="1" t="n"/>
      <c r="F521" t="inlineStr">
        <is>
          <t>B07BY2GF6X</t>
        </is>
      </c>
      <c r="G521">
        <f>_xlfn.IMAGE("https://www.theoutnet.com/variants/images/1647597319983673/F/w1020_q80.jpg")</f>
        <v/>
      </c>
      <c r="H521">
        <f>_xlfn.IMAGE("https://m.media-amazon.com/images/I/613Q8GYHlkL._AC_UL320_.jpg")</f>
        <v/>
      </c>
      <c r="K521" t="inlineStr">
        <is>
          <t>50.0</t>
        </is>
      </c>
      <c r="L521" t="n">
        <v>349</v>
      </c>
      <c r="M521" s="2" t="inlineStr">
        <is>
          <t>598.00%</t>
        </is>
      </c>
      <c r="N521" t="n">
        <v>4.4</v>
      </c>
      <c r="O521" t="n">
        <v>48</v>
      </c>
      <c r="Q521" t="inlineStr">
        <is>
          <t>InStock</t>
        </is>
      </c>
      <c r="R521" t="inlineStr">
        <is>
          <t>165.0</t>
        </is>
      </c>
      <c r="S521" t="inlineStr">
        <is>
          <t>6</t>
        </is>
      </c>
    </row>
    <row r="522" ht="75" customHeight="1">
      <c r="A522" s="1">
        <f>HYPERLINK("https://www.theoutnet.com/en-us/shop/product/zimmermann/jewelry/rings/gold-tone-quartz-ring/1647597319983673", "https://www.theoutnet.com/en-us/shop/product/zimmermann/jewelry/rings/gold-tone-quartz-ring/1647597319983673")</f>
        <v/>
      </c>
      <c r="B522" s="1">
        <f>HYPERLINK("https://www.theoutnet.com/en-us/shop/product/zimmermann/jewelry/rings/gold-tone-quartz-ring/1647597319983673", "https://www.theoutnet.com/en-us/shop/product/zimmermann/jewelry/rings/gold-tone-quartz-ring/1647597319983673")</f>
        <v/>
      </c>
      <c r="C522" t="inlineStr">
        <is>
          <t>Gold-tone quartz ring</t>
        </is>
      </c>
      <c r="D522" t="inlineStr">
        <is>
          <t>Ross-Simons 14kt 2-Tone Gold Cut-Out Tree Of Life Ring</t>
        </is>
      </c>
      <c r="E522" s="1" t="n"/>
      <c r="F522" t="inlineStr">
        <is>
          <t>B07HCBXJMK</t>
        </is>
      </c>
      <c r="G522">
        <f>_xlfn.IMAGE("https://www.theoutnet.com/variants/images/1647597319983673/F/w1020_q80.jpg")</f>
        <v/>
      </c>
      <c r="H522">
        <f>_xlfn.IMAGE("https://m.media-amazon.com/images/I/71UhGE7xJ3S._AC_UL320_.jpg")</f>
        <v/>
      </c>
      <c r="K522" t="inlineStr">
        <is>
          <t>50.0</t>
        </is>
      </c>
      <c r="L522" t="n">
        <v>179</v>
      </c>
      <c r="M522" s="2" t="inlineStr">
        <is>
          <t>258.00%</t>
        </is>
      </c>
      <c r="N522" t="n">
        <v>4.4</v>
      </c>
      <c r="O522" t="n">
        <v>155</v>
      </c>
      <c r="Q522" t="inlineStr">
        <is>
          <t>InStock</t>
        </is>
      </c>
      <c r="R522" t="inlineStr">
        <is>
          <t>165.0</t>
        </is>
      </c>
      <c r="S522" t="inlineStr">
        <is>
          <t>6</t>
        </is>
      </c>
    </row>
  </sheetData>
  <autoFilter ref="A1:W522">
    <sortState ref="A2:W522">
      <sortCondition ref="A1:A52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2023-09-22T16:22:10Z</dcterms:created>
  <dcterms:modified xsi:type="dcterms:W3CDTF">2023-09-29T19:58:33Z</dcterms:modified>
  <cp:lastModifiedBy>John Connolly</cp:lastModifiedBy>
</cp:coreProperties>
</file>