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990" tabRatio="600" firstSheet="0" activeTab="0" autoFilterDateGrouping="1"/>
  </bookViews>
  <sheets>
    <sheet name="Sheet" sheetId="1" state="visible" r:id="rId1"/>
  </sheets>
  <definedNames>
    <definedName name="_xlnm._FilterDatabase" localSheetId="0" hidden="1">'Sheet'!$A$1:$W$671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z val="11"/>
    </font>
    <font>
      <name val="Calibri"/>
      <family val="2"/>
      <color theme="10"/>
      <sz val="12"/>
      <scheme val="minor"/>
    </font>
  </fonts>
  <fills count="4">
    <fill>
      <patternFill/>
    </fill>
    <fill>
      <patternFill patternType="gray125"/>
    </fill>
    <fill>
      <patternFill patternType="solid">
        <fgColor rgb="FF91BF4D"/>
        <bgColor rgb="FF91BF4D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5">
    <xf numFmtId="0" fontId="0" fillId="0" borderId="0" pivotButton="0" quotePrefix="0" xfId="0"/>
    <xf numFmtId="0" fontId="2" fillId="0" borderId="0" pivotButton="0" quotePrefix="0" xfId="1"/>
    <xf numFmtId="0" fontId="0" fillId="2" borderId="0" pivotButton="0" quotePrefix="0" xfId="0"/>
    <xf numFmtId="0" fontId="1" fillId="3" borderId="0" pivotButton="0" quotePrefix="0" xfId="0"/>
    <xf numFmtId="0" fontId="0" fillId="3" borderId="0" pivotButton="0" quotePrefix="0" xfId="0"/>
  </cellXfs>
  <cellStyles count="2">
    <cellStyle name="Normal" xfId="0" builtinId="0"/>
    <cellStyle name="Hyperlink" xfId="1" builtinId="8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W671"/>
  <sheetViews>
    <sheetView tabSelected="1" workbookViewId="0">
      <pane ySplit="1" topLeftCell="A668" activePane="bottomLeft" state="frozen"/>
      <selection pane="bottomLeft" activeCell="B630" sqref="B630"/>
    </sheetView>
  </sheetViews>
  <sheetFormatPr baseColWidth="8" defaultRowHeight="75" customHeight="1"/>
  <cols>
    <col width="3.5703125" customWidth="1" min="1" max="1"/>
    <col width="31.42578125" customWidth="1" min="3" max="3"/>
    <col width="35.7109375" customWidth="1" min="4" max="4"/>
    <col width="30.7109375" customWidth="1" min="7" max="8"/>
  </cols>
  <sheetData>
    <row r="1" ht="17.25" customFormat="1" customHeight="1" s="4">
      <c r="A1" s="3" t="inlineStr">
        <is>
          <t>url</t>
        </is>
      </c>
      <c r="B1" s="3" t="inlineStr">
        <is>
          <t>canonicalUrl</t>
        </is>
      </c>
      <c r="C1" s="3" t="inlineStr">
        <is>
          <t>name</t>
        </is>
      </c>
      <c r="D1" s="3" t="inlineStr">
        <is>
          <t>Amazon Product Title</t>
        </is>
      </c>
      <c r="E1" s="3" t="inlineStr">
        <is>
          <t>Amazon Product URL</t>
        </is>
      </c>
      <c r="F1" s="3" t="inlineStr">
        <is>
          <t>ASIN</t>
        </is>
      </c>
      <c r="G1" s="3" t="inlineStr">
        <is>
          <t>Source Image</t>
        </is>
      </c>
      <c r="H1" s="3" t="inlineStr">
        <is>
          <t>Amazon Image</t>
        </is>
      </c>
      <c r="I1" s="3" t="inlineStr">
        <is>
          <t>Qualified?</t>
        </is>
      </c>
      <c r="J1" s="3" t="inlineStr">
        <is>
          <t>Notes</t>
        </is>
      </c>
      <c r="K1" s="3" t="inlineStr">
        <is>
          <t>offers/0/price</t>
        </is>
      </c>
      <c r="L1" s="3" t="inlineStr">
        <is>
          <t>Amazon Price</t>
        </is>
      </c>
      <c r="M1" s="3" t="inlineStr">
        <is>
          <t>ROI</t>
        </is>
      </c>
      <c r="N1" s="3" t="inlineStr">
        <is>
          <t>Rating</t>
        </is>
      </c>
      <c r="O1" s="3" t="inlineStr">
        <is>
          <t>ReviewCount</t>
        </is>
      </c>
      <c r="P1" s="3" t="inlineStr">
        <is>
          <t>offerCount</t>
        </is>
      </c>
      <c r="Q1" s="3" t="inlineStr">
        <is>
          <t>offers/0/availability</t>
        </is>
      </c>
      <c r="R1" s="3" t="inlineStr">
        <is>
          <t>offers/0/regularPrice</t>
        </is>
      </c>
      <c r="S1" s="3" t="inlineStr">
        <is>
          <t>sku</t>
        </is>
      </c>
      <c r="T1" s="3" t="inlineStr">
        <is>
          <t>Match?</t>
        </is>
      </c>
      <c r="U1" s="3" t="inlineStr">
        <is>
          <t>Qualified?</t>
        </is>
      </c>
      <c r="V1" s="3" t="inlineStr">
        <is>
          <t>Approved</t>
        </is>
      </c>
      <c r="W1" s="3" t="inlineStr">
        <is>
          <t>Notes</t>
        </is>
      </c>
    </row>
    <row r="2" ht="75" customHeight="1">
      <c r="A2" s="1">
        <f>HYPERLINK("https://www.theoutnet.com/en-us/shop/product/31-phillip-lim/dresses/knee-length-dress/cutout-bow-detailed-twill-dress/1647597306980405", "https://www.theoutnet.com/en-us/shop/product/31-phillip-lim/dresses/knee-length-dress/cutout-bow-detailed-twill-dress/1647597306980405")</f>
        <v/>
      </c>
      <c r="B2" s="1">
        <f>HYPERLINK("https://www.theoutnet.com/en-us/shop/product/31-phillip-lim/dresses/knee-length-dress/cutout-bow-detailed-twill-dress/1647597306980405", "https://www.theoutnet.com/en-us/shop/product/31-phillip-lim/dresses/knee-length-dress/cutout-bow-detailed-twill-dress/1647597306980405")</f>
        <v/>
      </c>
      <c r="C2" t="inlineStr">
        <is>
          <t>3.1 PHILLIP LIM</t>
        </is>
      </c>
      <c r="D2" t="inlineStr">
        <is>
          <t>3.1 Phillip Lim Women's Alexa 40mm Boots</t>
        </is>
      </c>
      <c r="E2" s="1">
        <f>HYPERLINK("https://www.amazon.com/3-1-Phillip-Lim-Womens-Medium/dp/B07VKFN4HB/ref=sr_1_2?keywords=3.1+PHILLIP+LIM&amp;qid=1695346309&amp;sr=8-2", "https://www.amazon.com/3-1-Phillip-Lim-Womens-Medium/dp/B07VKFN4HB/ref=sr_1_2?keywords=3.1+PHILLIP+LIM&amp;qid=1695346309&amp;sr=8-2")</f>
        <v/>
      </c>
      <c r="F2" t="inlineStr">
        <is>
          <t>B07VKFN4HB</t>
        </is>
      </c>
      <c r="G2">
        <f>_xlfn.IMAGE("https://www.theoutnet.com/variants/images/1647597306980405/F/w1020_q80.jpg")</f>
        <v/>
      </c>
      <c r="H2">
        <f>_xlfn.IMAGE("https://m.media-amazon.com/images/I/81p7CKQjmpL._AC_UL320_.jpg")</f>
        <v/>
      </c>
      <c r="K2" t="inlineStr">
        <is>
          <t>165.0</t>
        </is>
      </c>
      <c r="L2" t="n">
        <v>525</v>
      </c>
      <c r="M2" s="2" t="inlineStr">
        <is>
          <t>218.18%</t>
        </is>
      </c>
      <c r="N2" t="n">
        <v>4.8</v>
      </c>
      <c r="O2" t="n">
        <v>6</v>
      </c>
      <c r="Q2" t="inlineStr">
        <is>
          <t>InStock</t>
        </is>
      </c>
      <c r="R2" t="inlineStr">
        <is>
          <t>550.0</t>
        </is>
      </c>
      <c r="S2" t="inlineStr">
        <is>
          <t>1</t>
        </is>
      </c>
    </row>
    <row r="3" ht="75" customHeight="1">
      <c r="A3" s="1">
        <f>HYPERLINK("https://www.theoutnet.com/en-us/shop/product/31-phillip-lim/dresses/knee-length-dress/cutout-bow-detailed-twill-dress/1647597306980405", "https://www.theoutnet.com/en-us/shop/product/31-phillip-lim/dresses/knee-length-dress/cutout-bow-detailed-twill-dress/1647597306980405")</f>
        <v/>
      </c>
      <c r="B3" s="1">
        <f>HYPERLINK("https://www.theoutnet.com/en-us/shop/product/31-phillip-lim/dresses/knee-length-dress/cutout-bow-detailed-twill-dress/1647597306980405", "https://www.theoutnet.com/en-us/shop/product/31-phillip-lim/dresses/knee-length-dress/cutout-bow-detailed-twill-dress/1647597306980405")</f>
        <v/>
      </c>
      <c r="C3" t="inlineStr">
        <is>
          <t>3.1 PHILLIP LIM</t>
        </is>
      </c>
      <c r="D3" t="inlineStr">
        <is>
          <t>3.1 Phillip Lim Women's Pashli Mini Satchel</t>
        </is>
      </c>
      <c r="E3" s="1">
        <f>HYPERLINK("https://www.amazon.com/3-1-Phillip-Lim-Pashli-Satchel/dp/B01N6MXMXO/ref=sr_1_1?keywords=3.1+PHILLIP+LIM&amp;qid=1695346309&amp;sr=8-1", "https://www.amazon.com/3-1-Phillip-Lim-Pashli-Satchel/dp/B01N6MXMXO/ref=sr_1_1?keywords=3.1+PHILLIP+LIM&amp;qid=1695346309&amp;sr=8-1")</f>
        <v/>
      </c>
      <c r="F3" t="inlineStr">
        <is>
          <t>B01N6MXMXO</t>
        </is>
      </c>
      <c r="G3">
        <f>_xlfn.IMAGE("https://www.theoutnet.com/variants/images/1647597306980405/F/w1020_q80.jpg")</f>
        <v/>
      </c>
      <c r="H3">
        <f>_xlfn.IMAGE("https://m.media-amazon.com/images/I/91GMvxwc7PL._AC_UL320_.jpg")</f>
        <v/>
      </c>
      <c r="K3" t="inlineStr">
        <is>
          <t>165.0</t>
        </is>
      </c>
      <c r="L3" t="n">
        <v>488.85</v>
      </c>
      <c r="M3" s="2" t="inlineStr">
        <is>
          <t>196.27%</t>
        </is>
      </c>
      <c r="N3" t="n">
        <v>4.6</v>
      </c>
      <c r="O3" t="n">
        <v>13</v>
      </c>
      <c r="Q3" t="inlineStr">
        <is>
          <t>InStock</t>
        </is>
      </c>
      <c r="R3" t="inlineStr">
        <is>
          <t>550.0</t>
        </is>
      </c>
      <c r="S3" t="inlineStr">
        <is>
          <t>1</t>
        </is>
      </c>
    </row>
    <row r="4" ht="75" customHeight="1">
      <c r="A4" s="1">
        <f>HYPERLINK("https://www.theoutnet.com/en-us/shop/product/31-phillip-lim/dresses/knee-length-dress/cutout-bow-detailed-twill-dress/1647597306980405", "https://www.theoutnet.com/en-us/shop/product/31-phillip-lim/dresses/knee-length-dress/cutout-bow-detailed-twill-dress/1647597306980405")</f>
        <v/>
      </c>
      <c r="B4" s="1">
        <f>HYPERLINK("https://www.theoutnet.com/en-us/shop/product/31-phillip-lim/dresses/knee-length-dress/cutout-bow-detailed-twill-dress/1647597306980405", "https://www.theoutnet.com/en-us/shop/product/31-phillip-lim/dresses/knee-length-dress/cutout-bow-detailed-twill-dress/1647597306980405")</f>
        <v/>
      </c>
      <c r="C4" t="inlineStr">
        <is>
          <t>3.1 PHILLIP LIM</t>
        </is>
      </c>
      <c r="D4" t="inlineStr">
        <is>
          <t>3.1 Phillip Lim Pashli Saddle</t>
        </is>
      </c>
      <c r="E4" s="1">
        <f>HYPERLINK("https://www.amazon.com/3-1-Phillip-Lim-Saddle-Bag/dp/B07VHJB9Q3/ref=sr_1_5?keywords=3.1+PHILLIP+LIM&amp;qid=1695346309&amp;sr=8-5", "https://www.amazon.com/3-1-Phillip-Lim-Saddle-Bag/dp/B07VHJB9Q3/ref=sr_1_5?keywords=3.1+PHILLIP+LIM&amp;qid=1695346309&amp;sr=8-5")</f>
        <v/>
      </c>
      <c r="F4" t="inlineStr">
        <is>
          <t>B07VHJB9Q3</t>
        </is>
      </c>
      <c r="G4">
        <f>_xlfn.IMAGE("https://www.theoutnet.com/variants/images/1647597306980405/F/w1020_q80.jpg")</f>
        <v/>
      </c>
      <c r="H4">
        <f>_xlfn.IMAGE("https://m.media-amazon.com/images/I/71iTkkxv-XL._AC_UL320_.jpg")</f>
        <v/>
      </c>
      <c r="K4" t="inlineStr">
        <is>
          <t>165.0</t>
        </is>
      </c>
      <c r="L4" t="n">
        <v>360.34</v>
      </c>
      <c r="M4" s="2" t="inlineStr">
        <is>
          <t>118.39%</t>
        </is>
      </c>
      <c r="N4" t="n">
        <v>5</v>
      </c>
      <c r="O4" t="n">
        <v>3</v>
      </c>
      <c r="Q4" t="inlineStr">
        <is>
          <t>InStock</t>
        </is>
      </c>
      <c r="R4" t="inlineStr">
        <is>
          <t>550.0</t>
        </is>
      </c>
      <c r="S4" t="inlineStr">
        <is>
          <t>1</t>
        </is>
      </c>
    </row>
    <row r="5" ht="75" customHeight="1">
      <c r="A5" s="1">
        <f>HYPERLINK("https://www.theoutnet.com/en-us/shop/product/31-phillip-lim/dresses/midi-dress/asymmetric-striped-cotton-blend-poplin-midi-dress/1647597287750104", "https://www.theoutnet.com/en-us/shop/product/31-phillip-lim/dresses/midi-dress/asymmetric-striped-cotton-blend-poplin-midi-dress/1647597287750104")</f>
        <v/>
      </c>
      <c r="B5" s="1">
        <f>HYPERLINK("https://www.theoutnet.com/en-us/shop/product/31-phillip-lim/dresses/midi-dress/asymmetric-striped-cotton-blend-poplin-midi-dress/1647597287750104", "https://www.theoutnet.com/en-us/shop/product/31-phillip-lim/dresses/midi-dress/asymmetric-striped-cotton-blend-poplin-midi-dress/1647597287750104")</f>
        <v/>
      </c>
      <c r="C5" t="inlineStr">
        <is>
          <t>3.1 PHILLIP LIM</t>
        </is>
      </c>
      <c r="D5" t="inlineStr">
        <is>
          <t>3.1 Phillip Lim Women's Alexa 40mm Boots</t>
        </is>
      </c>
      <c r="E5" s="1">
        <f>HYPERLINK("https://www.amazon.com/3-1-Phillip-Lim-Womens-Medium/dp/B07VKFN4HB/ref=sr_1_2?keywords=3.1+PHILLIP+LIM&amp;qid=1695346461&amp;sr=8-2", "https://www.amazon.com/3-1-Phillip-Lim-Womens-Medium/dp/B07VKFN4HB/ref=sr_1_2?keywords=3.1+PHILLIP+LIM&amp;qid=1695346461&amp;sr=8-2")</f>
        <v/>
      </c>
      <c r="F5" t="inlineStr">
        <is>
          <t>B07VKFN4HB</t>
        </is>
      </c>
      <c r="G5">
        <f>_xlfn.IMAGE("https://www.theoutnet.com/variants/images/1647597287750104/F/w1020_q80.jpg")</f>
        <v/>
      </c>
      <c r="H5">
        <f>_xlfn.IMAGE("https://m.media-amazon.com/images/I/81p7CKQjmpL._AC_UL320_.jpg")</f>
        <v/>
      </c>
      <c r="K5" t="inlineStr">
        <is>
          <t>209.0</t>
        </is>
      </c>
      <c r="L5" t="n">
        <v>525</v>
      </c>
      <c r="M5" s="2" t="inlineStr">
        <is>
          <t>151.20%</t>
        </is>
      </c>
      <c r="N5" t="n">
        <v>4.8</v>
      </c>
      <c r="O5" t="n">
        <v>6</v>
      </c>
      <c r="Q5" t="inlineStr">
        <is>
          <t>InStock</t>
        </is>
      </c>
      <c r="R5" t="inlineStr">
        <is>
          <t>695.0</t>
        </is>
      </c>
      <c r="S5" t="inlineStr">
        <is>
          <t>1</t>
        </is>
      </c>
    </row>
    <row r="6" ht="75" customHeight="1">
      <c r="A6" s="1">
        <f>HYPERLINK("https://www.theoutnet.com/en-us/shop/product/31-phillip-lim/dresses/midi-dress/asymmetric-striped-cotton-blend-poplin-midi-dress/1647597287750104", "https://www.theoutnet.com/en-us/shop/product/31-phillip-lim/dresses/midi-dress/asymmetric-striped-cotton-blend-poplin-midi-dress/1647597287750104")</f>
        <v/>
      </c>
      <c r="B6" s="1">
        <f>HYPERLINK("https://www.theoutnet.com/en-us/shop/product/31-phillip-lim/dresses/midi-dress/asymmetric-striped-cotton-blend-poplin-midi-dress/1647597287750104", "https://www.theoutnet.com/en-us/shop/product/31-phillip-lim/dresses/midi-dress/asymmetric-striped-cotton-blend-poplin-midi-dress/1647597287750104")</f>
        <v/>
      </c>
      <c r="C6" t="inlineStr">
        <is>
          <t>3.1 PHILLIP LIM</t>
        </is>
      </c>
      <c r="D6" t="inlineStr">
        <is>
          <t>3.1 Phillip Lim Women's Pashli Mini Satchel</t>
        </is>
      </c>
      <c r="E6" s="1">
        <f>HYPERLINK("https://www.amazon.com/3-1-Phillip-Lim-Pashli-Satchel/dp/B01N6MXMXO/ref=sr_1_1?keywords=3.1+PHILLIP+LIM&amp;qid=1695346461&amp;sr=8-1", "https://www.amazon.com/3-1-Phillip-Lim-Pashli-Satchel/dp/B01N6MXMXO/ref=sr_1_1?keywords=3.1+PHILLIP+LIM&amp;qid=1695346461&amp;sr=8-1")</f>
        <v/>
      </c>
      <c r="F6" t="inlineStr">
        <is>
          <t>B01N6MXMXO</t>
        </is>
      </c>
      <c r="G6">
        <f>_xlfn.IMAGE("https://www.theoutnet.com/variants/images/1647597287750104/F/w1020_q80.jpg")</f>
        <v/>
      </c>
      <c r="H6">
        <f>_xlfn.IMAGE("https://m.media-amazon.com/images/I/91GMvxwc7PL._AC_UL320_.jpg")</f>
        <v/>
      </c>
      <c r="K6" t="inlineStr">
        <is>
          <t>209.0</t>
        </is>
      </c>
      <c r="L6" t="n">
        <v>488.85</v>
      </c>
      <c r="M6" s="2" t="inlineStr">
        <is>
          <t>133.90%</t>
        </is>
      </c>
      <c r="N6" t="n">
        <v>4.6</v>
      </c>
      <c r="O6" t="n">
        <v>13</v>
      </c>
      <c r="Q6" t="inlineStr">
        <is>
          <t>InStock</t>
        </is>
      </c>
      <c r="R6" t="inlineStr">
        <is>
          <t>695.0</t>
        </is>
      </c>
      <c r="S6" t="inlineStr">
        <is>
          <t>1</t>
        </is>
      </c>
    </row>
    <row r="7" ht="75" customHeight="1">
      <c r="A7" s="1">
        <f>HYPERLINK("https://www.theoutnet.com/en-us/shop/product/31-phillip-lim/dresses/midi-dress/asymmetric-striped-cotton-blend-poplin-midi-dress/1647597287750104", "https://www.theoutnet.com/en-us/shop/product/31-phillip-lim/dresses/midi-dress/asymmetric-striped-cotton-blend-poplin-midi-dress/1647597287750104")</f>
        <v/>
      </c>
      <c r="B7" s="1">
        <f>HYPERLINK("https://www.theoutnet.com/en-us/shop/product/31-phillip-lim/dresses/midi-dress/asymmetric-striped-cotton-blend-poplin-midi-dress/1647597287750104", "https://www.theoutnet.com/en-us/shop/product/31-phillip-lim/dresses/midi-dress/asymmetric-striped-cotton-blend-poplin-midi-dress/1647597287750104")</f>
        <v/>
      </c>
      <c r="C7" t="inlineStr">
        <is>
          <t>3.1 PHILLIP LIM</t>
        </is>
      </c>
      <c r="D7" t="inlineStr">
        <is>
          <t>3.1 Phillip Lim Pashli Saddle</t>
        </is>
      </c>
      <c r="E7" s="1">
        <f>HYPERLINK("https://www.amazon.com/3-1-Phillip-Lim-Saddle-Bag/dp/B07VHJB9Q3/ref=sr_1_5?keywords=3.1+PHILLIP+LIM&amp;qid=1695346461&amp;sr=8-5", "https://www.amazon.com/3-1-Phillip-Lim-Saddle-Bag/dp/B07VHJB9Q3/ref=sr_1_5?keywords=3.1+PHILLIP+LIM&amp;qid=1695346461&amp;sr=8-5")</f>
        <v/>
      </c>
      <c r="F7" t="inlineStr">
        <is>
          <t>B07VHJB9Q3</t>
        </is>
      </c>
      <c r="G7">
        <f>_xlfn.IMAGE("https://www.theoutnet.com/variants/images/1647597287750104/F/w1020_q80.jpg")</f>
        <v/>
      </c>
      <c r="H7">
        <f>_xlfn.IMAGE("https://m.media-amazon.com/images/I/71iTkkxv-XL._AC_UL320_.jpg")</f>
        <v/>
      </c>
      <c r="K7" t="inlineStr">
        <is>
          <t>209.0</t>
        </is>
      </c>
      <c r="L7" t="n">
        <v>360.34</v>
      </c>
      <c r="M7" s="2" t="inlineStr">
        <is>
          <t>72.41%</t>
        </is>
      </c>
      <c r="N7" t="n">
        <v>5</v>
      </c>
      <c r="O7" t="n">
        <v>3</v>
      </c>
      <c r="Q7" t="inlineStr">
        <is>
          <t>InStock</t>
        </is>
      </c>
      <c r="R7" t="inlineStr">
        <is>
          <t>695.0</t>
        </is>
      </c>
      <c r="S7" t="inlineStr">
        <is>
          <t>1</t>
        </is>
      </c>
    </row>
    <row r="8" ht="75" customHeight="1">
      <c r="A8" s="1">
        <f>HYPERLINK("https://www.theoutnet.com/en-us/shop/product/31-phillip-lim/dresses/mini-dress/convertible-taffeta-mini-dress/1647597286659747", "https://www.theoutnet.com/en-us/shop/product/31-phillip-lim/dresses/mini-dress/convertible-taffeta-mini-dress/1647597286659747")</f>
        <v/>
      </c>
      <c r="B8" s="1">
        <f>HYPERLINK("https://www.theoutnet.com/en-us/shop/product/31-phillip-lim/dresses/mini-dress/convertible-taffeta-mini-dress/1647597286659747", "https://www.theoutnet.com/en-us/shop/product/31-phillip-lim/dresses/mini-dress/convertible-taffeta-mini-dress/1647597286659747")</f>
        <v/>
      </c>
      <c r="C8" t="inlineStr">
        <is>
          <t>3.1 PHILLIP LIM</t>
        </is>
      </c>
      <c r="D8" t="inlineStr">
        <is>
          <t>3.1 Phillip Lim Women's Alexa 40mm Boots</t>
        </is>
      </c>
      <c r="E8" s="1">
        <f>HYPERLINK("https://www.amazon.com/3-1-Phillip-Lim-Womens-Medium/dp/B07VKFN4HB/ref=sr_1_2?keywords=3.1+PHILLIP+LIM&amp;qid=1695346404&amp;sr=8-2", "https://www.amazon.com/3-1-Phillip-Lim-Womens-Medium/dp/B07VKFN4HB/ref=sr_1_2?keywords=3.1+PHILLIP+LIM&amp;qid=1695346404&amp;sr=8-2")</f>
        <v/>
      </c>
      <c r="F8" t="inlineStr">
        <is>
          <t>B07VKFN4HB</t>
        </is>
      </c>
      <c r="G8">
        <f>_xlfn.IMAGE("https://www.theoutnet.com/variants/images/1647597286659747/F/w1020_q80.jpg")</f>
        <v/>
      </c>
      <c r="H8">
        <f>_xlfn.IMAGE("https://m.media-amazon.com/images/I/81p7CKQjmpL._AC_UL320_.jpg")</f>
        <v/>
      </c>
      <c r="K8" t="inlineStr">
        <is>
          <t>195.0</t>
        </is>
      </c>
      <c r="L8" t="n">
        <v>525</v>
      </c>
      <c r="M8" s="2" t="inlineStr">
        <is>
          <t>169.23%</t>
        </is>
      </c>
      <c r="N8" t="n">
        <v>4.8</v>
      </c>
      <c r="O8" t="n">
        <v>6</v>
      </c>
      <c r="Q8" t="inlineStr">
        <is>
          <t>InStock</t>
        </is>
      </c>
      <c r="R8" t="inlineStr">
        <is>
          <t>650.0</t>
        </is>
      </c>
      <c r="S8" t="inlineStr">
        <is>
          <t>1647597286659747</t>
        </is>
      </c>
    </row>
    <row r="9" ht="75" customHeight="1">
      <c r="A9" s="1">
        <f>HYPERLINK("https://www.theoutnet.com/en-us/shop/product/31-phillip-lim/dresses/mini-dress/convertible-taffeta-mini-dress/1647597286659747", "https://www.theoutnet.com/en-us/shop/product/31-phillip-lim/dresses/mini-dress/convertible-taffeta-mini-dress/1647597286659747")</f>
        <v/>
      </c>
      <c r="B9" s="1">
        <f>HYPERLINK("https://www.theoutnet.com/en-us/shop/product/31-phillip-lim/dresses/mini-dress/convertible-taffeta-mini-dress/1647597286659747", "https://www.theoutnet.com/en-us/shop/product/31-phillip-lim/dresses/mini-dress/convertible-taffeta-mini-dress/1647597286659747")</f>
        <v/>
      </c>
      <c r="C9" t="inlineStr">
        <is>
          <t>3.1 PHILLIP LIM</t>
        </is>
      </c>
      <c r="D9" t="inlineStr">
        <is>
          <t>3.1 Phillip Lim Women's Pashli Mini Satchel</t>
        </is>
      </c>
      <c r="E9" s="1">
        <f>HYPERLINK("https://www.amazon.com/3-1-Phillip-Lim-Pashli-Satchel/dp/B01N6MXMXO/ref=sr_1_1?keywords=3.1+PHILLIP+LIM&amp;qid=1695346404&amp;sr=8-1", "https://www.amazon.com/3-1-Phillip-Lim-Pashli-Satchel/dp/B01N6MXMXO/ref=sr_1_1?keywords=3.1+PHILLIP+LIM&amp;qid=1695346404&amp;sr=8-1")</f>
        <v/>
      </c>
      <c r="F9" t="inlineStr">
        <is>
          <t>B01N6MXMXO</t>
        </is>
      </c>
      <c r="G9">
        <f>_xlfn.IMAGE("https://www.theoutnet.com/variants/images/1647597286659747/F/w1020_q80.jpg")</f>
        <v/>
      </c>
      <c r="H9">
        <f>_xlfn.IMAGE("https://m.media-amazon.com/images/I/91GMvxwc7PL._AC_UL320_.jpg")</f>
        <v/>
      </c>
      <c r="K9" t="inlineStr">
        <is>
          <t>195.0</t>
        </is>
      </c>
      <c r="L9" t="n">
        <v>488.85</v>
      </c>
      <c r="M9" s="2" t="inlineStr">
        <is>
          <t>150.69%</t>
        </is>
      </c>
      <c r="N9" t="n">
        <v>4.6</v>
      </c>
      <c r="O9" t="n">
        <v>13</v>
      </c>
      <c r="Q9" t="inlineStr">
        <is>
          <t>InStock</t>
        </is>
      </c>
      <c r="R9" t="inlineStr">
        <is>
          <t>650.0</t>
        </is>
      </c>
      <c r="S9" t="inlineStr">
        <is>
          <t>1647597286659747</t>
        </is>
      </c>
    </row>
    <row r="10" ht="75" customHeight="1">
      <c r="A10" s="1">
        <f>HYPERLINK("https://www.theoutnet.com/en-us/shop/product/31-phillip-lim/dresses/mini-dress/convertible-taffeta-mini-dress/1647597286659747", "https://www.theoutnet.com/en-us/shop/product/31-phillip-lim/dresses/mini-dress/convertible-taffeta-mini-dress/1647597286659747")</f>
        <v/>
      </c>
      <c r="B10" s="1">
        <f>HYPERLINK("https://www.theoutnet.com/en-us/shop/product/31-phillip-lim/dresses/mini-dress/convertible-taffeta-mini-dress/1647597286659747", "https://www.theoutnet.com/en-us/shop/product/31-phillip-lim/dresses/mini-dress/convertible-taffeta-mini-dress/1647597286659747")</f>
        <v/>
      </c>
      <c r="C10" t="inlineStr">
        <is>
          <t>3.1 PHILLIP LIM</t>
        </is>
      </c>
      <c r="D10" t="inlineStr">
        <is>
          <t>3.1 Phillip Lim Pashli Saddle</t>
        </is>
      </c>
      <c r="E10" s="1">
        <f>HYPERLINK("https://www.amazon.com/3-1-Phillip-Lim-Saddle-Bag/dp/B07VHJB9Q3/ref=sr_1_6?keywords=3.1+PHILLIP+LIM&amp;qid=1695346404&amp;sr=8-6", "https://www.amazon.com/3-1-Phillip-Lim-Saddle-Bag/dp/B07VHJB9Q3/ref=sr_1_6?keywords=3.1+PHILLIP+LIM&amp;qid=1695346404&amp;sr=8-6")</f>
        <v/>
      </c>
      <c r="F10" t="inlineStr">
        <is>
          <t>B07VHJB9Q3</t>
        </is>
      </c>
      <c r="G10">
        <f>_xlfn.IMAGE("https://www.theoutnet.com/variants/images/1647597286659747/F/w1020_q80.jpg")</f>
        <v/>
      </c>
      <c r="H10">
        <f>_xlfn.IMAGE("https://m.media-amazon.com/images/I/71iTkkxv-XL._AC_UL320_.jpg")</f>
        <v/>
      </c>
      <c r="K10" t="inlineStr">
        <is>
          <t>195.0</t>
        </is>
      </c>
      <c r="L10" t="n">
        <v>360.34</v>
      </c>
      <c r="M10" s="2" t="inlineStr">
        <is>
          <t>84.79%</t>
        </is>
      </c>
      <c r="N10" t="n">
        <v>5</v>
      </c>
      <c r="O10" t="n">
        <v>3</v>
      </c>
      <c r="Q10" t="inlineStr">
        <is>
          <t>InStock</t>
        </is>
      </c>
      <c r="R10" t="inlineStr">
        <is>
          <t>650.0</t>
        </is>
      </c>
      <c r="S10" t="inlineStr">
        <is>
          <t>1647597286659747</t>
        </is>
      </c>
    </row>
    <row r="11" ht="75" customHeight="1">
      <c r="A11" s="1">
        <f>HYPERLINK("https://www.theoutnet.com/en-us/shop/product/31-phillip-lim/jackets/casual-jackets/faux-leather-jacket/1647597306515001", "https://www.theoutnet.com/en-us/shop/product/31-phillip-lim/jackets/casual-jackets/faux-leather-jacket/1647597306515001")</f>
        <v/>
      </c>
      <c r="B11" s="1">
        <f>HYPERLINK("https://www.theoutnet.com/en-us/shop/product/31-phillip-lim/jackets/casual-jackets/faux-leather-jacket/1647597306515001", "https://www.theoutnet.com/en-us/shop/product/31-phillip-lim/jackets/casual-jackets/faux-leather-jacket/1647597306515001")</f>
        <v/>
      </c>
      <c r="C11" t="inlineStr">
        <is>
          <t>3.1 PHILLIP LIM</t>
        </is>
      </c>
      <c r="D11" t="inlineStr">
        <is>
          <t>3.1 Phillip Lim Women's Alexa 40mm Boots</t>
        </is>
      </c>
      <c r="E11" s="1">
        <f>HYPERLINK("https://www.amazon.com/3-1-Phillip-Lim-Womens-Medium/dp/B07VKFN4HB/ref=sr_1_2?keywords=3.1+PHILLIP+LIM&amp;qid=1695346301&amp;sr=8-2", "https://www.amazon.com/3-1-Phillip-Lim-Womens-Medium/dp/B07VKFN4HB/ref=sr_1_2?keywords=3.1+PHILLIP+LIM&amp;qid=1695346301&amp;sr=8-2")</f>
        <v/>
      </c>
      <c r="F11" t="inlineStr">
        <is>
          <t>B07VKFN4HB</t>
        </is>
      </c>
      <c r="G11">
        <f>_xlfn.IMAGE("https://www.theoutnet.com/variants/images/1647597306515001/F/w1020_q80.jpg")</f>
        <v/>
      </c>
      <c r="H11">
        <f>_xlfn.IMAGE("https://m.media-amazon.com/images/I/81p7CKQjmpL._AC_UL320_.jpg")</f>
        <v/>
      </c>
      <c r="K11" t="inlineStr">
        <is>
          <t>165.0</t>
        </is>
      </c>
      <c r="L11" t="n">
        <v>525</v>
      </c>
      <c r="M11" s="2" t="inlineStr">
        <is>
          <t>218.18%</t>
        </is>
      </c>
      <c r="N11" t="n">
        <v>4.8</v>
      </c>
      <c r="O11" t="n">
        <v>6</v>
      </c>
      <c r="Q11" t="inlineStr">
        <is>
          <t>InStock</t>
        </is>
      </c>
      <c r="R11" t="inlineStr">
        <is>
          <t>550.0</t>
        </is>
      </c>
      <c r="S11" t="inlineStr">
        <is>
          <t>1</t>
        </is>
      </c>
    </row>
    <row r="12" ht="75" customHeight="1">
      <c r="A12" s="1">
        <f>HYPERLINK("https://www.theoutnet.com/en-us/shop/product/31-phillip-lim/jackets/casual-jackets/faux-leather-jacket/1647597306515001", "https://www.theoutnet.com/en-us/shop/product/31-phillip-lim/jackets/casual-jackets/faux-leather-jacket/1647597306515001")</f>
        <v/>
      </c>
      <c r="B12" s="1">
        <f>HYPERLINK("https://www.theoutnet.com/en-us/shop/product/31-phillip-lim/jackets/casual-jackets/faux-leather-jacket/1647597306515001", "https://www.theoutnet.com/en-us/shop/product/31-phillip-lim/jackets/casual-jackets/faux-leather-jacket/1647597306515001")</f>
        <v/>
      </c>
      <c r="C12" t="inlineStr">
        <is>
          <t>3.1 PHILLIP LIM</t>
        </is>
      </c>
      <c r="D12" t="inlineStr">
        <is>
          <t>3.1 Phillip Lim Women's Pashli Mini Satchel</t>
        </is>
      </c>
      <c r="E12" s="1">
        <f>HYPERLINK("https://www.amazon.com/3-1-Phillip-Lim-Pashli-Satchel/dp/B01N6MXMXO/ref=sr_1_1?keywords=3.1+PHILLIP+LIM&amp;qid=1695346301&amp;sr=8-1", "https://www.amazon.com/3-1-Phillip-Lim-Pashli-Satchel/dp/B01N6MXMXO/ref=sr_1_1?keywords=3.1+PHILLIP+LIM&amp;qid=1695346301&amp;sr=8-1")</f>
        <v/>
      </c>
      <c r="F12" t="inlineStr">
        <is>
          <t>B01N6MXMXO</t>
        </is>
      </c>
      <c r="G12">
        <f>_xlfn.IMAGE("https://www.theoutnet.com/variants/images/1647597306515001/F/w1020_q80.jpg")</f>
        <v/>
      </c>
      <c r="H12">
        <f>_xlfn.IMAGE("https://m.media-amazon.com/images/I/91GMvxwc7PL._AC_UL320_.jpg")</f>
        <v/>
      </c>
      <c r="K12" t="inlineStr">
        <is>
          <t>165.0</t>
        </is>
      </c>
      <c r="L12" t="n">
        <v>488.85</v>
      </c>
      <c r="M12" s="2" t="inlineStr">
        <is>
          <t>196.27%</t>
        </is>
      </c>
      <c r="N12" t="n">
        <v>4.6</v>
      </c>
      <c r="O12" t="n">
        <v>13</v>
      </c>
      <c r="Q12" t="inlineStr">
        <is>
          <t>InStock</t>
        </is>
      </c>
      <c r="R12" t="inlineStr">
        <is>
          <t>550.0</t>
        </is>
      </c>
      <c r="S12" t="inlineStr">
        <is>
          <t>1</t>
        </is>
      </c>
    </row>
    <row r="13" ht="75" customHeight="1">
      <c r="A13" s="1">
        <f>HYPERLINK("https://www.theoutnet.com/en-us/shop/product/31-phillip-lim/jackets/casual-jackets/faux-leather-jacket/1647597306515001", "https://www.theoutnet.com/en-us/shop/product/31-phillip-lim/jackets/casual-jackets/faux-leather-jacket/1647597306515001")</f>
        <v/>
      </c>
      <c r="B13" s="1">
        <f>HYPERLINK("https://www.theoutnet.com/en-us/shop/product/31-phillip-lim/jackets/casual-jackets/faux-leather-jacket/1647597306515001", "https://www.theoutnet.com/en-us/shop/product/31-phillip-lim/jackets/casual-jackets/faux-leather-jacket/1647597306515001")</f>
        <v/>
      </c>
      <c r="C13" t="inlineStr">
        <is>
          <t>3.1 PHILLIP LIM</t>
        </is>
      </c>
      <c r="D13" t="inlineStr">
        <is>
          <t>3.1 Phillip Lim Pashli Saddle</t>
        </is>
      </c>
      <c r="E13" s="1">
        <f>HYPERLINK("https://www.amazon.com/3-1-Phillip-Lim-Saddle-Bag/dp/B07VHJB9Q3/ref=sr_1_5?keywords=3.1+PHILLIP+LIM&amp;qid=1695346301&amp;sr=8-5", "https://www.amazon.com/3-1-Phillip-Lim-Saddle-Bag/dp/B07VHJB9Q3/ref=sr_1_5?keywords=3.1+PHILLIP+LIM&amp;qid=1695346301&amp;sr=8-5")</f>
        <v/>
      </c>
      <c r="F13" t="inlineStr">
        <is>
          <t>B07VHJB9Q3</t>
        </is>
      </c>
      <c r="G13">
        <f>_xlfn.IMAGE("https://www.theoutnet.com/variants/images/1647597306515001/F/w1020_q80.jpg")</f>
        <v/>
      </c>
      <c r="H13">
        <f>_xlfn.IMAGE("https://m.media-amazon.com/images/I/71iTkkxv-XL._AC_UL320_.jpg")</f>
        <v/>
      </c>
      <c r="K13" t="inlineStr">
        <is>
          <t>165.0</t>
        </is>
      </c>
      <c r="L13" t="n">
        <v>360.34</v>
      </c>
      <c r="M13" s="2" t="inlineStr">
        <is>
          <t>118.39%</t>
        </is>
      </c>
      <c r="N13" t="n">
        <v>5</v>
      </c>
      <c r="O13" t="n">
        <v>3</v>
      </c>
      <c r="Q13" t="inlineStr">
        <is>
          <t>InStock</t>
        </is>
      </c>
      <c r="R13" t="inlineStr">
        <is>
          <t>550.0</t>
        </is>
      </c>
      <c r="S13" t="inlineStr">
        <is>
          <t>1</t>
        </is>
      </c>
    </row>
    <row r="14" ht="75" customHeight="1">
      <c r="A14" s="1">
        <f>HYPERLINK("https://www.theoutnet.com/en-us/shop/product/31-phillip-lim/jumpsuits/jumpsuits/belted-satin-jumpsuit/38063312421034768", "https://www.theoutnet.com/en-us/shop/product/31-phillip-lim/jumpsuits/jumpsuits/belted-satin-jumpsuit/38063312421034768")</f>
        <v/>
      </c>
      <c r="B14" s="1">
        <f>HYPERLINK("https://www.theoutnet.com/en-us/shop/product/31-phillip-lim/jumpsuits/jumpsuits/belted-satin-jumpsuit/38063312421034768", "https://www.theoutnet.com/en-us/shop/product/31-phillip-lim/jumpsuits/jumpsuits/belted-satin-jumpsuit/38063312421034768")</f>
        <v/>
      </c>
      <c r="C14" t="inlineStr">
        <is>
          <t>3.1 PHILLIP LIM</t>
        </is>
      </c>
      <c r="D14" t="inlineStr">
        <is>
          <t>3.1 Phillip Lim Women's Alexa 40mm Boots</t>
        </is>
      </c>
      <c r="E14" s="1">
        <f>HYPERLINK("https://www.amazon.com/3-1-Phillip-Lim-Womens-Medium/dp/B07VKFN4HB/ref=sr_1_2?keywords=3.1+PHILLIP+LIM&amp;qid=1695346487&amp;sr=8-2", "https://www.amazon.com/3-1-Phillip-Lim-Womens-Medium/dp/B07VKFN4HB/ref=sr_1_2?keywords=3.1+PHILLIP+LIM&amp;qid=1695346487&amp;sr=8-2")</f>
        <v/>
      </c>
      <c r="F14" t="inlineStr">
        <is>
          <t>B07VKFN4HB</t>
        </is>
      </c>
      <c r="G14">
        <f>_xlfn.IMAGE("https://www.theoutnet.com/variants/images/38063312421034768/F/w1020_q80.jpg")</f>
        <v/>
      </c>
      <c r="H14">
        <f>_xlfn.IMAGE("https://m.media-amazon.com/images/I/81p7CKQjmpL._AC_UL320_.jpg")</f>
        <v/>
      </c>
      <c r="K14" t="inlineStr">
        <is>
          <t>225.0</t>
        </is>
      </c>
      <c r="L14" t="n">
        <v>525</v>
      </c>
      <c r="M14" s="2" t="inlineStr">
        <is>
          <t>133.33%</t>
        </is>
      </c>
      <c r="N14" t="n">
        <v>4.8</v>
      </c>
      <c r="O14" t="n">
        <v>6</v>
      </c>
      <c r="Q14" t="inlineStr">
        <is>
          <t>InStock</t>
        </is>
      </c>
      <c r="R14" t="inlineStr">
        <is>
          <t>750.0</t>
        </is>
      </c>
      <c r="S14" t="inlineStr">
        <is>
          <t>38063312421034768</t>
        </is>
      </c>
    </row>
    <row r="15" ht="75" customHeight="1">
      <c r="A15" s="1">
        <f>HYPERLINK("https://www.theoutnet.com/en-us/shop/product/31-phillip-lim/jumpsuits/jumpsuits/belted-satin-jumpsuit/38063312421034768", "https://www.theoutnet.com/en-us/shop/product/31-phillip-lim/jumpsuits/jumpsuits/belted-satin-jumpsuit/38063312421034768")</f>
        <v/>
      </c>
      <c r="B15" s="1">
        <f>HYPERLINK("https://www.theoutnet.com/en-us/shop/product/31-phillip-lim/jumpsuits/jumpsuits/belted-satin-jumpsuit/38063312421034768", "https://www.theoutnet.com/en-us/shop/product/31-phillip-lim/jumpsuits/jumpsuits/belted-satin-jumpsuit/38063312421034768")</f>
        <v/>
      </c>
      <c r="C15" t="inlineStr">
        <is>
          <t>3.1 PHILLIP LIM</t>
        </is>
      </c>
      <c r="D15" t="inlineStr">
        <is>
          <t>3.1 Phillip Lim Women's Pashli Mini Satchel</t>
        </is>
      </c>
      <c r="E15" s="1">
        <f>HYPERLINK("https://www.amazon.com/3-1-Phillip-Lim-Pashli-Satchel/dp/B01N6MXMXO/ref=sr_1_1?keywords=3.1+PHILLIP+LIM&amp;qid=1695346487&amp;sr=8-1", "https://www.amazon.com/3-1-Phillip-Lim-Pashli-Satchel/dp/B01N6MXMXO/ref=sr_1_1?keywords=3.1+PHILLIP+LIM&amp;qid=1695346487&amp;sr=8-1")</f>
        <v/>
      </c>
      <c r="F15" t="inlineStr">
        <is>
          <t>B01N6MXMXO</t>
        </is>
      </c>
      <c r="G15">
        <f>_xlfn.IMAGE("https://www.theoutnet.com/variants/images/38063312421034768/F/w1020_q80.jpg")</f>
        <v/>
      </c>
      <c r="H15">
        <f>_xlfn.IMAGE("https://m.media-amazon.com/images/I/91GMvxwc7PL._AC_UL320_.jpg")</f>
        <v/>
      </c>
      <c r="K15" t="inlineStr">
        <is>
          <t>225.0</t>
        </is>
      </c>
      <c r="L15" t="n">
        <v>488.85</v>
      </c>
      <c r="M15" s="2" t="inlineStr">
        <is>
          <t>117.27%</t>
        </is>
      </c>
      <c r="N15" t="n">
        <v>4.6</v>
      </c>
      <c r="O15" t="n">
        <v>13</v>
      </c>
      <c r="Q15" t="inlineStr">
        <is>
          <t>InStock</t>
        </is>
      </c>
      <c r="R15" t="inlineStr">
        <is>
          <t>750.0</t>
        </is>
      </c>
      <c r="S15" t="inlineStr">
        <is>
          <t>38063312421034768</t>
        </is>
      </c>
    </row>
    <row r="16" ht="75" customHeight="1">
      <c r="A16" s="1">
        <f>HYPERLINK("https://www.theoutnet.com/en-us/shop/product/31-phillip-lim/pants/sweatpants/metallic-knitted-rack-pants/42247633209191535", "https://www.theoutnet.com/en-us/shop/product/31-phillip-lim/pants/sweatpants/metallic-knitted-rack-pants/42247633209191535")</f>
        <v/>
      </c>
      <c r="B16" s="1">
        <f>HYPERLINK("https://www.theoutnet.com/en-us/shop/product/31-phillip-lim/pants/sweatpants/metallic-knitted-rack-pants/42247633209191535", "https://www.theoutnet.com/en-us/shop/product/31-phillip-lim/pants/sweatpants/metallic-knitted-rack-pants/42247633209191535")</f>
        <v/>
      </c>
      <c r="C16" t="inlineStr">
        <is>
          <t>3.1 PHILLIP LIM</t>
        </is>
      </c>
      <c r="D16" t="inlineStr">
        <is>
          <t>3.1 Phillip Lim Women's Alexa 40mm Boots</t>
        </is>
      </c>
      <c r="E16" s="1">
        <f>HYPERLINK("https://www.amazon.com/3-1-Phillip-Lim-Womens-Medium/dp/B07VKFN4HB/ref=sr_1_2?keywords=3.1+PHILLIP+LIM&amp;qid=1695346300&amp;sr=8-2", "https://www.amazon.com/3-1-Phillip-Lim-Womens-Medium/dp/B07VKFN4HB/ref=sr_1_2?keywords=3.1+PHILLIP+LIM&amp;qid=1695346300&amp;sr=8-2")</f>
        <v/>
      </c>
      <c r="F16" t="inlineStr">
        <is>
          <t>B07VKFN4HB</t>
        </is>
      </c>
      <c r="G16">
        <f>_xlfn.IMAGE("https://www.theoutnet.com/variants/images/42247633209191535/F/w1020_q80.jpg")</f>
        <v/>
      </c>
      <c r="H16">
        <f>_xlfn.IMAGE("https://m.media-amazon.com/images/I/81p7CKQjmpL._AC_UL320_.jpg")</f>
        <v/>
      </c>
      <c r="K16" t="inlineStr">
        <is>
          <t>165.0</t>
        </is>
      </c>
      <c r="L16" t="n">
        <v>525</v>
      </c>
      <c r="M16" s="2" t="inlineStr">
        <is>
          <t>218.18%</t>
        </is>
      </c>
      <c r="N16" t="n">
        <v>4.8</v>
      </c>
      <c r="O16" t="n">
        <v>6</v>
      </c>
      <c r="Q16" t="inlineStr">
        <is>
          <t>InStock</t>
        </is>
      </c>
      <c r="R16" t="inlineStr">
        <is>
          <t>550.0</t>
        </is>
      </c>
      <c r="S16" t="inlineStr">
        <is>
          <t>4</t>
        </is>
      </c>
    </row>
    <row r="17" ht="75" customHeight="1">
      <c r="A17" s="1">
        <f>HYPERLINK("https://www.theoutnet.com/en-us/shop/product/31-phillip-lim/pants/sweatpants/metallic-knitted-rack-pants/42247633209191535", "https://www.theoutnet.com/en-us/shop/product/31-phillip-lim/pants/sweatpants/metallic-knitted-rack-pants/42247633209191535")</f>
        <v/>
      </c>
      <c r="B17" s="1">
        <f>HYPERLINK("https://www.theoutnet.com/en-us/shop/product/31-phillip-lim/pants/sweatpants/metallic-knitted-rack-pants/42247633209191535", "https://www.theoutnet.com/en-us/shop/product/31-phillip-lim/pants/sweatpants/metallic-knitted-rack-pants/42247633209191535")</f>
        <v/>
      </c>
      <c r="C17" t="inlineStr">
        <is>
          <t>3.1 PHILLIP LIM</t>
        </is>
      </c>
      <c r="D17" t="inlineStr">
        <is>
          <t>3.1 Phillip Lim Women's Pashli Mini Satchel</t>
        </is>
      </c>
      <c r="E17" s="1">
        <f>HYPERLINK("https://www.amazon.com/3-1-Phillip-Lim-Pashli-Satchel/dp/B01N6MXMXO/ref=sr_1_1?keywords=3.1+PHILLIP+LIM&amp;qid=1695346300&amp;sr=8-1", "https://www.amazon.com/3-1-Phillip-Lim-Pashli-Satchel/dp/B01N6MXMXO/ref=sr_1_1?keywords=3.1+PHILLIP+LIM&amp;qid=1695346300&amp;sr=8-1")</f>
        <v/>
      </c>
      <c r="F17" t="inlineStr">
        <is>
          <t>B01N6MXMXO</t>
        </is>
      </c>
      <c r="G17">
        <f>_xlfn.IMAGE("https://www.theoutnet.com/variants/images/42247633209191535/F/w1020_q80.jpg")</f>
        <v/>
      </c>
      <c r="H17">
        <f>_xlfn.IMAGE("https://m.media-amazon.com/images/I/91GMvxwc7PL._AC_UL320_.jpg")</f>
        <v/>
      </c>
      <c r="K17" t="inlineStr">
        <is>
          <t>165.0</t>
        </is>
      </c>
      <c r="L17" t="n">
        <v>488.85</v>
      </c>
      <c r="M17" s="2" t="inlineStr">
        <is>
          <t>196.27%</t>
        </is>
      </c>
      <c r="N17" t="n">
        <v>4.6</v>
      </c>
      <c r="O17" t="n">
        <v>13</v>
      </c>
      <c r="Q17" t="inlineStr">
        <is>
          <t>InStock</t>
        </is>
      </c>
      <c r="R17" t="inlineStr">
        <is>
          <t>550.0</t>
        </is>
      </c>
      <c r="S17" t="inlineStr">
        <is>
          <t>4</t>
        </is>
      </c>
    </row>
    <row r="18" ht="75" customHeight="1">
      <c r="A18" s="1">
        <f>HYPERLINK("https://www.theoutnet.com/en-us/shop/product/31-phillip-lim/pants/sweatpants/metallic-knitted-rack-pants/42247633209191535", "https://www.theoutnet.com/en-us/shop/product/31-phillip-lim/pants/sweatpants/metallic-knitted-rack-pants/42247633209191535")</f>
        <v/>
      </c>
      <c r="B18" s="1">
        <f>HYPERLINK("https://www.theoutnet.com/en-us/shop/product/31-phillip-lim/pants/sweatpants/metallic-knitted-rack-pants/42247633209191535", "https://www.theoutnet.com/en-us/shop/product/31-phillip-lim/pants/sweatpants/metallic-knitted-rack-pants/42247633209191535")</f>
        <v/>
      </c>
      <c r="C18" t="inlineStr">
        <is>
          <t>3.1 PHILLIP LIM</t>
        </is>
      </c>
      <c r="D18" t="inlineStr">
        <is>
          <t>3.1 Phillip Lim Pashli Saddle</t>
        </is>
      </c>
      <c r="E18" s="1">
        <f>HYPERLINK("https://www.amazon.com/3-1-Phillip-Lim-Saddle-Bag/dp/B07VHJB9Q3/ref=sr_1_6?keywords=3.1+PHILLIP+LIM&amp;qid=1695346300&amp;sr=8-6", "https://www.amazon.com/3-1-Phillip-Lim-Saddle-Bag/dp/B07VHJB9Q3/ref=sr_1_6?keywords=3.1+PHILLIP+LIM&amp;qid=1695346300&amp;sr=8-6")</f>
        <v/>
      </c>
      <c r="F18" t="inlineStr">
        <is>
          <t>B07VHJB9Q3</t>
        </is>
      </c>
      <c r="G18">
        <f>_xlfn.IMAGE("https://www.theoutnet.com/variants/images/42247633209191535/F/w1020_q80.jpg")</f>
        <v/>
      </c>
      <c r="H18">
        <f>_xlfn.IMAGE("https://m.media-amazon.com/images/I/71iTkkxv-XL._AC_UL320_.jpg")</f>
        <v/>
      </c>
      <c r="K18" t="inlineStr">
        <is>
          <t>165.0</t>
        </is>
      </c>
      <c r="L18" t="n">
        <v>360.34</v>
      </c>
      <c r="M18" s="2" t="inlineStr">
        <is>
          <t>118.39%</t>
        </is>
      </c>
      <c r="N18" t="n">
        <v>5</v>
      </c>
      <c r="O18" t="n">
        <v>3</v>
      </c>
      <c r="Q18" t="inlineStr">
        <is>
          <t>InStock</t>
        </is>
      </c>
      <c r="R18" t="inlineStr">
        <is>
          <t>550.0</t>
        </is>
      </c>
      <c r="S18" t="inlineStr">
        <is>
          <t>4</t>
        </is>
      </c>
    </row>
    <row r="19" ht="75" customHeight="1">
      <c r="A19" s="1">
        <f>HYPERLINK("https://www.theoutnet.com/en-us/shop/product/31-phillip-lim/sandals/mid-heel-sandals/laura-60-leather-wedge-sandals/1647597286970726", "https://www.theoutnet.com/en-us/shop/product/31-phillip-lim/sandals/mid-heel-sandals/laura-60-leather-wedge-sandals/1647597286970726")</f>
        <v/>
      </c>
      <c r="B19" s="1">
        <f>HYPERLINK("https://www.theoutnet.com/en-us/shop/product/31-phillip-lim/sandals/mid-heel-sandals/laura-60-leather-wedge-sandals/1647597286970726", "https://www.theoutnet.com/en-us/shop/product/31-phillip-lim/sandals/mid-heel-sandals/laura-60-leather-wedge-sandals/1647597286970726")</f>
        <v/>
      </c>
      <c r="C19" t="inlineStr">
        <is>
          <t>3.1 PHILLIP LIM</t>
        </is>
      </c>
      <c r="D19" t="inlineStr">
        <is>
          <t>3.1 Phillip Lim Women's Alexa 40mm Boots</t>
        </is>
      </c>
      <c r="E19" s="1">
        <f>HYPERLINK("https://www.amazon.com/3-1-Phillip-Lim-Womens-Medium/dp/B07VKFN4HB/ref=sr_1_2?keywords=3.1+PHILLIP+LIM&amp;qid=1695346253&amp;sr=8-2", "https://www.amazon.com/3-1-Phillip-Lim-Womens-Medium/dp/B07VKFN4HB/ref=sr_1_2?keywords=3.1+PHILLIP+LIM&amp;qid=1695346253&amp;sr=8-2")</f>
        <v/>
      </c>
      <c r="F19" t="inlineStr">
        <is>
          <t>B07VKFN4HB</t>
        </is>
      </c>
      <c r="G19">
        <f>_xlfn.IMAGE("https://www.theoutnet.com/variants/images/1647597286970726/F/w1020_q80.jpg")</f>
        <v/>
      </c>
      <c r="H19">
        <f>_xlfn.IMAGE("https://m.media-amazon.com/images/I/81p7CKQjmpL._AC_UL320_.jpg")</f>
        <v/>
      </c>
      <c r="K19" t="inlineStr">
        <is>
          <t>149.0</t>
        </is>
      </c>
      <c r="L19" t="n">
        <v>525</v>
      </c>
      <c r="M19" s="2" t="inlineStr">
        <is>
          <t>252.35%</t>
        </is>
      </c>
      <c r="N19" t="n">
        <v>4.8</v>
      </c>
      <c r="O19" t="n">
        <v>6</v>
      </c>
      <c r="Q19" t="inlineStr">
        <is>
          <t>InStock</t>
        </is>
      </c>
      <c r="R19" t="inlineStr">
        <is>
          <t>495.0</t>
        </is>
      </c>
      <c r="S19" t="inlineStr">
        <is>
          <t>1</t>
        </is>
      </c>
    </row>
    <row r="20" ht="75" customHeight="1">
      <c r="A20" s="1">
        <f>HYPERLINK("https://www.theoutnet.com/en-us/shop/product/31-phillip-lim/sandals/mid-heel-sandals/laura-60-leather-wedge-sandals/1647597286970726", "https://www.theoutnet.com/en-us/shop/product/31-phillip-lim/sandals/mid-heel-sandals/laura-60-leather-wedge-sandals/1647597286970726")</f>
        <v/>
      </c>
      <c r="B20" s="1">
        <f>HYPERLINK("https://www.theoutnet.com/en-us/shop/product/31-phillip-lim/sandals/mid-heel-sandals/laura-60-leather-wedge-sandals/1647597286970726", "https://www.theoutnet.com/en-us/shop/product/31-phillip-lim/sandals/mid-heel-sandals/laura-60-leather-wedge-sandals/1647597286970726")</f>
        <v/>
      </c>
      <c r="C20" t="inlineStr">
        <is>
          <t>3.1 PHILLIP LIM</t>
        </is>
      </c>
      <c r="D20" t="inlineStr">
        <is>
          <t>3.1 Phillip Lim Women's Pashli Mini Satchel</t>
        </is>
      </c>
      <c r="E20" s="1">
        <f>HYPERLINK("https://www.amazon.com/3-1-Phillip-Lim-Pashli-Satchel/dp/B01N6MXMXO/ref=sr_1_1?keywords=3.1+PHILLIP+LIM&amp;qid=1695346253&amp;sr=8-1", "https://www.amazon.com/3-1-Phillip-Lim-Pashli-Satchel/dp/B01N6MXMXO/ref=sr_1_1?keywords=3.1+PHILLIP+LIM&amp;qid=1695346253&amp;sr=8-1")</f>
        <v/>
      </c>
      <c r="F20" t="inlineStr">
        <is>
          <t>B01N6MXMXO</t>
        </is>
      </c>
      <c r="G20">
        <f>_xlfn.IMAGE("https://www.theoutnet.com/variants/images/1647597286970726/F/w1020_q80.jpg")</f>
        <v/>
      </c>
      <c r="H20">
        <f>_xlfn.IMAGE("https://m.media-amazon.com/images/I/91GMvxwc7PL._AC_UL320_.jpg")</f>
        <v/>
      </c>
      <c r="K20" t="inlineStr">
        <is>
          <t>149.0</t>
        </is>
      </c>
      <c r="L20" t="n">
        <v>488.85</v>
      </c>
      <c r="M20" s="2" t="inlineStr">
        <is>
          <t>228.09%</t>
        </is>
      </c>
      <c r="N20" t="n">
        <v>4.6</v>
      </c>
      <c r="O20" t="n">
        <v>13</v>
      </c>
      <c r="Q20" t="inlineStr">
        <is>
          <t>InStock</t>
        </is>
      </c>
      <c r="R20" t="inlineStr">
        <is>
          <t>495.0</t>
        </is>
      </c>
      <c r="S20" t="inlineStr">
        <is>
          <t>1</t>
        </is>
      </c>
    </row>
    <row r="21" ht="75" customHeight="1">
      <c r="A21" s="1">
        <f>HYPERLINK("https://www.theoutnet.com/en-us/shop/product/31-phillip-lim/sandals/mid-heel-sandals/laura-60-leather-wedge-sandals/1647597286970726", "https://www.theoutnet.com/en-us/shop/product/31-phillip-lim/sandals/mid-heel-sandals/laura-60-leather-wedge-sandals/1647597286970726")</f>
        <v/>
      </c>
      <c r="B21" s="1">
        <f>HYPERLINK("https://www.theoutnet.com/en-us/shop/product/31-phillip-lim/sandals/mid-heel-sandals/laura-60-leather-wedge-sandals/1647597286970726", "https://www.theoutnet.com/en-us/shop/product/31-phillip-lim/sandals/mid-heel-sandals/laura-60-leather-wedge-sandals/1647597286970726")</f>
        <v/>
      </c>
      <c r="C21" t="inlineStr">
        <is>
          <t>3.1 PHILLIP LIM</t>
        </is>
      </c>
      <c r="D21" t="inlineStr">
        <is>
          <t>3.1 Phillip Lim Pashli Saddle</t>
        </is>
      </c>
      <c r="E21" s="1">
        <f>HYPERLINK("https://www.amazon.com/3-1-Phillip-Lim-Saddle-Bag/dp/B07VHJB9Q3/ref=sr_1_5?keywords=3.1+PHILLIP+LIM&amp;qid=1695346253&amp;sr=8-5", "https://www.amazon.com/3-1-Phillip-Lim-Saddle-Bag/dp/B07VHJB9Q3/ref=sr_1_5?keywords=3.1+PHILLIP+LIM&amp;qid=1695346253&amp;sr=8-5")</f>
        <v/>
      </c>
      <c r="F21" t="inlineStr">
        <is>
          <t>B07VHJB9Q3</t>
        </is>
      </c>
      <c r="G21">
        <f>_xlfn.IMAGE("https://www.theoutnet.com/variants/images/1647597286970726/F/w1020_q80.jpg")</f>
        <v/>
      </c>
      <c r="H21">
        <f>_xlfn.IMAGE("https://m.media-amazon.com/images/I/71iTkkxv-XL._AC_UL320_.jpg")</f>
        <v/>
      </c>
      <c r="K21" t="inlineStr">
        <is>
          <t>149.0</t>
        </is>
      </c>
      <c r="L21" t="n">
        <v>360.34</v>
      </c>
      <c r="M21" s="2" t="inlineStr">
        <is>
          <t>141.84%</t>
        </is>
      </c>
      <c r="N21" t="n">
        <v>5</v>
      </c>
      <c r="O21" t="n">
        <v>3</v>
      </c>
      <c r="Q21" t="inlineStr">
        <is>
          <t>InStock</t>
        </is>
      </c>
      <c r="R21" t="inlineStr">
        <is>
          <t>495.0</t>
        </is>
      </c>
      <c r="S21" t="inlineStr">
        <is>
          <t>1</t>
        </is>
      </c>
    </row>
    <row r="22" ht="75" customHeight="1">
      <c r="A22" s="1">
        <f>HYPERLINK("https://www.theoutnet.com/en-us/shop/product/31-phillip-lim/tops/long-sleeved-top/wrap-effect-layered-crepe-de-chine-and-voile-tunic/29419655932116257", "https://www.theoutnet.com/en-us/shop/product/31-phillip-lim/tops/long-sleeved-top/wrap-effect-layered-crepe-de-chine-and-voile-tunic/29419655932116257")</f>
        <v/>
      </c>
      <c r="B22" s="1">
        <f>HYPERLINK("https://www.theoutnet.com/en-us/shop/product/31-phillip-lim/tops/long-sleeved-top/wrap-effect-layered-crepe-de-chine-and-voile-tunic/29419655932116257", "https://www.theoutnet.com/en-us/shop/product/31-phillip-lim/tops/long-sleeved-top/wrap-effect-layered-crepe-de-chine-and-voile-tunic/29419655932116257")</f>
        <v/>
      </c>
      <c r="C22" t="inlineStr">
        <is>
          <t>3.1 PHILLIP LIM</t>
        </is>
      </c>
      <c r="D22" t="inlineStr">
        <is>
          <t>3.1 Phillip Lim Women's Alexa 40mm Boots</t>
        </is>
      </c>
      <c r="E22" s="1">
        <f>HYPERLINK("https://www.amazon.com/3-1-Phillip-Lim-Womens-Medium/dp/B07VKFN4HB/ref=sr_1_2?keywords=3.1+PHILLIP+LIM&amp;qid=1695346479&amp;sr=8-2", "https://www.amazon.com/3-1-Phillip-Lim-Womens-Medium/dp/B07VKFN4HB/ref=sr_1_2?keywords=3.1+PHILLIP+LIM&amp;qid=1695346479&amp;sr=8-2")</f>
        <v/>
      </c>
      <c r="F22" t="inlineStr">
        <is>
          <t>B07VKFN4HB</t>
        </is>
      </c>
      <c r="G22">
        <f>_xlfn.IMAGE("https://www.theoutnet.com/variants/images/29419655932116257/F/w1020_q80.jpg")</f>
        <v/>
      </c>
      <c r="H22">
        <f>_xlfn.IMAGE("https://m.media-amazon.com/images/I/81p7CKQjmpL._AC_UL320_.jpg")</f>
        <v/>
      </c>
      <c r="K22" t="inlineStr">
        <is>
          <t>220.0</t>
        </is>
      </c>
      <c r="L22" t="n">
        <v>525</v>
      </c>
      <c r="M22" s="2" t="inlineStr">
        <is>
          <t>138.64%</t>
        </is>
      </c>
      <c r="N22" t="n">
        <v>4.8</v>
      </c>
      <c r="O22" t="n">
        <v>6</v>
      </c>
      <c r="Q22" t="inlineStr">
        <is>
          <t>InStock</t>
        </is>
      </c>
      <c r="R22" t="inlineStr">
        <is>
          <t>550.0</t>
        </is>
      </c>
      <c r="S22" t="inlineStr">
        <is>
          <t>29419655932116257</t>
        </is>
      </c>
    </row>
    <row r="23" ht="75" customHeight="1">
      <c r="A23" s="1">
        <f>HYPERLINK("https://www.theoutnet.com/en-us/shop/product/31-phillip-lim/tops/long-sleeved-top/wrap-effect-layered-crepe-de-chine-and-voile-tunic/29419655932116257", "https://www.theoutnet.com/en-us/shop/product/31-phillip-lim/tops/long-sleeved-top/wrap-effect-layered-crepe-de-chine-and-voile-tunic/29419655932116257")</f>
        <v/>
      </c>
      <c r="B23" s="1">
        <f>HYPERLINK("https://www.theoutnet.com/en-us/shop/product/31-phillip-lim/tops/long-sleeved-top/wrap-effect-layered-crepe-de-chine-and-voile-tunic/29419655932116257", "https://www.theoutnet.com/en-us/shop/product/31-phillip-lim/tops/long-sleeved-top/wrap-effect-layered-crepe-de-chine-and-voile-tunic/29419655932116257")</f>
        <v/>
      </c>
      <c r="C23" t="inlineStr">
        <is>
          <t>3.1 PHILLIP LIM</t>
        </is>
      </c>
      <c r="D23" t="inlineStr">
        <is>
          <t>3.1 Phillip Lim Women's Pashli Mini Satchel</t>
        </is>
      </c>
      <c r="E23" s="1">
        <f>HYPERLINK("https://www.amazon.com/3-1-Phillip-Lim-Pashli-Satchel/dp/B01N6MXMXO/ref=sr_1_1?keywords=3.1+PHILLIP+LIM&amp;qid=1695346479&amp;sr=8-1", "https://www.amazon.com/3-1-Phillip-Lim-Pashli-Satchel/dp/B01N6MXMXO/ref=sr_1_1?keywords=3.1+PHILLIP+LIM&amp;qid=1695346479&amp;sr=8-1")</f>
        <v/>
      </c>
      <c r="F23" t="inlineStr">
        <is>
          <t>B01N6MXMXO</t>
        </is>
      </c>
      <c r="G23">
        <f>_xlfn.IMAGE("https://www.theoutnet.com/variants/images/29419655932116257/F/w1020_q80.jpg")</f>
        <v/>
      </c>
      <c r="H23">
        <f>_xlfn.IMAGE("https://m.media-amazon.com/images/I/91GMvxwc7PL._AC_UL320_.jpg")</f>
        <v/>
      </c>
      <c r="K23" t="inlineStr">
        <is>
          <t>220.0</t>
        </is>
      </c>
      <c r="L23" t="n">
        <v>488.85</v>
      </c>
      <c r="M23" s="2" t="inlineStr">
        <is>
          <t>122.20%</t>
        </is>
      </c>
      <c r="N23" t="n">
        <v>4.6</v>
      </c>
      <c r="O23" t="n">
        <v>13</v>
      </c>
      <c r="Q23" t="inlineStr">
        <is>
          <t>InStock</t>
        </is>
      </c>
      <c r="R23" t="inlineStr">
        <is>
          <t>550.0</t>
        </is>
      </c>
      <c r="S23" t="inlineStr">
        <is>
          <t>29419655932116257</t>
        </is>
      </c>
    </row>
    <row r="24" ht="75" customHeight="1">
      <c r="A24" s="1">
        <f>HYPERLINK("https://www.theoutnet.com/en-us/shop/product/ancient-greek-sandals/sandals/flat-sandals/stephanie-studded-thong-sandals/38063312418947716", "https://www.theoutnet.com/en-us/shop/product/ancient-greek-sandals/sandals/flat-sandals/stephanie-studded-thong-sandals/38063312418947716")</f>
        <v/>
      </c>
      <c r="B24" s="1">
        <f>HYPERLINK("https://www.theoutnet.com/en-us/shop/product/ancient-greek-sandals/sandals/flat-sandals/stephanie-studded-thong-sandals/38063312418947716", "https://www.theoutnet.com/en-us/shop/product/ancient-greek-sandals/sandals/flat-sandals/stephanie-studded-thong-sandals/38063312418947716")</f>
        <v/>
      </c>
      <c r="C24" t="inlineStr">
        <is>
          <t>ANCIENT GREEK SANDALS</t>
        </is>
      </c>
      <c r="D24" t="inlineStr">
        <is>
          <t>Ancient Greek Sandals Women's Eleftheria Sandal</t>
        </is>
      </c>
      <c r="E24" s="1">
        <f>HYPERLINK("https://www.amazon.com/Ancient-Greek-Sandals-Womens-Eleftheria/dp/B072JTJYY8/ref=sr_1_3?keywords=ANCIENT+GREEK+SANDALS&amp;qid=1695346228&amp;sr=8-3", "https://www.amazon.com/Ancient-Greek-Sandals-Womens-Eleftheria/dp/B072JTJYY8/ref=sr_1_3?keywords=ANCIENT+GREEK+SANDALS&amp;qid=1695346228&amp;sr=8-3")</f>
        <v/>
      </c>
      <c r="F24" t="inlineStr">
        <is>
          <t>B072JTJYY8</t>
        </is>
      </c>
      <c r="G24">
        <f>_xlfn.IMAGE("https://www.theoutnet.com/variants/images/38063312418947716/F/w1020_q80.jpg")</f>
        <v/>
      </c>
      <c r="H24">
        <f>_xlfn.IMAGE("https://m.media-amazon.com/images/I/5129EWHgsDL._AC_UL320_.jpg")</f>
        <v/>
      </c>
      <c r="K24" t="inlineStr">
        <is>
          <t>144.0</t>
        </is>
      </c>
      <c r="L24" t="n">
        <v>275</v>
      </c>
      <c r="M24" s="2" t="inlineStr">
        <is>
          <t>90.97%</t>
        </is>
      </c>
      <c r="N24" t="n">
        <v>4.2</v>
      </c>
      <c r="O24" t="n">
        <v>8</v>
      </c>
      <c r="Q24" t="inlineStr">
        <is>
          <t>InStock</t>
        </is>
      </c>
      <c r="R24" t="inlineStr">
        <is>
          <t>480.0</t>
        </is>
      </c>
      <c r="S24" t="inlineStr">
        <is>
          <t>38063312418947716</t>
        </is>
      </c>
    </row>
    <row r="25" ht="75" customHeight="1">
      <c r="A25" s="1">
        <f>HYPERLINK("https://www.theoutnet.com/en-us/shop/product/ancient-greek-sandals/sandals/flat-sandals/stephanie-studded-thong-sandals/38063312418947716", "https://www.theoutnet.com/en-us/shop/product/ancient-greek-sandals/sandals/flat-sandals/stephanie-studded-thong-sandals/38063312418947716")</f>
        <v/>
      </c>
      <c r="B25" s="1">
        <f>HYPERLINK("https://www.theoutnet.com/en-us/shop/product/ancient-greek-sandals/sandals/flat-sandals/stephanie-studded-thong-sandals/38063312418947716", "https://www.theoutnet.com/en-us/shop/product/ancient-greek-sandals/sandals/flat-sandals/stephanie-studded-thong-sandals/38063312418947716")</f>
        <v/>
      </c>
      <c r="C25" t="inlineStr">
        <is>
          <t>ANCIENT GREEK SANDALS</t>
        </is>
      </c>
      <c r="D25" t="inlineStr">
        <is>
          <t>Ancient Greek Sandals Women's Eleftheria Sandal</t>
        </is>
      </c>
      <c r="E25" s="1" t="n"/>
      <c r="F25" t="inlineStr">
        <is>
          <t>B07CVWY249</t>
        </is>
      </c>
      <c r="G25">
        <f>_xlfn.IMAGE("https://www.theoutnet.com/variants/images/38063312418947716/F/w1020_q80.jpg")</f>
        <v/>
      </c>
      <c r="H25">
        <f>_xlfn.IMAGE("https://m.media-amazon.com/images/I/51kUevjlaNL._AC_UL320_.jpg")</f>
        <v/>
      </c>
      <c r="K25" t="inlineStr">
        <is>
          <t>144.0</t>
        </is>
      </c>
      <c r="L25" t="n">
        <v>275</v>
      </c>
      <c r="M25" s="2" t="inlineStr">
        <is>
          <t>90.97%</t>
        </is>
      </c>
      <c r="N25" t="n">
        <v>4.2</v>
      </c>
      <c r="O25" t="n">
        <v>8</v>
      </c>
      <c r="Q25" t="inlineStr">
        <is>
          <t>InStock</t>
        </is>
      </c>
      <c r="R25" t="inlineStr">
        <is>
          <t>480.0</t>
        </is>
      </c>
      <c r="S25" t="inlineStr">
        <is>
          <t>38063312418947716</t>
        </is>
      </c>
    </row>
    <row r="26" ht="75" customHeight="1">
      <c r="A26" s="1">
        <f>HYPERLINK("https://www.theoutnet.com/en-us/shop/product/badgley-mischka/dresses/knee-length-dress/sequined-tulle-dress/33258524072279451", "https://www.theoutnet.com/en-us/shop/product/badgley-mischka/dresses/knee-length-dress/sequined-tulle-dress/33258524072279451")</f>
        <v/>
      </c>
      <c r="B26" s="1">
        <f>HYPERLINK("https://www.theoutnet.com/en-us/shop/product/badgley-mischka/dresses/knee-length-dress/sequined-tulle-dress/33258524072279451", "https://www.theoutnet.com/en-us/shop/product/badgley-mischka/dresses/knee-length-dress/sequined-tulle-dress/33258524072279451")</f>
        <v/>
      </c>
      <c r="C26" t="inlineStr">
        <is>
          <t>BADGLEY MISCHKA</t>
        </is>
      </c>
      <c r="D26" t="inlineStr">
        <is>
          <t>Badgley Mischka Women's Remi Heeled Sandal</t>
        </is>
      </c>
      <c r="E26" s="1">
        <f>HYPERLINK("https://www.amazon.com/Badgley-Mischka-Womens-Heeled-Sandal/dp/B08G9XHM4Y/ref=sr_1_6?keywords=BADGLEY+MISCHKA&amp;qid=1695346227&amp;sr=8-6", "https://www.amazon.com/Badgley-Mischka-Womens-Heeled-Sandal/dp/B08G9XHM4Y/ref=sr_1_6?keywords=BADGLEY+MISCHKA&amp;qid=1695346227&amp;sr=8-6")</f>
        <v/>
      </c>
      <c r="F26" t="inlineStr">
        <is>
          <t>B08G9XHM4Y</t>
        </is>
      </c>
      <c r="G26">
        <f>_xlfn.IMAGE("https://www.theoutnet.com/variants/images/33258524072279451/F/w1020_q80.jpg")</f>
        <v/>
      </c>
      <c r="H26">
        <f>_xlfn.IMAGE("https://m.media-amazon.com/images/I/51Rbe8aseeS._AC_UL320_.jpg")</f>
        <v/>
      </c>
      <c r="K26" t="inlineStr">
        <is>
          <t>143.0</t>
        </is>
      </c>
      <c r="L26" t="n">
        <v>234.95</v>
      </c>
      <c r="M26" s="2" t="inlineStr">
        <is>
          <t>64.30%</t>
        </is>
      </c>
      <c r="N26" t="n">
        <v>4.4</v>
      </c>
      <c r="O26" t="n">
        <v>54</v>
      </c>
      <c r="Q26" t="inlineStr">
        <is>
          <t>InStock</t>
        </is>
      </c>
      <c r="R26" t="inlineStr">
        <is>
          <t>475.0</t>
        </is>
      </c>
      <c r="S26" t="inlineStr">
        <is>
          <t>33258524072279451</t>
        </is>
      </c>
    </row>
    <row r="27" ht="75" customHeight="1">
      <c r="A27" s="1">
        <f>HYPERLINK("https://www.theoutnet.com/en-us/shop/product/casadei/pumps/mid-heel-pumps/versilia-woven-metallic-leather-pumps/1647597300424824", "https://www.theoutnet.com/en-us/shop/product/casadei/pumps/mid-heel-pumps/versilia-woven-metallic-leather-pumps/1647597300424824")</f>
        <v/>
      </c>
      <c r="B27" s="1">
        <f>HYPERLINK("https://www.theoutnet.com/en-us/shop/product/casadei/pumps/mid-heel-pumps/versilia-woven-metallic-leather-pumps/1647597300424824", "https://www.theoutnet.com/en-us/shop/product/casadei/pumps/mid-heel-pumps/versilia-woven-metallic-leather-pumps/1647597300424824")</f>
        <v/>
      </c>
      <c r="C27" t="inlineStr">
        <is>
          <t>CASADEI</t>
        </is>
      </c>
      <c r="D27" t="inlineStr">
        <is>
          <t>Casadei Women's 8725 Ankle Boot</t>
        </is>
      </c>
      <c r="E27" s="1">
        <f>HYPERLINK("https://www.amazon.com/Casadei-Womens-8725-Ankle-Boot/dp/B004O0UFHU/ref=sr_1_6?keywords=CASADEI&amp;qid=1695346485&amp;sr=8-6", "https://www.amazon.com/Casadei-Womens-8725-Ankle-Boot/dp/B004O0UFHU/ref=sr_1_6?keywords=CASADEI&amp;qid=1695346485&amp;sr=8-6")</f>
        <v/>
      </c>
      <c r="F27" t="inlineStr">
        <is>
          <t>B004O0UFHU</t>
        </is>
      </c>
      <c r="G27">
        <f>_xlfn.IMAGE("https://www.theoutnet.com/variants/images/1647597300424824/F/w1020_q80.jpg")</f>
        <v/>
      </c>
      <c r="H27">
        <f>_xlfn.IMAGE("https://m.media-amazon.com/images/I/8165GjxjECL._AC_UL320_.jpg")</f>
        <v/>
      </c>
      <c r="K27" t="inlineStr">
        <is>
          <t>222.0</t>
        </is>
      </c>
      <c r="L27" t="n">
        <v>855.98</v>
      </c>
      <c r="M27" s="2" t="inlineStr">
        <is>
          <t>285.58%</t>
        </is>
      </c>
      <c r="N27" t="n">
        <v>5</v>
      </c>
      <c r="O27" t="n">
        <v>1</v>
      </c>
      <c r="Q27" t="inlineStr">
        <is>
          <t>InStock</t>
        </is>
      </c>
      <c r="R27" t="inlineStr">
        <is>
          <t>740.0</t>
        </is>
      </c>
      <c r="S27" t="inlineStr">
        <is>
          <t>1</t>
        </is>
      </c>
    </row>
    <row r="28" ht="75" customHeight="1">
      <c r="A28" s="1">
        <f>HYPERLINK("https://www.theoutnet.com/en-us/shop/product/casadei/pumps/mid-heel-pumps/versilia-woven-metallic-leather-pumps/1647597300424824", "https://www.theoutnet.com/en-us/shop/product/casadei/pumps/mid-heel-pumps/versilia-woven-metallic-leather-pumps/1647597300424824")</f>
        <v/>
      </c>
      <c r="B28" s="1">
        <f>HYPERLINK("https://www.theoutnet.com/en-us/shop/product/casadei/pumps/mid-heel-pumps/versilia-woven-metallic-leather-pumps/1647597300424824", "https://www.theoutnet.com/en-us/shop/product/casadei/pumps/mid-heel-pumps/versilia-woven-metallic-leather-pumps/1647597300424824")</f>
        <v/>
      </c>
      <c r="C28" t="inlineStr">
        <is>
          <t>CASADEI</t>
        </is>
      </c>
      <c r="D28" t="inlineStr">
        <is>
          <t>Casadei Women's 3910 Over The Knee Boot</t>
        </is>
      </c>
      <c r="E28" s="1">
        <f>HYPERLINK("https://www.amazon.com/Casadei-Womens-3910-Over-Peplum/dp/B001U88F4Y/ref=sr_1_5?keywords=CASADEI&amp;qid=1695346485&amp;sr=8-5", "https://www.amazon.com/Casadei-Womens-3910-Over-Peplum/dp/B001U88F4Y/ref=sr_1_5?keywords=CASADEI&amp;qid=1695346485&amp;sr=8-5")</f>
        <v/>
      </c>
      <c r="F28" t="inlineStr">
        <is>
          <t>B001U88F4Y</t>
        </is>
      </c>
      <c r="G28">
        <f>_xlfn.IMAGE("https://www.theoutnet.com/variants/images/1647597300424824/F/w1020_q80.jpg")</f>
        <v/>
      </c>
      <c r="H28">
        <f>_xlfn.IMAGE("https://m.media-amazon.com/images/I/71CmEWoLCEL._AC_UL320_.jpg")</f>
        <v/>
      </c>
      <c r="K28" t="inlineStr">
        <is>
          <t>222.0</t>
        </is>
      </c>
      <c r="L28" t="n">
        <v>769.12</v>
      </c>
      <c r="M28" s="2" t="inlineStr">
        <is>
          <t>246.45%</t>
        </is>
      </c>
      <c r="N28" t="n">
        <v>5</v>
      </c>
      <c r="O28" t="n">
        <v>1</v>
      </c>
      <c r="Q28" t="inlineStr">
        <is>
          <t>InStock</t>
        </is>
      </c>
      <c r="R28" t="inlineStr">
        <is>
          <t>740.0</t>
        </is>
      </c>
      <c r="S28" t="inlineStr">
        <is>
          <t>1</t>
        </is>
      </c>
    </row>
    <row r="29" ht="75" customHeight="1">
      <c r="A29" s="1">
        <f>HYPERLINK("https://www.theoutnet.com/en-us/shop/product/casadei/pumps/mid-heel-pumps/versilia-woven-metallic-leather-pumps/1647597300424824", "https://www.theoutnet.com/en-us/shop/product/casadei/pumps/mid-heel-pumps/versilia-woven-metallic-leather-pumps/1647597300424824")</f>
        <v/>
      </c>
      <c r="B29" s="1">
        <f>HYPERLINK("https://www.theoutnet.com/en-us/shop/product/casadei/pumps/mid-heel-pumps/versilia-woven-metallic-leather-pumps/1647597300424824", "https://www.theoutnet.com/en-us/shop/product/casadei/pumps/mid-heel-pumps/versilia-woven-metallic-leather-pumps/1647597300424824")</f>
        <v/>
      </c>
      <c r="C29" t="inlineStr">
        <is>
          <t>CASADEI</t>
        </is>
      </c>
      <c r="D29" t="inlineStr">
        <is>
          <t>Casadei Women's 1071 Wedge Sandal</t>
        </is>
      </c>
      <c r="E29" s="1">
        <f>HYPERLINK("https://www.amazon.com/Casadei-Womens-1071-Sandal-Sabbia/dp/B005GYKDK2/ref=sr_1_4?keywords=CASADEI&amp;qid=1695346485&amp;sr=8-4", "https://www.amazon.com/Casadei-Womens-1071-Sandal-Sabbia/dp/B005GYKDK2/ref=sr_1_4?keywords=CASADEI&amp;qid=1695346485&amp;sr=8-4")</f>
        <v/>
      </c>
      <c r="F29" t="inlineStr">
        <is>
          <t>B005GYKDK2</t>
        </is>
      </c>
      <c r="G29">
        <f>_xlfn.IMAGE("https://www.theoutnet.com/variants/images/1647597300424824/F/w1020_q80.jpg")</f>
        <v/>
      </c>
      <c r="H29">
        <f>_xlfn.IMAGE("https://m.media-amazon.com/images/I/711D97HPU+L._AC_UL320_.jpg")</f>
        <v/>
      </c>
      <c r="K29" t="inlineStr">
        <is>
          <t>222.0</t>
        </is>
      </c>
      <c r="L29" t="n">
        <v>748.84</v>
      </c>
      <c r="M29" s="2" t="inlineStr">
        <is>
          <t>237.32%</t>
        </is>
      </c>
      <c r="N29" t="n">
        <v>4.5</v>
      </c>
      <c r="O29" t="n">
        <v>3</v>
      </c>
      <c r="Q29" t="inlineStr">
        <is>
          <t>InStock</t>
        </is>
      </c>
      <c r="R29" t="inlineStr">
        <is>
          <t>740.0</t>
        </is>
      </c>
      <c r="S29" t="inlineStr">
        <is>
          <t>1</t>
        </is>
      </c>
    </row>
    <row r="30" ht="75" customHeight="1">
      <c r="A30" s="1">
        <f>HYPERLINK("https://www.theoutnet.com/en-us/shop/product/casadei/pumps/mid-heel-pumps/versilia-woven-metallic-leather-pumps/1647597300424824", "https://www.theoutnet.com/en-us/shop/product/casadei/pumps/mid-heel-pumps/versilia-woven-metallic-leather-pumps/1647597300424824")</f>
        <v/>
      </c>
      <c r="B30" s="1">
        <f>HYPERLINK("https://www.theoutnet.com/en-us/shop/product/casadei/pumps/mid-heel-pumps/versilia-woven-metallic-leather-pumps/1647597300424824", "https://www.theoutnet.com/en-us/shop/product/casadei/pumps/mid-heel-pumps/versilia-woven-metallic-leather-pumps/1647597300424824")</f>
        <v/>
      </c>
      <c r="C30" t="inlineStr">
        <is>
          <t>CASADEI</t>
        </is>
      </c>
      <c r="D30" t="inlineStr">
        <is>
          <t>Casadei Women's 1508 Platform Pump</t>
        </is>
      </c>
      <c r="E30" s="1">
        <f>HYPERLINK("https://www.amazon.com/Casadei-Womens-1508-Platform-Sabbia/dp/B005APCTUO/ref=sr_1_9?keywords=CASADEI&amp;qid=1695346485&amp;sr=8-9", "https://www.amazon.com/Casadei-Womens-1508-Platform-Sabbia/dp/B005APCTUO/ref=sr_1_9?keywords=CASADEI&amp;qid=1695346485&amp;sr=8-9")</f>
        <v/>
      </c>
      <c r="F30" t="inlineStr">
        <is>
          <t>B005APCTUO</t>
        </is>
      </c>
      <c r="G30">
        <f>_xlfn.IMAGE("https://www.theoutnet.com/variants/images/1647597300424824/F/w1020_q80.jpg")</f>
        <v/>
      </c>
      <c r="H30">
        <f>_xlfn.IMAGE("https://m.media-amazon.com/images/I/81QigjOiACL._AC_UL320_.jpg")</f>
        <v/>
      </c>
      <c r="K30" t="inlineStr">
        <is>
          <t>222.0</t>
        </is>
      </c>
      <c r="L30" t="n">
        <v>505.18</v>
      </c>
      <c r="M30" s="2" t="inlineStr">
        <is>
          <t>127.56%</t>
        </is>
      </c>
      <c r="N30" t="n">
        <v>5</v>
      </c>
      <c r="O30" t="n">
        <v>1</v>
      </c>
      <c r="Q30" t="inlineStr">
        <is>
          <t>InStock</t>
        </is>
      </c>
      <c r="R30" t="inlineStr">
        <is>
          <t>740.0</t>
        </is>
      </c>
      <c r="S30" t="inlineStr">
        <is>
          <t>1</t>
        </is>
      </c>
    </row>
    <row r="31" ht="75" customHeight="1">
      <c r="A31" s="1">
        <f>HYPERLINK("https://www.theoutnet.com/en-us/shop/product/diane-von-furstenberg/dresses/knee-length-dress/sol-floral-print-plisse-crepe-wrap-dress/1647597285145300", "https://www.theoutnet.com/en-us/shop/product/diane-von-furstenberg/dresses/knee-length-dress/sol-floral-print-plisse-crepe-wrap-dress/1647597285145300")</f>
        <v/>
      </c>
      <c r="B31" s="1">
        <f>HYPERLINK("https://www.theoutnet.com/en-us/shop/product/diane-von-furstenberg/dresses/knee-length-dress/sol-floral-print-plisse-crepe-wrap-dress/1647597285145300", "https://www.theoutnet.com/en-us/shop/product/diane-von-furstenberg/dresses/knee-length-dress/sol-floral-print-plisse-crepe-wrap-dress/1647597285145300")</f>
        <v/>
      </c>
      <c r="C31" t="inlineStr">
        <is>
          <t>DIANE VON FURSTENBERG</t>
        </is>
      </c>
      <c r="D31" t="inlineStr">
        <is>
          <t>Diane von Furstenberg Rent The Runway Pre-Loved Landon Wrap Sweater</t>
        </is>
      </c>
      <c r="E31" s="1">
        <f>HYPERLINK("https://www.amazon.com/Diane-von-Furstenberg-Pre-Loved-Sweater/dp/B0BB18TPF7/ref=sr_1_4?keywords=DIANE+VON+FURSTENBERG&amp;qid=1695346361&amp;sr=8-4", "https://www.amazon.com/Diane-von-Furstenberg-Pre-Loved-Sweater/dp/B0BB18TPF7/ref=sr_1_4?keywords=DIANE+VON+FURSTENBERG&amp;qid=1695346361&amp;sr=8-4")</f>
        <v/>
      </c>
      <c r="F31" t="inlineStr">
        <is>
          <t>B0BB18TPF7</t>
        </is>
      </c>
      <c r="G31">
        <f>_xlfn.IMAGE("https://www.theoutnet.com/variants/images/1647597285145300/F/w1020_q80.jpg")</f>
        <v/>
      </c>
      <c r="H31">
        <f>_xlfn.IMAGE("https://m.media-amazon.com/images/I/61AADp5sGoL._AC_UL320_.jpg")</f>
        <v/>
      </c>
      <c r="K31" t="inlineStr">
        <is>
          <t>180.0</t>
        </is>
      </c>
      <c r="L31" t="n">
        <v>298</v>
      </c>
      <c r="M31" s="2" t="inlineStr">
        <is>
          <t>65.56%</t>
        </is>
      </c>
      <c r="N31" t="n">
        <v>4.4</v>
      </c>
      <c r="O31" t="n">
        <v>4</v>
      </c>
      <c r="Q31" t="inlineStr">
        <is>
          <t>InStock</t>
        </is>
      </c>
      <c r="R31" t="inlineStr">
        <is>
          <t>598.0</t>
        </is>
      </c>
      <c r="S31" t="inlineStr">
        <is>
          <t>1647597285145300</t>
        </is>
      </c>
    </row>
    <row r="32" ht="75" customHeight="1">
      <c r="A32" s="1">
        <f>HYPERLINK("https://www.theoutnet.com/en-us/shop/product/diane-von-furstenberg/dresses/maxi-dress/arizona-ruffled-snake-print-crepe-de-chine-maxi-dress/1647597305643727", "https://www.theoutnet.com/en-us/shop/product/diane-von-furstenberg/dresses/maxi-dress/arizona-ruffled-snake-print-crepe-de-chine-maxi-dress/1647597305643727")</f>
        <v/>
      </c>
      <c r="B32" s="1">
        <f>HYPERLINK("https://www.theoutnet.com/en-us/shop/product/diane-von-furstenberg/dresses/maxi-dress/arizona-ruffled-snake-print-crepe-de-chine-maxi-dress/1647597305643727", "https://www.theoutnet.com/en-us/shop/product/diane-von-furstenberg/dresses/maxi-dress/arizona-ruffled-snake-print-crepe-de-chine-maxi-dress/1647597305643727")</f>
        <v/>
      </c>
      <c r="C32" t="inlineStr">
        <is>
          <t>DIANE VON FURSTENBERG</t>
        </is>
      </c>
      <c r="D32" t="inlineStr">
        <is>
          <t>Diane von Furstenberg Rent The Runway Pre-Loved Landon Wrap Sweater</t>
        </is>
      </c>
      <c r="E32" s="1">
        <f>HYPERLINK("https://www.amazon.com/Diane-von-Furstenberg-Pre-Loved-Sweater/dp/B0BB18TPF7/ref=sr_1_4?keywords=DIANE+VON+FURSTENBERG&amp;qid=1695346320&amp;sr=8-4", "https://www.amazon.com/Diane-von-Furstenberg-Pre-Loved-Sweater/dp/B0BB18TPF7/ref=sr_1_4?keywords=DIANE+VON+FURSTENBERG&amp;qid=1695346320&amp;sr=8-4")</f>
        <v/>
      </c>
      <c r="F32" t="inlineStr">
        <is>
          <t>B0BB18TPF7</t>
        </is>
      </c>
      <c r="G32">
        <f>_xlfn.IMAGE("https://www.theoutnet.com/variants/images/1647597305643727/F/w1020_q80.jpg")</f>
        <v/>
      </c>
      <c r="H32">
        <f>_xlfn.IMAGE("https://m.media-amazon.com/images/I/61AADp5sGoL._AC_UL320_.jpg")</f>
        <v/>
      </c>
      <c r="K32" t="inlineStr">
        <is>
          <t>168.0</t>
        </is>
      </c>
      <c r="L32" t="n">
        <v>298</v>
      </c>
      <c r="M32" s="2" t="inlineStr">
        <is>
          <t>77.38%</t>
        </is>
      </c>
      <c r="N32" t="n">
        <v>4.4</v>
      </c>
      <c r="O32" t="n">
        <v>4</v>
      </c>
      <c r="Q32" t="inlineStr">
        <is>
          <t>InStock</t>
        </is>
      </c>
      <c r="R32" t="inlineStr">
        <is>
          <t>558.0</t>
        </is>
      </c>
      <c r="S32" t="inlineStr">
        <is>
          <t>1647597305643727</t>
        </is>
      </c>
    </row>
    <row r="33" ht="75" customHeight="1">
      <c r="A33" s="1">
        <f>HYPERLINK("https://www.theoutnet.com/en-us/shop/product/diane-von-furstenberg/dresses/midi-dress/anuj-wrap-effect-printed-crepe-de-chine-midi-dress/1647597285255382", "https://www.theoutnet.com/en-us/shop/product/diane-von-furstenberg/dresses/midi-dress/anuj-wrap-effect-printed-crepe-de-chine-midi-dress/1647597285255382")</f>
        <v/>
      </c>
      <c r="B33" s="1">
        <f>HYPERLINK("https://www.theoutnet.com/en-us/shop/product/diane-von-furstenberg/dresses/midi-dress/anuj-wrap-effect-printed-crepe-de-chine-midi-dress/1647597285255382", "https://www.theoutnet.com/en-us/shop/product/diane-von-furstenberg/dresses/midi-dress/anuj-wrap-effect-printed-crepe-de-chine-midi-dress/1647597285255382")</f>
        <v/>
      </c>
      <c r="C33" t="inlineStr">
        <is>
          <t>DIANE VON FURSTENBERG</t>
        </is>
      </c>
      <c r="D33" t="inlineStr">
        <is>
          <t>Diane von Furstenberg Rent The Runway Pre-Loved Landon Wrap Sweater</t>
        </is>
      </c>
      <c r="E33" s="1">
        <f>HYPERLINK("https://www.amazon.com/Diane-von-Furstenberg-Pre-Loved-Sweater/dp/B0BB18TPF7/ref=sr_1_4?keywords=DIANE+VON+FURSTENBERG&amp;qid=1695346290&amp;sr=8-4", "https://www.amazon.com/Diane-von-Furstenberg-Pre-Loved-Sweater/dp/B0BB18TPF7/ref=sr_1_4?keywords=DIANE+VON+FURSTENBERG&amp;qid=1695346290&amp;sr=8-4")</f>
        <v/>
      </c>
      <c r="F33" t="inlineStr">
        <is>
          <t>B0BB18TPF7</t>
        </is>
      </c>
      <c r="G33">
        <f>_xlfn.IMAGE("https://www.theoutnet.com/variants/images/1647597285255382/F/w1020_q80.jpg")</f>
        <v/>
      </c>
      <c r="H33">
        <f>_xlfn.IMAGE("https://m.media-amazon.com/images/I/61AADp5sGoL._AC_UL320_.jpg")</f>
        <v/>
      </c>
      <c r="K33" t="inlineStr">
        <is>
          <t>159.0</t>
        </is>
      </c>
      <c r="L33" t="n">
        <v>298</v>
      </c>
      <c r="M33" s="2" t="inlineStr">
        <is>
          <t>87.42%</t>
        </is>
      </c>
      <c r="N33" t="n">
        <v>4.4</v>
      </c>
      <c r="O33" t="n">
        <v>4</v>
      </c>
      <c r="Q33" t="inlineStr">
        <is>
          <t>InStock</t>
        </is>
      </c>
      <c r="R33" t="inlineStr">
        <is>
          <t>528.0</t>
        </is>
      </c>
      <c r="S33" t="inlineStr">
        <is>
          <t>1647597285255382</t>
        </is>
      </c>
    </row>
    <row r="34" ht="75" customHeight="1">
      <c r="A34" s="1">
        <f>HYPERLINK("https://www.theoutnet.com/en-us/shop/product/diane-von-furstenberg/dresses/midi-dress/kofi-wrap-effect-printed-crepe-de-chine-and-cady-midi-dress/1647597285242366", "https://www.theoutnet.com/en-us/shop/product/diane-von-furstenberg/dresses/midi-dress/kofi-wrap-effect-printed-crepe-de-chine-and-cady-midi-dress/1647597285242366")</f>
        <v/>
      </c>
      <c r="B34" s="1">
        <f>HYPERLINK("https://www.theoutnet.com/en-us/shop/product/diane-von-furstenberg/dresses/midi-dress/kofi-wrap-effect-printed-crepe-de-chine-and-cady-midi-dress/1647597285242366", "https://www.theoutnet.com/en-us/shop/product/diane-von-furstenberg/dresses/midi-dress/kofi-wrap-effect-printed-crepe-de-chine-and-cady-midi-dress/1647597285242366")</f>
        <v/>
      </c>
      <c r="C34" t="inlineStr">
        <is>
          <t>DIANE VON FURSTENBERG</t>
        </is>
      </c>
      <c r="D34" t="inlineStr">
        <is>
          <t>Diane von Furstenberg Rent The Runway Pre-Loved Landon Wrap Sweater</t>
        </is>
      </c>
      <c r="E34" s="1">
        <f>HYPERLINK("https://www.amazon.com/Diane-von-Furstenberg-Pre-Loved-Sweater/dp/B0BB18TPF7/ref=sr_1_3?keywords=DIANE+VON+FURSTENBERG&amp;qid=1695346265&amp;sr=8-3", "https://www.amazon.com/Diane-von-Furstenberg-Pre-Loved-Sweater/dp/B0BB18TPF7/ref=sr_1_3?keywords=DIANE+VON+FURSTENBERG&amp;qid=1695346265&amp;sr=8-3")</f>
        <v/>
      </c>
      <c r="F34" t="inlineStr">
        <is>
          <t>B0BB18TPF7</t>
        </is>
      </c>
      <c r="G34">
        <f>_xlfn.IMAGE("https://www.theoutnet.com/variants/images/1647597285242366/F/w1020_q80.jpg")</f>
        <v/>
      </c>
      <c r="H34">
        <f>_xlfn.IMAGE("https://m.media-amazon.com/images/I/61AADp5sGoL._AC_UL320_.jpg")</f>
        <v/>
      </c>
      <c r="K34" t="inlineStr">
        <is>
          <t>150.0</t>
        </is>
      </c>
      <c r="L34" t="n">
        <v>298</v>
      </c>
      <c r="M34" s="2" t="inlineStr">
        <is>
          <t>98.67%</t>
        </is>
      </c>
      <c r="N34" t="n">
        <v>4.4</v>
      </c>
      <c r="O34" t="n">
        <v>4</v>
      </c>
      <c r="Q34" t="inlineStr">
        <is>
          <t>InStock</t>
        </is>
      </c>
      <c r="R34" t="inlineStr">
        <is>
          <t>498.0</t>
        </is>
      </c>
      <c r="S34" t="inlineStr">
        <is>
          <t>1647597285242366</t>
        </is>
      </c>
    </row>
    <row r="35" ht="75" customHeight="1">
      <c r="A35" s="1">
        <f>HYPERLINK("https://www.theoutnet.com/en-us/shop/product/diane-von-furstenberg/dresses/midi-dress/nicola-pleated-printed-satin-jacquard-midi-dress/1647597305640838", "https://www.theoutnet.com/en-us/shop/product/diane-von-furstenberg/dresses/midi-dress/nicola-pleated-printed-satin-jacquard-midi-dress/1647597305640838")</f>
        <v/>
      </c>
      <c r="B35" s="1">
        <f>HYPERLINK("https://www.theoutnet.com/en-us/shop/product/diane-von-furstenberg/dresses/midi-dress/nicola-pleated-printed-satin-jacquard-midi-dress/1647597305640838", "https://www.theoutnet.com/en-us/shop/product/diane-von-furstenberg/dresses/midi-dress/nicola-pleated-printed-satin-jacquard-midi-dress/1647597305640838")</f>
        <v/>
      </c>
      <c r="C35" t="inlineStr">
        <is>
          <t>DIANE VON FURSTENBERG</t>
        </is>
      </c>
      <c r="D35" t="inlineStr">
        <is>
          <t>Diane von Furstenberg Rent The Runway Pre-Loved Landon Wrap Sweater</t>
        </is>
      </c>
      <c r="E35" s="1">
        <f>HYPERLINK("https://www.amazon.com/Diane-von-Furstenberg-Pre-Loved-Sweater/dp/B0BB18TPF7/ref=sr_1_3?keywords=DIANE+VON+FURSTENBERG&amp;qid=1695346264&amp;sr=8-3", "https://www.amazon.com/Diane-von-Furstenberg-Pre-Loved-Sweater/dp/B0BB18TPF7/ref=sr_1_3?keywords=DIANE+VON+FURSTENBERG&amp;qid=1695346264&amp;sr=8-3")</f>
        <v/>
      </c>
      <c r="F35" t="inlineStr">
        <is>
          <t>B0BB18TPF7</t>
        </is>
      </c>
      <c r="G35">
        <f>_xlfn.IMAGE("https://www.theoutnet.com/variants/images/1647597305640838/F/w1020_q80.jpg")</f>
        <v/>
      </c>
      <c r="H35">
        <f>_xlfn.IMAGE("https://m.media-amazon.com/images/I/61AADp5sGoL._AC_UL320_.jpg")</f>
        <v/>
      </c>
      <c r="K35" t="inlineStr">
        <is>
          <t>150.0</t>
        </is>
      </c>
      <c r="L35" t="n">
        <v>298</v>
      </c>
      <c r="M35" s="2" t="inlineStr">
        <is>
          <t>98.67%</t>
        </is>
      </c>
      <c r="N35" t="n">
        <v>4.4</v>
      </c>
      <c r="O35" t="n">
        <v>4</v>
      </c>
      <c r="Q35" t="inlineStr">
        <is>
          <t>InStock</t>
        </is>
      </c>
      <c r="R35" t="inlineStr">
        <is>
          <t>498.0</t>
        </is>
      </c>
      <c r="S35" t="inlineStr">
        <is>
          <t>1</t>
        </is>
      </c>
    </row>
    <row r="36" ht="75" customHeight="1">
      <c r="A36" s="1">
        <f>HYPERLINK("https://www.theoutnet.com/en-us/shop/product/diane-von-furstenberg/dresses/midi-dress/patricia-leopard-print-silk-crepe-de-chine-midi-wrap-dress/33258524072343013", "https://www.theoutnet.com/en-us/shop/product/diane-von-furstenberg/dresses/midi-dress/patricia-leopard-print-silk-crepe-de-chine-midi-wrap-dress/33258524072343013")</f>
        <v/>
      </c>
      <c r="B36" s="1">
        <f>HYPERLINK("https://www.theoutnet.com/en-us/shop/product/diane-von-furstenberg/dresses/midi-dress/patricia-leopard-print-silk-crepe-de-chine-midi-wrap-dress/33258524072343013", "https://www.theoutnet.com/en-us/shop/product/diane-von-furstenberg/dresses/midi-dress/patricia-leopard-print-silk-crepe-de-chine-midi-wrap-dress/33258524072343013")</f>
        <v/>
      </c>
      <c r="C36" t="inlineStr">
        <is>
          <t>DIANE VON FURSTENBERG</t>
        </is>
      </c>
      <c r="D36" t="inlineStr">
        <is>
          <t>Diane von Furstenberg Rent The Runway Pre-Loved Landon Wrap Sweater</t>
        </is>
      </c>
      <c r="E36" s="1">
        <f>HYPERLINK("https://www.amazon.com/Diane-von-Furstenberg-Pre-Loved-Sweater/dp/B0BB18TPF7/ref=sr_1_4?keywords=DIANE+VON+FURSTENBERG&amp;qid=1695346331&amp;sr=8-4", "https://www.amazon.com/Diane-von-Furstenberg-Pre-Loved-Sweater/dp/B0BB18TPF7/ref=sr_1_4?keywords=DIANE+VON+FURSTENBERG&amp;qid=1695346331&amp;sr=8-4")</f>
        <v/>
      </c>
      <c r="F36" t="inlineStr">
        <is>
          <t>B0BB18TPF7</t>
        </is>
      </c>
      <c r="G36">
        <f>_xlfn.IMAGE("https://www.theoutnet.com/variants/images/33258524072343013/F/w1020_q80.jpg")</f>
        <v/>
      </c>
      <c r="H36">
        <f>_xlfn.IMAGE("https://m.media-amazon.com/images/I/61AADp5sGoL._AC_UL320_.jpg")</f>
        <v/>
      </c>
      <c r="K36" t="inlineStr">
        <is>
          <t>171.0</t>
        </is>
      </c>
      <c r="L36" t="n">
        <v>298</v>
      </c>
      <c r="M36" s="2" t="inlineStr">
        <is>
          <t>74.27%</t>
        </is>
      </c>
      <c r="N36" t="n">
        <v>4.4</v>
      </c>
      <c r="O36" t="n">
        <v>4</v>
      </c>
      <c r="Q36" t="inlineStr">
        <is>
          <t>InStock</t>
        </is>
      </c>
      <c r="R36" t="inlineStr">
        <is>
          <t>568.0</t>
        </is>
      </c>
      <c r="S36" t="inlineStr">
        <is>
          <t>33258524072343013</t>
        </is>
      </c>
    </row>
    <row r="37" ht="75" customHeight="1">
      <c r="A37" s="1">
        <f>HYPERLINK("https://www.theoutnet.com/en-us/shop/product/diane-von-furstenberg/dresses/mini-dress/fil-coupe-paneled-printed-crepe-de-chine-mini-shirt-dress/1647597285253790", "https://www.theoutnet.com/en-us/shop/product/diane-von-furstenberg/dresses/mini-dress/fil-coupe-paneled-printed-crepe-de-chine-mini-shirt-dress/1647597285253790")</f>
        <v/>
      </c>
      <c r="B37" s="1">
        <f>HYPERLINK("https://www.theoutnet.com/en-us/shop/product/diane-von-furstenberg/dresses/mini-dress/fil-coupe-paneled-printed-crepe-de-chine-mini-shirt-dress/1647597285253790", "https://www.theoutnet.com/en-us/shop/product/diane-von-furstenberg/dresses/mini-dress/fil-coupe-paneled-printed-crepe-de-chine-mini-shirt-dress/1647597285253790")</f>
        <v/>
      </c>
      <c r="C37" t="inlineStr">
        <is>
          <t>DIANE VON FURSTENBERG</t>
        </is>
      </c>
      <c r="D37" t="inlineStr">
        <is>
          <t>Diane von Furstenberg Rent The Runway Pre-Loved Landon Wrap Sweater</t>
        </is>
      </c>
      <c r="E37" s="1">
        <f>HYPERLINK("https://www.amazon.com/Diane-von-Furstenberg-Pre-Loved-Sweater/dp/B0BB18TPF7/ref=sr_1_4?keywords=DIANE+VON+FURSTENBERG&amp;qid=1695346309&amp;sr=8-4", "https://www.amazon.com/Diane-von-Furstenberg-Pre-Loved-Sweater/dp/B0BB18TPF7/ref=sr_1_4?keywords=DIANE+VON+FURSTENBERG&amp;qid=1695346309&amp;sr=8-4")</f>
        <v/>
      </c>
      <c r="F37" t="inlineStr">
        <is>
          <t>B0BB18TPF7</t>
        </is>
      </c>
      <c r="G37">
        <f>_xlfn.IMAGE("https://www.theoutnet.com/variants/images/1647597285253790/F/w1020_q80.jpg")</f>
        <v/>
      </c>
      <c r="H37">
        <f>_xlfn.IMAGE("https://m.media-amazon.com/images/I/61AADp5sGoL._AC_UL320_.jpg")</f>
        <v/>
      </c>
      <c r="K37" t="inlineStr">
        <is>
          <t>168.0</t>
        </is>
      </c>
      <c r="L37" t="n">
        <v>298</v>
      </c>
      <c r="M37" s="2" t="inlineStr">
        <is>
          <t>77.38%</t>
        </is>
      </c>
      <c r="N37" t="n">
        <v>4.4</v>
      </c>
      <c r="O37" t="n">
        <v>4</v>
      </c>
      <c r="Q37" t="inlineStr">
        <is>
          <t>InStock</t>
        </is>
      </c>
      <c r="R37" t="inlineStr">
        <is>
          <t>558.0</t>
        </is>
      </c>
      <c r="S37" t="inlineStr">
        <is>
          <t>1647597285253790</t>
        </is>
      </c>
    </row>
    <row r="38" ht="75" customHeight="1">
      <c r="A38" s="1">
        <f>HYPERLINK("https://www.theoutnet.com/en-us/shop/product/just-cavalli/dresses/mini-dress/wrap-effect-jersey-mini-dress/1647597286630390", "https://www.theoutnet.com/en-us/shop/product/just-cavalli/dresses/mini-dress/wrap-effect-jersey-mini-dress/1647597286630390")</f>
        <v/>
      </c>
      <c r="B38" s="1">
        <f>HYPERLINK("https://www.theoutnet.com/en-us/shop/product/just-cavalli/dresses/mini-dress/wrap-effect-jersey-mini-dress/1647597286630390", "https://www.theoutnet.com/en-us/shop/product/just-cavalli/dresses/mini-dress/wrap-effect-jersey-mini-dress/1647597286630390")</f>
        <v/>
      </c>
      <c r="C38" t="inlineStr">
        <is>
          <t>JUST CAVALLI</t>
        </is>
      </c>
      <c r="D38" t="inlineStr">
        <is>
          <t>Just Cavalli Women's Snake // JC1L227M0035</t>
        </is>
      </c>
      <c r="E38" s="1">
        <f>HYPERLINK("https://www.amazon.com/Just-Cavalli-Womens-Snake-JC1L227M0035/dp/B0BTXHWL46/ref=sr_1_9?keywords=JUST+CAVALLI&amp;qid=1695346213&amp;sr=8-9", "https://www.amazon.com/Just-Cavalli-Womens-Snake-JC1L227M0035/dp/B0BTXHWL46/ref=sr_1_9?keywords=JUST+CAVALLI&amp;qid=1695346213&amp;sr=8-9")</f>
        <v/>
      </c>
      <c r="F38" t="inlineStr">
        <is>
          <t>B0BTXHWL46</t>
        </is>
      </c>
      <c r="G38">
        <f>_xlfn.IMAGE("https://www.theoutnet.com/variants/images/1647597286630390/F/w1020_q80.jpg")</f>
        <v/>
      </c>
      <c r="H38">
        <f>_xlfn.IMAGE("https://m.media-amazon.com/images/I/71Fo-Rp6nkL._AC_UL320_.jpg")</f>
        <v/>
      </c>
      <c r="K38" t="inlineStr">
        <is>
          <t>141.0</t>
        </is>
      </c>
      <c r="L38" t="n">
        <v>255.9</v>
      </c>
      <c r="M38" s="2" t="inlineStr">
        <is>
          <t>81.49%</t>
        </is>
      </c>
      <c r="N38" t="n">
        <v>5</v>
      </c>
      <c r="O38" t="n">
        <v>1</v>
      </c>
      <c r="Q38" t="inlineStr">
        <is>
          <t>InStock</t>
        </is>
      </c>
      <c r="R38" t="inlineStr">
        <is>
          <t>469.0</t>
        </is>
      </c>
      <c r="S38" t="inlineStr">
        <is>
          <t>1</t>
        </is>
      </c>
    </row>
    <row r="39" ht="75" customHeight="1">
      <c r="A39" s="1">
        <f>HYPERLINK("https://www.theoutnet.com/en-us/shop/product/rag-bone/boots/ankle-boots/axel-suede-ankle-boots/25185454457144475", "https://www.theoutnet.com/en-us/shop/product/rag-bone/boots/ankle-boots/axel-suede-ankle-boots/25185454457144475")</f>
        <v/>
      </c>
      <c r="B39" s="1">
        <f>HYPERLINK("https://www.theoutnet.com/en-us/shop/product/rag-bone/boots/ankle-boots/axel-suede-ankle-boots/25185454457144475", "https://www.theoutnet.com/en-us/shop/product/rag-bone/boots/ankle-boots/axel-suede-ankle-boots/25185454457144475")</f>
        <v/>
      </c>
      <c r="C39" t="inlineStr">
        <is>
          <t>RAG &amp; BONE</t>
        </is>
      </c>
      <c r="D39" t="inlineStr">
        <is>
          <t>rag &amp; bone Women's Passenger Tote</t>
        </is>
      </c>
      <c r="E39" s="1">
        <f>HYPERLINK("https://www.amazon.com/Womens-Passenger-Olive-Night-Black/dp/B08D5FPRW4/ref=sr_1_6?keywords=RAG+%26+BONE&amp;qid=1695346245&amp;sr=8-6", "https://www.amazon.com/Womens-Passenger-Olive-Night-Black/dp/B08D5FPRW4/ref=sr_1_6?keywords=RAG+%26+BONE&amp;qid=1695346245&amp;sr=8-6")</f>
        <v/>
      </c>
      <c r="F39" t="inlineStr">
        <is>
          <t>B08D5FPRW4</t>
        </is>
      </c>
      <c r="G39">
        <f>_xlfn.IMAGE("https://www.theoutnet.com/variants/images/25185454457144475/F/w1020_q80.jpg")</f>
        <v/>
      </c>
      <c r="H39">
        <f>_xlfn.IMAGE("https://m.media-amazon.com/images/I/91AQzoiSjqL._AC_UL320_.jpg")</f>
        <v/>
      </c>
      <c r="K39" t="inlineStr">
        <is>
          <t>149.0</t>
        </is>
      </c>
      <c r="L39" t="n">
        <v>412.5</v>
      </c>
      <c r="M39" s="2" t="inlineStr">
        <is>
          <t>176.85%</t>
        </is>
      </c>
      <c r="N39" t="n">
        <v>4.6</v>
      </c>
      <c r="O39" t="n">
        <v>4</v>
      </c>
      <c r="Q39" t="inlineStr">
        <is>
          <t>InStock</t>
        </is>
      </c>
      <c r="R39" t="inlineStr">
        <is>
          <t>495.0</t>
        </is>
      </c>
      <c r="S39" t="inlineStr">
        <is>
          <t>2</t>
        </is>
      </c>
    </row>
    <row r="40" ht="75" customHeight="1">
      <c r="A40" s="1">
        <f>HYPERLINK("https://www.theoutnet.com/en-us/shop/product/rag-bone/boots/ankle-boots/axel-suede-ankle-boots/25185454457144475", "https://www.theoutnet.com/en-us/shop/product/rag-bone/boots/ankle-boots/axel-suede-ankle-boots/25185454457144475")</f>
        <v/>
      </c>
      <c r="B40" s="1">
        <f>HYPERLINK("https://www.theoutnet.com/en-us/shop/product/rag-bone/boots/ankle-boots/axel-suede-ankle-boots/25185454457144475", "https://www.theoutnet.com/en-us/shop/product/rag-bone/boots/ankle-boots/axel-suede-ankle-boots/25185454457144475")</f>
        <v/>
      </c>
      <c r="C40" t="inlineStr">
        <is>
          <t>RAG &amp; BONE</t>
        </is>
      </c>
      <c r="D40" t="inlineStr">
        <is>
          <t>rag &amp; bone Women's Featherweight Logan Jeans</t>
        </is>
      </c>
      <c r="E40" s="1">
        <f>HYPERLINK("https://www.amazon.com/rag-bone-Womens-Featherweight-Audrey/dp/B0BDSM188W/ref=sr_1_3?keywords=RAG+%26+BONE&amp;qid=1695346245&amp;sr=8-3", "https://www.amazon.com/rag-bone-Womens-Featherweight-Audrey/dp/B0BDSM188W/ref=sr_1_3?keywords=RAG+%26+BONE&amp;qid=1695346245&amp;sr=8-3")</f>
        <v/>
      </c>
      <c r="F40" t="inlineStr">
        <is>
          <t>B0BDSM188W</t>
        </is>
      </c>
      <c r="G40">
        <f>_xlfn.IMAGE("https://www.theoutnet.com/variants/images/25185454457144475/F/w1020_q80.jpg")</f>
        <v/>
      </c>
      <c r="H40">
        <f>_xlfn.IMAGE("https://m.media-amazon.com/images/I/71fFHI3My2L._AC_UL320_.jpg")</f>
        <v/>
      </c>
      <c r="K40" t="inlineStr">
        <is>
          <t>149.0</t>
        </is>
      </c>
      <c r="L40" t="n">
        <v>275</v>
      </c>
      <c r="M40" s="2" t="inlineStr">
        <is>
          <t>84.56%</t>
        </is>
      </c>
      <c r="N40" t="n">
        <v>4</v>
      </c>
      <c r="O40" t="n">
        <v>1</v>
      </c>
      <c r="Q40" t="inlineStr">
        <is>
          <t>InStock</t>
        </is>
      </c>
      <c r="R40" t="inlineStr">
        <is>
          <t>495.0</t>
        </is>
      </c>
      <c r="S40" t="inlineStr">
        <is>
          <t>2</t>
        </is>
      </c>
    </row>
    <row r="41" ht="75" customHeight="1">
      <c r="A41" s="1">
        <f>HYPERLINK("https://www.theoutnet.com/en-us/shop/product/rag-bone/boots/ankle-boots/axel-suede-ankle-boots/25185454457144475", "https://www.theoutnet.com/en-us/shop/product/rag-bone/boots/ankle-boots/axel-suede-ankle-boots/25185454457144475")</f>
        <v/>
      </c>
      <c r="B41" s="1">
        <f>HYPERLINK("https://www.theoutnet.com/en-us/shop/product/rag-bone/boots/ankle-boots/axel-suede-ankle-boots/25185454457144475", "https://www.theoutnet.com/en-us/shop/product/rag-bone/boots/ankle-boots/axel-suede-ankle-boots/25185454457144475")</f>
        <v/>
      </c>
      <c r="C41" t="inlineStr">
        <is>
          <t>RAG &amp; BONE</t>
        </is>
      </c>
      <c r="D41" t="inlineStr">
        <is>
          <t>rag &amp; bone Women's Retro Runners</t>
        </is>
      </c>
      <c r="E41" s="1">
        <f>HYPERLINK("https://www.amazon.com/rag-bone-Womens-Runners-Mustard/dp/B08F46TWGH/ref=sr_1_1?keywords=RAG+%26+BONE&amp;qid=1695346245&amp;sr=8-1", "https://www.amazon.com/rag-bone-Womens-Runners-Mustard/dp/B08F46TWGH/ref=sr_1_1?keywords=RAG+%26+BONE&amp;qid=1695346245&amp;sr=8-1")</f>
        <v/>
      </c>
      <c r="F41" t="inlineStr">
        <is>
          <t>B08F46TWGH</t>
        </is>
      </c>
      <c r="G41">
        <f>_xlfn.IMAGE("https://www.theoutnet.com/variants/images/25185454457144475/F/w1020_q80.jpg")</f>
        <v/>
      </c>
      <c r="H41">
        <f>_xlfn.IMAGE("https://m.media-amazon.com/images/I/81szLAnmDML._AC_UL320_.jpg")</f>
        <v/>
      </c>
      <c r="K41" t="inlineStr">
        <is>
          <t>149.0</t>
        </is>
      </c>
      <c r="L41" t="n">
        <v>245</v>
      </c>
      <c r="M41" s="2" t="inlineStr">
        <is>
          <t>64.43%</t>
        </is>
      </c>
      <c r="N41" t="n">
        <v>4.4</v>
      </c>
      <c r="O41" t="n">
        <v>49</v>
      </c>
      <c r="Q41" t="inlineStr">
        <is>
          <t>InStock</t>
        </is>
      </c>
      <c r="R41" t="inlineStr">
        <is>
          <t>495.0</t>
        </is>
      </c>
      <c r="S41" t="inlineStr">
        <is>
          <t>2</t>
        </is>
      </c>
    </row>
    <row r="42" ht="75" customHeight="1">
      <c r="A42" s="1">
        <f>HYPERLINK("https://www.theoutnet.com/en-us/shop/product/rag-bone/jackets/down-jackets/joelle-quilted-two-tone-shell-hooded-down-jacket/1647597295447273", "https://www.theoutnet.com/en-us/shop/product/rag-bone/jackets/down-jackets/joelle-quilted-two-tone-shell-hooded-down-jacket/1647597295447273")</f>
        <v/>
      </c>
      <c r="B42" s="1">
        <f>HYPERLINK("https://www.theoutnet.com/en-us/shop/product/rag-bone/jackets/down-jackets/joelle-quilted-two-tone-shell-hooded-down-jacket/1647597295447273", "https://www.theoutnet.com/en-us/shop/product/rag-bone/jackets/down-jackets/joelle-quilted-two-tone-shell-hooded-down-jacket/1647597295447273")</f>
        <v/>
      </c>
      <c r="C42" t="inlineStr">
        <is>
          <t>RAG &amp; BONE</t>
        </is>
      </c>
      <c r="D42" t="inlineStr">
        <is>
          <t>rag &amp; bone Women's Passenger Tote</t>
        </is>
      </c>
      <c r="E42" s="1">
        <f>HYPERLINK("https://www.amazon.com/Womens-Passenger-Olive-Night-Black/dp/B08D5FPRW4/ref=sr_1_6?keywords=RAG+%26+BONE&amp;qid=1695346357&amp;sr=8-6", "https://www.amazon.com/Womens-Passenger-Olive-Night-Black/dp/B08D5FPRW4/ref=sr_1_6?keywords=RAG+%26+BONE&amp;qid=1695346357&amp;sr=8-6")</f>
        <v/>
      </c>
      <c r="F42" t="inlineStr">
        <is>
          <t>B08D5FPRW4</t>
        </is>
      </c>
      <c r="G42">
        <f>_xlfn.IMAGE("https://www.theoutnet.com/variants/images/1647597295447273/F/w1020_q80.jpg")</f>
        <v/>
      </c>
      <c r="H42">
        <f>_xlfn.IMAGE("https://m.media-amazon.com/images/I/91AQzoiSjqL._AC_UL320_.jpg")</f>
        <v/>
      </c>
      <c r="K42" t="inlineStr">
        <is>
          <t>179.0</t>
        </is>
      </c>
      <c r="L42" t="n">
        <v>412.5</v>
      </c>
      <c r="M42" s="2" t="inlineStr">
        <is>
          <t>130.45%</t>
        </is>
      </c>
      <c r="N42" t="n">
        <v>4.6</v>
      </c>
      <c r="O42" t="n">
        <v>4</v>
      </c>
      <c r="Q42" t="inlineStr">
        <is>
          <t>InStock</t>
        </is>
      </c>
      <c r="R42" t="inlineStr">
        <is>
          <t>595.0</t>
        </is>
      </c>
      <c r="S42" t="inlineStr">
        <is>
          <t>1647597295447273</t>
        </is>
      </c>
    </row>
    <row r="43" ht="75" customHeight="1">
      <c r="A43" s="1">
        <f>HYPERLINK("https://www.theoutnet.com/en-us/shop/product/rebecca-vallance/dresses/knee-length-dress/celestina-knotted-crepe-dress/1647597284632941", "https://www.theoutnet.com/en-us/shop/product/rebecca-vallance/dresses/knee-length-dress/celestina-knotted-crepe-dress/1647597284632941")</f>
        <v/>
      </c>
      <c r="B43" s="1">
        <f>HYPERLINK("https://www.theoutnet.com/en-us/shop/product/rebecca-vallance/dresses/knee-length-dress/celestina-knotted-crepe-dress/1647597284632941", "https://www.theoutnet.com/en-us/shop/product/rebecca-vallance/dresses/knee-length-dress/celestina-knotted-crepe-dress/1647597284632941")</f>
        <v/>
      </c>
      <c r="C43" t="inlineStr">
        <is>
          <t>REBECCA VALLANCE</t>
        </is>
      </c>
      <c r="D43" t="inlineStr">
        <is>
          <t>Rebecca Vallance Women's Virgil Strapless Mini Dress</t>
        </is>
      </c>
      <c r="E43" s="1">
        <f>HYPERLINK("https://www.amazon.com/Rebecca-Vallance-Womens-Virgil-Strapless/dp/B0BFXKJHQK/ref=sr_1_8?keywords=REBECCA+VALLANCE&amp;qid=1695346241&amp;sr=8-8", "https://www.amazon.com/Rebecca-Vallance-Womens-Virgil-Strapless/dp/B0BFXKJHQK/ref=sr_1_8?keywords=REBECCA+VALLANCE&amp;qid=1695346241&amp;sr=8-8")</f>
        <v/>
      </c>
      <c r="F43" t="inlineStr">
        <is>
          <t>B0BFXKJHQK</t>
        </is>
      </c>
      <c r="G43">
        <f>_xlfn.IMAGE("https://www.theoutnet.com/variants/images/1647597284632941/F/w1020_q80.jpg")</f>
        <v/>
      </c>
      <c r="H43">
        <f>_xlfn.IMAGE("https://m.media-amazon.com/images/I/71Zoc2sMFpL._MCnd_AC_UL320_.jpg")</f>
        <v/>
      </c>
      <c r="K43" t="inlineStr">
        <is>
          <t>147.0</t>
        </is>
      </c>
      <c r="L43" t="n">
        <v>322</v>
      </c>
      <c r="M43" s="2" t="inlineStr">
        <is>
          <t>119.05%</t>
        </is>
      </c>
      <c r="N43" t="n">
        <v>4</v>
      </c>
      <c r="O43" t="n">
        <v>1</v>
      </c>
      <c r="Q43" t="inlineStr">
        <is>
          <t>InStock</t>
        </is>
      </c>
      <c r="R43" t="inlineStr">
        <is>
          <t>490.0</t>
        </is>
      </c>
      <c r="S43" t="inlineStr">
        <is>
          <t>1</t>
        </is>
      </c>
    </row>
    <row r="44" ht="75" customHeight="1">
      <c r="A44" s="1">
        <f>HYPERLINK("https://www.theoutnet.com/en-us/shop/product/rebecca-vallance/dresses/knee-length-dress/martine-floral-print-twill-dress/1647597285090151", "https://www.theoutnet.com/en-us/shop/product/rebecca-vallance/dresses/knee-length-dress/martine-floral-print-twill-dress/1647597285090151")</f>
        <v/>
      </c>
      <c r="B44" s="1">
        <f>HYPERLINK("https://www.theoutnet.com/en-us/shop/product/rebecca-vallance/dresses/knee-length-dress/martine-floral-print-twill-dress/1647597285090151", "https://www.theoutnet.com/en-us/shop/product/rebecca-vallance/dresses/knee-length-dress/martine-floral-print-twill-dress/1647597285090151")</f>
        <v/>
      </c>
      <c r="C44" t="inlineStr">
        <is>
          <t>REBECCA VALLANCE</t>
        </is>
      </c>
      <c r="D44" t="inlineStr">
        <is>
          <t>Rebecca Vallance Women's Virgil Strapless Mini Dress</t>
        </is>
      </c>
      <c r="E44" s="1">
        <f>HYPERLINK("https://www.amazon.com/Rebecca-Vallance-Womens-Virgil-Strapless/dp/B0BFXKJHQK/ref=sr_1_8?keywords=REBECCA+VALLANCE&amp;qid=1695346277&amp;sr=8-8", "https://www.amazon.com/Rebecca-Vallance-Womens-Virgil-Strapless/dp/B0BFXKJHQK/ref=sr_1_8?keywords=REBECCA+VALLANCE&amp;qid=1695346277&amp;sr=8-8")</f>
        <v/>
      </c>
      <c r="F44" t="inlineStr">
        <is>
          <t>B0BFXKJHQK</t>
        </is>
      </c>
      <c r="G44">
        <f>_xlfn.IMAGE("https://www.theoutnet.com/variants/images/1647597285090151/F/w1020_q80.jpg")</f>
        <v/>
      </c>
      <c r="H44">
        <f>_xlfn.IMAGE("https://m.media-amazon.com/images/I/71Zoc2sMFpL._MCnd_AC_UL320_.jpg")</f>
        <v/>
      </c>
      <c r="K44" t="inlineStr">
        <is>
          <t>153.0</t>
        </is>
      </c>
      <c r="L44" t="n">
        <v>322</v>
      </c>
      <c r="M44" s="2" t="inlineStr">
        <is>
          <t>110.46%</t>
        </is>
      </c>
      <c r="N44" t="n">
        <v>4</v>
      </c>
      <c r="O44" t="n">
        <v>1</v>
      </c>
      <c r="Q44" t="inlineStr">
        <is>
          <t>InStock</t>
        </is>
      </c>
      <c r="R44" t="inlineStr">
        <is>
          <t>510.0</t>
        </is>
      </c>
      <c r="S44" t="inlineStr">
        <is>
          <t>1647597285090151</t>
        </is>
      </c>
    </row>
    <row r="45" ht="75" customHeight="1">
      <c r="A45" s="1">
        <f>HYPERLINK("https://www.theoutnet.com/en-us/shop/product/rebecca-vallance/dresses/midi-dress/jame-off-the-shoulder-belted-shirred-seersucker-midi-dress/25185454456781606", "https://www.theoutnet.com/en-us/shop/product/rebecca-vallance/dresses/midi-dress/jame-off-the-shoulder-belted-shirred-seersucker-midi-dress/25185454456781606")</f>
        <v/>
      </c>
      <c r="B45" s="1">
        <f>HYPERLINK("https://www.theoutnet.com/en-us/shop/product/rebecca-vallance/dresses/midi-dress/jame-off-the-shoulder-belted-shirred-seersucker-midi-dress/25185454456781606", "https://www.theoutnet.com/en-us/shop/product/rebecca-vallance/dresses/midi-dress/jame-off-the-shoulder-belted-shirred-seersucker-midi-dress/25185454456781606")</f>
        <v/>
      </c>
      <c r="C45" t="inlineStr">
        <is>
          <t>REBECCA VALLANCE</t>
        </is>
      </c>
      <c r="D45" t="inlineStr">
        <is>
          <t>Rebecca Vallance Women's Virgil Strapless Mini Dress</t>
        </is>
      </c>
      <c r="E45" s="1">
        <f>HYPERLINK("https://www.amazon.com/Rebecca-Vallance-Womens-Virgil-Strapless/dp/B0BFXKJHQK/ref=sr_1_8?keywords=REBECCA+VALLANCE&amp;qid=1695346272&amp;sr=8-8", "https://www.amazon.com/Rebecca-Vallance-Womens-Virgil-Strapless/dp/B0BFXKJHQK/ref=sr_1_8?keywords=REBECCA+VALLANCE&amp;qid=1695346272&amp;sr=8-8")</f>
        <v/>
      </c>
      <c r="F45" t="inlineStr">
        <is>
          <t>B0BFXKJHQK</t>
        </is>
      </c>
      <c r="G45">
        <f>_xlfn.IMAGE("https://www.theoutnet.com/variants/images/25185454456781606/F/w1020_q80.jpg")</f>
        <v/>
      </c>
      <c r="H45">
        <f>_xlfn.IMAGE("https://m.media-amazon.com/images/I/71Zoc2sMFpL._MCnd_AC_UL320_.jpg")</f>
        <v/>
      </c>
      <c r="K45" t="inlineStr">
        <is>
          <t>153.0</t>
        </is>
      </c>
      <c r="L45" t="n">
        <v>322</v>
      </c>
      <c r="M45" s="2" t="inlineStr">
        <is>
          <t>110.46%</t>
        </is>
      </c>
      <c r="N45" t="n">
        <v>4</v>
      </c>
      <c r="O45" t="n">
        <v>1</v>
      </c>
      <c r="Q45" t="inlineStr">
        <is>
          <t>InStock</t>
        </is>
      </c>
      <c r="R45" t="inlineStr">
        <is>
          <t>510.0</t>
        </is>
      </c>
      <c r="S45" t="inlineStr">
        <is>
          <t>25185454456781606</t>
        </is>
      </c>
    </row>
    <row r="46" ht="75" customHeight="1">
      <c r="A46" s="1">
        <f>HYPERLINK("https://www.theoutnet.com/en-us/shop/product/rebecca-vallance/dresses/mini-dress/aubrey-ruched-velvet-mini-dress/1647597285621312", "https://www.theoutnet.com/en-us/shop/product/rebecca-vallance/dresses/mini-dress/aubrey-ruched-velvet-mini-dress/1647597285621312")</f>
        <v/>
      </c>
      <c r="B46" s="1">
        <f>HYPERLINK("https://www.theoutnet.com/en-us/shop/product/rebecca-vallance/dresses/mini-dress/aubrey-ruched-velvet-mini-dress/1647597285621312", "https://www.theoutnet.com/en-us/shop/product/rebecca-vallance/dresses/mini-dress/aubrey-ruched-velvet-mini-dress/1647597285621312")</f>
        <v/>
      </c>
      <c r="C46" t="inlineStr">
        <is>
          <t>REBECCA VALLANCE</t>
        </is>
      </c>
      <c r="D46" t="inlineStr">
        <is>
          <t>Rebecca Vallance Women's Virgil Strapless Mini Dress</t>
        </is>
      </c>
      <c r="E46" s="1">
        <f>HYPERLINK("https://www.amazon.com/Rebecca-Vallance-Womens-Virgil-Strapless/dp/B0BFXKJHQK/ref=sr_1_8?keywords=REBECCA+VALLANCE&amp;qid=1695346271&amp;sr=8-8", "https://www.amazon.com/Rebecca-Vallance-Womens-Virgil-Strapless/dp/B0BFXKJHQK/ref=sr_1_8?keywords=REBECCA+VALLANCE&amp;qid=1695346271&amp;sr=8-8")</f>
        <v/>
      </c>
      <c r="F46" t="inlineStr">
        <is>
          <t>B0BFXKJHQK</t>
        </is>
      </c>
      <c r="G46">
        <f>_xlfn.IMAGE("https://www.theoutnet.com/variants/images/1647597285621312/F/w1020_q80.jpg")</f>
        <v/>
      </c>
      <c r="H46">
        <f>_xlfn.IMAGE("https://m.media-amazon.com/images/I/71Zoc2sMFpL._MCnd_AC_UL320_.jpg")</f>
        <v/>
      </c>
      <c r="K46" t="inlineStr">
        <is>
          <t>153.0</t>
        </is>
      </c>
      <c r="L46" t="n">
        <v>322</v>
      </c>
      <c r="M46" s="2" t="inlineStr">
        <is>
          <t>110.46%</t>
        </is>
      </c>
      <c r="N46" t="n">
        <v>4</v>
      </c>
      <c r="O46" t="n">
        <v>1</v>
      </c>
      <c r="Q46" t="inlineStr">
        <is>
          <t>InStock</t>
        </is>
      </c>
      <c r="R46" t="inlineStr">
        <is>
          <t>510.0</t>
        </is>
      </c>
      <c r="S46" t="inlineStr">
        <is>
          <t>1</t>
        </is>
      </c>
    </row>
    <row r="47" ht="75" customHeight="1">
      <c r="A47" s="1">
        <f>HYPERLINK("https://www.theoutnet.com/en-us/shop/product/rebecca-vallance/dresses/mini-dress/embellished-metallic-cotton-blend-jacquard-mini-dress/1647597284595837", "https://www.theoutnet.com/en-us/shop/product/rebecca-vallance/dresses/mini-dress/embellished-metallic-cotton-blend-jacquard-mini-dress/1647597284595837")</f>
        <v/>
      </c>
      <c r="B47" s="1">
        <f>HYPERLINK("https://www.theoutnet.com/en-us/shop/product/rebecca-vallance/dresses/mini-dress/embellished-metallic-cotton-blend-jacquard-mini-dress/1647597284595837", "https://www.theoutnet.com/en-us/shop/product/rebecca-vallance/dresses/mini-dress/embellished-metallic-cotton-blend-jacquard-mini-dress/1647597284595837")</f>
        <v/>
      </c>
      <c r="C47" t="inlineStr">
        <is>
          <t>REBECCA VALLANCE</t>
        </is>
      </c>
      <c r="D47" t="inlineStr">
        <is>
          <t>Rebecca Vallance Women's Virgil Strapless Mini Dress</t>
        </is>
      </c>
      <c r="E47" s="1">
        <f>HYPERLINK("https://www.amazon.com/Rebecca-Vallance-Womens-Virgil-Strapless/dp/B0BFXKJHQK/ref=sr_1_8?keywords=REBECCA+VALLANCE&amp;qid=1695346214&amp;sr=8-8", "https://www.amazon.com/Rebecca-Vallance-Womens-Virgil-Strapless/dp/B0BFXKJHQK/ref=sr_1_8?keywords=REBECCA+VALLANCE&amp;qid=1695346214&amp;sr=8-8")</f>
        <v/>
      </c>
      <c r="F47" t="inlineStr">
        <is>
          <t>B0BFXKJHQK</t>
        </is>
      </c>
      <c r="G47">
        <f>_xlfn.IMAGE("https://www.theoutnet.com/variants/images/1647597284595837/F/w1020_q80.jpg")</f>
        <v/>
      </c>
      <c r="H47">
        <f>_xlfn.IMAGE("https://m.media-amazon.com/images/I/71Zoc2sMFpL._MCnd_AC_UL320_.jpg")</f>
        <v/>
      </c>
      <c r="K47" t="inlineStr">
        <is>
          <t>141.0</t>
        </is>
      </c>
      <c r="L47" t="n">
        <v>322</v>
      </c>
      <c r="M47" s="2" t="inlineStr">
        <is>
          <t>128.37%</t>
        </is>
      </c>
      <c r="N47" t="n">
        <v>4</v>
      </c>
      <c r="O47" t="n">
        <v>1</v>
      </c>
      <c r="Q47" t="inlineStr">
        <is>
          <t>InStock</t>
        </is>
      </c>
      <c r="R47" t="inlineStr">
        <is>
          <t>470.0</t>
        </is>
      </c>
      <c r="S47" t="inlineStr">
        <is>
          <t>1</t>
        </is>
      </c>
    </row>
    <row r="48" ht="75" customHeight="1">
      <c r="A48" s="1">
        <f>HYPERLINK("https://www.theoutnet.com/en-us/shop/product/rebecca-vallance/jumpsuits/casual/tropicale-slub-printed-linen-blend-playsuit/38063312420083580", "https://www.theoutnet.com/en-us/shop/product/rebecca-vallance/jumpsuits/casual/tropicale-slub-printed-linen-blend-playsuit/38063312420083580")</f>
        <v/>
      </c>
      <c r="B48" s="1">
        <f>HYPERLINK("https://www.theoutnet.com/en-us/shop/product/rebecca-vallance/jumpsuits/casual/tropicale-slub-printed-linen-blend-playsuit/38063312420083580", "https://www.theoutnet.com/en-us/shop/product/rebecca-vallance/jumpsuits/casual/tropicale-slub-printed-linen-blend-playsuit/38063312420083580")</f>
        <v/>
      </c>
      <c r="C48" t="inlineStr">
        <is>
          <t>REBECCA VALLANCE</t>
        </is>
      </c>
      <c r="D48" t="inlineStr">
        <is>
          <t>Rebecca Vallance Women's Virgil Strapless Mini Dress</t>
        </is>
      </c>
      <c r="E48" s="1">
        <f>HYPERLINK("https://www.amazon.com/Rebecca-Vallance-Womens-Virgil-Strapless/dp/B0BFXKJHQK/ref=sr_1_8?keywords=REBECCA+VALLANCE&amp;qid=1695346393&amp;sr=8-8", "https://www.amazon.com/Rebecca-Vallance-Womens-Virgil-Strapless/dp/B0BFXKJHQK/ref=sr_1_8?keywords=REBECCA+VALLANCE&amp;qid=1695346393&amp;sr=8-8")</f>
        <v/>
      </c>
      <c r="F48" t="inlineStr">
        <is>
          <t>B0BFXKJHQK</t>
        </is>
      </c>
      <c r="G48">
        <f>_xlfn.IMAGE("https://www.theoutnet.com/variants/images/38063312420083580/F/w1020_q80.jpg")</f>
        <v/>
      </c>
      <c r="H48">
        <f>_xlfn.IMAGE("https://m.media-amazon.com/images/I/71Zoc2sMFpL._MCnd_AC_UL320_.jpg")</f>
        <v/>
      </c>
      <c r="K48" t="inlineStr">
        <is>
          <t>194.0</t>
        </is>
      </c>
      <c r="L48" t="n">
        <v>322</v>
      </c>
      <c r="M48" s="2" t="inlineStr">
        <is>
          <t>65.98%</t>
        </is>
      </c>
      <c r="N48" t="n">
        <v>4</v>
      </c>
      <c r="O48" t="n">
        <v>1</v>
      </c>
      <c r="Q48" t="inlineStr">
        <is>
          <t>InStock</t>
        </is>
      </c>
      <c r="R48" t="inlineStr">
        <is>
          <t>430.0</t>
        </is>
      </c>
      <c r="S48" t="inlineStr">
        <is>
          <t>38063312420083580</t>
        </is>
      </c>
    </row>
    <row r="49" ht="75" customHeight="1">
      <c r="A49" s="1">
        <f>HYPERLINK("https://www.theoutnet.com/en-us/shop/product/ronny-kobo/dresses/midi-dress/eire-open-back-cable-knit-midi-dress/1647597301349195", "https://www.theoutnet.com/en-us/shop/product/ronny-kobo/dresses/midi-dress/eire-open-back-cable-knit-midi-dress/1647597301349195")</f>
        <v/>
      </c>
      <c r="B49" s="1">
        <f>HYPERLINK("https://www.theoutnet.com/en-us/shop/product/ronny-kobo/dresses/midi-dress/eire-open-back-cable-knit-midi-dress/1647597301349195", "https://www.theoutnet.com/en-us/shop/product/ronny-kobo/dresses/midi-dress/eire-open-back-cable-knit-midi-dress/1647597301349195")</f>
        <v/>
      </c>
      <c r="C49" t="inlineStr">
        <is>
          <t>RONNY KOBO</t>
        </is>
      </c>
      <c r="D49" t="inlineStr">
        <is>
          <t>Ronny Kobo Women's Bruno Skirt</t>
        </is>
      </c>
      <c r="E49" s="1">
        <f>HYPERLINK("https://www.amazon.com/Ronny-Kobo-Womens-Bruno-X-Small/dp/B0C41X41KR/ref=sr_1_6?keywords=RONNY+KOBO&amp;qid=1695346272&amp;sr=8-6", "https://www.amazon.com/Ronny-Kobo-Womens-Bruno-X-Small/dp/B0C41X41KR/ref=sr_1_6?keywords=RONNY+KOBO&amp;qid=1695346272&amp;sr=8-6")</f>
        <v/>
      </c>
      <c r="F49" t="inlineStr">
        <is>
          <t>B0C41X41KR</t>
        </is>
      </c>
      <c r="G49">
        <f>_xlfn.IMAGE("https://www.theoutnet.com/variants/images/1647597301349195/F/w1020_q80.jpg")</f>
        <v/>
      </c>
      <c r="H49">
        <f>_xlfn.IMAGE("https://m.media-amazon.com/images/I/71Tyb9kXLCL._AC_UL320_.jpg")</f>
        <v/>
      </c>
      <c r="K49" t="inlineStr">
        <is>
          <t>150.0</t>
        </is>
      </c>
      <c r="L49" t="n">
        <v>283</v>
      </c>
      <c r="M49" s="2" t="inlineStr">
        <is>
          <t>88.67%</t>
        </is>
      </c>
      <c r="N49" t="n">
        <v>5</v>
      </c>
      <c r="O49" t="n">
        <v>2</v>
      </c>
      <c r="Q49" t="inlineStr">
        <is>
          <t>InStock</t>
        </is>
      </c>
      <c r="R49" t="inlineStr">
        <is>
          <t>498.0</t>
        </is>
      </c>
      <c r="S49" t="inlineStr">
        <is>
          <t>1647597301349195</t>
        </is>
      </c>
    </row>
    <row r="50" ht="75" customHeight="1">
      <c r="A50" s="1">
        <f>HYPERLINK("https://www.theoutnet.com/en-us/shop/product/ronny-kobo/dresses/mini-dress/mary-asymmetric-satin-jacquard-dress/1647597290147729", "https://www.theoutnet.com/en-us/shop/product/ronny-kobo/dresses/mini-dress/mary-asymmetric-satin-jacquard-dress/1647597290147729")</f>
        <v/>
      </c>
      <c r="B50" s="1">
        <f>HYPERLINK("https://www.theoutnet.com/en-us/shop/product/ronny-kobo/dresses/mini-dress/mary-asymmetric-satin-jacquard-dress/1647597290147729", "https://www.theoutnet.com/en-us/shop/product/ronny-kobo/dresses/mini-dress/mary-asymmetric-satin-jacquard-dress/1647597290147729")</f>
        <v/>
      </c>
      <c r="C50" t="inlineStr">
        <is>
          <t>RONNY KOBO</t>
        </is>
      </c>
      <c r="D50" t="inlineStr">
        <is>
          <t>Ronny Kobo Women's Bruno Skirt</t>
        </is>
      </c>
      <c r="E50" s="1">
        <f>HYPERLINK("https://www.amazon.com/Ronny-Kobo-Womens-Bruno-X-Small/dp/B0C41X41KR/ref=sr_1_7?keywords=RONNY+KOBO&amp;qid=1695346298&amp;sr=8-7", "https://www.amazon.com/Ronny-Kobo-Womens-Bruno-X-Small/dp/B0C41X41KR/ref=sr_1_7?keywords=RONNY+KOBO&amp;qid=1695346298&amp;sr=8-7")</f>
        <v/>
      </c>
      <c r="F50" t="inlineStr">
        <is>
          <t>B0C41X41KR</t>
        </is>
      </c>
      <c r="G50">
        <f>_xlfn.IMAGE("https://www.theoutnet.com/variants/images/1647597290147729/F/w1020_q80.jpg")</f>
        <v/>
      </c>
      <c r="H50">
        <f>_xlfn.IMAGE("https://m.media-amazon.com/images/I/71Tyb9kXLCL._AC_UL320_.jpg")</f>
        <v/>
      </c>
      <c r="K50" t="inlineStr">
        <is>
          <t>162.0</t>
        </is>
      </c>
      <c r="L50" t="n">
        <v>283</v>
      </c>
      <c r="M50" s="2" t="inlineStr">
        <is>
          <t>74.69%</t>
        </is>
      </c>
      <c r="N50" t="n">
        <v>5</v>
      </c>
      <c r="O50" t="n">
        <v>2</v>
      </c>
      <c r="Q50" t="inlineStr">
        <is>
          <t>InStock</t>
        </is>
      </c>
      <c r="R50" t="inlineStr">
        <is>
          <t>538.0</t>
        </is>
      </c>
      <c r="S50" t="inlineStr">
        <is>
          <t>1647597290147729</t>
        </is>
      </c>
    </row>
    <row r="51" ht="75" customHeight="1">
      <c r="A51" s="1">
        <f>HYPERLINK("https://www.theoutnet.com/en-us/shop/product/ronny-kobo/dresses/mini-dress/wrap-effect-pleated-satin-jacquard-mini-dress/1647597289572284", "https://www.theoutnet.com/en-us/shop/product/ronny-kobo/dresses/mini-dress/wrap-effect-pleated-satin-jacquard-mini-dress/1647597289572284")</f>
        <v/>
      </c>
      <c r="B51" s="1">
        <f>HYPERLINK("https://www.theoutnet.com/en-us/shop/product/ronny-kobo/dresses/mini-dress/wrap-effect-pleated-satin-jacquard-mini-dress/1647597289572284", "https://www.theoutnet.com/en-us/shop/product/ronny-kobo/dresses/mini-dress/wrap-effect-pleated-satin-jacquard-mini-dress/1647597289572284")</f>
        <v/>
      </c>
      <c r="C51" t="inlineStr">
        <is>
          <t>RONNY KOBO</t>
        </is>
      </c>
      <c r="D51" t="inlineStr">
        <is>
          <t>Ronny Kobo Women's Bruno Skirt</t>
        </is>
      </c>
      <c r="E51" s="1">
        <f>HYPERLINK("https://www.amazon.com/Ronny-Kobo-Womens-Bruno-X-Small/dp/B0C41X41KR/ref=sr_1_7?keywords=RONNY+KOBO&amp;qid=1695346268&amp;sr=8-7", "https://www.amazon.com/Ronny-Kobo-Womens-Bruno-X-Small/dp/B0C41X41KR/ref=sr_1_7?keywords=RONNY+KOBO&amp;qid=1695346268&amp;sr=8-7")</f>
        <v/>
      </c>
      <c r="F51" t="inlineStr">
        <is>
          <t>B0C41X41KR</t>
        </is>
      </c>
      <c r="G51">
        <f>_xlfn.IMAGE("https://www.theoutnet.com/variants/images/1647597289572284/F/w1020_q80.jpg")</f>
        <v/>
      </c>
      <c r="H51">
        <f>_xlfn.IMAGE("https://m.media-amazon.com/images/I/71Tyb9kXLCL._AC_UL320_.jpg")</f>
        <v/>
      </c>
      <c r="K51" t="inlineStr">
        <is>
          <t>150.0</t>
        </is>
      </c>
      <c r="L51" t="n">
        <v>283</v>
      </c>
      <c r="M51" s="2" t="inlineStr">
        <is>
          <t>88.67%</t>
        </is>
      </c>
      <c r="N51" t="n">
        <v>5</v>
      </c>
      <c r="O51" t="n">
        <v>2</v>
      </c>
      <c r="Q51" t="inlineStr">
        <is>
          <t>InStock</t>
        </is>
      </c>
      <c r="R51" t="inlineStr">
        <is>
          <t>498.0</t>
        </is>
      </c>
      <c r="S51" t="inlineStr">
        <is>
          <t>1</t>
        </is>
      </c>
    </row>
    <row r="52" ht="75" customHeight="1">
      <c r="A52" s="1">
        <f>HYPERLINK("https://www.theoutnet.com/en-us/shop/product/ronny-kobo/dresses/mini-dress/zoey-one-shoulder-leopard-jacquard-dress/1647597290110512", "https://www.theoutnet.com/en-us/shop/product/ronny-kobo/dresses/mini-dress/zoey-one-shoulder-leopard-jacquard-dress/1647597290110512")</f>
        <v/>
      </c>
      <c r="B52" s="1">
        <f>HYPERLINK("https://www.theoutnet.com/en-us/shop/product/ronny-kobo/dresses/mini-dress/zoey-one-shoulder-leopard-jacquard-dress/1647597290110512", "https://www.theoutnet.com/en-us/shop/product/ronny-kobo/dresses/mini-dress/zoey-one-shoulder-leopard-jacquard-dress/1647597290110512")</f>
        <v/>
      </c>
      <c r="C52" t="inlineStr">
        <is>
          <t>RONNY KOBO</t>
        </is>
      </c>
      <c r="D52" t="inlineStr">
        <is>
          <t>Ronny Kobo Women's Bruno Skirt</t>
        </is>
      </c>
      <c r="E52" s="1">
        <f>HYPERLINK("https://www.amazon.com/Ronny-Kobo-Womens-Bruno-X-Small/dp/B0C41X41KR/ref=sr_1_7?keywords=RONNY+KOBO&amp;qid=1695346218&amp;sr=8-7", "https://www.amazon.com/Ronny-Kobo-Womens-Bruno-X-Small/dp/B0C41X41KR/ref=sr_1_7?keywords=RONNY+KOBO&amp;qid=1695346218&amp;sr=8-7")</f>
        <v/>
      </c>
      <c r="F52" t="inlineStr">
        <is>
          <t>B0C41X41KR</t>
        </is>
      </c>
      <c r="G52">
        <f>_xlfn.IMAGE("https://www.theoutnet.com/variants/images/1647597290110512/F/w1020_q80.jpg")</f>
        <v/>
      </c>
      <c r="H52">
        <f>_xlfn.IMAGE("https://m.media-amazon.com/images/I/71Tyb9kXLCL._AC_UL320_.jpg")</f>
        <v/>
      </c>
      <c r="K52" t="inlineStr">
        <is>
          <t>141.0</t>
        </is>
      </c>
      <c r="L52" t="n">
        <v>283</v>
      </c>
      <c r="M52" s="2" t="inlineStr">
        <is>
          <t>100.71%</t>
        </is>
      </c>
      <c r="N52" t="n">
        <v>5</v>
      </c>
      <c r="O52" t="n">
        <v>2</v>
      </c>
      <c r="Q52" t="inlineStr">
        <is>
          <t>InStock</t>
        </is>
      </c>
      <c r="R52" t="inlineStr">
        <is>
          <t>468.0</t>
        </is>
      </c>
      <c r="S52" t="inlineStr">
        <is>
          <t>1</t>
        </is>
      </c>
    </row>
    <row r="53" ht="75" customHeight="1">
      <c r="A53" s="1">
        <f>HYPERLINK("https://www.theoutnet.com/en-us/shop/product/sergio-rossi/boots/ankle-boots/leopard-print-neoprene-sock-boots/1647597285646046", "https://www.theoutnet.com/en-us/shop/product/sergio-rossi/boots/ankle-boots/leopard-print-neoprene-sock-boots/1647597285646046")</f>
        <v/>
      </c>
      <c r="B53" s="1">
        <f>HYPERLINK("https://www.theoutnet.com/en-us/shop/product/sergio-rossi/boots/ankle-boots/leopard-print-neoprene-sock-boots/1647597285646046", "https://www.theoutnet.com/en-us/shop/product/sergio-rossi/boots/ankle-boots/leopard-print-neoprene-sock-boots/1647597285646046")</f>
        <v/>
      </c>
      <c r="C53" t="inlineStr">
        <is>
          <t>SERGIO ROSSI</t>
        </is>
      </c>
      <c r="D53" t="inlineStr">
        <is>
          <t>Sergio Rossi Women's Godiva Pump</t>
        </is>
      </c>
      <c r="E53" s="1">
        <f>HYPERLINK("https://www.amazon.com/Sergio-Rossi-Womens-Godiva-Medium/dp/B07MNSMJKX/ref=sr_1_8?keywords=SERGIO+ROSSI&amp;qid=1695346465&amp;sr=8-8", "https://www.amazon.com/Sergio-Rossi-Womens-Godiva-Medium/dp/B07MNSMJKX/ref=sr_1_8?keywords=SERGIO+ROSSI&amp;qid=1695346465&amp;sr=8-8")</f>
        <v/>
      </c>
      <c r="F53" t="inlineStr">
        <is>
          <t>B07MNSMJKX</t>
        </is>
      </c>
      <c r="G53">
        <f>_xlfn.IMAGE("https://www.theoutnet.com/variants/images/1647597285646046/F/w1020_q80.jpg")</f>
        <v/>
      </c>
      <c r="H53">
        <f>_xlfn.IMAGE("https://m.media-amazon.com/images/I/71GIlhqVZiL._AC_UL320_.jpg")</f>
        <v/>
      </c>
      <c r="K53" t="inlineStr">
        <is>
          <t>215.0</t>
        </is>
      </c>
      <c r="L53" t="n">
        <v>360.19</v>
      </c>
      <c r="M53" s="2" t="inlineStr">
        <is>
          <t>67.53%</t>
        </is>
      </c>
      <c r="N53" t="n">
        <v>5</v>
      </c>
      <c r="O53" t="n">
        <v>3</v>
      </c>
      <c r="Q53" t="inlineStr">
        <is>
          <t>InStock</t>
        </is>
      </c>
      <c r="R53" t="inlineStr">
        <is>
          <t>715.0</t>
        </is>
      </c>
      <c r="S53" t="inlineStr">
        <is>
          <t>1</t>
        </is>
      </c>
    </row>
    <row r="54" ht="75" customHeight="1">
      <c r="A54" s="1">
        <f>HYPERLINK("https://www.theoutnet.com/en-us/shop/product/sergio-rossi/boots/ankle-boots/leopard-print-pvc-combat-boots/10163292708719951", "https://www.theoutnet.com/en-us/shop/product/sergio-rossi/boots/ankle-boots/leopard-print-pvc-combat-boots/10163292708719951")</f>
        <v/>
      </c>
      <c r="B54" s="1">
        <f>HYPERLINK("https://www.theoutnet.com/en-us/shop/product/sergio-rossi/boots/ankle-boots/leopard-print-pvc-combat-boots/10163292708719951", "https://www.theoutnet.com/en-us/shop/product/sergio-rossi/boots/ankle-boots/leopard-print-pvc-combat-boots/10163292708719951")</f>
        <v/>
      </c>
      <c r="C54" t="inlineStr">
        <is>
          <t>SERGIO ROSSI</t>
        </is>
      </c>
      <c r="D54" t="inlineStr">
        <is>
          <t>Sergio Rossi Women's Godiva Pump</t>
        </is>
      </c>
      <c r="E54" s="1">
        <f>HYPERLINK("https://www.amazon.com/Sergio-Rossi-Womens-Godiva-Medium/dp/B07MNSMJKX/ref=sr_1_8?keywords=SERGIO+ROSSI&amp;qid=1695346248&amp;sr=8-8", "https://www.amazon.com/Sergio-Rossi-Womens-Godiva-Medium/dp/B07MNSMJKX/ref=sr_1_8?keywords=SERGIO+ROSSI&amp;qid=1695346248&amp;sr=8-8")</f>
        <v/>
      </c>
      <c r="F54" t="inlineStr">
        <is>
          <t>B07MNSMJKX</t>
        </is>
      </c>
      <c r="G54">
        <f>_xlfn.IMAGE("https://www.theoutnet.com/variants/images/10163292708719951/F/w1020_q80.jpg")</f>
        <v/>
      </c>
      <c r="H54">
        <f>_xlfn.IMAGE("https://m.media-amazon.com/images/I/71GIlhqVZiL._AC_UL320_.jpg")</f>
        <v/>
      </c>
      <c r="K54" t="inlineStr">
        <is>
          <t>147.0</t>
        </is>
      </c>
      <c r="L54" t="n">
        <v>360.19</v>
      </c>
      <c r="M54" s="2" t="inlineStr">
        <is>
          <t>145.03%</t>
        </is>
      </c>
      <c r="N54" t="n">
        <v>5</v>
      </c>
      <c r="O54" t="n">
        <v>3</v>
      </c>
      <c r="Q54" t="inlineStr">
        <is>
          <t>InStock</t>
        </is>
      </c>
      <c r="R54" t="inlineStr">
        <is>
          <t>490.0</t>
        </is>
      </c>
      <c r="S54" t="inlineStr">
        <is>
          <t>10163292708719951</t>
        </is>
      </c>
    </row>
    <row r="55" ht="75" customHeight="1">
      <c r="A55" s="1">
        <f>HYPERLINK("https://www.theoutnet.com/en-us/shop/product/sergio-rossi/boots/blockheel/stretch-velvet-over-the-knee-boots/24062987016697848", "https://www.theoutnet.com/en-us/shop/product/sergio-rossi/boots/blockheel/stretch-velvet-over-the-knee-boots/24062987016697848")</f>
        <v/>
      </c>
      <c r="B55" s="1">
        <f>HYPERLINK("https://www.theoutnet.com/en-us/shop/product/sergio-rossi/boots/blockheel/stretch-velvet-over-the-knee-boots/24062987016697848", "https://www.theoutnet.com/en-us/shop/product/sergio-rossi/boots/blockheel/stretch-velvet-over-the-knee-boots/24062987016697848")</f>
        <v/>
      </c>
      <c r="C55" t="inlineStr">
        <is>
          <t>SERGIO ROSSI</t>
        </is>
      </c>
      <c r="D55" t="inlineStr">
        <is>
          <t>Sergio Rossi Women's Godiva Pump</t>
        </is>
      </c>
      <c r="E55" s="1">
        <f>HYPERLINK("https://www.amazon.com/Sergio-Rossi-Womens-Godiva-Medium/dp/B07MNSMJKX/ref=sr_1_8?keywords=SERGIO+ROSSI&amp;qid=1695346419&amp;sr=8-8", "https://www.amazon.com/Sergio-Rossi-Womens-Godiva-Medium/dp/B07MNSMJKX/ref=sr_1_8?keywords=SERGIO+ROSSI&amp;qid=1695346419&amp;sr=8-8")</f>
        <v/>
      </c>
      <c r="F55" t="inlineStr">
        <is>
          <t>B07MNSMJKX</t>
        </is>
      </c>
      <c r="G55">
        <f>_xlfn.IMAGE("https://www.theoutnet.com/variants/images/24062987016697848/F/w1020_q80.jpg")</f>
        <v/>
      </c>
      <c r="H55">
        <f>_xlfn.IMAGE("https://m.media-amazon.com/images/I/71GIlhqVZiL._AC_UL320_.jpg")</f>
        <v/>
      </c>
      <c r="K55" t="inlineStr">
        <is>
          <t>201.0</t>
        </is>
      </c>
      <c r="L55" t="n">
        <v>360.19</v>
      </c>
      <c r="M55" s="2" t="inlineStr">
        <is>
          <t>79.20%</t>
        </is>
      </c>
      <c r="N55" t="n">
        <v>5</v>
      </c>
      <c r="O55" t="n">
        <v>3</v>
      </c>
      <c r="Q55" t="inlineStr">
        <is>
          <t>InStock</t>
        </is>
      </c>
      <c r="R55" t="inlineStr">
        <is>
          <t>667.0</t>
        </is>
      </c>
      <c r="S55" t="inlineStr">
        <is>
          <t>2</t>
        </is>
      </c>
    </row>
    <row r="56" ht="75" customHeight="1">
      <c r="A56" s="1">
        <f>HYPERLINK("https://www.theoutnet.com/en-us/shop/product/sergio-rossi/pumps/high-heel-pumps/leather-pumps/1647597277802769", "https://www.theoutnet.com/en-us/shop/product/sergio-rossi/pumps/high-heel-pumps/leather-pumps/1647597277802769")</f>
        <v/>
      </c>
      <c r="B56" s="1">
        <f>HYPERLINK("https://www.theoutnet.com/en-us/shop/product/sergio-rossi/pumps/high-heel-pumps/leather-pumps/1647597277802769", "https://www.theoutnet.com/en-us/shop/product/sergio-rossi/pumps/high-heel-pumps/leather-pumps/1647597277802769")</f>
        <v/>
      </c>
      <c r="C56" t="inlineStr">
        <is>
          <t>SERGIO ROSSI</t>
        </is>
      </c>
      <c r="D56" t="inlineStr">
        <is>
          <t>Sergio Rossi Women's Godiva Pump</t>
        </is>
      </c>
      <c r="E56" s="1">
        <f>HYPERLINK("https://www.amazon.com/Sergio-Rossi-Womens-Godiva-Medium/dp/B07MNSMJKX/ref=sr_1_8?keywords=SERGIO+ROSSI&amp;qid=1695346357&amp;sr=8-8", "https://www.amazon.com/Sergio-Rossi-Womens-Godiva-Medium/dp/B07MNSMJKX/ref=sr_1_8?keywords=SERGIO+ROSSI&amp;qid=1695346357&amp;sr=8-8")</f>
        <v/>
      </c>
      <c r="F56" t="inlineStr">
        <is>
          <t>B07MNSMJKX</t>
        </is>
      </c>
      <c r="G56">
        <f>_xlfn.IMAGE("https://www.theoutnet.com/variants/images/1647597277802769/F/w1020_q80.jpg")</f>
        <v/>
      </c>
      <c r="H56">
        <f>_xlfn.IMAGE("https://m.media-amazon.com/images/I/71GIlhqVZiL._AC_UL320_.jpg")</f>
        <v/>
      </c>
      <c r="K56" t="inlineStr">
        <is>
          <t>180.0</t>
        </is>
      </c>
      <c r="L56" t="n">
        <v>360.19</v>
      </c>
      <c r="M56" s="2" t="inlineStr">
        <is>
          <t>100.11%</t>
        </is>
      </c>
      <c r="N56" t="n">
        <v>5</v>
      </c>
      <c r="O56" t="n">
        <v>3</v>
      </c>
      <c r="Q56" t="inlineStr">
        <is>
          <t>InStock</t>
        </is>
      </c>
      <c r="R56" t="inlineStr">
        <is>
          <t>600.0</t>
        </is>
      </c>
      <c r="S56" t="inlineStr">
        <is>
          <t>1647597277802769</t>
        </is>
      </c>
    </row>
    <row r="57" ht="75" customHeight="1">
      <c r="A57" s="1">
        <f>HYPERLINK("https://www.theoutnet.com/en-us/shop/product/sergio-rossi/pumps/high-heel-pumps/leather-pumps/1647597284569414", "https://www.theoutnet.com/en-us/shop/product/sergio-rossi/pumps/high-heel-pumps/leather-pumps/1647597284569414")</f>
        <v/>
      </c>
      <c r="B57" s="1">
        <f>HYPERLINK("https://www.theoutnet.com/en-us/shop/product/sergio-rossi/pumps/high-heel-pumps/leather-pumps/1647597284569414", "https://www.theoutnet.com/en-us/shop/product/sergio-rossi/pumps/high-heel-pumps/leather-pumps/1647597284569414")</f>
        <v/>
      </c>
      <c r="C57" t="inlineStr">
        <is>
          <t>SERGIO ROSSI</t>
        </is>
      </c>
      <c r="D57" t="inlineStr">
        <is>
          <t>Sergio Rossi Women's Godiva Pump</t>
        </is>
      </c>
      <c r="E57" s="1">
        <f>HYPERLINK("https://www.amazon.com/Sergio-Rossi-Womens-Godiva-Medium/dp/B07MNSMJKX/ref=sr_1_8?keywords=SERGIO+ROSSI&amp;qid=1695346383&amp;sr=8-8", "https://www.amazon.com/Sergio-Rossi-Womens-Godiva-Medium/dp/B07MNSMJKX/ref=sr_1_8?keywords=SERGIO+ROSSI&amp;qid=1695346383&amp;sr=8-8")</f>
        <v/>
      </c>
      <c r="F57" t="inlineStr">
        <is>
          <t>B07MNSMJKX</t>
        </is>
      </c>
      <c r="G57">
        <f>_xlfn.IMAGE("https://www.theoutnet.com/variants/images/1647597284569414/F/w1020_q80.jpg")</f>
        <v/>
      </c>
      <c r="H57">
        <f>_xlfn.IMAGE("https://m.media-amazon.com/images/I/71GIlhqVZiL._AC_UL320_.jpg")</f>
        <v/>
      </c>
      <c r="K57" t="inlineStr">
        <is>
          <t>188.0</t>
        </is>
      </c>
      <c r="L57" t="n">
        <v>360.19</v>
      </c>
      <c r="M57" s="2" t="inlineStr">
        <is>
          <t>91.59%</t>
        </is>
      </c>
      <c r="N57" t="n">
        <v>5</v>
      </c>
      <c r="O57" t="n">
        <v>3</v>
      </c>
      <c r="Q57" t="inlineStr">
        <is>
          <t>InStock</t>
        </is>
      </c>
      <c r="R57" t="inlineStr">
        <is>
          <t>625.0</t>
        </is>
      </c>
      <c r="S57" t="inlineStr">
        <is>
          <t>1647597284569414</t>
        </is>
      </c>
    </row>
    <row r="58" ht="75" customHeight="1">
      <c r="A58" s="1">
        <f>HYPERLINK("https://www.theoutnet.com/en-us/shop/product/sergio-rossi/pumps/high-heel-pumps/metallic-cracked-leather-pumps/1647597285043179", "https://www.theoutnet.com/en-us/shop/product/sergio-rossi/pumps/high-heel-pumps/metallic-cracked-leather-pumps/1647597285043179")</f>
        <v/>
      </c>
      <c r="B58" s="1">
        <f>HYPERLINK("https://www.theoutnet.com/en-us/shop/product/sergio-rossi/pumps/high-heel-pumps/metallic-cracked-leather-pumps/1647597285043179", "https://www.theoutnet.com/en-us/shop/product/sergio-rossi/pumps/high-heel-pumps/metallic-cracked-leather-pumps/1647597285043179")</f>
        <v/>
      </c>
      <c r="C58" t="inlineStr">
        <is>
          <t>SERGIO ROSSI</t>
        </is>
      </c>
      <c r="D58" t="inlineStr">
        <is>
          <t>Sergio Rossi Women's Godiva Pump</t>
        </is>
      </c>
      <c r="E58" s="1">
        <f>HYPERLINK("https://www.amazon.com/Sergio-Rossi-Womens-Godiva-Medium/dp/B07MNSMJKX/ref=sr_1_8?keywords=SERGIO+ROSSI&amp;qid=1695346379&amp;sr=8-8", "https://www.amazon.com/Sergio-Rossi-Womens-Godiva-Medium/dp/B07MNSMJKX/ref=sr_1_8?keywords=SERGIO+ROSSI&amp;qid=1695346379&amp;sr=8-8")</f>
        <v/>
      </c>
      <c r="F58" t="inlineStr">
        <is>
          <t>B07MNSMJKX</t>
        </is>
      </c>
      <c r="G58">
        <f>_xlfn.IMAGE("https://www.theoutnet.com/variants/images/1647597285043179/F/w1020_q80.jpg")</f>
        <v/>
      </c>
      <c r="H58">
        <f>_xlfn.IMAGE("https://m.media-amazon.com/images/I/71GIlhqVZiL._AC_UL320_.jpg")</f>
        <v/>
      </c>
      <c r="K58" t="inlineStr">
        <is>
          <t>191.0</t>
        </is>
      </c>
      <c r="L58" t="n">
        <v>360.19</v>
      </c>
      <c r="M58" s="2" t="inlineStr">
        <is>
          <t>88.58%</t>
        </is>
      </c>
      <c r="N58" t="n">
        <v>5</v>
      </c>
      <c r="O58" t="n">
        <v>3</v>
      </c>
      <c r="Q58" t="inlineStr">
        <is>
          <t>InStock</t>
        </is>
      </c>
      <c r="R58" t="inlineStr">
        <is>
          <t>635.0</t>
        </is>
      </c>
      <c r="S58" t="inlineStr">
        <is>
          <t>1647597285043179</t>
        </is>
      </c>
    </row>
    <row r="59" ht="75" customHeight="1">
      <c r="A59" s="1">
        <f>HYPERLINK("https://www.theoutnet.com/en-us/shop/product/sergio-rossi/pumps/high-heel-pumps/patent-leather-pumps/1647597277800038", "https://www.theoutnet.com/en-us/shop/product/sergio-rossi/pumps/high-heel-pumps/patent-leather-pumps/1647597277800038")</f>
        <v/>
      </c>
      <c r="B59" s="1">
        <f>HYPERLINK("https://www.theoutnet.com/en-us/shop/product/sergio-rossi/pumps/high-heel-pumps/patent-leather-pumps/1647597277800038", "https://www.theoutnet.com/en-us/shop/product/sergio-rossi/pumps/high-heel-pumps/patent-leather-pumps/1647597277800038")</f>
        <v/>
      </c>
      <c r="C59" t="inlineStr">
        <is>
          <t>SERGIO ROSSI</t>
        </is>
      </c>
      <c r="D59" t="inlineStr">
        <is>
          <t>Sergio Rossi Women's Godiva Pump</t>
        </is>
      </c>
      <c r="E59" s="1">
        <f>HYPERLINK("https://www.amazon.com/Sergio-Rossi-Womens-Godiva-Medium/dp/B07MNSMJKX/ref=sr_1_8?keywords=SERGIO+ROSSI&amp;qid=1695346473&amp;sr=8-8", "https://www.amazon.com/Sergio-Rossi-Womens-Godiva-Medium/dp/B07MNSMJKX/ref=sr_1_8?keywords=SERGIO+ROSSI&amp;qid=1695346473&amp;sr=8-8")</f>
        <v/>
      </c>
      <c r="F59" t="inlineStr">
        <is>
          <t>B07MNSMJKX</t>
        </is>
      </c>
      <c r="G59">
        <f>_xlfn.IMAGE("https://www.theoutnet.com/variants/images/1647597277800038/F/w1020_q80.jpg")</f>
        <v/>
      </c>
      <c r="H59">
        <f>_xlfn.IMAGE("https://m.media-amazon.com/images/I/71GIlhqVZiL._AC_UL320_.jpg")</f>
        <v/>
      </c>
      <c r="K59" t="inlineStr">
        <is>
          <t>218.0</t>
        </is>
      </c>
      <c r="L59" t="n">
        <v>360.19</v>
      </c>
      <c r="M59" s="2" t="inlineStr">
        <is>
          <t>65.22%</t>
        </is>
      </c>
      <c r="N59" t="n">
        <v>5</v>
      </c>
      <c r="O59" t="n">
        <v>3</v>
      </c>
      <c r="Q59" t="inlineStr">
        <is>
          <t>InStock</t>
        </is>
      </c>
      <c r="R59" t="inlineStr">
        <is>
          <t>725.0</t>
        </is>
      </c>
      <c r="S59" t="inlineStr">
        <is>
          <t>1</t>
        </is>
      </c>
    </row>
    <row r="60" ht="75" customHeight="1">
      <c r="A60" s="1">
        <f>HYPERLINK("https://www.theoutnet.com/en-us/shop/product/sergio-rossi/pumps/high-heel-pumps/suede-pumps/27086482324646647", "https://www.theoutnet.com/en-us/shop/product/sergio-rossi/pumps/high-heel-pumps/suede-pumps/27086482324646647")</f>
        <v/>
      </c>
      <c r="B60" s="1">
        <f>HYPERLINK("https://www.theoutnet.com/en-us/shop/product/sergio-rossi/pumps/high-heel-pumps/suede-pumps/27086482324646647", "https://www.theoutnet.com/en-us/shop/product/sergio-rossi/pumps/high-heel-pumps/suede-pumps/27086482324646647")</f>
        <v/>
      </c>
      <c r="C60" t="inlineStr">
        <is>
          <t>SERGIO ROSSI</t>
        </is>
      </c>
      <c r="D60" t="inlineStr">
        <is>
          <t>Sergio Rossi Women's Godiva Pump</t>
        </is>
      </c>
      <c r="E60" s="1">
        <f>HYPERLINK("https://www.amazon.com/Sergio-Rossi-Womens-Godiva-Medium/dp/B07MNSMJKX/ref=sr_1_8?keywords=SERGIO+ROSSI&amp;qid=1695346437&amp;sr=8-8", "https://www.amazon.com/Sergio-Rossi-Womens-Godiva-Medium/dp/B07MNSMJKX/ref=sr_1_8?keywords=SERGIO+ROSSI&amp;qid=1695346437&amp;sr=8-8")</f>
        <v/>
      </c>
      <c r="F60" t="inlineStr">
        <is>
          <t>B07MNSMJKX</t>
        </is>
      </c>
      <c r="G60">
        <f>_xlfn.IMAGE("https://www.theoutnet.com/variants/images/27086482324646647/F/w1020_q80.jpg")</f>
        <v/>
      </c>
      <c r="H60">
        <f>_xlfn.IMAGE("https://m.media-amazon.com/images/I/71GIlhqVZiL._AC_UL320_.jpg")</f>
        <v/>
      </c>
      <c r="K60" t="inlineStr">
        <is>
          <t>207.0</t>
        </is>
      </c>
      <c r="L60" t="n">
        <v>360.19</v>
      </c>
      <c r="M60" s="2" t="inlineStr">
        <is>
          <t>74.00%</t>
        </is>
      </c>
      <c r="N60" t="n">
        <v>5</v>
      </c>
      <c r="O60" t="n">
        <v>3</v>
      </c>
      <c r="Q60" t="inlineStr">
        <is>
          <t>InStock</t>
        </is>
      </c>
      <c r="R60" t="inlineStr">
        <is>
          <t>690.0</t>
        </is>
      </c>
      <c r="S60" t="inlineStr">
        <is>
          <t>2</t>
        </is>
      </c>
    </row>
    <row r="61" ht="75" customHeight="1">
      <c r="A61" s="1">
        <f>HYPERLINK("https://www.theoutnet.com/en-us/shop/product/sergio-rossi/pumps/mid-heel-pumps/suede-wedge-pumps/1647597285411911", "https://www.theoutnet.com/en-us/shop/product/sergio-rossi/pumps/mid-heel-pumps/suede-wedge-pumps/1647597285411911")</f>
        <v/>
      </c>
      <c r="B61" s="1">
        <f>HYPERLINK("https://www.theoutnet.com/en-us/shop/product/sergio-rossi/pumps/mid-heel-pumps/suede-wedge-pumps/1647597285411911", "https://www.theoutnet.com/en-us/shop/product/sergio-rossi/pumps/mid-heel-pumps/suede-wedge-pumps/1647597285411911")</f>
        <v/>
      </c>
      <c r="C61" t="inlineStr">
        <is>
          <t>SERGIO ROSSI</t>
        </is>
      </c>
      <c r="D61" t="inlineStr">
        <is>
          <t>Sergio Rossi Women's Godiva Pump</t>
        </is>
      </c>
      <c r="E61" s="1">
        <f>HYPERLINK("https://www.amazon.com/Sergio-Rossi-Womens-Godiva-Medium/dp/B07MNSMJKX/ref=sr_1_8?keywords=SERGIO+ROSSI&amp;qid=1695346328&amp;sr=8-8", "https://www.amazon.com/Sergio-Rossi-Womens-Godiva-Medium/dp/B07MNSMJKX/ref=sr_1_8?keywords=SERGIO+ROSSI&amp;qid=1695346328&amp;sr=8-8")</f>
        <v/>
      </c>
      <c r="F61" t="inlineStr">
        <is>
          <t>B07MNSMJKX</t>
        </is>
      </c>
      <c r="G61">
        <f>_xlfn.IMAGE("https://www.theoutnet.com/variants/images/1647597285411911/F/w1020_q80.jpg")</f>
        <v/>
      </c>
      <c r="H61">
        <f>_xlfn.IMAGE("https://m.media-amazon.com/images/I/71GIlhqVZiL._AC_UL320_.jpg")</f>
        <v/>
      </c>
      <c r="K61" t="inlineStr">
        <is>
          <t>171.0</t>
        </is>
      </c>
      <c r="L61" t="n">
        <v>360.19</v>
      </c>
      <c r="M61" s="2" t="inlineStr">
        <is>
          <t>110.64%</t>
        </is>
      </c>
      <c r="N61" t="n">
        <v>5</v>
      </c>
      <c r="O61" t="n">
        <v>3</v>
      </c>
      <c r="Q61" t="inlineStr">
        <is>
          <t>InStock</t>
        </is>
      </c>
      <c r="R61" t="inlineStr">
        <is>
          <t>570.0</t>
        </is>
      </c>
      <c r="S61" t="inlineStr">
        <is>
          <t>1</t>
        </is>
      </c>
    </row>
    <row r="62" ht="75" customHeight="1">
      <c r="A62" s="1">
        <f>HYPERLINK("https://www.theoutnet.com/en-us/shop/product/sergio-rossi/sandals/blockheel/leather-sandals/1647597285291024", "https://www.theoutnet.com/en-us/shop/product/sergio-rossi/sandals/blockheel/leather-sandals/1647597285291024")</f>
        <v/>
      </c>
      <c r="B62" s="1">
        <f>HYPERLINK("https://www.theoutnet.com/en-us/shop/product/sergio-rossi/sandals/blockheel/leather-sandals/1647597285291024", "https://www.theoutnet.com/en-us/shop/product/sergio-rossi/sandals/blockheel/leather-sandals/1647597285291024")</f>
        <v/>
      </c>
      <c r="C62" t="inlineStr">
        <is>
          <t>SERGIO ROSSI</t>
        </is>
      </c>
      <c r="D62" t="inlineStr">
        <is>
          <t>Sergio Rossi Women's Godiva Pump</t>
        </is>
      </c>
      <c r="E62" s="1">
        <f>HYPERLINK("https://www.amazon.com/Sergio-Rossi-Womens-Godiva-Medium/dp/B07MNSMJKX/ref=sr_1_8?keywords=SERGIO+ROSSI&amp;qid=1695346410&amp;sr=8-8", "https://www.amazon.com/Sergio-Rossi-Womens-Godiva-Medium/dp/B07MNSMJKX/ref=sr_1_8?keywords=SERGIO+ROSSI&amp;qid=1695346410&amp;sr=8-8")</f>
        <v/>
      </c>
      <c r="F62" t="inlineStr">
        <is>
          <t>B07MNSMJKX</t>
        </is>
      </c>
      <c r="G62">
        <f>_xlfn.IMAGE("https://www.theoutnet.com/variants/images/1647597285291024/F/w1020_q80.jpg")</f>
        <v/>
      </c>
      <c r="H62">
        <f>_xlfn.IMAGE("https://m.media-amazon.com/images/I/71GIlhqVZiL._AC_UL320_.jpg")</f>
        <v/>
      </c>
      <c r="K62" t="inlineStr">
        <is>
          <t>197.0</t>
        </is>
      </c>
      <c r="L62" t="n">
        <v>360.19</v>
      </c>
      <c r="M62" s="2" t="inlineStr">
        <is>
          <t>82.84%</t>
        </is>
      </c>
      <c r="N62" t="n">
        <v>5</v>
      </c>
      <c r="O62" t="n">
        <v>3</v>
      </c>
      <c r="Q62" t="inlineStr">
        <is>
          <t>InStock</t>
        </is>
      </c>
      <c r="R62" t="inlineStr">
        <is>
          <t>655.0</t>
        </is>
      </c>
      <c r="S62" t="inlineStr">
        <is>
          <t>6</t>
        </is>
      </c>
    </row>
    <row r="63" ht="75" customHeight="1">
      <c r="A63" s="1">
        <f>HYPERLINK("https://www.theoutnet.com/en-us/shop/product/sergio-rossi/sandals/high-heel-sandals/glittered-woven-sandals/1647597285606453", "https://www.theoutnet.com/en-us/shop/product/sergio-rossi/sandals/high-heel-sandals/glittered-woven-sandals/1647597285606453")</f>
        <v/>
      </c>
      <c r="B63" s="1">
        <f>HYPERLINK("https://www.theoutnet.com/en-us/shop/product/sergio-rossi/sandals/high-heel-sandals/glittered-woven-sandals/1647597285606453", "https://www.theoutnet.com/en-us/shop/product/sergio-rossi/sandals/high-heel-sandals/glittered-woven-sandals/1647597285606453")</f>
        <v/>
      </c>
      <c r="C63" t="inlineStr">
        <is>
          <t>SERGIO ROSSI</t>
        </is>
      </c>
      <c r="D63" t="inlineStr">
        <is>
          <t>Sergio Rossi Women's Godiva Pump</t>
        </is>
      </c>
      <c r="E63" s="1">
        <f>HYPERLINK("https://www.amazon.com/Sergio-Rossi-Womens-Godiva-Medium/dp/B07MNSMJKX/ref=sr_1_8?keywords=SERGIO+ROSSI&amp;qid=1695346461&amp;sr=8-8", "https://www.amazon.com/Sergio-Rossi-Womens-Godiva-Medium/dp/B07MNSMJKX/ref=sr_1_8?keywords=SERGIO+ROSSI&amp;qid=1695346461&amp;sr=8-8")</f>
        <v/>
      </c>
      <c r="F63" t="inlineStr">
        <is>
          <t>B07MNSMJKX</t>
        </is>
      </c>
      <c r="G63">
        <f>_xlfn.IMAGE("https://www.theoutnet.com/variants/images/1647597285606453/F/w1020_q80.jpg")</f>
        <v/>
      </c>
      <c r="H63">
        <f>_xlfn.IMAGE("https://m.media-amazon.com/images/I/71GIlhqVZiL._AC_UL320_.jpg")</f>
        <v/>
      </c>
      <c r="K63" t="inlineStr">
        <is>
          <t>210.0</t>
        </is>
      </c>
      <c r="L63" t="n">
        <v>360.19</v>
      </c>
      <c r="M63" s="2" t="inlineStr">
        <is>
          <t>71.52%</t>
        </is>
      </c>
      <c r="N63" t="n">
        <v>5</v>
      </c>
      <c r="O63" t="n">
        <v>3</v>
      </c>
      <c r="Q63" t="inlineStr">
        <is>
          <t>InStock</t>
        </is>
      </c>
      <c r="R63" t="inlineStr">
        <is>
          <t>700.0</t>
        </is>
      </c>
      <c r="S63" t="inlineStr">
        <is>
          <t>1647597285606453</t>
        </is>
      </c>
    </row>
    <row r="64" ht="75" customHeight="1">
      <c r="A64" s="1">
        <f>HYPERLINK("https://www.theoutnet.com/en-us/shop/product/sergio-rossi/sandals/high-heel-sandals/leather-platform-wedge-sandals/1647597295065544", "https://www.theoutnet.com/en-us/shop/product/sergio-rossi/sandals/high-heel-sandals/leather-platform-wedge-sandals/1647597295065544")</f>
        <v/>
      </c>
      <c r="B64" s="1">
        <f>HYPERLINK("https://www.theoutnet.com/en-us/shop/product/sergio-rossi/sandals/high-heel-sandals/leather-platform-wedge-sandals/1647597295065544", "https://www.theoutnet.com/en-us/shop/product/sergio-rossi/sandals/high-heel-sandals/leather-platform-wedge-sandals/1647597295065544")</f>
        <v/>
      </c>
      <c r="C64" t="inlineStr">
        <is>
          <t>SERGIO ROSSI</t>
        </is>
      </c>
      <c r="D64" t="inlineStr">
        <is>
          <t>Sergio Rossi Women's Godiva Pump</t>
        </is>
      </c>
      <c r="E64" s="1">
        <f>HYPERLINK("https://www.amazon.com/Sergio-Rossi-Womens-Godiva-Medium/dp/B07MNSMJKX/ref=sr_1_8?keywords=SERGIO+ROSSI&amp;qid=1695346333&amp;sr=8-8", "https://www.amazon.com/Sergio-Rossi-Womens-Godiva-Medium/dp/B07MNSMJKX/ref=sr_1_8?keywords=SERGIO+ROSSI&amp;qid=1695346333&amp;sr=8-8")</f>
        <v/>
      </c>
      <c r="F64" t="inlineStr">
        <is>
          <t>B07MNSMJKX</t>
        </is>
      </c>
      <c r="G64">
        <f>_xlfn.IMAGE("https://www.theoutnet.com/variants/images/1647597295065544/F/w1020_q80.jpg")</f>
        <v/>
      </c>
      <c r="H64">
        <f>_xlfn.IMAGE("https://m.media-amazon.com/images/I/71GIlhqVZiL._AC_UL320_.jpg")</f>
        <v/>
      </c>
      <c r="K64" t="inlineStr">
        <is>
          <t>176.0</t>
        </is>
      </c>
      <c r="L64" t="n">
        <v>360.19</v>
      </c>
      <c r="M64" s="2" t="inlineStr">
        <is>
          <t>104.65%</t>
        </is>
      </c>
      <c r="N64" t="n">
        <v>5</v>
      </c>
      <c r="O64" t="n">
        <v>3</v>
      </c>
      <c r="Q64" t="inlineStr">
        <is>
          <t>InStock</t>
        </is>
      </c>
      <c r="R64" t="inlineStr">
        <is>
          <t>585.0</t>
        </is>
      </c>
      <c r="S64" t="inlineStr">
        <is>
          <t>1</t>
        </is>
      </c>
    </row>
    <row r="65" ht="75" customHeight="1">
      <c r="A65" s="1">
        <f>HYPERLINK("https://www.theoutnet.com/en-us/shop/product/sergio-rossi/sandals/high-heel-sandals/patent-leather-sandals/34344356237401695", "https://www.theoutnet.com/en-us/shop/product/sergio-rossi/sandals/high-heel-sandals/patent-leather-sandals/34344356237401695")</f>
        <v/>
      </c>
      <c r="B65" s="1">
        <f>HYPERLINK("https://www.theoutnet.com/en-us/shop/product/sergio-rossi/sandals/high-heel-sandals/patent-leather-sandals/34344356237401695", "https://www.theoutnet.com/en-us/shop/product/sergio-rossi/sandals/high-heel-sandals/patent-leather-sandals/34344356237401695")</f>
        <v/>
      </c>
      <c r="C65" t="inlineStr">
        <is>
          <t>SERGIO ROSSI</t>
        </is>
      </c>
      <c r="D65" t="inlineStr">
        <is>
          <t>Sergio Rossi Women's Godiva Pump</t>
        </is>
      </c>
      <c r="E65" s="1">
        <f>HYPERLINK("https://www.amazon.com/Sergio-Rossi-Womens-Godiva-Medium/dp/B07MNSMJKX/ref=sr_1_8?keywords=SERGIO+ROSSI&amp;qid=1695346473&amp;sr=8-8", "https://www.amazon.com/Sergio-Rossi-Womens-Godiva-Medium/dp/B07MNSMJKX/ref=sr_1_8?keywords=SERGIO+ROSSI&amp;qid=1695346473&amp;sr=8-8")</f>
        <v/>
      </c>
      <c r="F65" t="inlineStr">
        <is>
          <t>B07MNSMJKX</t>
        </is>
      </c>
      <c r="G65">
        <f>_xlfn.IMAGE("https://www.theoutnet.com/variants/images/34344356237401695/F/w1020_q80.jpg")</f>
        <v/>
      </c>
      <c r="H65">
        <f>_xlfn.IMAGE("https://m.media-amazon.com/images/I/71GIlhqVZiL._AC_UL320_.jpg")</f>
        <v/>
      </c>
      <c r="K65" t="inlineStr">
        <is>
          <t>219.0</t>
        </is>
      </c>
      <c r="L65" t="n">
        <v>360.19</v>
      </c>
      <c r="M65" s="2" t="inlineStr">
        <is>
          <t>64.47%</t>
        </is>
      </c>
      <c r="N65" t="n">
        <v>5</v>
      </c>
      <c r="O65" t="n">
        <v>3</v>
      </c>
      <c r="Q65" t="inlineStr">
        <is>
          <t>InStock</t>
        </is>
      </c>
      <c r="R65" t="inlineStr">
        <is>
          <t>730.0</t>
        </is>
      </c>
      <c r="S65" t="inlineStr">
        <is>
          <t>34344356237401695</t>
        </is>
      </c>
    </row>
    <row r="66" ht="75" customHeight="1">
      <c r="A66" s="1">
        <f>HYPERLINK("https://www.theoutnet.com/en-us/shop/product/sergio-rossi/sandals/high-heel-sandals/suede-sandals/27086482324637349", "https://www.theoutnet.com/en-us/shop/product/sergio-rossi/sandals/high-heel-sandals/suede-sandals/27086482324637349")</f>
        <v/>
      </c>
      <c r="B66" s="1">
        <f>HYPERLINK("https://www.theoutnet.com/en-us/shop/product/sergio-rossi/sandals/high-heel-sandals/suede-sandals/27086482324637349", "https://www.theoutnet.com/en-us/shop/product/sergio-rossi/sandals/high-heel-sandals/suede-sandals/27086482324637349")</f>
        <v/>
      </c>
      <c r="C66" t="inlineStr">
        <is>
          <t>SERGIO ROSSI</t>
        </is>
      </c>
      <c r="D66" t="inlineStr">
        <is>
          <t>Sergio Rossi Women's Godiva Pump</t>
        </is>
      </c>
      <c r="E66" s="1">
        <f>HYPERLINK("https://www.amazon.com/Sergio-Rossi-Womens-Godiva-Medium/dp/B07MNSMJKX/ref=sr_1_9?keywords=SERGIO+ROSSI&amp;qid=1695346403&amp;sr=8-9", "https://www.amazon.com/Sergio-Rossi-Womens-Godiva-Medium/dp/B07MNSMJKX/ref=sr_1_9?keywords=SERGIO+ROSSI&amp;qid=1695346403&amp;sr=8-9")</f>
        <v/>
      </c>
      <c r="F66" t="inlineStr">
        <is>
          <t>B07MNSMJKX</t>
        </is>
      </c>
      <c r="G66">
        <f>_xlfn.IMAGE("https://www.theoutnet.com/variants/images/27086482324637349/F/w1020_q80.jpg")</f>
        <v/>
      </c>
      <c r="H66">
        <f>_xlfn.IMAGE("https://m.media-amazon.com/images/I/71GIlhqVZiL._AC_UL320_.jpg")</f>
        <v/>
      </c>
      <c r="K66" t="inlineStr">
        <is>
          <t>198.0</t>
        </is>
      </c>
      <c r="L66" t="n">
        <v>360.19</v>
      </c>
      <c r="M66" s="2" t="inlineStr">
        <is>
          <t>81.91%</t>
        </is>
      </c>
      <c r="N66" t="n">
        <v>5</v>
      </c>
      <c r="O66" t="n">
        <v>3</v>
      </c>
      <c r="Q66" t="inlineStr">
        <is>
          <t>InStock</t>
        </is>
      </c>
      <c r="R66" t="inlineStr">
        <is>
          <t>660.0</t>
        </is>
      </c>
      <c r="S66" t="inlineStr">
        <is>
          <t>2</t>
        </is>
      </c>
    </row>
    <row r="67" ht="75" customHeight="1">
      <c r="A67" s="1">
        <f>HYPERLINK("https://www.theoutnet.com/en-us/shop/product/sergio-rossi/sneakers/fashion-sneakers/logo-embossed-suede-trimmed-mesh-sneakers/1647597285167356", "https://www.theoutnet.com/en-us/shop/product/sergio-rossi/sneakers/fashion-sneakers/logo-embossed-suede-trimmed-mesh-sneakers/1647597285167356")</f>
        <v/>
      </c>
      <c r="B67" s="1">
        <f>HYPERLINK("https://www.theoutnet.com/en-us/shop/product/sergio-rossi/sneakers/fashion-sneakers/logo-embossed-suede-trimmed-mesh-sneakers/1647597285167356", "https://www.theoutnet.com/en-us/shop/product/sergio-rossi/sneakers/fashion-sneakers/logo-embossed-suede-trimmed-mesh-sneakers/1647597285167356")</f>
        <v/>
      </c>
      <c r="C67" t="inlineStr">
        <is>
          <t>SERGIO ROSSI</t>
        </is>
      </c>
      <c r="D67" t="inlineStr">
        <is>
          <t>Sergio Rossi Women's Godiva Pump</t>
        </is>
      </c>
      <c r="E67" s="1">
        <f>HYPERLINK("https://www.amazon.com/Sergio-Rossi-Womens-Godiva-Medium/dp/B07MNSMJKX/ref=sr_1_8?keywords=SERGIO+ROSSI&amp;qid=1695346442&amp;sr=8-8", "https://www.amazon.com/Sergio-Rossi-Womens-Godiva-Medium/dp/B07MNSMJKX/ref=sr_1_8?keywords=SERGIO+ROSSI&amp;qid=1695346442&amp;sr=8-8")</f>
        <v/>
      </c>
      <c r="F67" t="inlineStr">
        <is>
          <t>B07MNSMJKX</t>
        </is>
      </c>
      <c r="G67">
        <f>_xlfn.IMAGE("https://www.theoutnet.com/variants/images/1647597285167356/F/w1020_q80.jpg")</f>
        <v/>
      </c>
      <c r="H67">
        <f>_xlfn.IMAGE("https://m.media-amazon.com/images/I/71GIlhqVZiL._AC_UL320_.jpg")</f>
        <v/>
      </c>
      <c r="K67" t="inlineStr">
        <is>
          <t>207.0</t>
        </is>
      </c>
      <c r="L67" t="n">
        <v>360.19</v>
      </c>
      <c r="M67" s="2" t="inlineStr">
        <is>
          <t>74.00%</t>
        </is>
      </c>
      <c r="N67" t="n">
        <v>5</v>
      </c>
      <c r="O67" t="n">
        <v>3</v>
      </c>
      <c r="Q67" t="inlineStr">
        <is>
          <t>InStock</t>
        </is>
      </c>
      <c r="R67" t="inlineStr">
        <is>
          <t>690.0</t>
        </is>
      </c>
      <c r="S67" t="inlineStr">
        <is>
          <t>1647597285167356</t>
        </is>
      </c>
    </row>
    <row r="68" ht="75" customHeight="1">
      <c r="A68" s="1">
        <f>HYPERLINK("https://www.theoutnet.com/en-us/shop/product/vanessa-bruno/jackets/smart-jackets/printed-crepe-jacket/4394988608637631", "https://www.theoutnet.com/en-us/shop/product/vanessa-bruno/jackets/smart-jackets/printed-crepe-jacket/4394988608637631")</f>
        <v/>
      </c>
      <c r="B68" s="1">
        <f>HYPERLINK("https://www.theoutnet.com/en-us/shop/product/vanessa-bruno/jackets/smart-jackets/printed-crepe-jacket/4394988608637631", "https://www.theoutnet.com/en-us/shop/product/vanessa-bruno/jackets/smart-jackets/printed-crepe-jacket/4394988608637631")</f>
        <v/>
      </c>
      <c r="C68" t="inlineStr">
        <is>
          <t>VANESSA BRUNO</t>
        </is>
      </c>
      <c r="D68" t="inlineStr">
        <is>
          <t>Vanessa Bruno Tote</t>
        </is>
      </c>
      <c r="E68" s="1">
        <f>HYPERLINK("https://www.amazon.com/VANESSA-BRUNO-Tote-Grey-Calcaire/dp/B07NZXDNWQ/ref=sr_1_4?keywords=VANESSA+BRUNO&amp;qid=1695346296&amp;sr=8-4", "https://www.amazon.com/VANESSA-BRUNO-Tote-Grey-Calcaire/dp/B07NZXDNWQ/ref=sr_1_4?keywords=VANESSA+BRUNO&amp;qid=1695346296&amp;sr=8-4")</f>
        <v/>
      </c>
      <c r="F68" t="inlineStr">
        <is>
          <t>B07NZXDNWQ</t>
        </is>
      </c>
      <c r="G68">
        <f>_xlfn.IMAGE("https://www.theoutnet.com/variants/images/4394988608637631/F/w1020_q80.jpg")</f>
        <v/>
      </c>
      <c r="H68">
        <f>_xlfn.IMAGE("https://m.media-amazon.com/images/I/71y3ikavxWL._AC_UL320_.jpg")</f>
        <v/>
      </c>
      <c r="K68" t="inlineStr">
        <is>
          <t>164.0</t>
        </is>
      </c>
      <c r="L68" t="n">
        <v>350</v>
      </c>
      <c r="M68" s="2" t="inlineStr">
        <is>
          <t>113.41%</t>
        </is>
      </c>
      <c r="N68" t="n">
        <v>5</v>
      </c>
      <c r="O68" t="n">
        <v>1</v>
      </c>
      <c r="Q68" t="inlineStr">
        <is>
          <t>InStock</t>
        </is>
      </c>
      <c r="R68" t="inlineStr">
        <is>
          <t>545.0</t>
        </is>
      </c>
      <c r="S68" t="inlineStr">
        <is>
          <t>4394988608637631</t>
        </is>
      </c>
    </row>
    <row r="69" ht="75" customHeight="1">
      <c r="A69" s="1">
        <f>HYPERLINK("https://www.theoutnet.com/en-us/shop/product/vanessa-bruno/jumpsuits/jumpsuits/lelie-printed-crepe-jumpsuit/4394988608629245", "https://www.theoutnet.com/en-us/shop/product/vanessa-bruno/jumpsuits/jumpsuits/lelie-printed-crepe-jumpsuit/4394988608629245")</f>
        <v/>
      </c>
      <c r="B69" s="1">
        <f>HYPERLINK("https://www.theoutnet.com/en-us/shop/product/vanessa-bruno/jumpsuits/jumpsuits/lelie-printed-crepe-jumpsuit/4394988608629245", "https://www.theoutnet.com/en-us/shop/product/vanessa-bruno/jumpsuits/jumpsuits/lelie-printed-crepe-jumpsuit/4394988608629245")</f>
        <v/>
      </c>
      <c r="C69" t="inlineStr">
        <is>
          <t>VANESSA BRUNO</t>
        </is>
      </c>
      <c r="D69" t="inlineStr">
        <is>
          <t>Vanessa Bruno Tote</t>
        </is>
      </c>
      <c r="E69" s="1">
        <f>HYPERLINK("https://www.amazon.com/VANESSA-BRUNO-Tote-Grey-Calcaire/dp/B07NZXDNWQ/ref=sr_1_4?keywords=VANESSA+BRUNO&amp;qid=1695346227&amp;sr=8-4", "https://www.amazon.com/VANESSA-BRUNO-Tote-Grey-Calcaire/dp/B07NZXDNWQ/ref=sr_1_4?keywords=VANESSA+BRUNO&amp;qid=1695346227&amp;sr=8-4")</f>
        <v/>
      </c>
      <c r="F69" t="inlineStr">
        <is>
          <t>B07NZXDNWQ</t>
        </is>
      </c>
      <c r="G69">
        <f>_xlfn.IMAGE("https://www.theoutnet.com/variants/images/4394988608629245/F/w1020_q80.jpg")</f>
        <v/>
      </c>
      <c r="H69">
        <f>_xlfn.IMAGE("https://m.media-amazon.com/images/I/71y3ikavxWL._AC_UL320_.jpg")</f>
        <v/>
      </c>
      <c r="K69" t="inlineStr">
        <is>
          <t>144.0</t>
        </is>
      </c>
      <c r="L69" t="n">
        <v>350</v>
      </c>
      <c r="M69" s="2" t="inlineStr">
        <is>
          <t>143.06%</t>
        </is>
      </c>
      <c r="N69" t="n">
        <v>5</v>
      </c>
      <c r="O69" t="n">
        <v>1</v>
      </c>
      <c r="Q69" t="inlineStr">
        <is>
          <t>InStock</t>
        </is>
      </c>
      <c r="R69" t="inlineStr">
        <is>
          <t>480.0</t>
        </is>
      </c>
      <c r="S69" t="inlineStr">
        <is>
          <t>4</t>
        </is>
      </c>
    </row>
    <row r="70" ht="75" customHeight="1">
      <c r="A70" s="1">
        <f>HYPERLINK("https://www.theoutnet.com/en-us/shop/product/vanessa-bruno/tops/long-sleeved-top/noem-printed-crepe-blouse/4394988608608801", "https://www.theoutnet.com/en-us/shop/product/vanessa-bruno/tops/long-sleeved-top/noem-printed-crepe-blouse/4394988608608801")</f>
        <v/>
      </c>
      <c r="B70" s="1">
        <f>HYPERLINK("https://www.theoutnet.com/en-us/shop/product/vanessa-bruno/tops/long-sleeved-top/noem-printed-crepe-blouse/4394988608608801", "https://www.theoutnet.com/en-us/shop/product/vanessa-bruno/tops/long-sleeved-top/noem-printed-crepe-blouse/4394988608608801")</f>
        <v/>
      </c>
      <c r="C70" t="inlineStr">
        <is>
          <t>VANESSA BRUNO</t>
        </is>
      </c>
      <c r="D70" t="inlineStr">
        <is>
          <t>Vanessa Bruno Tote</t>
        </is>
      </c>
      <c r="E70" s="1">
        <f>HYPERLINK("https://www.amazon.com/VANESSA-BRUNO-Tote-Grey-Calcaire/dp/B07NZXDNWQ/ref=sr_1_4?keywords=VANESSA+BRUNO&amp;qid=1695346230&amp;sr=8-4", "https://www.amazon.com/VANESSA-BRUNO-Tote-Grey-Calcaire/dp/B07NZXDNWQ/ref=sr_1_4?keywords=VANESSA+BRUNO&amp;qid=1695346230&amp;sr=8-4")</f>
        <v/>
      </c>
      <c r="F70" t="inlineStr">
        <is>
          <t>B07NZXDNWQ</t>
        </is>
      </c>
      <c r="G70">
        <f>_xlfn.IMAGE("https://www.theoutnet.com/variants/images/4394988608608801/F/w1020_q80.jpg")</f>
        <v/>
      </c>
      <c r="H70">
        <f>_xlfn.IMAGE("https://m.media-amazon.com/images/I/71y3ikavxWL._AC_UL320_.jpg")</f>
        <v/>
      </c>
      <c r="K70" t="inlineStr">
        <is>
          <t>144.0</t>
        </is>
      </c>
      <c r="L70" t="n">
        <v>350</v>
      </c>
      <c r="M70" s="2" t="inlineStr">
        <is>
          <t>143.06%</t>
        </is>
      </c>
      <c r="N70" t="n">
        <v>5</v>
      </c>
      <c r="O70" t="n">
        <v>1</v>
      </c>
      <c r="Q70" t="inlineStr">
        <is>
          <t>InStock</t>
        </is>
      </c>
      <c r="R70" t="inlineStr">
        <is>
          <t>320.0</t>
        </is>
      </c>
      <c r="S70" t="inlineStr">
        <is>
          <t>4</t>
        </is>
      </c>
    </row>
    <row r="71" ht="75" customHeight="1">
      <c r="A71" s="1">
        <f>HYPERLINK("https://www.thewalkingcompany.com/products/born-cove-modern-brown", "https://www.thewalkingcompany.com/products/born-cove-modern-brown")</f>
        <v/>
      </c>
      <c r="B71" s="1">
        <f>HYPERLINK("https://www.thewalkingcompany.com/products/born-cove-modern-brown", "https://www.thewalkingcompany.com/products/born-cove-modern-brown")</f>
        <v/>
      </c>
      <c r="C71" t="inlineStr">
        <is>
          <t>Women's Born Cove Modern</t>
        </is>
      </c>
      <c r="D71" t="inlineStr">
        <is>
          <t>BORN Women's Cove Modern</t>
        </is>
      </c>
      <c r="E71" s="1">
        <f>HYPERLINK("https://www.amazon.com/BORN-Womens-Cove-Modern-Black/dp/B08R3MK149/ref=sr_1_1?keywords=Women%27s+Born+Cove+Modern&amp;qid=1695346583&amp;sr=8-1", "https://www.amazon.com/BORN-Womens-Cove-Modern-Black/dp/B08R3MK149/ref=sr_1_1?keywords=Women%27s+Born+Cove+Modern&amp;qid=1695346583&amp;sr=8-1")</f>
        <v/>
      </c>
      <c r="F71" t="inlineStr">
        <is>
          <t>B08R3MK149</t>
        </is>
      </c>
      <c r="G71">
        <f>_xlfn.IMAGE("https://www.thewalkingcompany.com/cdn/shop/products/3610-00341-1950-030-1.jpg?v=1684422569")</f>
        <v/>
      </c>
      <c r="H71">
        <f>_xlfn.IMAGE("https://m.media-amazon.com/images/I/61LRRA7kSuL._AC_UL320_.jpg")</f>
        <v/>
      </c>
      <c r="K71" t="inlineStr">
        <is>
          <t>39.97</t>
        </is>
      </c>
      <c r="L71" t="n">
        <v>119.95</v>
      </c>
      <c r="M71" s="2" t="inlineStr">
        <is>
          <t>200.10%</t>
        </is>
      </c>
      <c r="N71" t="n">
        <v>4.5</v>
      </c>
      <c r="O71" t="n">
        <v>325</v>
      </c>
      <c r="Q71" t="inlineStr">
        <is>
          <t>OutOfStock</t>
        </is>
      </c>
      <c r="R71" t="inlineStr">
        <is>
          <t>94.95</t>
        </is>
      </c>
      <c r="S71" t="inlineStr">
        <is>
          <t>7470285029553</t>
        </is>
      </c>
    </row>
    <row r="72" ht="75" customHeight="1">
      <c r="A72" s="1">
        <f>HYPERLINK("https://www.thewalkingcompany.com/products/born-cove-modern-brown", "https://www.thewalkingcompany.com/products/born-cove-modern-brown")</f>
        <v/>
      </c>
      <c r="B72" s="1">
        <f>HYPERLINK("https://www.thewalkingcompany.com/products/born-cove-modern-brown", "https://www.thewalkingcompany.com/products/born-cove-modern-brown")</f>
        <v/>
      </c>
      <c r="C72" t="inlineStr">
        <is>
          <t>Women's Born Cove Modern</t>
        </is>
      </c>
      <c r="D72" t="inlineStr">
        <is>
          <t>BORN Womens Cove Modern Leather Slip-On Slingback Sandals</t>
        </is>
      </c>
      <c r="E72" s="1">
        <f>HYPERLINK("https://www.amazon.com/Born-Womens-Cove-Modern-Navy/dp/B09JMZMJC3/ref=sr_1_2?keywords=Women%27s+Born+Cove+Modern&amp;qid=1695346583&amp;sr=8-2", "https://www.amazon.com/Born-Womens-Cove-Modern-Navy/dp/B09JMZMJC3/ref=sr_1_2?keywords=Women%27s+Born+Cove+Modern&amp;qid=1695346583&amp;sr=8-2")</f>
        <v/>
      </c>
      <c r="F72" t="inlineStr">
        <is>
          <t>B09JMZMJC3</t>
        </is>
      </c>
      <c r="G72">
        <f>_xlfn.IMAGE("https://www.thewalkingcompany.com/cdn/shop/products/3610-00341-1950-030-1.jpg?v=1684422569")</f>
        <v/>
      </c>
      <c r="H72">
        <f>_xlfn.IMAGE("https://m.media-amazon.com/images/I/51ftEf-kamL._AC_UL320_.jpg")</f>
        <v/>
      </c>
      <c r="K72" t="inlineStr">
        <is>
          <t>39.97</t>
        </is>
      </c>
      <c r="L72" t="n">
        <v>109.95</v>
      </c>
      <c r="M72" s="2" t="inlineStr">
        <is>
          <t>175.08%</t>
        </is>
      </c>
      <c r="N72" t="n">
        <v>4.7</v>
      </c>
      <c r="O72" t="n">
        <v>141</v>
      </c>
      <c r="Q72" t="inlineStr">
        <is>
          <t>OutOfStock</t>
        </is>
      </c>
      <c r="R72" t="inlineStr">
        <is>
          <t>94.95</t>
        </is>
      </c>
      <c r="S72" t="inlineStr">
        <is>
          <t>7470285029553</t>
        </is>
      </c>
    </row>
    <row r="73" ht="75" customHeight="1">
      <c r="A73" s="1">
        <f>HYPERLINK("https://www.thewalkingcompany.com/products/david-tate-elena-black-patent", "https://www.thewalkingcompany.com/products/david-tate-elena-black-patent")</f>
        <v/>
      </c>
      <c r="B73" s="1">
        <f>HYPERLINK("https://www.thewalkingcompany.com/products/david-tate-elena-black-patent", "https://www.thewalkingcompany.com/products/david-tate-elena-black-patent")</f>
        <v/>
      </c>
      <c r="C73" t="inlineStr">
        <is>
          <t>David Tate</t>
        </is>
      </c>
      <c r="D73" t="inlineStr">
        <is>
          <t>David Tate Womens Alma Leather Perforated Wedge Sandals</t>
        </is>
      </c>
      <c r="E73" s="1">
        <f>HYPERLINK("https://www.amazon.com/David-Tate-Womens-Jeweled-Sandal/dp/B06X6CQWT8/ref=sr_1_8?keywords=David+Tate&amp;qid=1695346577&amp;sr=8-8", "https://www.amazon.com/David-Tate-Womens-Jeweled-Sandal/dp/B06X6CQWT8/ref=sr_1_8?keywords=David+Tate&amp;qid=1695346577&amp;sr=8-8")</f>
        <v/>
      </c>
      <c r="F73" t="inlineStr">
        <is>
          <t>B06X6CQWT8</t>
        </is>
      </c>
      <c r="G73">
        <f>_xlfn.IMAGE("https://www.thewalkingcompany.com/cdn/shop/products/3610-01394-2306-062-1_5dd0ed85-f13b-4feb-907c-ad994d3f079b.jpg?v=1679474654")</f>
        <v/>
      </c>
      <c r="H73">
        <f>_xlfn.IMAGE("https://m.media-amazon.com/images/I/51pCjfCWedL._AC_UL320_.jpg")</f>
        <v/>
      </c>
      <c r="K73" t="inlineStr">
        <is>
          <t>39.97</t>
        </is>
      </c>
      <c r="L73" t="n">
        <v>105.88</v>
      </c>
      <c r="M73" s="2" t="inlineStr">
        <is>
          <t>164.90%</t>
        </is>
      </c>
      <c r="N73" t="n">
        <v>4</v>
      </c>
      <c r="O73" t="n">
        <v>43</v>
      </c>
      <c r="Q73" t="inlineStr">
        <is>
          <t>InStock</t>
        </is>
      </c>
      <c r="R73" t="inlineStr">
        <is>
          <t>109.95</t>
        </is>
      </c>
      <c r="S73" t="inlineStr">
        <is>
          <t>7444617691313</t>
        </is>
      </c>
    </row>
    <row r="74" ht="75" customHeight="1">
      <c r="A74" s="1">
        <f>HYPERLINK("https://www.thewalkingcompany.com/products/david-tate-elena-black-patent", "https://www.thewalkingcompany.com/products/david-tate-elena-black-patent")</f>
        <v/>
      </c>
      <c r="B74" s="1">
        <f>HYPERLINK("https://www.thewalkingcompany.com/products/david-tate-elena-black-patent", "https://www.thewalkingcompany.com/products/david-tate-elena-black-patent")</f>
        <v/>
      </c>
      <c r="C74" t="inlineStr">
        <is>
          <t>David Tate</t>
        </is>
      </c>
      <c r="D74" t="inlineStr">
        <is>
          <t>David Tate Women's Heeled Sandals</t>
        </is>
      </c>
      <c r="E74" s="1">
        <f>HYPERLINK("https://www.amazon.com/David-Tate-Rain-Black-WW/dp/B083Z3RSYZ/ref=sr_1_2?keywords=David+Tate&amp;qid=1695346577&amp;sr=8-2", "https://www.amazon.com/David-Tate-Rain-Black-WW/dp/B083Z3RSYZ/ref=sr_1_2?keywords=David+Tate&amp;qid=1695346577&amp;sr=8-2")</f>
        <v/>
      </c>
      <c r="F74" t="inlineStr">
        <is>
          <t>B083Z3RSYZ</t>
        </is>
      </c>
      <c r="G74">
        <f>_xlfn.IMAGE("https://www.thewalkingcompany.com/cdn/shop/products/3610-01394-2306-062-1_5dd0ed85-f13b-4feb-907c-ad994d3f079b.jpg?v=1679474654")</f>
        <v/>
      </c>
      <c r="H74">
        <f>_xlfn.IMAGE("https://m.media-amazon.com/images/I/5173V0Z6EVL._AC_UL320_.jpg")</f>
        <v/>
      </c>
      <c r="K74" t="inlineStr">
        <is>
          <t>39.97</t>
        </is>
      </c>
      <c r="L74" t="n">
        <v>105.88</v>
      </c>
      <c r="M74" s="2" t="inlineStr">
        <is>
          <t>164.90%</t>
        </is>
      </c>
      <c r="N74" t="n">
        <v>4</v>
      </c>
      <c r="O74" t="n">
        <v>46</v>
      </c>
      <c r="Q74" t="inlineStr">
        <is>
          <t>InStock</t>
        </is>
      </c>
      <c r="R74" t="inlineStr">
        <is>
          <t>109.95</t>
        </is>
      </c>
      <c r="S74" t="inlineStr">
        <is>
          <t>7444617691313</t>
        </is>
      </c>
    </row>
    <row r="75" ht="75" customHeight="1">
      <c r="A75" s="1">
        <f>HYPERLINK("https://www.thewalkingcompany.com/products/david-tate-elena-black-patent", "https://www.thewalkingcompany.com/products/david-tate-elena-black-patent")</f>
        <v/>
      </c>
      <c r="B75" s="1">
        <f>HYPERLINK("https://www.thewalkingcompany.com/products/david-tate-elena-black-patent", "https://www.thewalkingcompany.com/products/david-tate-elena-black-patent")</f>
        <v/>
      </c>
      <c r="C75" t="inlineStr">
        <is>
          <t>David Tate</t>
        </is>
      </c>
      <c r="D75" t="inlineStr">
        <is>
          <t>David Tate Womens Wed Rhinestone Strappy Sandals</t>
        </is>
      </c>
      <c r="E75" s="1">
        <f>HYPERLINK("https://www.amazon.com/David-Tate-Womens-Sandal-Silver/dp/B09RK7J3DJ/ref=sr_1_5?keywords=David+Tate&amp;qid=1695346577&amp;sr=8-5", "https://www.amazon.com/David-Tate-Womens-Sandal-Silver/dp/B09RK7J3DJ/ref=sr_1_5?keywords=David+Tate&amp;qid=1695346577&amp;sr=8-5")</f>
        <v/>
      </c>
      <c r="F75" t="inlineStr">
        <is>
          <t>B09RK7J3DJ</t>
        </is>
      </c>
      <c r="G75">
        <f>_xlfn.IMAGE("https://www.thewalkingcompany.com/cdn/shop/products/3610-01394-2306-062-1_5dd0ed85-f13b-4feb-907c-ad994d3f079b.jpg?v=1679474654")</f>
        <v/>
      </c>
      <c r="H75">
        <f>_xlfn.IMAGE("https://m.media-amazon.com/images/I/419wW8zivOL._AC_UL320_.jpg")</f>
        <v/>
      </c>
      <c r="K75" t="inlineStr">
        <is>
          <t>39.97</t>
        </is>
      </c>
      <c r="L75" t="n">
        <v>101.96</v>
      </c>
      <c r="M75" s="2" t="inlineStr">
        <is>
          <t>155.09%</t>
        </is>
      </c>
      <c r="N75" t="n">
        <v>3.8</v>
      </c>
      <c r="O75" t="n">
        <v>19</v>
      </c>
      <c r="Q75" t="inlineStr">
        <is>
          <t>InStock</t>
        </is>
      </c>
      <c r="R75" t="inlineStr">
        <is>
          <t>109.95</t>
        </is>
      </c>
      <c r="S75" t="inlineStr">
        <is>
          <t>7444617691313</t>
        </is>
      </c>
    </row>
    <row r="76" ht="75" customHeight="1">
      <c r="A76" s="1">
        <f>HYPERLINK("https://www.thewalkingcompany.com/products/david-tate-elena-black-patent", "https://www.thewalkingcompany.com/products/david-tate-elena-black-patent")</f>
        <v/>
      </c>
      <c r="B76" s="1">
        <f>HYPERLINK("https://www.thewalkingcompany.com/products/david-tate-elena-black-patent", "https://www.thewalkingcompany.com/products/david-tate-elena-black-patent")</f>
        <v/>
      </c>
      <c r="C76" t="inlineStr">
        <is>
          <t>David Tate</t>
        </is>
      </c>
      <c r="D76" t="inlineStr">
        <is>
          <t>David Tate Womens Sparkle Rhinestone Slingback Heels</t>
        </is>
      </c>
      <c r="E76" s="1">
        <f>HYPERLINK("https://www.amazon.com/David-Tate-Sparkle-Silver-Satin/dp/B0BNHT7BB8/ref=sr_1_3?keywords=David+Tate&amp;qid=1695346577&amp;sr=8-3", "https://www.amazon.com/David-Tate-Sparkle-Silver-Satin/dp/B0BNHT7BB8/ref=sr_1_3?keywords=David+Tate&amp;qid=1695346577&amp;sr=8-3")</f>
        <v/>
      </c>
      <c r="F76" t="inlineStr">
        <is>
          <t>B0BNHT7BB8</t>
        </is>
      </c>
      <c r="G76">
        <f>_xlfn.IMAGE("https://www.thewalkingcompany.com/cdn/shop/products/3610-01394-2306-062-1_5dd0ed85-f13b-4feb-907c-ad994d3f079b.jpg?v=1679474654")</f>
        <v/>
      </c>
      <c r="H76">
        <f>_xlfn.IMAGE("https://m.media-amazon.com/images/I/61jUIZuojHL._AC_UL320_.jpg")</f>
        <v/>
      </c>
      <c r="K76" t="inlineStr">
        <is>
          <t>39.97</t>
        </is>
      </c>
      <c r="L76" t="n">
        <v>99.98999999999999</v>
      </c>
      <c r="M76" s="2" t="inlineStr">
        <is>
          <t>150.16%</t>
        </is>
      </c>
      <c r="N76" t="n">
        <v>4.6</v>
      </c>
      <c r="O76" t="n">
        <v>3</v>
      </c>
      <c r="Q76" t="inlineStr">
        <is>
          <t>InStock</t>
        </is>
      </c>
      <c r="R76" t="inlineStr">
        <is>
          <t>109.95</t>
        </is>
      </c>
      <c r="S76" t="inlineStr">
        <is>
          <t>7444617691313</t>
        </is>
      </c>
    </row>
    <row r="77" ht="75" customHeight="1">
      <c r="A77" s="1">
        <f>HYPERLINK("https://www.thewalkingcompany.com/products/david-tate-elena-black-patent", "https://www.thewalkingcompany.com/products/david-tate-elena-black-patent")</f>
        <v/>
      </c>
      <c r="B77" s="1">
        <f>HYPERLINK("https://www.thewalkingcompany.com/products/david-tate-elena-black-patent", "https://www.thewalkingcompany.com/products/david-tate-elena-black-patent")</f>
        <v/>
      </c>
      <c r="C77" t="inlineStr">
        <is>
          <t>David Tate</t>
        </is>
      </c>
      <c r="D77" t="inlineStr">
        <is>
          <t>David Tate Womens Refined Embellished Illusion Evening Sandals</t>
        </is>
      </c>
      <c r="E77" s="1">
        <f>HYPERLINK("https://www.amazon.com/David-Tate-Womens-Refined-Navy/dp/B07FPSYG5S/ref=sr_1_7?keywords=David+Tate&amp;qid=1695346577&amp;sr=8-7", "https://www.amazon.com/David-Tate-Womens-Refined-Navy/dp/B07FPSYG5S/ref=sr_1_7?keywords=David+Tate&amp;qid=1695346577&amp;sr=8-7")</f>
        <v/>
      </c>
      <c r="F77" t="inlineStr">
        <is>
          <t>B07FPSYG5S</t>
        </is>
      </c>
      <c r="G77">
        <f>_xlfn.IMAGE("https://www.thewalkingcompany.com/cdn/shop/products/3610-01394-2306-062-1_5dd0ed85-f13b-4feb-907c-ad994d3f079b.jpg?v=1679474654")</f>
        <v/>
      </c>
      <c r="H77">
        <f>_xlfn.IMAGE("https://m.media-amazon.com/images/I/71GqMk91gmL._AC_UL320_.jpg")</f>
        <v/>
      </c>
      <c r="K77" t="inlineStr">
        <is>
          <t>39.97</t>
        </is>
      </c>
      <c r="L77" t="n">
        <v>99.95999999999999</v>
      </c>
      <c r="M77" s="2" t="inlineStr">
        <is>
          <t>150.09%</t>
        </is>
      </c>
      <c r="N77" t="n">
        <v>3.9</v>
      </c>
      <c r="O77" t="n">
        <v>49</v>
      </c>
      <c r="Q77" t="inlineStr">
        <is>
          <t>InStock</t>
        </is>
      </c>
      <c r="R77" t="inlineStr">
        <is>
          <t>109.95</t>
        </is>
      </c>
      <c r="S77" t="inlineStr">
        <is>
          <t>7444617691313</t>
        </is>
      </c>
    </row>
    <row r="78" ht="75" customHeight="1">
      <c r="A78" s="1">
        <f>HYPERLINK("https://www.thewalkingcompany.com/products/david-tate-elena-black-patent", "https://www.thewalkingcompany.com/products/david-tate-elena-black-patent")</f>
        <v/>
      </c>
      <c r="B78" s="1">
        <f>HYPERLINK("https://www.thewalkingcompany.com/products/david-tate-elena-black-patent", "https://www.thewalkingcompany.com/products/david-tate-elena-black-patent")</f>
        <v/>
      </c>
      <c r="C78" t="inlineStr">
        <is>
          <t>David Tate</t>
        </is>
      </c>
      <c r="D78" t="inlineStr">
        <is>
          <t>David Tate Admire</t>
        </is>
      </c>
      <c r="E78" s="1">
        <f>HYPERLINK("https://www.amazon.com/David-Tate-Admire-Black-Lizard/dp/B0BPSJNGH4/ref=sr_1_1?keywords=David+Tate&amp;qid=1695346577&amp;sr=8-1", "https://www.amazon.com/David-Tate-Admire-Black-Lizard/dp/B0BPSJNGH4/ref=sr_1_1?keywords=David+Tate&amp;qid=1695346577&amp;sr=8-1")</f>
        <v/>
      </c>
      <c r="F78" t="inlineStr">
        <is>
          <t>B0BPSJNGH4</t>
        </is>
      </c>
      <c r="G78">
        <f>_xlfn.IMAGE("https://www.thewalkingcompany.com/cdn/shop/products/3610-01394-2306-062-1_5dd0ed85-f13b-4feb-907c-ad994d3f079b.jpg?v=1679474654")</f>
        <v/>
      </c>
      <c r="H78">
        <f>_xlfn.IMAGE("https://m.media-amazon.com/images/I/51KnOaJDKHL._AC_UL320_.jpg")</f>
        <v/>
      </c>
      <c r="K78" t="inlineStr">
        <is>
          <t>39.97</t>
        </is>
      </c>
      <c r="L78" t="n">
        <v>92.11</v>
      </c>
      <c r="M78" s="2" t="inlineStr">
        <is>
          <t>130.45%</t>
        </is>
      </c>
      <c r="N78" t="n">
        <v>4.7</v>
      </c>
      <c r="O78" t="n">
        <v>4</v>
      </c>
      <c r="Q78" t="inlineStr">
        <is>
          <t>InStock</t>
        </is>
      </c>
      <c r="R78" t="inlineStr">
        <is>
          <t>109.95</t>
        </is>
      </c>
      <c r="S78" t="inlineStr">
        <is>
          <t>7444617691313</t>
        </is>
      </c>
    </row>
    <row r="79" ht="75" customHeight="1">
      <c r="A79" s="1">
        <f>HYPERLINK("https://www.thewalkingcompany.com/products/david-tate-elena-black-patent", "https://www.thewalkingcompany.com/products/david-tate-elena-black-patent")</f>
        <v/>
      </c>
      <c r="B79" s="1">
        <f>HYPERLINK("https://www.thewalkingcompany.com/products/david-tate-elena-black-patent", "https://www.thewalkingcompany.com/products/david-tate-elena-black-patent")</f>
        <v/>
      </c>
      <c r="C79" t="inlineStr">
        <is>
          <t>David Tate</t>
        </is>
      </c>
      <c r="D79" t="inlineStr">
        <is>
          <t>David Tate Women's Perfect Wedge Sandal</t>
        </is>
      </c>
      <c r="E79" s="1">
        <f>HYPERLINK("https://www.amazon.com/David-Tate-Womens-Perfect-Microfiber/dp/B0BLGS83JF/ref=sr_1_4?keywords=David+Tate&amp;qid=1695346577&amp;sr=8-4", "https://www.amazon.com/David-Tate-Womens-Perfect-Microfiber/dp/B0BLGS83JF/ref=sr_1_4?keywords=David+Tate&amp;qid=1695346577&amp;sr=8-4")</f>
        <v/>
      </c>
      <c r="F79" t="inlineStr">
        <is>
          <t>B0BLGS83JF</t>
        </is>
      </c>
      <c r="G79">
        <f>_xlfn.IMAGE("https://www.thewalkingcompany.com/cdn/shop/products/3610-01394-2306-062-1_5dd0ed85-f13b-4feb-907c-ad994d3f079b.jpg?v=1679474654")</f>
        <v/>
      </c>
      <c r="H79">
        <f>_xlfn.IMAGE("https://m.media-amazon.com/images/I/710NeGUV+gL._AC_UL320_.jpg")</f>
        <v/>
      </c>
      <c r="K79" t="inlineStr">
        <is>
          <t>39.97</t>
        </is>
      </c>
      <c r="L79" t="n">
        <v>83.41</v>
      </c>
      <c r="M79" s="2" t="inlineStr">
        <is>
          <t>108.68%</t>
        </is>
      </c>
      <c r="N79" t="n">
        <v>3.8</v>
      </c>
      <c r="O79" t="n">
        <v>8</v>
      </c>
      <c r="Q79" t="inlineStr">
        <is>
          <t>InStock</t>
        </is>
      </c>
      <c r="R79" t="inlineStr">
        <is>
          <t>109.95</t>
        </is>
      </c>
      <c r="S79" t="inlineStr">
        <is>
          <t>7444617691313</t>
        </is>
      </c>
    </row>
    <row r="80" ht="75" customHeight="1">
      <c r="A80" s="1">
        <f>HYPERLINK("https://www.thewalkingcompany.com/products/halsa-footwear-desiree-white-multi", "https://www.thewalkingcompany.com/products/halsa-footwear-desiree-white-multi")</f>
        <v/>
      </c>
      <c r="B80" s="1">
        <f>HYPERLINK("https://www.thewalkingcompany.com/products/halsa-footwear-desiree-white-multi", "https://www.thewalkingcompany.com/products/halsa-footwear-desiree-white-multi")</f>
        <v/>
      </c>
      <c r="C80" t="inlineStr">
        <is>
          <t>Halsa Footwear</t>
        </is>
      </c>
      <c r="D80" t="inlineStr">
        <is>
          <t>Halsa Footwear Women's Flat Sandals</t>
        </is>
      </c>
      <c r="E80" s="1">
        <f>HYPERLINK("https://www.amazon.com/Womens-Halsa-Denia-Sandal-Cognac/dp/B086VSC9S1/ref=sr_1_2?keywords=Halsa+Footwear&amp;qid=1695346578&amp;sr=8-2", "https://www.amazon.com/Womens-Halsa-Denia-Sandal-Cognac/dp/B086VSC9S1/ref=sr_1_2?keywords=Halsa+Footwear&amp;qid=1695346578&amp;sr=8-2")</f>
        <v/>
      </c>
      <c r="F80" t="inlineStr">
        <is>
          <t>B086VSC9S1</t>
        </is>
      </c>
      <c r="G80">
        <f>_xlfn.IMAGE("https://www.thewalkingcompany.com/cdn/shop/products/3610-01472-1024-091-5_20_2.jpg?v=1680159810")</f>
        <v/>
      </c>
      <c r="H80">
        <f>_xlfn.IMAGE("https://m.media-amazon.com/images/I/6129wmTmYdL._AC_UL320_.jpg")</f>
        <v/>
      </c>
      <c r="K80" t="inlineStr">
        <is>
          <t>39.97</t>
        </is>
      </c>
      <c r="L80" t="n">
        <v>124.95</v>
      </c>
      <c r="M80" s="2" t="inlineStr">
        <is>
          <t>212.61%</t>
        </is>
      </c>
      <c r="N80" t="n">
        <v>4.3</v>
      </c>
      <c r="O80" t="n">
        <v>24</v>
      </c>
      <c r="Q80" t="inlineStr">
        <is>
          <t>OutOfStock</t>
        </is>
      </c>
      <c r="R80" t="inlineStr">
        <is>
          <t>109.95</t>
        </is>
      </c>
      <c r="S80" t="inlineStr">
        <is>
          <t>7449296994481</t>
        </is>
      </c>
    </row>
    <row r="81" ht="75" customHeight="1">
      <c r="A81" s="1">
        <f>HYPERLINK("https://www.thewalkingcompany.com/products/halsa-footwear-desiree-white-multi", "https://www.thewalkingcompany.com/products/halsa-footwear-desiree-white-multi")</f>
        <v/>
      </c>
      <c r="B81" s="1">
        <f>HYPERLINK("https://www.thewalkingcompany.com/products/halsa-footwear-desiree-white-multi", "https://www.thewalkingcompany.com/products/halsa-footwear-desiree-white-multi")</f>
        <v/>
      </c>
      <c r="C81" t="inlineStr">
        <is>
          <t>Halsa Footwear</t>
        </is>
      </c>
      <c r="D81" t="inlineStr">
        <is>
          <t>Halsa Footwear Women's Flat Sandals</t>
        </is>
      </c>
      <c r="E81" s="1">
        <f>HYPERLINK("https://www.amazon.com/Halsa-Footwear-Womens-Flat-Sandals/dp/B08Y2Y2LJT/ref=sr_1_7?keywords=Halsa+Footwear&amp;qid=1695346578&amp;sr=8-7", "https://www.amazon.com/Halsa-Footwear-Womens-Flat-Sandals/dp/B08Y2Y2LJT/ref=sr_1_7?keywords=Halsa+Footwear&amp;qid=1695346578&amp;sr=8-7")</f>
        <v/>
      </c>
      <c r="F81" t="inlineStr">
        <is>
          <t>B08Y2Y2LJT</t>
        </is>
      </c>
      <c r="G81">
        <f>_xlfn.IMAGE("https://www.thewalkingcompany.com/cdn/shop/products/3610-01472-1024-091-5_20_2.jpg?v=1680159810")</f>
        <v/>
      </c>
      <c r="H81">
        <f>_xlfn.IMAGE("https://m.media-amazon.com/images/I/51UOE6RVDyL._AC_UL320_.jpg")</f>
        <v/>
      </c>
      <c r="K81" t="inlineStr">
        <is>
          <t>39.97</t>
        </is>
      </c>
      <c r="L81" t="n">
        <v>115.95</v>
      </c>
      <c r="M81" s="2" t="inlineStr">
        <is>
          <t>190.09%</t>
        </is>
      </c>
      <c r="N81" t="n">
        <v>5</v>
      </c>
      <c r="O81" t="n">
        <v>1</v>
      </c>
      <c r="Q81" t="inlineStr">
        <is>
          <t>OutOfStock</t>
        </is>
      </c>
      <c r="R81" t="inlineStr">
        <is>
          <t>109.95</t>
        </is>
      </c>
      <c r="S81" t="inlineStr">
        <is>
          <t>7449296994481</t>
        </is>
      </c>
    </row>
    <row r="82" ht="75" customHeight="1">
      <c r="A82" s="1">
        <f>HYPERLINK("https://www.thewalkingcompany.com/products/halsa-footwear-desiree-white-multi", "https://www.thewalkingcompany.com/products/halsa-footwear-desiree-white-multi")</f>
        <v/>
      </c>
      <c r="B82" s="1">
        <f>HYPERLINK("https://www.thewalkingcompany.com/products/halsa-footwear-desiree-white-multi", "https://www.thewalkingcompany.com/products/halsa-footwear-desiree-white-multi")</f>
        <v/>
      </c>
      <c r="C82" t="inlineStr">
        <is>
          <t>Halsa Footwear</t>
        </is>
      </c>
      <c r="D82" t="inlineStr">
        <is>
          <t>Halsa Footwear Women's Wedge Heels</t>
        </is>
      </c>
      <c r="E82" s="1">
        <f>HYPERLINK("https://www.amazon.com/Halsa-Womens-Chantal-Strap-Sandal/dp/B086VT3NGW/ref=sr_1_6?keywords=Halsa+Footwear&amp;qid=1695346578&amp;sr=8-6", "https://www.amazon.com/Halsa-Womens-Chantal-Strap-Sandal/dp/B086VT3NGW/ref=sr_1_6?keywords=Halsa+Footwear&amp;qid=1695346578&amp;sr=8-6")</f>
        <v/>
      </c>
      <c r="F82" t="inlineStr">
        <is>
          <t>B086VT3NGW</t>
        </is>
      </c>
      <c r="G82">
        <f>_xlfn.IMAGE("https://www.thewalkingcompany.com/cdn/shop/products/3610-01472-1024-091-5_20_2.jpg?v=1680159810")</f>
        <v/>
      </c>
      <c r="H82">
        <f>_xlfn.IMAGE("https://m.media-amazon.com/images/I/617J8Xjz3TL._AC_UL320_.jpg")</f>
        <v/>
      </c>
      <c r="K82" t="inlineStr">
        <is>
          <t>39.97</t>
        </is>
      </c>
      <c r="L82" t="n">
        <v>109.95</v>
      </c>
      <c r="M82" s="2" t="inlineStr">
        <is>
          <t>175.08%</t>
        </is>
      </c>
      <c r="N82" t="n">
        <v>5</v>
      </c>
      <c r="O82" t="n">
        <v>2</v>
      </c>
      <c r="Q82" t="inlineStr">
        <is>
          <t>OutOfStock</t>
        </is>
      </c>
      <c r="R82" t="inlineStr">
        <is>
          <t>109.95</t>
        </is>
      </c>
      <c r="S82" t="inlineStr">
        <is>
          <t>7449296994481</t>
        </is>
      </c>
    </row>
    <row r="83" ht="75" customHeight="1">
      <c r="A83" s="1">
        <f>HYPERLINK("https://www.thewalkingcompany.com/products/halsa-footwear-desiree-white-multi", "https://www.thewalkingcompany.com/products/halsa-footwear-desiree-white-multi")</f>
        <v/>
      </c>
      <c r="B83" s="1">
        <f>HYPERLINK("https://www.thewalkingcompany.com/products/halsa-footwear-desiree-white-multi", "https://www.thewalkingcompany.com/products/halsa-footwear-desiree-white-multi")</f>
        <v/>
      </c>
      <c r="C83" t="inlineStr">
        <is>
          <t>Halsa Footwear</t>
        </is>
      </c>
      <c r="D83" t="inlineStr">
        <is>
          <t>Halsa Footwear Women's Flat Sandals</t>
        </is>
      </c>
      <c r="E83" s="1">
        <f>HYPERLINK("https://www.amazon.com/Womens-Halsa-Darline-Sandal-RED/dp/B086WGF95C/ref=sr_1_3?keywords=Halsa+Footwear&amp;qid=1695346578&amp;sr=8-3", "https://www.amazon.com/Womens-Halsa-Darline-Sandal-RED/dp/B086WGF95C/ref=sr_1_3?keywords=Halsa+Footwear&amp;qid=1695346578&amp;sr=8-3")</f>
        <v/>
      </c>
      <c r="F83" t="inlineStr">
        <is>
          <t>B086WGF95C</t>
        </is>
      </c>
      <c r="G83">
        <f>_xlfn.IMAGE("https://www.thewalkingcompany.com/cdn/shop/products/3610-01472-1024-091-5_20_2.jpg?v=1680159810")</f>
        <v/>
      </c>
      <c r="H83">
        <f>_xlfn.IMAGE("https://m.media-amazon.com/images/I/51TntNngWjL._AC_UL320_.jpg")</f>
        <v/>
      </c>
      <c r="K83" t="inlineStr">
        <is>
          <t>39.97</t>
        </is>
      </c>
      <c r="L83" t="n">
        <v>99.95</v>
      </c>
      <c r="M83" s="2" t="inlineStr">
        <is>
          <t>150.06%</t>
        </is>
      </c>
      <c r="N83" t="n">
        <v>4</v>
      </c>
      <c r="O83" t="n">
        <v>1</v>
      </c>
      <c r="Q83" t="inlineStr">
        <is>
          <t>OutOfStock</t>
        </is>
      </c>
      <c r="R83" t="inlineStr">
        <is>
          <t>109.95</t>
        </is>
      </c>
      <c r="S83" t="inlineStr">
        <is>
          <t>7449296994481</t>
        </is>
      </c>
    </row>
    <row r="84" ht="75" customHeight="1">
      <c r="A84" s="1">
        <f>HYPERLINK("https://www.thewalkingcompany.com/products/halsa-footwear-desiree-white-multi", "https://www.thewalkingcompany.com/products/halsa-footwear-desiree-white-multi")</f>
        <v/>
      </c>
      <c r="B84" s="1">
        <f>HYPERLINK("https://www.thewalkingcompany.com/products/halsa-footwear-desiree-white-multi", "https://www.thewalkingcompany.com/products/halsa-footwear-desiree-white-multi")</f>
        <v/>
      </c>
      <c r="C84" t="inlineStr">
        <is>
          <t>Halsa Footwear</t>
        </is>
      </c>
      <c r="D84" t="inlineStr">
        <is>
          <t>Halsa Footwear Women's Flat Sandals</t>
        </is>
      </c>
      <c r="E84" s="1">
        <f>HYPERLINK("https://www.amazon.com/Womens-Halsa-Delight-Sandal-Black/dp/B086VS9DTX/ref=sr_1_1?keywords=Halsa+Footwear&amp;qid=1695346578&amp;sr=8-1", "https://www.amazon.com/Womens-Halsa-Delight-Sandal-Black/dp/B086VS9DTX/ref=sr_1_1?keywords=Halsa+Footwear&amp;qid=1695346578&amp;sr=8-1")</f>
        <v/>
      </c>
      <c r="F84" t="inlineStr">
        <is>
          <t>B086VS9DTX</t>
        </is>
      </c>
      <c r="G84">
        <f>_xlfn.IMAGE("https://www.thewalkingcompany.com/cdn/shop/products/3610-01472-1024-091-5_20_2.jpg?v=1680159810")</f>
        <v/>
      </c>
      <c r="H84">
        <f>_xlfn.IMAGE("https://m.media-amazon.com/images/I/61OYPfua82L._AC_UL320_.jpg")</f>
        <v/>
      </c>
      <c r="K84" t="inlineStr">
        <is>
          <t>39.97</t>
        </is>
      </c>
      <c r="L84" t="n">
        <v>81.31</v>
      </c>
      <c r="M84" s="2" t="inlineStr">
        <is>
          <t>103.43%</t>
        </is>
      </c>
      <c r="N84" t="n">
        <v>5</v>
      </c>
      <c r="O84" t="n">
        <v>7</v>
      </c>
      <c r="Q84" t="inlineStr">
        <is>
          <t>OutOfStock</t>
        </is>
      </c>
      <c r="R84" t="inlineStr">
        <is>
          <t>109.95</t>
        </is>
      </c>
      <c r="S84" t="inlineStr">
        <is>
          <t>7449296994481</t>
        </is>
      </c>
    </row>
    <row r="85" ht="75" customHeight="1">
      <c r="A85" s="1">
        <f>HYPERLINK("https://www.thewalkingcompany.com/products/halsa-footwear-destiny-bronze", "https://www.thewalkingcompany.com/products/halsa-footwear-destiny-bronze")</f>
        <v/>
      </c>
      <c r="B85" s="1">
        <f>HYPERLINK("https://www.thewalkingcompany.com/products/halsa-footwear-destiny-bronze", "https://www.thewalkingcompany.com/products/halsa-footwear-destiny-bronze")</f>
        <v/>
      </c>
      <c r="C85" t="inlineStr">
        <is>
          <t>Women's Halsa Footwear Destiny</t>
        </is>
      </c>
      <c r="D85" t="inlineStr">
        <is>
          <t>Halsa Footwear Women's Flat Sandals</t>
        </is>
      </c>
      <c r="E85" s="1">
        <f>HYPERLINK("https://www.amazon.com/Womens-Halsa-Denia-Sandal-Cognac/dp/B086VSC9S1/ref=sr_1_fkmr1_2?keywords=Women%27s+Halsa+Footwear+Destiny&amp;qid=1695346574&amp;sr=8-2-fkmr1", "https://www.amazon.com/Womens-Halsa-Denia-Sandal-Cognac/dp/B086VSC9S1/ref=sr_1_fkmr1_2?keywords=Women%27s+Halsa+Footwear+Destiny&amp;qid=1695346574&amp;sr=8-2-fkmr1")</f>
        <v/>
      </c>
      <c r="F85" t="inlineStr">
        <is>
          <t>B086VSC9S1</t>
        </is>
      </c>
      <c r="G85">
        <f>_xlfn.IMAGE("https://www.thewalkingcompany.com/cdn/shop/products/3610-01472-2245-099-1_20_2.jpg?v=1680159844")</f>
        <v/>
      </c>
      <c r="H85">
        <f>_xlfn.IMAGE("https://m.media-amazon.com/images/I/6129wmTmYdL._AC_UL320_.jpg")</f>
        <v/>
      </c>
      <c r="K85" t="inlineStr">
        <is>
          <t>49.97</t>
        </is>
      </c>
      <c r="L85" t="n">
        <v>124.95</v>
      </c>
      <c r="M85" s="2" t="inlineStr">
        <is>
          <t>150.05%</t>
        </is>
      </c>
      <c r="N85" t="n">
        <v>4.3</v>
      </c>
      <c r="O85" t="n">
        <v>24</v>
      </c>
      <c r="Q85" t="inlineStr">
        <is>
          <t>InStock</t>
        </is>
      </c>
      <c r="R85" t="inlineStr">
        <is>
          <t>129.95</t>
        </is>
      </c>
      <c r="S85" t="inlineStr">
        <is>
          <t>7449297453233</t>
        </is>
      </c>
    </row>
    <row r="86" ht="75" customHeight="1">
      <c r="A86" s="1">
        <f>HYPERLINK("https://www.thewalkingcompany.com/products/halsa-footwear-destiny-bronze", "https://www.thewalkingcompany.com/products/halsa-footwear-destiny-bronze")</f>
        <v/>
      </c>
      <c r="B86" s="1">
        <f>HYPERLINK("https://www.thewalkingcompany.com/products/halsa-footwear-destiny-bronze", "https://www.thewalkingcompany.com/products/halsa-footwear-destiny-bronze")</f>
        <v/>
      </c>
      <c r="C86" t="inlineStr">
        <is>
          <t>Women's Halsa Footwear Destiny</t>
        </is>
      </c>
      <c r="D86" t="inlineStr">
        <is>
          <t>Halsa Footwear Women's Flat Sandals</t>
        </is>
      </c>
      <c r="E86" s="1">
        <f>HYPERLINK("https://www.amazon.com/Womens-Halsa-Denia-Sandal-Black/dp/B086VRH8NJ/ref=sr_1_1?keywords=Women%27s+Halsa+Footwear+Destiny&amp;qid=1695346574&amp;sr=8-1", "https://www.amazon.com/Womens-Halsa-Denia-Sandal-Black/dp/B086VRH8NJ/ref=sr_1_1?keywords=Women%27s+Halsa+Footwear+Destiny&amp;qid=1695346574&amp;sr=8-1")</f>
        <v/>
      </c>
      <c r="F86" t="inlineStr">
        <is>
          <t>B086VRH8NJ</t>
        </is>
      </c>
      <c r="G86">
        <f>_xlfn.IMAGE("https://www.thewalkingcompany.com/cdn/shop/products/3610-01472-2245-099-1_20_2.jpg?v=1680159844")</f>
        <v/>
      </c>
      <c r="H86">
        <f>_xlfn.IMAGE("https://m.media-amazon.com/images/I/41fZVXCFNhL._AC_UL320_.jpg")</f>
        <v/>
      </c>
      <c r="K86" t="inlineStr">
        <is>
          <t>49.97</t>
        </is>
      </c>
      <c r="L86" t="n">
        <v>124.95</v>
      </c>
      <c r="M86" s="2" t="inlineStr">
        <is>
          <t>150.05%</t>
        </is>
      </c>
      <c r="N86" t="n">
        <v>4.3</v>
      </c>
      <c r="O86" t="n">
        <v>24</v>
      </c>
      <c r="Q86" t="inlineStr">
        <is>
          <t>InStock</t>
        </is>
      </c>
      <c r="R86" t="inlineStr">
        <is>
          <t>129.95</t>
        </is>
      </c>
      <c r="S86" t="inlineStr">
        <is>
          <t>7449297453233</t>
        </is>
      </c>
    </row>
    <row r="87" ht="75" customHeight="1">
      <c r="A87" s="1">
        <f>HYPERLINK("https://www.thewalkingcompany.com/products/keen-newport-h2-black", "https://www.thewalkingcompany.com/products/keen-newport-h2-black")</f>
        <v/>
      </c>
      <c r="B87" s="1">
        <f>HYPERLINK("https://www.thewalkingcompany.com/products/keen-newport-h2-black", "https://www.thewalkingcompany.com/products/keen-newport-h2-black")</f>
        <v/>
      </c>
      <c r="C87" t="inlineStr">
        <is>
          <t>Newport H2</t>
        </is>
      </c>
      <c r="D87" t="inlineStr">
        <is>
          <t>KEEN Women's Newport H2 Closed Toe Water Sandals, Raya Black, 8.5</t>
        </is>
      </c>
      <c r="E87" s="1">
        <f>HYPERLINK("https://www.amazon.com/KEEN-Womens-Newport-Sandal-Black/dp/B01HHUXJ80/ref=sr_1_2?keywords=Newport+H2&amp;qid=1695346545&amp;sr=8-2", "https://www.amazon.com/KEEN-Womens-Newport-Sandal-Black/dp/B01HHUXJ80/ref=sr_1_2?keywords=Newport+H2&amp;qid=1695346545&amp;sr=8-2")</f>
        <v/>
      </c>
      <c r="F87" t="inlineStr">
        <is>
          <t>B01HHUXJ80</t>
        </is>
      </c>
      <c r="G87">
        <f>_xlfn.IMAGE("https://www.thewalkingcompany.com/cdn/shop/products/Keen_NewportH2_Black-copy.jpg?v=1622046576")</f>
        <v/>
      </c>
      <c r="H87">
        <f>_xlfn.IMAGE("https://m.media-amazon.com/images/I/81EursGw0WL._AC_UL320_.jpg")</f>
        <v/>
      </c>
      <c r="K87" t="inlineStr">
        <is>
          <t>69.97</t>
        </is>
      </c>
      <c r="L87" t="n">
        <v>124.95</v>
      </c>
      <c r="M87" s="2" t="inlineStr">
        <is>
          <t>78.58%</t>
        </is>
      </c>
      <c r="N87" t="n">
        <v>4.3</v>
      </c>
      <c r="O87" t="n">
        <v>46</v>
      </c>
      <c r="Q87" t="inlineStr">
        <is>
          <t>InStock</t>
        </is>
      </c>
      <c r="R87" t="inlineStr">
        <is>
          <t>129.95</t>
        </is>
      </c>
      <c r="S87" t="inlineStr">
        <is>
          <t>4356793565230</t>
        </is>
      </c>
    </row>
    <row r="88" ht="75" customHeight="1">
      <c r="A88" s="1">
        <f>HYPERLINK("https://www.thewalkingcompany.com/products/sofft-almeda-black", "https://www.thewalkingcompany.com/products/sofft-almeda-black")</f>
        <v/>
      </c>
      <c r="B88" s="1">
        <f>HYPERLINK("https://www.thewalkingcompany.com/products/sofft-almeda-black", "https://www.thewalkingcompany.com/products/sofft-almeda-black")</f>
        <v/>
      </c>
      <c r="C88" t="inlineStr">
        <is>
          <t>Almeda</t>
        </is>
      </c>
      <c r="D88" t="inlineStr">
        <is>
          <t>Dale Tiffany TT18338 Almeda Tiffany Table Lamp, Antique Bronze/Multi</t>
        </is>
      </c>
      <c r="E88" s="1">
        <f>HYPERLINK("https://www.amazon.com/Dale-Tiffany-TT18338-Almeda-Antique/dp/B07WPG2VGN/ref=sr_1_2?keywords=Almeda&amp;qid=1695346573&amp;sr=8-2", "https://www.amazon.com/Dale-Tiffany-TT18338-Almeda-Antique/dp/B07WPG2VGN/ref=sr_1_2?keywords=Almeda&amp;qid=1695346573&amp;sr=8-2")</f>
        <v/>
      </c>
      <c r="F88" t="inlineStr">
        <is>
          <t>B07WPG2VGN</t>
        </is>
      </c>
      <c r="G88">
        <f>_xlfn.IMAGE("https://www.thewalkingcompany.com/cdn/shop/products/SFT-001-SF0083501.jpg?v=1679982332")</f>
        <v/>
      </c>
      <c r="H88">
        <f>_xlfn.IMAGE("https://m.media-amazon.com/images/I/71fxuuZr+fL._AC_UL320_.jpg")</f>
        <v/>
      </c>
      <c r="K88" t="inlineStr">
        <is>
          <t>39.97</t>
        </is>
      </c>
      <c r="L88" t="n">
        <v>180.36</v>
      </c>
      <c r="M88" s="2" t="inlineStr">
        <is>
          <t>351.24%</t>
        </is>
      </c>
      <c r="N88" t="n">
        <v>5</v>
      </c>
      <c r="O88" t="n">
        <v>1</v>
      </c>
      <c r="Q88" t="inlineStr">
        <is>
          <t>InStock</t>
        </is>
      </c>
      <c r="R88" t="inlineStr">
        <is>
          <t>119.95</t>
        </is>
      </c>
      <c r="S88" t="inlineStr">
        <is>
          <t>7455817138353</t>
        </is>
      </c>
    </row>
    <row r="89" ht="75" customHeight="1">
      <c r="A89" s="1">
        <f>HYPERLINK("https://www.thewalkingcompany.com/products/sofft-almeda-black", "https://www.thewalkingcompany.com/products/sofft-almeda-black")</f>
        <v/>
      </c>
      <c r="B89" s="1">
        <f>HYPERLINK("https://www.thewalkingcompany.com/products/sofft-almeda-black", "https://www.thewalkingcompany.com/products/sofft-almeda-black")</f>
        <v/>
      </c>
      <c r="C89" t="inlineStr">
        <is>
          <t>Almeda</t>
        </is>
      </c>
      <c r="D89" t="inlineStr">
        <is>
          <t>Sofft Almeda</t>
        </is>
      </c>
      <c r="E89" s="1">
        <f>HYPERLINK("https://www.amazon.com/Sofft-Almeda-Black-11/dp/B0BWY63MGK/ref=sr_1_3?keywords=Almeda&amp;qid=1695346573&amp;sr=8-3", "https://www.amazon.com/Sofft-Almeda-Black-11/dp/B0BWY63MGK/ref=sr_1_3?keywords=Almeda&amp;qid=1695346573&amp;sr=8-3")</f>
        <v/>
      </c>
      <c r="F89" t="inlineStr">
        <is>
          <t>B0BWY63MGK</t>
        </is>
      </c>
      <c r="G89">
        <f>_xlfn.IMAGE("https://www.thewalkingcompany.com/cdn/shop/products/SFT-001-SF0083501.jpg?v=1679982332")</f>
        <v/>
      </c>
      <c r="H89">
        <f>_xlfn.IMAGE("https://m.media-amazon.com/images/I/71a1XmI1OrL._AC_UL320_.jpg")</f>
        <v/>
      </c>
      <c r="K89" t="inlineStr">
        <is>
          <t>39.97</t>
        </is>
      </c>
      <c r="L89" t="n">
        <v>98.36</v>
      </c>
      <c r="M89" s="2" t="inlineStr">
        <is>
          <t>146.08%</t>
        </is>
      </c>
      <c r="N89" t="n">
        <v>5</v>
      </c>
      <c r="O89" t="n">
        <v>2</v>
      </c>
      <c r="Q89" t="inlineStr">
        <is>
          <t>InStock</t>
        </is>
      </c>
      <c r="R89" t="inlineStr">
        <is>
          <t>119.95</t>
        </is>
      </c>
      <c r="S89" t="inlineStr">
        <is>
          <t>7455817138353</t>
        </is>
      </c>
    </row>
    <row r="90" ht="75" customHeight="1">
      <c r="A90" s="1">
        <f>HYPERLINK("https://www.thewalkingcompany.com/products/strive-capri-ii-navy", "https://www.thewalkingcompany.com/products/strive-capri-ii-navy")</f>
        <v/>
      </c>
      <c r="B90" s="1">
        <f>HYPERLINK("https://www.thewalkingcompany.com/products/strive-capri-ii-navy", "https://www.thewalkingcompany.com/products/strive-capri-ii-navy")</f>
        <v/>
      </c>
      <c r="C90" t="inlineStr">
        <is>
          <t>Capri II</t>
        </is>
      </c>
      <c r="D90" t="inlineStr">
        <is>
          <t>Royal Robbins Women's Jammer Ii Capri</t>
        </is>
      </c>
      <c r="E90" s="1">
        <f>HYPERLINK("https://www.amazon.com/Royal-Robbins-Womens-Jammer-Capri/dp/B075ZTYGDN/ref=sr_1_3?keywords=Capri+II&amp;qid=1695346575&amp;sr=8-3", "https://www.amazon.com/Royal-Robbins-Womens-Jammer-Capri/dp/B075ZTYGDN/ref=sr_1_3?keywords=Capri+II&amp;qid=1695346575&amp;sr=8-3")</f>
        <v/>
      </c>
      <c r="F90" t="inlineStr">
        <is>
          <t>B075ZTYGDN</t>
        </is>
      </c>
      <c r="G90">
        <f>_xlfn.IMAGE("https://www.thewalkingcompany.com/cdn/shop/products/CAPRI-II_Navy_Angled.jpg?v=1682640282")</f>
        <v/>
      </c>
      <c r="H90">
        <f>_xlfn.IMAGE("https://m.media-amazon.com/images/I/616sAain-tL._MCnd_AC_UL320_.jpg")</f>
        <v/>
      </c>
      <c r="K90" t="inlineStr">
        <is>
          <t>39.97</t>
        </is>
      </c>
      <c r="L90" t="n">
        <v>85</v>
      </c>
      <c r="M90" s="2" t="inlineStr">
        <is>
          <t>112.66%</t>
        </is>
      </c>
      <c r="N90" t="n">
        <v>4.2</v>
      </c>
      <c r="O90" t="n">
        <v>33</v>
      </c>
      <c r="Q90" t="inlineStr">
        <is>
          <t>InStock</t>
        </is>
      </c>
      <c r="R90" t="inlineStr">
        <is>
          <t>109.95</t>
        </is>
      </c>
      <c r="S90" t="inlineStr">
        <is>
          <t>7463884882097</t>
        </is>
      </c>
    </row>
    <row r="91" ht="75" customHeight="1">
      <c r="A91" s="1">
        <f>HYPERLINK("https://www.thewalkingcompany.com/products/trotters-dea-woven-white", "https://www.thewalkingcompany.com/products/trotters-dea-woven-white")</f>
        <v/>
      </c>
      <c r="B91" s="1">
        <f>HYPERLINK("https://www.thewalkingcompany.com/products/trotters-dea-woven-white", "https://www.thewalkingcompany.com/products/trotters-dea-woven-white")</f>
        <v/>
      </c>
      <c r="C91" t="inlineStr">
        <is>
          <t>Dea Woven</t>
        </is>
      </c>
      <c r="D91" t="inlineStr">
        <is>
          <t>Trotters Women's DEA Woven Pump</t>
        </is>
      </c>
      <c r="E91" s="1">
        <f>HYPERLINK("https://www.amazon.com/Trotters-Womens-Woven-Pump-Narrow/dp/B0B2JPSJ2H/ref=sr_1_5?keywords=Dea+Woven&amp;qid=1695346582&amp;sr=8-5", "https://www.amazon.com/Trotters-Womens-Woven-Pump-Narrow/dp/B0B2JPSJ2H/ref=sr_1_5?keywords=Dea+Woven&amp;qid=1695346582&amp;sr=8-5")</f>
        <v/>
      </c>
      <c r="F91" t="inlineStr">
        <is>
          <t>B0B2JPSJ2H</t>
        </is>
      </c>
      <c r="G91">
        <f>_xlfn.IMAGE("https://www.thewalkingcompany.com/cdn/shop/products/3010-00749-2168-090-1.jpg?v=1679982223")</f>
        <v/>
      </c>
      <c r="H91">
        <f>_xlfn.IMAGE("https://m.media-amazon.com/images/I/51tZE5t6VbL._AC_UL320_.jpg")</f>
        <v/>
      </c>
      <c r="K91" t="inlineStr">
        <is>
          <t>39.97</t>
        </is>
      </c>
      <c r="L91" t="n">
        <v>99.95</v>
      </c>
      <c r="M91" s="2" t="inlineStr">
        <is>
          <t>150.06%</t>
        </is>
      </c>
      <c r="N91" t="n">
        <v>5</v>
      </c>
      <c r="O91" t="n">
        <v>1</v>
      </c>
      <c r="Q91" t="inlineStr">
        <is>
          <t>OutOfStock</t>
        </is>
      </c>
      <c r="R91" t="inlineStr">
        <is>
          <t>99.95</t>
        </is>
      </c>
      <c r="S91" t="inlineStr">
        <is>
          <t>7455816417457</t>
        </is>
      </c>
    </row>
    <row r="92" ht="75" customHeight="1">
      <c r="A92" s="1">
        <f>HYPERLINK("https://www.toolnut.com/bosch-bs80-6h-80-6-tpi-heavy-duty-stationary-band-saw-blade.html", "https://www.toolnut.com/bosch-bs80-6h-80-6-tpi-heavy-duty-stationary-band-saw-blade.html")</f>
        <v/>
      </c>
      <c r="B92" s="1">
        <f>HYPERLINK("https://www.toolnut.com/bosch-bs80-6h-80-6-tpi-heavy-duty-stationary-band-saw-blade.html", "https://www.toolnut.com/bosch-bs80-6h-80-6-tpi-heavy-duty-stationary-band-saw-blade.html")</f>
        <v/>
      </c>
      <c r="C92" t="inlineStr">
        <is>
          <t>Bosch BS80-6H 80 In. 6 TPI Heavy Duty Stationary Band Saw Blade</t>
        </is>
      </c>
      <c r="D92" t="inlineStr">
        <is>
          <t>Bosch BS80-6H 80-Inch X 1/2-Inch X 6-Tpi Heavy Duty Stationary Band Saw Blade with Bosch BS80-6W 80-Inch by 1/4-Inch by 6TPI Wood Bandsaw Blade</t>
        </is>
      </c>
      <c r="E92" s="1">
        <f>HYPERLINK("https://www.amazon.com/BS80-6H-80-Inch-Stationary-BS80-6W-Bandsaw/dp/B087GM8SMX/ref=sr_1_2?keywords=Bosch+BS80-6H+80+In.+6+TPI+Heavy+Duty+Stationary+Band+Saw+Blade&amp;qid=1695346741&amp;sr=8-2", "https://www.amazon.com/BS80-6H-80-Inch-Stationary-BS80-6W-Bandsaw/dp/B087GM8SMX/ref=sr_1_2?keywords=Bosch+BS80-6H+80+In.+6+TPI+Heavy+Duty+Stationary+Band+Saw+Blade&amp;qid=1695346741&amp;sr=8-2")</f>
        <v/>
      </c>
      <c r="F92" t="inlineStr">
        <is>
          <t>B087GM8SMX</t>
        </is>
      </c>
      <c r="G92">
        <f>_xlfn.IMAGE("https://www.toolnut.com/media/catalog/product/b/o/bosch-bs80-6h-1.jpg?quality=100&amp;bg-color=255,255,255&amp;fit=bounds&amp;height=700&amp;width=700&amp;canvas=700:700&amp;dpr=1 1x")</f>
        <v/>
      </c>
      <c r="H92">
        <f>_xlfn.IMAGE("https://m.media-amazon.com/images/I/41XXsHDT+lL._AC_UL320_.jpg")</f>
        <v/>
      </c>
      <c r="K92" t="inlineStr">
        <is>
          <t>12.99</t>
        </is>
      </c>
      <c r="L92" t="n">
        <v>23.96</v>
      </c>
      <c r="M92" s="2" t="inlineStr">
        <is>
          <t>84.45%</t>
        </is>
      </c>
      <c r="N92" t="n">
        <v>4.7</v>
      </c>
      <c r="O92" t="n">
        <v>6</v>
      </c>
      <c r="Q92" t="inlineStr">
        <is>
          <t>InStock</t>
        </is>
      </c>
      <c r="R92" t="inlineStr">
        <is>
          <t>undefined</t>
        </is>
      </c>
      <c r="S92" t="inlineStr">
        <is>
          <t>BS80-6H</t>
        </is>
      </c>
    </row>
    <row r="93" ht="75" customHeight="1">
      <c r="A93" s="1">
        <f>HYPERLINK("https://www.toolnut.com/bosch-ddb12-1-2-in-porcelain-diamond-drill-bit.html", "https://www.toolnut.com/bosch-ddb12-1-2-in-porcelain-diamond-drill-bit.html")</f>
        <v/>
      </c>
      <c r="B93" s="1">
        <f>HYPERLINK("https://www.toolnut.com/bosch-ddb12-1-2-in-porcelain-diamond-drill-bit.html", "https://www.toolnut.com/bosch-ddb12-1-2-in-porcelain-diamond-drill-bit.html")</f>
        <v/>
      </c>
      <c r="C93" t="inlineStr">
        <is>
          <t>Bosch DDB12 1/2 in. Porcelain Diamond Drill Bit</t>
        </is>
      </c>
      <c r="D93" t="inlineStr">
        <is>
          <t>Superior Diamond Tools Dry Diamond Drill Bits - 4pcs - 1/4'' (6mm), 5/16'' (8mm), 3/8'' (10mm), 1/2'' (12mm) - Quick Change Hex Shank - Tile Drill Bits - Ceramic Drill Bit - Porcelain Drill Bits</t>
        </is>
      </c>
      <c r="E93" s="1">
        <f>HYPERLINK("https://www.amazon.com/Superior-Diamond-Tools-Drill-Bits/dp/B0BSB9QCYD/ref=sr_1_7?keywords=Bosch+DDB12+1%2F2+in.+Porcelain+Diamond+Drill+Bit&amp;qid=1695346977&amp;sr=8-7", "https://www.amazon.com/Superior-Diamond-Tools-Drill-Bits/dp/B0BSB9QCYD/ref=sr_1_7?keywords=Bosch+DDB12+1%2F2+in.+Porcelain+Diamond+Drill+Bit&amp;qid=1695346977&amp;sr=8-7")</f>
        <v/>
      </c>
      <c r="F93" t="inlineStr">
        <is>
          <t>B0BSB9QCYD</t>
        </is>
      </c>
      <c r="G93">
        <f>_xlfn.IMAGE("https://www.toolnut.com/media/catalog/product/d/d/ddb12.jpg?quality=100&amp;bg-color=255,255,255&amp;fit=bounds&amp;height=700&amp;width=700&amp;canvas=700:700&amp;dpr=1 1x")</f>
        <v/>
      </c>
      <c r="H93">
        <f>_xlfn.IMAGE("https://m.media-amazon.com/images/I/616Hp4vY0+L._AC_UL320_.jpg")</f>
        <v/>
      </c>
      <c r="K93" t="inlineStr">
        <is>
          <t>14.45</t>
        </is>
      </c>
      <c r="L93" t="n">
        <v>23.9</v>
      </c>
      <c r="M93" s="2" t="inlineStr">
        <is>
          <t>65.40%</t>
        </is>
      </c>
      <c r="N93" t="n">
        <v>4.3</v>
      </c>
      <c r="O93" t="n">
        <v>21</v>
      </c>
      <c r="Q93" t="inlineStr">
        <is>
          <t>OutOfStock</t>
        </is>
      </c>
      <c r="R93" t="inlineStr">
        <is>
          <t>undefined</t>
        </is>
      </c>
      <c r="S93" t="inlineStr">
        <is>
          <t>DDB12</t>
        </is>
      </c>
    </row>
    <row r="94" ht="75" customHeight="1">
      <c r="A94" s="1">
        <f>HYPERLINK("https://www.toolnut.com/bosch-ddb12-1-2-in-porcelain-diamond-drill-bit.html", "https://www.toolnut.com/bosch-ddb12-1-2-in-porcelain-diamond-drill-bit.html")</f>
        <v/>
      </c>
      <c r="B94" s="1">
        <f>HYPERLINK("https://www.toolnut.com/bosch-ddb12-1-2-in-porcelain-diamond-drill-bit.html", "https://www.toolnut.com/bosch-ddb12-1-2-in-porcelain-diamond-drill-bit.html")</f>
        <v/>
      </c>
      <c r="C94" t="inlineStr">
        <is>
          <t>Bosch DDB12 1/2 in. Porcelain Diamond Drill Bit</t>
        </is>
      </c>
      <c r="D94" t="inlineStr">
        <is>
          <t>Superior Diamond Tools Dry Diamond Drill Bits - 4pcs - 1/4'' (6mm), 5/16'' (8mm), 3/8'' (10mm), 1/2'' (12mm) - Quick Change Hex Shank - Tile Drill Bits - Ceramic Drill Bit - Porcelain Drill Bits</t>
        </is>
      </c>
      <c r="E94" s="1">
        <f>HYPERLINK("https://www.amazon.com/Superior-Diamond-Tools-Drill-Bits/dp/B0BSB9QCYD/ref=sr_1_7?keywords=Bosch+DDB12+1%2F2+in.+Porcelain+Diamond+Drill+Bit&amp;qid=1695346977&amp;sr=8-7", "https://www.amazon.com/Superior-Diamond-Tools-Drill-Bits/dp/B0BSB9QCYD/ref=sr_1_7?keywords=Bosch+DDB12+1%2F2+in.+Porcelain+Diamond+Drill+Bit&amp;qid=1695346977&amp;sr=8-7")</f>
        <v/>
      </c>
      <c r="F94" t="inlineStr">
        <is>
          <t>B0BSB9QCYD</t>
        </is>
      </c>
      <c r="G94">
        <f>_xlfn.IMAGE("https://www.toolnut.com/media/catalog/product/d/d/ddb12.jpg?quality=100&amp;bg-color=255,255,255&amp;fit=bounds&amp;height=700&amp;width=700&amp;canvas=700:700&amp;dpr=1 1x")</f>
        <v/>
      </c>
      <c r="H94">
        <f>_xlfn.IMAGE("https://m.media-amazon.com/images/I/616Hp4vY0+L._AC_UL320_.jpg")</f>
        <v/>
      </c>
      <c r="K94" t="inlineStr">
        <is>
          <t>14.45</t>
        </is>
      </c>
      <c r="L94" t="n">
        <v>23.9</v>
      </c>
      <c r="M94" s="2" t="inlineStr">
        <is>
          <t>65.40%</t>
        </is>
      </c>
      <c r="N94" t="n">
        <v>4.3</v>
      </c>
      <c r="O94" t="n">
        <v>21</v>
      </c>
      <c r="Q94" t="inlineStr">
        <is>
          <t>OutOfStock</t>
        </is>
      </c>
      <c r="R94" t="inlineStr">
        <is>
          <t>undefined</t>
        </is>
      </c>
      <c r="S94" t="inlineStr">
        <is>
          <t>DDB12</t>
        </is>
      </c>
    </row>
    <row r="95" ht="75" customHeight="1">
      <c r="A95" s="1">
        <f>HYPERLINK("https://www.toolnut.com/bosch-dqce1012-12-daredevil-spade-bit-extension.html", "https://www.toolnut.com/bosch-dqce1012-12-daredevil-spade-bit-extension.html")</f>
        <v/>
      </c>
      <c r="B95" s="1">
        <f>HYPERLINK("https://www.toolnut.com/bosch-dqce1012-12-daredevil-spade-bit-extension.html", "https://www.toolnut.com/bosch-dqce1012-12-daredevil-spade-bit-extension.html")</f>
        <v/>
      </c>
      <c r="C95" t="inlineStr">
        <is>
          <t>Bosch DQCE1012 12 In. Daredevil Spade Bit Extension</t>
        </is>
      </c>
      <c r="D95" t="inlineStr">
        <is>
          <t>BOSCH DQCE1012 Daredevil QC Spade Drill Bit 12 Inch 1/4" Shank Extension</t>
        </is>
      </c>
      <c r="E95" s="1">
        <f>HYPERLINK("https://www.amazon.com/12-Daredevil-Spade-Bit-Extension/dp/B00FQ571VK/ref=sr_1_1?keywords=Bosch+DQCE1012+12+In.+Daredevil+Spade+Bit+Extension&amp;qid=1695346906&amp;sr=8-1", "https://www.amazon.com/12-Daredevil-Spade-Bit-Extension/dp/B00FQ571VK/ref=sr_1_1?keywords=Bosch+DQCE1012+12+In.+Daredevil+Spade+Bit+Extension&amp;qid=1695346906&amp;sr=8-1")</f>
        <v/>
      </c>
      <c r="F95" t="inlineStr">
        <is>
          <t>B00FQ571VK</t>
        </is>
      </c>
      <c r="G95">
        <f>_xlfn.IMAGE("https://www.toolnut.com/media/catalog/product/b/o/bosch-dqce1012-1_1.jpg?quality=100&amp;bg-color=255,255,255&amp;fit=bounds&amp;height=700&amp;width=700&amp;canvas=700:700&amp;dpr=1 1x")</f>
        <v/>
      </c>
      <c r="H95">
        <f>_xlfn.IMAGE("https://m.media-amazon.com/images/I/617LAwDgBKL._AC_UL320_.jpg")</f>
        <v/>
      </c>
      <c r="K95" t="inlineStr">
        <is>
          <t>11.99</t>
        </is>
      </c>
      <c r="L95" t="n">
        <v>20.71</v>
      </c>
      <c r="M95" s="2" t="inlineStr">
        <is>
          <t>72.73%</t>
        </is>
      </c>
      <c r="N95" t="n">
        <v>4.7</v>
      </c>
      <c r="O95" t="n">
        <v>47</v>
      </c>
      <c r="Q95" t="inlineStr">
        <is>
          <t>InStock</t>
        </is>
      </c>
      <c r="R95" t="inlineStr">
        <is>
          <t>undefined</t>
        </is>
      </c>
      <c r="S95" t="inlineStr">
        <is>
          <t>DQCE1012</t>
        </is>
      </c>
    </row>
    <row r="96" ht="75" customHeight="1">
      <c r="A96" s="1">
        <f>HYPERLINK("https://www.toolnut.com/bosch-dqce1012-12-daredevil-spade-bit-extension.html", "https://www.toolnut.com/bosch-dqce1012-12-daredevil-spade-bit-extension.html")</f>
        <v/>
      </c>
      <c r="B96" s="1">
        <f>HYPERLINK("https://www.toolnut.com/bosch-dqce1012-12-daredevil-spade-bit-extension.html", "https://www.toolnut.com/bosch-dqce1012-12-daredevil-spade-bit-extension.html")</f>
        <v/>
      </c>
      <c r="C96" t="inlineStr">
        <is>
          <t>Bosch DQCE1012 12 In. Daredevil Spade Bit Extension</t>
        </is>
      </c>
      <c r="D96" t="inlineStr">
        <is>
          <t>BOSCH DQCE1012 Daredevil QC Spade Drill Bit 12 Inch 1/4" Shank Extension</t>
        </is>
      </c>
      <c r="E96" s="1">
        <f>HYPERLINK("https://www.amazon.com/12-Daredevil-Spade-Bit-Extension/dp/B00FQ571VK/ref=sr_1_1?keywords=Bosch+DQCE1012+12+In.+Daredevil+Spade+Bit+Extension&amp;qid=1695346906&amp;sr=8-1", "https://www.amazon.com/12-Daredevil-Spade-Bit-Extension/dp/B00FQ571VK/ref=sr_1_1?keywords=Bosch+DQCE1012+12+In.+Daredevil+Spade+Bit+Extension&amp;qid=1695346906&amp;sr=8-1")</f>
        <v/>
      </c>
      <c r="F96" t="inlineStr">
        <is>
          <t>B00FQ571VK</t>
        </is>
      </c>
      <c r="G96">
        <f>_xlfn.IMAGE("https://www.toolnut.com/media/catalog/product/b/o/bosch-dqce1012-1_1.jpg?quality=100&amp;bg-color=255,255,255&amp;fit=bounds&amp;height=700&amp;width=700&amp;canvas=700:700&amp;dpr=1 1x")</f>
        <v/>
      </c>
      <c r="H96">
        <f>_xlfn.IMAGE("https://m.media-amazon.com/images/I/617LAwDgBKL._AC_UL320_.jpg")</f>
        <v/>
      </c>
      <c r="K96" t="inlineStr">
        <is>
          <t>11.99</t>
        </is>
      </c>
      <c r="L96" t="n">
        <v>20.71</v>
      </c>
      <c r="M96" s="2" t="inlineStr">
        <is>
          <t>72.73%</t>
        </is>
      </c>
      <c r="N96" t="n">
        <v>4.7</v>
      </c>
      <c r="O96" t="n">
        <v>47</v>
      </c>
      <c r="Q96" t="inlineStr">
        <is>
          <t>InStock</t>
        </is>
      </c>
      <c r="R96" t="inlineStr">
        <is>
          <t>undefined</t>
        </is>
      </c>
      <c r="S96" t="inlineStr">
        <is>
          <t>DQCE1012</t>
        </is>
      </c>
    </row>
    <row r="97" ht="75" customHeight="1">
      <c r="A97" s="1">
        <f>HYPERLINK("https://www.toolnut.com/bosch-hc2093-9-16-x-8-sds-plus-bulldog-rotary-hammer-bit.html", "https://www.toolnut.com/bosch-hc2093-9-16-x-8-sds-plus-bulldog-rotary-hammer-bit.html")</f>
        <v/>
      </c>
      <c r="B97" s="1">
        <f>HYPERLINK("https://www.toolnut.com/bosch-hc2093-9-16-x-8-sds-plus-bulldog-rotary-hammer-bit.html", "https://www.toolnut.com/bosch-hc2093-9-16-x-8-sds-plus-bulldog-rotary-hammer-bit.html")</f>
        <v/>
      </c>
      <c r="C97" t="inlineStr">
        <is>
          <t>Bosch HC2093 9/16 In. x 8 In. SDS-plus Bulldog Rotary Hammer Bit</t>
        </is>
      </c>
      <c r="D97" t="inlineStr">
        <is>
          <t>BOSCH HCFC5015 9/16 In. x 8 In. x 13 In. SDS-max Speed Xtreme Rotary Hammer Bit</t>
        </is>
      </c>
      <c r="E97" s="1">
        <f>HYPERLINK("https://www.amazon.com/BOSCH-16-13-SDS/dp/B07PNS3PBQ/ref=sr_1_6?keywords=Bosch+HC2093+9%2F16+In.+x+8+In.+SDS-plus+Bulldog+Rotary+Hammer+Bit&amp;qid=1695346901&amp;sr=8-6", "https://www.amazon.com/BOSCH-16-13-SDS/dp/B07PNS3PBQ/ref=sr_1_6?keywords=Bosch+HC2093+9%2F16+In.+x+8+In.+SDS-plus+Bulldog+Rotary+Hammer+Bit&amp;qid=1695346901&amp;sr=8-6")</f>
        <v/>
      </c>
      <c r="F97" t="inlineStr">
        <is>
          <t>B07PNS3PBQ</t>
        </is>
      </c>
      <c r="G97">
        <f>_xlfn.IMAGE("https://www.toolnut.com/media/catalog/product/b/o/bosch-hc2093-1_1.jpg?quality=100&amp;bg-color=255,255,255&amp;fit=bounds&amp;height=700&amp;width=700&amp;canvas=700:700&amp;dpr=1 1x")</f>
        <v/>
      </c>
      <c r="H97">
        <f>_xlfn.IMAGE("https://m.media-amazon.com/images/I/71YdN7sqUFL._AC_UL320_.jpg")</f>
        <v/>
      </c>
      <c r="K97" t="inlineStr">
        <is>
          <t>5.49</t>
        </is>
      </c>
      <c r="L97" t="n">
        <v>34.19</v>
      </c>
      <c r="M97" s="2" t="inlineStr">
        <is>
          <t>522.77%</t>
        </is>
      </c>
      <c r="N97" t="n">
        <v>4.6</v>
      </c>
      <c r="O97" t="n">
        <v>96</v>
      </c>
      <c r="Q97" t="inlineStr">
        <is>
          <t>InStock</t>
        </is>
      </c>
      <c r="R97" t="inlineStr">
        <is>
          <t>undefined</t>
        </is>
      </c>
      <c r="S97" t="inlineStr">
        <is>
          <t>HC2093</t>
        </is>
      </c>
    </row>
    <row r="98" ht="75" customHeight="1">
      <c r="A98" s="1">
        <f>HYPERLINK("https://www.toolnut.com/bosch-hc2093-9-16-x-8-sds-plus-bulldog-rotary-hammer-bit.html", "https://www.toolnut.com/bosch-hc2093-9-16-x-8-sds-plus-bulldog-rotary-hammer-bit.html")</f>
        <v/>
      </c>
      <c r="B98" s="1">
        <f>HYPERLINK("https://www.toolnut.com/bosch-hc2093-9-16-x-8-sds-plus-bulldog-rotary-hammer-bit.html", "https://www.toolnut.com/bosch-hc2093-9-16-x-8-sds-plus-bulldog-rotary-hammer-bit.html")</f>
        <v/>
      </c>
      <c r="C98" t="inlineStr">
        <is>
          <t>Bosch HC2093 9/16 In. x 8 In. SDS-plus Bulldog Rotary Hammer Bit</t>
        </is>
      </c>
      <c r="D98" t="inlineStr">
        <is>
          <t>BOSCH HC5015 9/16 In. x 13 In. SDS-max Speed-X Carbide Rotary Hammer Bit for Concrete Drilling</t>
        </is>
      </c>
      <c r="E98" s="1">
        <f>HYPERLINK("https://www.amazon.com/Bosch-HC5015-SDS-max-Speed-X-Rotary/dp/B000VYEQM8/ref=sr_1_7?keywords=Bosch+HC2093+9%2F16+In.+x+8+In.+SDS-plus+Bulldog+Rotary+Hammer+Bit&amp;qid=1695346901&amp;sr=8-7", "https://www.amazon.com/Bosch-HC5015-SDS-max-Speed-X-Rotary/dp/B000VYEQM8/ref=sr_1_7?keywords=Bosch+HC2093+9%2F16+In.+x+8+In.+SDS-plus+Bulldog+Rotary+Hammer+Bit&amp;qid=1695346901&amp;sr=8-7")</f>
        <v/>
      </c>
      <c r="F98" t="inlineStr">
        <is>
          <t>B000VYEQM8</t>
        </is>
      </c>
      <c r="G98">
        <f>_xlfn.IMAGE("https://www.toolnut.com/media/catalog/product/b/o/bosch-hc2093-1_1.jpg?quality=100&amp;bg-color=255,255,255&amp;fit=bounds&amp;height=700&amp;width=700&amp;canvas=700:700&amp;dpr=1 1x")</f>
        <v/>
      </c>
      <c r="H98">
        <f>_xlfn.IMAGE("https://m.media-amazon.com/images/I/71YMVXnDSaL._AC_UL320_.jpg")</f>
        <v/>
      </c>
      <c r="K98" t="inlineStr">
        <is>
          <t>5.49</t>
        </is>
      </c>
      <c r="L98" t="n">
        <v>32.97</v>
      </c>
      <c r="M98" s="2" t="inlineStr">
        <is>
          <t>500.55%</t>
        </is>
      </c>
      <c r="N98" t="n">
        <v>4.7</v>
      </c>
      <c r="O98" t="n">
        <v>1509</v>
      </c>
      <c r="Q98" t="inlineStr">
        <is>
          <t>InStock</t>
        </is>
      </c>
      <c r="R98" t="inlineStr">
        <is>
          <t>undefined</t>
        </is>
      </c>
      <c r="S98" t="inlineStr">
        <is>
          <t>HC2093</t>
        </is>
      </c>
    </row>
    <row r="99" ht="75" customHeight="1">
      <c r="A99" s="1">
        <f>HYPERLINK("https://www.toolnut.com/bosch-hc2093-9-16-x-8-sds-plus-bulldog-rotary-hammer-bit.html", "https://www.toolnut.com/bosch-hc2093-9-16-x-8-sds-plus-bulldog-rotary-hammer-bit.html")</f>
        <v/>
      </c>
      <c r="B99" s="1">
        <f>HYPERLINK("https://www.toolnut.com/bosch-hc2093-9-16-x-8-sds-plus-bulldog-rotary-hammer-bit.html", "https://www.toolnut.com/bosch-hc2093-9-16-x-8-sds-plus-bulldog-rotary-hammer-bit.html")</f>
        <v/>
      </c>
      <c r="C99" t="inlineStr">
        <is>
          <t>Bosch HC2093 9/16 In. x 8 In. SDS-plus Bulldog Rotary Hammer Bit</t>
        </is>
      </c>
      <c r="D99" t="inlineStr">
        <is>
          <t>Bosch HCFC2067 3/8 In. x 18 In. SDS-plus Bulldog Xtreme Rotary Hammer Bit</t>
        </is>
      </c>
      <c r="E99" s="1">
        <f>HYPERLINK("https://www.amazon.com/Bosch-HCFC2067-SDS-plus-Bulldog-Xtreme/dp/B001NGPAF0/ref=sr_1_4?keywords=Bosch+HC2093+9%2F16+In.+x+8+In.+SDS-plus+Bulldog+Rotary+Hammer+Bit&amp;qid=1695346901&amp;sr=8-4", "https://www.amazon.com/Bosch-HCFC2067-SDS-plus-Bulldog-Xtreme/dp/B001NGPAF0/ref=sr_1_4?keywords=Bosch+HC2093+9%2F16+In.+x+8+In.+SDS-plus+Bulldog+Rotary+Hammer+Bit&amp;qid=1695346901&amp;sr=8-4")</f>
        <v/>
      </c>
      <c r="F99" t="inlineStr">
        <is>
          <t>B001NGPAF0</t>
        </is>
      </c>
      <c r="G99">
        <f>_xlfn.IMAGE("https://www.toolnut.com/media/catalog/product/b/o/bosch-hc2093-1_1.jpg?quality=100&amp;bg-color=255,255,255&amp;fit=bounds&amp;height=700&amp;width=700&amp;canvas=700:700&amp;dpr=1 1x")</f>
        <v/>
      </c>
      <c r="H99">
        <f>_xlfn.IMAGE("https://m.media-amazon.com/images/I/6106XKtaNYL._AC_UL320_.jpg")</f>
        <v/>
      </c>
      <c r="K99" t="inlineStr">
        <is>
          <t>5.49</t>
        </is>
      </c>
      <c r="L99" t="n">
        <v>16.49</v>
      </c>
      <c r="M99" s="2" t="inlineStr">
        <is>
          <t>200.36%</t>
        </is>
      </c>
      <c r="N99" t="n">
        <v>4.3</v>
      </c>
      <c r="O99" t="n">
        <v>147</v>
      </c>
      <c r="Q99" t="inlineStr">
        <is>
          <t>InStock</t>
        </is>
      </c>
      <c r="R99" t="inlineStr">
        <is>
          <t>undefined</t>
        </is>
      </c>
      <c r="S99" t="inlineStr">
        <is>
          <t>HC2093</t>
        </is>
      </c>
    </row>
    <row r="100" ht="75" customHeight="1">
      <c r="A100" s="1">
        <f>HYPERLINK("https://www.toolnut.com/bosch-hs1922-4-1-2-x-17-clay-spade-sds-max-hammer-steel.html", "https://www.toolnut.com/bosch-hs1922-4-1-2-x-17-clay-spade-sds-max-hammer-steel.html")</f>
        <v/>
      </c>
      <c r="B100" s="1">
        <f>HYPERLINK("https://www.toolnut.com/bosch-hs1922-4-1-2-x-17-clay-spade-sds-max-hammer-steel.html", "https://www.toolnut.com/bosch-hs1922-4-1-2-x-17-clay-spade-sds-max-hammer-steel.html")</f>
        <v/>
      </c>
      <c r="C100" t="inlineStr">
        <is>
          <t>Bosch HS1922 4-1/2 In. x 17 In. Clay Spade SDS-max Hammer Steel</t>
        </is>
      </c>
      <c r="D100" t="inlineStr">
        <is>
          <t>Bosch RH850VC 120-Volt 1-7/8" SDS-max Rotary Hammer with BOSCH HS1922 4-1/2" x 17" Clay Spade SDS-Max shank</t>
        </is>
      </c>
      <c r="E100" s="1">
        <f>HYPERLINK("https://www.amazon.com/RH850VC-120-Volt-SDS-max-BOSCH-SDS-Max/dp/B098WC99HZ/ref=sr_1_3?keywords=Bosch+HS1922+4-1%2F2+In.+x+17+In.+Clay+Spade+SDS-max+Hammer+Steel&amp;qid=1695346903&amp;sr=8-3", "https://www.amazon.com/RH850VC-120-Volt-SDS-max-BOSCH-SDS-Max/dp/B098WC99HZ/ref=sr_1_3?keywords=Bosch+HS1922+4-1%2F2+In.+x+17+In.+Clay+Spade+SDS-max+Hammer+Steel&amp;qid=1695346903&amp;sr=8-3")</f>
        <v/>
      </c>
      <c r="F100" t="inlineStr">
        <is>
          <t>B098WC99HZ</t>
        </is>
      </c>
      <c r="G100">
        <f>_xlfn.IMAGE("https://www.toolnut.com/media/catalog/product/b/o/bosch-hs1922-1_1.jpg?quality=100&amp;bg-color=255,255,255&amp;fit=bounds&amp;height=700&amp;width=700&amp;canvas=700:700&amp;dpr=1 1x")</f>
        <v/>
      </c>
      <c r="H100">
        <f>_xlfn.IMAGE("https://m.media-amazon.com/images/I/4108qqwnfxS._AC_UL320_.jpg")</f>
        <v/>
      </c>
      <c r="K100" t="inlineStr">
        <is>
          <t>52.99</t>
        </is>
      </c>
      <c r="L100" t="n">
        <v>976.97</v>
      </c>
      <c r="M100" s="2" t="inlineStr">
        <is>
          <t>1743.69%</t>
        </is>
      </c>
      <c r="N100" t="n">
        <v>4.7</v>
      </c>
      <c r="O100" t="n">
        <v>87</v>
      </c>
      <c r="Q100" t="inlineStr">
        <is>
          <t>OutOfStock</t>
        </is>
      </c>
      <c r="R100" t="inlineStr">
        <is>
          <t>undefined</t>
        </is>
      </c>
      <c r="S100" t="inlineStr">
        <is>
          <t>HS1922</t>
        </is>
      </c>
    </row>
    <row r="101" ht="75" customHeight="1">
      <c r="A101" s="1">
        <f>HYPERLINK("https://www.toolnut.com/bosch-hs1922-4-1-2-x-17-clay-spade-sds-max-hammer-steel.html", "https://www.toolnut.com/bosch-hs1922-4-1-2-x-17-clay-spade-sds-max-hammer-steel.html")</f>
        <v/>
      </c>
      <c r="B101" s="1">
        <f>HYPERLINK("https://www.toolnut.com/bosch-hs1922-4-1-2-x-17-clay-spade-sds-max-hammer-steel.html", "https://www.toolnut.com/bosch-hs1922-4-1-2-x-17-clay-spade-sds-max-hammer-steel.html")</f>
        <v/>
      </c>
      <c r="C101" t="inlineStr">
        <is>
          <t>Bosch HS1922 4-1/2 In. x 17 In. Clay Spade SDS-max Hammer Steel</t>
        </is>
      </c>
      <c r="D101" t="inlineStr">
        <is>
          <t>BOSCH 11321EVS Demolition Hammer - 13 Amp 1-9/16 in. Corded Variable Speed SDS-Max Concrete Demolition Hammer with Carrying Case &amp; HS1922 4-1/2" x 17" Clay Spade SDS-Max shank</t>
        </is>
      </c>
      <c r="E101" s="1">
        <f>HYPERLINK("https://www.amazon.com/BOSCH-11321EVS-Demolition-Hammer-Variable/dp/B095RBXB2H/ref=sr_1_5?keywords=Bosch+HS1922+4-1%2F2+In.+x+17+In.+Clay+Spade+SDS-max+Hammer+Steel&amp;qid=1695346903&amp;sr=8-5", "https://www.amazon.com/BOSCH-11321EVS-Demolition-Hammer-Variable/dp/B095RBXB2H/ref=sr_1_5?keywords=Bosch+HS1922+4-1%2F2+In.+x+17+In.+Clay+Spade+SDS-max+Hammer+Steel&amp;qid=1695346903&amp;sr=8-5")</f>
        <v/>
      </c>
      <c r="F101" t="inlineStr">
        <is>
          <t>B095RBXB2H</t>
        </is>
      </c>
      <c r="G101">
        <f>_xlfn.IMAGE("https://www.toolnut.com/media/catalog/product/b/o/bosch-hs1922-1_1.jpg?quality=100&amp;bg-color=255,255,255&amp;fit=bounds&amp;height=700&amp;width=700&amp;canvas=700:700&amp;dpr=1 1x")</f>
        <v/>
      </c>
      <c r="H101">
        <f>_xlfn.IMAGE("https://m.media-amazon.com/images/I/41jd4QyGdvS._AC_UL320_.jpg")</f>
        <v/>
      </c>
      <c r="K101" t="inlineStr">
        <is>
          <t>52.99</t>
        </is>
      </c>
      <c r="L101" t="n">
        <v>648.86</v>
      </c>
      <c r="M101" s="2" t="inlineStr">
        <is>
          <t>1124.50%</t>
        </is>
      </c>
      <c r="N101" t="n">
        <v>4.7</v>
      </c>
      <c r="O101" t="n">
        <v>239</v>
      </c>
      <c r="Q101" t="inlineStr">
        <is>
          <t>OutOfStock</t>
        </is>
      </c>
      <c r="R101" t="inlineStr">
        <is>
          <t>undefined</t>
        </is>
      </c>
      <c r="S101" t="inlineStr">
        <is>
          <t>HS1922</t>
        </is>
      </c>
    </row>
    <row r="102" ht="75" customHeight="1">
      <c r="A102" s="1">
        <f>HYPERLINK("https://www.toolnut.com/bosch-hs1922-4-1-2-x-17-clay-spade-sds-max-hammer-steel.html", "https://www.toolnut.com/bosch-hs1922-4-1-2-x-17-clay-spade-sds-max-hammer-steel.html")</f>
        <v/>
      </c>
      <c r="B102" s="1">
        <f>HYPERLINK("https://www.toolnut.com/bosch-hs1922-4-1-2-x-17-clay-spade-sds-max-hammer-steel.html", "https://www.toolnut.com/bosch-hs1922-4-1-2-x-17-clay-spade-sds-max-hammer-steel.html")</f>
        <v/>
      </c>
      <c r="C102" t="inlineStr">
        <is>
          <t>Bosch HS1922 4-1/2 In. x 17 In. Clay Spade SDS-max Hammer Steel</t>
        </is>
      </c>
      <c r="D102" t="inlineStr">
        <is>
          <t>Bosch 11316EVS SDS-Max Demolition Hammer &amp; HS1922 4-1/2" x 17" Clay Spade SDS-Max shank</t>
        </is>
      </c>
      <c r="E102" s="1">
        <f>HYPERLINK("https://www.amazon.com/11316EVS-SDS-Max-Demolition-Hammer-HS1922/dp/B093PZN7DX/ref=sr_1_4?keywords=Bosch+HS1922+4-1%2F2+In.+x+17+In.+Clay+Spade+SDS-max+Hammer+Steel&amp;qid=1695346903&amp;sr=8-4", "https://www.amazon.com/11316EVS-SDS-Max-Demolition-Hammer-HS1922/dp/B093PZN7DX/ref=sr_1_4?keywords=Bosch+HS1922+4-1%2F2+In.+x+17+In.+Clay+Spade+SDS-max+Hammer+Steel&amp;qid=1695346903&amp;sr=8-4")</f>
        <v/>
      </c>
      <c r="F102" t="inlineStr">
        <is>
          <t>B093PZN7DX</t>
        </is>
      </c>
      <c r="G102">
        <f>_xlfn.IMAGE("https://www.toolnut.com/media/catalog/product/b/o/bosch-hs1922-1_1.jpg?quality=100&amp;bg-color=255,255,255&amp;fit=bounds&amp;height=700&amp;width=700&amp;canvas=700:700&amp;dpr=1 1x")</f>
        <v/>
      </c>
      <c r="H102">
        <f>_xlfn.IMAGE("https://m.media-amazon.com/images/I/41cSJcSWfBS._AC_UL320_.jpg")</f>
        <v/>
      </c>
      <c r="K102" t="inlineStr">
        <is>
          <t>52.99</t>
        </is>
      </c>
      <c r="L102" t="n">
        <v>628.34</v>
      </c>
      <c r="M102" s="2" t="inlineStr">
        <is>
          <t>1085.77%</t>
        </is>
      </c>
      <c r="N102" t="n">
        <v>4.8</v>
      </c>
      <c r="O102" t="n">
        <v>208</v>
      </c>
      <c r="Q102" t="inlineStr">
        <is>
          <t>OutOfStock</t>
        </is>
      </c>
      <c r="R102" t="inlineStr">
        <is>
          <t>undefined</t>
        </is>
      </c>
      <c r="S102" t="inlineStr">
        <is>
          <t>HS1922</t>
        </is>
      </c>
    </row>
    <row r="103" ht="75" customHeight="1">
      <c r="A103" s="1">
        <f>HYPERLINK("https://www.toolnut.com/bosch-hs1922-4-1-2-x-17-clay-spade-sds-max-hammer-steel.html", "https://www.toolnut.com/bosch-hs1922-4-1-2-x-17-clay-spade-sds-max-hammer-steel.html")</f>
        <v/>
      </c>
      <c r="B103" s="1">
        <f>HYPERLINK("https://www.toolnut.com/bosch-hs1922-4-1-2-x-17-clay-spade-sds-max-hammer-steel.html", "https://www.toolnut.com/bosch-hs1922-4-1-2-x-17-clay-spade-sds-max-hammer-steel.html")</f>
        <v/>
      </c>
      <c r="C103" t="inlineStr">
        <is>
          <t>Bosch HS1922 4-1/2 In. x 17 In. Clay Spade SDS-max Hammer Steel</t>
        </is>
      </c>
      <c r="D103" t="inlineStr">
        <is>
          <t>Bosch 11264EVS 1-5/8 SDS-Max Combination Hammer &amp; HS1922 4-1/2" x 17" Clay Spade SDS-Max shank</t>
        </is>
      </c>
      <c r="E103" s="1">
        <f>HYPERLINK("https://www.amazon.com/11264EVS-SDS-Max-Combination-Hammer-HS1922/dp/B08MG3PSTG/ref=sr_1_2?keywords=Bosch+HS1922+4-1%2F2+In.+x+17+In.+Clay+Spade+SDS-max+Hammer+Steel&amp;qid=1695346903&amp;sr=8-2", "https://www.amazon.com/11264EVS-SDS-Max-Combination-Hammer-HS1922/dp/B08MG3PSTG/ref=sr_1_2?keywords=Bosch+HS1922+4-1%2F2+In.+x+17+In.+Clay+Spade+SDS-max+Hammer+Steel&amp;qid=1695346903&amp;sr=8-2")</f>
        <v/>
      </c>
      <c r="F103" t="inlineStr">
        <is>
          <t>B08MG3PSTG</t>
        </is>
      </c>
      <c r="G103">
        <f>_xlfn.IMAGE("https://www.toolnut.com/media/catalog/product/b/o/bosch-hs1922-1_1.jpg?quality=100&amp;bg-color=255,255,255&amp;fit=bounds&amp;height=700&amp;width=700&amp;canvas=700:700&amp;dpr=1 1x")</f>
        <v/>
      </c>
      <c r="H103">
        <f>_xlfn.IMAGE("https://m.media-amazon.com/images/I/51ksLmnJdYL._AC_UL320_.jpg")</f>
        <v/>
      </c>
      <c r="K103" t="inlineStr">
        <is>
          <t>52.99</t>
        </is>
      </c>
      <c r="L103" t="n">
        <v>551.5700000000001</v>
      </c>
      <c r="M103" s="2" t="inlineStr">
        <is>
          <t>940.89%</t>
        </is>
      </c>
      <c r="N103" t="n">
        <v>4.7</v>
      </c>
      <c r="O103" t="n">
        <v>274</v>
      </c>
      <c r="Q103" t="inlineStr">
        <is>
          <t>OutOfStock</t>
        </is>
      </c>
      <c r="R103" t="inlineStr">
        <is>
          <t>undefined</t>
        </is>
      </c>
      <c r="S103" t="inlineStr">
        <is>
          <t>HS1922</t>
        </is>
      </c>
    </row>
    <row r="104" ht="75" customHeight="1">
      <c r="A104" s="1">
        <f>HYPERLINK("https://www.toolnut.com/bosch-itdt25202-2-piece-driven-2-in-impact-torx-25-power-bits.html", "https://www.toolnut.com/bosch-itdt25202-2-piece-driven-2-in-impact-torx-25-power-bits.html")</f>
        <v/>
      </c>
      <c r="B104" s="1">
        <f>HYPERLINK("https://www.toolnut.com/bosch-itdt25202-2-piece-driven-2-in-impact-torx-25-power-bits.html", "https://www.toolnut.com/bosch-itdt25202-2-piece-driven-2-in-impact-torx-25-power-bits.html")</f>
        <v/>
      </c>
      <c r="C104" t="inlineStr">
        <is>
          <t>Bosch ITDT25202 2-Piece Driven 2-in. Impact Torx #25 Power Bits</t>
        </is>
      </c>
      <c r="D104" t="inlineStr">
        <is>
          <t>50 Pieces T25 2 In. Impact Tough Magnetic #25 Torx Head Power Bits, S2 Alloy Steel T25 Screwdriver Bits Set with 1Pcs Impact Bit Holder</t>
        </is>
      </c>
      <c r="E104" s="1">
        <f>HYPERLINK("https://www.amazon.com/GEINXURN-Pieces-Impact-Magnetic-Screwdriver/dp/B0C1GWMNCT/ref=sr_1_2?keywords=Bosch+ITDT25202+2-Piece+Driven+2-in.+Impact+Torx+%2325+Power+Bits&amp;qid=1695346927&amp;sr=8-2", "https://www.amazon.com/GEINXURN-Pieces-Impact-Magnetic-Screwdriver/dp/B0C1GWMNCT/ref=sr_1_2?keywords=Bosch+ITDT25202+2-Piece+Driven+2-in.+Impact+Torx+%2325+Power+Bits&amp;qid=1695346927&amp;sr=8-2")</f>
        <v/>
      </c>
      <c r="F104" t="inlineStr">
        <is>
          <t>B0C1GWMNCT</t>
        </is>
      </c>
      <c r="G104">
        <f>_xlfn.IMAGE("https://www.toolnut.com/media/catalog/product/i/t/itdt25202.jpg?quality=100&amp;bg-color=255,255,255&amp;fit=bounds&amp;height=700&amp;width=700&amp;canvas=700:700&amp;dpr=1 1x")</f>
        <v/>
      </c>
      <c r="H104">
        <f>_xlfn.IMAGE("https://m.media-amazon.com/images/I/916ylXOwDLL._AC_UL320_.jpg")</f>
        <v/>
      </c>
      <c r="K104" t="inlineStr">
        <is>
          <t>2.99</t>
        </is>
      </c>
      <c r="L104" t="n">
        <v>20.99</v>
      </c>
      <c r="M104" s="2" t="inlineStr">
        <is>
          <t>602.01%</t>
        </is>
      </c>
      <c r="N104" t="n">
        <v>4.5</v>
      </c>
      <c r="O104" t="n">
        <v>64</v>
      </c>
      <c r="Q104" t="inlineStr">
        <is>
          <t>OutOfStock</t>
        </is>
      </c>
      <c r="R104" t="inlineStr">
        <is>
          <t>undefined</t>
        </is>
      </c>
      <c r="S104" t="inlineStr">
        <is>
          <t>ITDT25202</t>
        </is>
      </c>
    </row>
    <row r="105" ht="75" customHeight="1">
      <c r="A105" s="1">
        <f>HYPERLINK("https://www.toolnut.com/bosch-itdt30202-2-piece-driven-2-in-impact-torx-30-power-bits.html", "https://www.toolnut.com/bosch-itdt30202-2-piece-driven-2-in-impact-torx-30-power-bits.html")</f>
        <v/>
      </c>
      <c r="B105" s="1">
        <f>HYPERLINK("https://www.toolnut.com/bosch-itdt30202-2-piece-driven-2-in-impact-torx-30-power-bits.html", "https://www.toolnut.com/bosch-itdt30202-2-piece-driven-2-in-impact-torx-30-power-bits.html")</f>
        <v/>
      </c>
      <c r="C105" t="inlineStr">
        <is>
          <t>Bosch ITDT30202 2-Piece Driven 2-in. Impact Torx #30 Power Bits</t>
        </is>
      </c>
      <c r="D105" t="inlineStr">
        <is>
          <t>t30 torx bits for impact driver,SuSuMu 20 Pieces T30 2 In. Impact Tough Magnetic #30 Torx Head Power Bits, S2 Alloy Steel T30 Screwdriver Bits Set</t>
        </is>
      </c>
      <c r="E105" s="1">
        <f>HYPERLINK("https://www.amazon.com/impact-driver-SuSuMu-Magnetic-Screwdriver/dp/B0C8HQK8RV/ref=sr_1_3?keywords=Bosch+ITDT30202+2-Piece+Driven+2-in.+Impact+Torx+%2330+Power+Bits&amp;qid=1695346912&amp;sr=8-3", "https://www.amazon.com/impact-driver-SuSuMu-Magnetic-Screwdriver/dp/B0C8HQK8RV/ref=sr_1_3?keywords=Bosch+ITDT30202+2-Piece+Driven+2-in.+Impact+Torx+%2330+Power+Bits&amp;qid=1695346912&amp;sr=8-3")</f>
        <v/>
      </c>
      <c r="F105" t="inlineStr">
        <is>
          <t>B0C8HQK8RV</t>
        </is>
      </c>
      <c r="G105">
        <f>_xlfn.IMAGE("https://www.toolnut.com/media/catalog/product/i/t/itdt30202.jpg?quality=100&amp;bg-color=255,255,255&amp;fit=bounds&amp;height=700&amp;width=700&amp;canvas=700:700&amp;dpr=1 1x")</f>
        <v/>
      </c>
      <c r="H105">
        <f>_xlfn.IMAGE("https://m.media-amazon.com/images/I/71nwJBruOGL._AC_UL320_.jpg")</f>
        <v/>
      </c>
      <c r="K105" t="inlineStr">
        <is>
          <t>2.99</t>
        </is>
      </c>
      <c r="L105" t="n">
        <v>21.73</v>
      </c>
      <c r="M105" s="2" t="inlineStr">
        <is>
          <t>626.76%</t>
        </is>
      </c>
      <c r="N105" t="n">
        <v>4.5</v>
      </c>
      <c r="O105" t="n">
        <v>9</v>
      </c>
      <c r="Q105" t="inlineStr">
        <is>
          <t>OutOfStock</t>
        </is>
      </c>
      <c r="R105" t="inlineStr">
        <is>
          <t>undefined</t>
        </is>
      </c>
      <c r="S105" t="inlineStr">
        <is>
          <t>ITDT30202</t>
        </is>
      </c>
    </row>
    <row r="106" ht="75" customHeight="1">
      <c r="A106" s="1">
        <f>HYPERLINK("https://www.toolnut.com/bosch-itdt40202-2-piece-driven-2-in-impact-torx-40-power-bits.html", "https://www.toolnut.com/bosch-itdt40202-2-piece-driven-2-in-impact-torx-40-power-bits.html")</f>
        <v/>
      </c>
      <c r="B106" s="1">
        <f>HYPERLINK("https://www.toolnut.com/bosch-itdt40202-2-piece-driven-2-in-impact-torx-40-power-bits.html", "https://www.toolnut.com/bosch-itdt40202-2-piece-driven-2-in-impact-torx-40-power-bits.html")</f>
        <v/>
      </c>
      <c r="C106" t="inlineStr">
        <is>
          <t>Bosch ITDT40202 2-Piece Driven 2-in. Impact Torx #40 Power Bits</t>
        </is>
      </c>
      <c r="D106" t="inlineStr">
        <is>
          <t>t40 torx bits for impact driver,SuSuMu 20 Pieces T40 2 In. Impact Tough Magnetic #40 Torx Head Power Bits, S2 Alloy Steel T40 Screwdriver Bits Set</t>
        </is>
      </c>
      <c r="E106" s="1">
        <f>HYPERLINK("https://www.amazon.com/impact-driver-SuSuMu-Magnetic-Screwdriver/dp/B0C8HM1S1V/ref=sr_1_7?keywords=Bosch+ITDT40202+2-Piece+Driven+2-in.+Impact+Torx&amp;qid=1695346909&amp;sr=8-7", "https://www.amazon.com/impact-driver-SuSuMu-Magnetic-Screwdriver/dp/B0C8HM1S1V/ref=sr_1_7?keywords=Bosch+ITDT40202+2-Piece+Driven+2-in.+Impact+Torx&amp;qid=1695346909&amp;sr=8-7")</f>
        <v/>
      </c>
      <c r="F106" t="inlineStr">
        <is>
          <t>B0C8HM1S1V</t>
        </is>
      </c>
      <c r="G106">
        <f>_xlfn.IMAGE("https://www.toolnut.com/media/catalog/product/i/t/itdt40202.jpg?quality=100&amp;bg-color=255,255,255&amp;fit=bounds&amp;height=700&amp;width=700&amp;canvas=700:700&amp;dpr=1 1x")</f>
        <v/>
      </c>
      <c r="H106">
        <f>_xlfn.IMAGE("https://m.media-amazon.com/images/I/71Oevf5eoLL._AC_UL320_.jpg")</f>
        <v/>
      </c>
      <c r="K106" t="inlineStr">
        <is>
          <t>2.99</t>
        </is>
      </c>
      <c r="L106" t="n">
        <v>22.37</v>
      </c>
      <c r="M106" s="2" t="inlineStr">
        <is>
          <t>648.16%</t>
        </is>
      </c>
      <c r="N106" t="n">
        <v>4.5</v>
      </c>
      <c r="O106" t="n">
        <v>9</v>
      </c>
      <c r="Q106" t="inlineStr">
        <is>
          <t>OutOfStock</t>
        </is>
      </c>
      <c r="R106" t="inlineStr">
        <is>
          <t>undefined</t>
        </is>
      </c>
      <c r="S106" t="inlineStr">
        <is>
          <t>ITDT40202</t>
        </is>
      </c>
    </row>
    <row r="107" ht="75" customHeight="1">
      <c r="A107" s="1">
        <f>HYPERLINK("https://www.toolnut.com/bosch-ms4091-91-piece-drilling-driving-mixed-bit-set.html", "https://www.toolnut.com/bosch-ms4091-91-piece-drilling-driving-mixed-bit-set.html")</f>
        <v/>
      </c>
      <c r="B107" s="1">
        <f>HYPERLINK("https://www.toolnut.com/bosch-ms4091-91-piece-drilling-driving-mixed-bit-set.html", "https://www.toolnut.com/bosch-ms4091-91-piece-drilling-driving-mixed-bit-set.html")</f>
        <v/>
      </c>
      <c r="C107" t="inlineStr">
        <is>
          <t>Bosch MS4091 91-Piece Drilling &amp; Driving Mixed Bit Set</t>
        </is>
      </c>
      <c r="D107" t="inlineStr">
        <is>
          <t>Bosch GSR12V-140FCB22 Cordless Electric Screwdriver 12V Kit - 5-In-1 Multi-Head Power Drill Set and 91-Piece Drilling and Driving Mixed Set MS4091</t>
        </is>
      </c>
      <c r="E107" s="1">
        <f>HYPERLINK("https://www.amazon.com/Bosch-GSR12V-140FCB22-Cordless-Electric-Screwdriver/dp/B08VPWSKYN/ref=sr_1_1?keywords=Bosch+MS4091+91-Piece+Drilling&amp;qid=1695346980&amp;sr=8-1", "https://www.amazon.com/Bosch-GSR12V-140FCB22-Cordless-Electric-Screwdriver/dp/B08VPWSKYN/ref=sr_1_1?keywords=Bosch+MS4091+91-Piece+Drilling&amp;qid=1695346980&amp;sr=8-1")</f>
        <v/>
      </c>
      <c r="F107" t="inlineStr">
        <is>
          <t>B08VPWSKYN</t>
        </is>
      </c>
      <c r="G107">
        <f>_xlfn.IMAGE("https://www.toolnut.com/media/catalog/product/m/s/ms4091.jpg?quality=100&amp;bg-color=255,255,255&amp;fit=bounds&amp;height=700&amp;width=700&amp;canvas=700:700&amp;dpr=1 1x")</f>
        <v/>
      </c>
      <c r="H107">
        <f>_xlfn.IMAGE("https://m.media-amazon.com/images/I/61Q3XCcyeLL._AC_UL320_.jpg")</f>
        <v/>
      </c>
      <c r="K107" t="inlineStr">
        <is>
          <t>42.99</t>
        </is>
      </c>
      <c r="L107" t="n">
        <v>174.99</v>
      </c>
      <c r="M107" s="2" t="inlineStr">
        <is>
          <t>307.05%</t>
        </is>
      </c>
      <c r="N107" t="n">
        <v>4.8</v>
      </c>
      <c r="O107" t="n">
        <v>1476</v>
      </c>
      <c r="Q107" t="inlineStr">
        <is>
          <t>InStock</t>
        </is>
      </c>
      <c r="R107" t="inlineStr">
        <is>
          <t>undefined</t>
        </is>
      </c>
      <c r="S107" t="inlineStr">
        <is>
          <t>MS4091</t>
        </is>
      </c>
    </row>
    <row r="108" ht="75" customHeight="1">
      <c r="A108" s="1">
        <f>HYPERLINK("https://www.toolnut.com/bosch-nkmt12-3-4-x-13-daredevil-auger-bits.html", "https://www.toolnut.com/bosch-nkmt12-3-4-x-13-daredevil-auger-bits.html")</f>
        <v/>
      </c>
      <c r="B108" s="1">
        <f>HYPERLINK("https://www.toolnut.com/bosch-nkmt12-3-4-x-13-daredevil-auger-bits.html", "https://www.toolnut.com/bosch-nkmt12-3-4-x-13-daredevil-auger-bits.html")</f>
        <v/>
      </c>
      <c r="C108" t="inlineStr">
        <is>
          <t>Bosch NKMT12 3/4 In. x 13 In. Daredevil Auger Bits</t>
        </is>
      </c>
      <c r="D108" t="inlineStr">
        <is>
          <t>BOSCH NKLT12 3/4 In. x 17-1/2 In. Daredevil Auger Bits</t>
        </is>
      </c>
      <c r="E108" s="1">
        <f>HYPERLINK("https://www.amazon.com/Bosch-NKLT12-17-1-Daredevil-Auger/dp/B003BIFMVK/ref=sr_1_2?keywords=Bosch+NKMT12+3%2F4+In.+x+13+In.+Daredevil+Auger+Bits&amp;qid=1695346899&amp;sr=8-2", "https://www.amazon.com/Bosch-NKLT12-17-1-Daredevil-Auger/dp/B003BIFMVK/ref=sr_1_2?keywords=Bosch+NKMT12+3%2F4+In.+x+13+In.+Daredevil+Auger+Bits&amp;qid=1695346899&amp;sr=8-2")</f>
        <v/>
      </c>
      <c r="F108" t="inlineStr">
        <is>
          <t>B003BIFMVK</t>
        </is>
      </c>
      <c r="G108">
        <f>_xlfn.IMAGE("https://www.toolnut.com/media/catalog/product/b/o/bosch-nkmt12-1_1.jpg?quality=100&amp;bg-color=255,255,255&amp;fit=bounds&amp;height=700&amp;width=700&amp;canvas=700:700&amp;dpr=1 1x")</f>
        <v/>
      </c>
      <c r="H108">
        <f>_xlfn.IMAGE("https://m.media-amazon.com/images/I/61ovWbm4PHL._AC_UL320_.jpg")</f>
        <v/>
      </c>
      <c r="K108" t="inlineStr">
        <is>
          <t>15.24</t>
        </is>
      </c>
      <c r="L108" t="n">
        <v>30</v>
      </c>
      <c r="M108" s="2" t="inlineStr">
        <is>
          <t>96.85%</t>
        </is>
      </c>
      <c r="N108" t="n">
        <v>4.4</v>
      </c>
      <c r="O108" t="n">
        <v>161</v>
      </c>
      <c r="Q108" t="inlineStr">
        <is>
          <t>InStock</t>
        </is>
      </c>
      <c r="R108" t="inlineStr">
        <is>
          <t>undefined</t>
        </is>
      </c>
      <c r="S108" t="inlineStr">
        <is>
          <t>NKMT12</t>
        </is>
      </c>
    </row>
    <row r="109" ht="75" customHeight="1">
      <c r="A109" s="1">
        <f>HYPERLINK("https://www.toolnut.com/bosch-nkmt12-3-4-x-13-daredevil-auger-bits.html", "https://www.toolnut.com/bosch-nkmt12-3-4-x-13-daredevil-auger-bits.html")</f>
        <v/>
      </c>
      <c r="B109" s="1">
        <f>HYPERLINK("https://www.toolnut.com/bosch-nkmt12-3-4-x-13-daredevil-auger-bits.html", "https://www.toolnut.com/bosch-nkmt12-3-4-x-13-daredevil-auger-bits.html")</f>
        <v/>
      </c>
      <c r="C109" t="inlineStr">
        <is>
          <t>Bosch NKMT12 3/4 In. x 13 In. Daredevil Auger Bits</t>
        </is>
      </c>
      <c r="D109" t="inlineStr">
        <is>
          <t>BOSCH NKLT12 3/4 In. x 17-1/2 In. Daredevil Auger Bits</t>
        </is>
      </c>
      <c r="E109" s="1">
        <f>HYPERLINK("https://www.amazon.com/Bosch-NKLT12-17-1-Daredevil-Auger/dp/B003BIFMVK/ref=sr_1_2?keywords=Bosch+NKMT12+3%2F4+In.+x+13+In.+Daredevil+Auger+Bits&amp;qid=1695346899&amp;sr=8-2", "https://www.amazon.com/Bosch-NKLT12-17-1-Daredevil-Auger/dp/B003BIFMVK/ref=sr_1_2?keywords=Bosch+NKMT12+3%2F4+In.+x+13+In.+Daredevil+Auger+Bits&amp;qid=1695346899&amp;sr=8-2")</f>
        <v/>
      </c>
      <c r="F109" t="inlineStr">
        <is>
          <t>B003BIFMVK</t>
        </is>
      </c>
      <c r="G109">
        <f>_xlfn.IMAGE("https://www.toolnut.com/media/catalog/product/b/o/bosch-nkmt12-1_1.jpg?quality=100&amp;bg-color=255,255,255&amp;fit=bounds&amp;height=700&amp;width=700&amp;canvas=700:700&amp;dpr=1 1x")</f>
        <v/>
      </c>
      <c r="H109">
        <f>_xlfn.IMAGE("https://m.media-amazon.com/images/I/61ovWbm4PHL._AC_UL320_.jpg")</f>
        <v/>
      </c>
      <c r="K109" t="inlineStr">
        <is>
          <t>15.24</t>
        </is>
      </c>
      <c r="L109" t="n">
        <v>30</v>
      </c>
      <c r="M109" s="2" t="inlineStr">
        <is>
          <t>96.85%</t>
        </is>
      </c>
      <c r="N109" t="n">
        <v>4.4</v>
      </c>
      <c r="O109" t="n">
        <v>161</v>
      </c>
      <c r="Q109" t="inlineStr">
        <is>
          <t>InStock</t>
        </is>
      </c>
      <c r="R109" t="inlineStr">
        <is>
          <t>undefined</t>
        </is>
      </c>
      <c r="S109" t="inlineStr">
        <is>
          <t>NKMT12</t>
        </is>
      </c>
    </row>
    <row r="110" ht="75" customHeight="1">
      <c r="A110" s="1">
        <f>HYPERLINK("https://www.toolnut.com/bosch-nkmt14-7-8-x-13-daredevil-auger-bits.html", "https://www.toolnut.com/bosch-nkmt14-7-8-x-13-daredevil-auger-bits.html")</f>
        <v/>
      </c>
      <c r="B110" s="1">
        <f>HYPERLINK("https://www.toolnut.com/bosch-nkmt14-7-8-x-13-daredevil-auger-bits.html", "https://www.toolnut.com/bosch-nkmt14-7-8-x-13-daredevil-auger-bits.html")</f>
        <v/>
      </c>
      <c r="C110" t="inlineStr">
        <is>
          <t>Bosch NKMT14 7/8 In. x 13 In. Daredevil Auger Bits</t>
        </is>
      </c>
      <c r="D110" t="inlineStr">
        <is>
          <t>BOSCH NKLT14 7/8 In. x 17-1/2 In. Daredevil Auger Bit</t>
        </is>
      </c>
      <c r="E110" s="1">
        <f>HYPERLINK("https://www.amazon.com/BOSCH-NKLT14-17-1-Daredevil-Auger/dp/B003BIFMW4/ref=sr_1_1?keywords=Bosch+NKMT14+7%2F8+In.+x+13+In.+Daredevil+Auger+Bits&amp;qid=1695346897&amp;sr=8-1", "https://www.amazon.com/BOSCH-NKLT14-17-1-Daredevil-Auger/dp/B003BIFMW4/ref=sr_1_1?keywords=Bosch+NKMT14+7%2F8+In.+x+13+In.+Daredevil+Auger+Bits&amp;qid=1695346897&amp;sr=8-1")</f>
        <v/>
      </c>
      <c r="F110" t="inlineStr">
        <is>
          <t>B003BIFMW4</t>
        </is>
      </c>
      <c r="G110">
        <f>_xlfn.IMAGE("https://www.toolnut.com/media/catalog/product/b/o/bosch-nkmt14-1_1.jpg?quality=100&amp;bg-color=255,255,255&amp;fit=bounds&amp;height=700&amp;width=700&amp;canvas=700:700&amp;dpr=1 1x")</f>
        <v/>
      </c>
      <c r="H110">
        <f>_xlfn.IMAGE("https://m.media-amazon.com/images/I/61DtknokK5L._AC_UL320_.jpg")</f>
        <v/>
      </c>
      <c r="K110" t="inlineStr">
        <is>
          <t>14.49</t>
        </is>
      </c>
      <c r="L110" t="n">
        <v>29.99</v>
      </c>
      <c r="M110" s="2" t="inlineStr">
        <is>
          <t>106.97%</t>
        </is>
      </c>
      <c r="N110" t="n">
        <v>4.4</v>
      </c>
      <c r="O110" t="n">
        <v>161</v>
      </c>
      <c r="Q110" t="inlineStr">
        <is>
          <t>OutOfStock</t>
        </is>
      </c>
      <c r="R110" t="inlineStr">
        <is>
          <t>undefined</t>
        </is>
      </c>
      <c r="S110" t="inlineStr">
        <is>
          <t>NKMT14</t>
        </is>
      </c>
    </row>
    <row r="111" ht="75" customHeight="1">
      <c r="A111" s="1">
        <f>HYPERLINK("https://www.toolnut.com/bosch-nkmt14-7-8-x-13-daredevil-auger-bits.html", "https://www.toolnut.com/bosch-nkmt14-7-8-x-13-daredevil-auger-bits.html")</f>
        <v/>
      </c>
      <c r="B111" s="1">
        <f>HYPERLINK("https://www.toolnut.com/bosch-nkmt14-7-8-x-13-daredevil-auger-bits.html", "https://www.toolnut.com/bosch-nkmt14-7-8-x-13-daredevil-auger-bits.html")</f>
        <v/>
      </c>
      <c r="C111" t="inlineStr">
        <is>
          <t>Bosch NKMT14 7/8 In. x 13 In. Daredevil Auger Bits</t>
        </is>
      </c>
      <c r="D111" t="inlineStr">
        <is>
          <t>BOSCH NKLT14 7/8 In. x 17-1/2 In. Daredevil Auger Bit</t>
        </is>
      </c>
      <c r="E111" s="1">
        <f>HYPERLINK("https://www.amazon.com/BOSCH-NKLT14-17-1-Daredevil-Auger/dp/B003BIFMW4/ref=sr_1_1?keywords=Bosch+NKMT14+7%2F8+In.+x+13+In.+Daredevil+Auger+Bits&amp;qid=1695346897&amp;sr=8-1", "https://www.amazon.com/BOSCH-NKLT14-17-1-Daredevil-Auger/dp/B003BIFMW4/ref=sr_1_1?keywords=Bosch+NKMT14+7%2F8+In.+x+13+In.+Daredevil+Auger+Bits&amp;qid=1695346897&amp;sr=8-1")</f>
        <v/>
      </c>
      <c r="F111" t="inlineStr">
        <is>
          <t>B003BIFMW4</t>
        </is>
      </c>
      <c r="G111">
        <f>_xlfn.IMAGE("https://www.toolnut.com/media/catalog/product/b/o/bosch-nkmt14-1_1.jpg?quality=100&amp;bg-color=255,255,255&amp;fit=bounds&amp;height=700&amp;width=700&amp;canvas=700:700&amp;dpr=1 1x")</f>
        <v/>
      </c>
      <c r="H111">
        <f>_xlfn.IMAGE("https://m.media-amazon.com/images/I/61DtknokK5L._AC_UL320_.jpg")</f>
        <v/>
      </c>
      <c r="K111" t="inlineStr">
        <is>
          <t>14.49</t>
        </is>
      </c>
      <c r="L111" t="n">
        <v>29.99</v>
      </c>
      <c r="M111" s="2" t="inlineStr">
        <is>
          <t>106.97%</t>
        </is>
      </c>
      <c r="N111" t="n">
        <v>4.4</v>
      </c>
      <c r="O111" t="n">
        <v>161</v>
      </c>
      <c r="Q111" t="inlineStr">
        <is>
          <t>OutOfStock</t>
        </is>
      </c>
      <c r="R111" t="inlineStr">
        <is>
          <t>undefined</t>
        </is>
      </c>
      <c r="S111" t="inlineStr">
        <is>
          <t>NKMT14</t>
        </is>
      </c>
    </row>
    <row r="112" ht="75" customHeight="1">
      <c r="A112" s="1">
        <f>HYPERLINK("https://www.toolnut.com/bosch-pro524ts-5-1-2-in-24-tooth-precision-track-saw-blade.html", "https://www.toolnut.com/bosch-pro524ts-5-1-2-in-24-tooth-precision-track-saw-blade.html")</f>
        <v/>
      </c>
      <c r="B112" s="1">
        <f>HYPERLINK("https://www.toolnut.com/bosch-pro524ts-5-1-2-in-24-tooth-precision-track-saw-blade.html", "https://www.toolnut.com/bosch-pro524ts-5-1-2-in-24-tooth-precision-track-saw-blade.html")</f>
        <v/>
      </c>
      <c r="C112" t="inlineStr">
        <is>
          <t>Bosch PRO524TS 5-1/2 In. 24 Tooth Precision Track Saw Blade</t>
        </is>
      </c>
      <c r="D112" t="inlineStr">
        <is>
          <t>Bosch PRO542TS5-1/2 In. 42-Tooth Precision Pro Series Track Saw Blade</t>
        </is>
      </c>
      <c r="E112" s="1">
        <f>HYPERLINK("https://www.amazon.com/BOSCH-PRO542TS-42-Tooth-Precision-Track/dp/B08ZJTSJGS/ref=sr_1_3?keywords=Bosch+PRO524TS+5-1%2F2+In.+24+Tooth+Precision+Track+Saw+Blade&amp;qid=1695346719&amp;sr=8-3", "https://www.amazon.com/BOSCH-PRO542TS-42-Tooth-Precision-Track/dp/B08ZJTSJGS/ref=sr_1_3?keywords=Bosch+PRO524TS+5-1%2F2+In.+24+Tooth+Precision+Track+Saw+Blade&amp;qid=1695346719&amp;sr=8-3")</f>
        <v/>
      </c>
      <c r="F112" t="inlineStr">
        <is>
          <t>B08ZJTSJGS</t>
        </is>
      </c>
      <c r="G112">
        <f>_xlfn.IMAGE("https://www.toolnut.com/media/catalog/product/t/r/track-saw-blade-pro524ts.jpg?quality=100&amp;bg-color=255,255,255&amp;fit=bounds&amp;height=700&amp;width=700&amp;canvas=700:700&amp;dpr=1 1x")</f>
        <v/>
      </c>
      <c r="H112">
        <f>_xlfn.IMAGE("https://m.media-amazon.com/images/I/81V9qXQCemL._AC_UL320_.jpg")</f>
        <v/>
      </c>
      <c r="K112" t="inlineStr">
        <is>
          <t>54.97</t>
        </is>
      </c>
      <c r="L112" t="n">
        <v>97.92</v>
      </c>
      <c r="M112" s="2" t="inlineStr">
        <is>
          <t>78.13%</t>
        </is>
      </c>
      <c r="N112" t="n">
        <v>5</v>
      </c>
      <c r="O112" t="n">
        <v>5</v>
      </c>
      <c r="Q112" t="inlineStr">
        <is>
          <t>InStock</t>
        </is>
      </c>
      <c r="R112" t="inlineStr">
        <is>
          <t>undefined</t>
        </is>
      </c>
      <c r="S112" t="inlineStr">
        <is>
          <t>PRO524TS</t>
        </is>
      </c>
    </row>
    <row r="113" ht="75" customHeight="1">
      <c r="A113" s="1">
        <f>HYPERLINK("https://www.toolnut.com/bosch-t244d-5-pc-4-6-tpi-speed-for-wood-t-shank-jig-saw-blades.html", "https://www.toolnut.com/bosch-t244d-5-pc-4-6-tpi-speed-for-wood-t-shank-jig-saw-blades.html")</f>
        <v/>
      </c>
      <c r="B113" s="1">
        <f>HYPERLINK("https://www.toolnut.com/bosch-t244d-5-pc-4-6-tpi-speed-for-wood-t-shank-jig-saw-blades.html", "https://www.toolnut.com/bosch-t244d-5-pc-4-6-tpi-speed-for-wood-t-shank-jig-saw-blades.html")</f>
        <v/>
      </c>
      <c r="C113" t="inlineStr">
        <is>
          <t>Bosch T244D 5-Piece 4 In.6 TPI Speed for Wood T-Shank Jig Saw Blades</t>
        </is>
      </c>
      <c r="D113" t="inlineStr">
        <is>
          <t>BOSCH T344DF 5-Piece 6 In. 6 TPI Speed for Hardwood T-Shank Jig Saw Blades</t>
        </is>
      </c>
      <c r="E113" s="1">
        <f>HYPERLINK("https://www.amazon.com/Bosch-T344DF-5-Piece-Hardwood-T-Shank/dp/B000VC5V1U/ref=sr_1_6?keywords=Bosch+T244D+5-Piece+4+In.6+TPI+Speed+for+Wood+T-Shank+Jig+Saw+Blades&amp;qid=1695346705&amp;sr=8-6", "https://www.amazon.com/Bosch-T344DF-5-Piece-Hardwood-T-Shank/dp/B000VC5V1U/ref=sr_1_6?keywords=Bosch+T244D+5-Piece+4+In.6+TPI+Speed+for+Wood+T-Shank+Jig+Saw+Blades&amp;qid=1695346705&amp;sr=8-6")</f>
        <v/>
      </c>
      <c r="F113" t="inlineStr">
        <is>
          <t>B000VC5V1U</t>
        </is>
      </c>
      <c r="G113">
        <f>_xlfn.IMAGE("https://www.toolnut.com/media/catalog/product/b/o/bosch-t244d-1_2.jpg?quality=100&amp;bg-color=255,255,255&amp;fit=bounds&amp;height=700&amp;width=700&amp;canvas=700:700&amp;dpr=1 1x")</f>
        <v/>
      </c>
      <c r="H113">
        <f>_xlfn.IMAGE("https://m.media-amazon.com/images/I/61lhDmfM8dL._AC_UL320_.jpg")</f>
        <v/>
      </c>
      <c r="K113" t="inlineStr">
        <is>
          <t>7.99</t>
        </is>
      </c>
      <c r="L113" t="n">
        <v>27.99</v>
      </c>
      <c r="M113" s="2" t="inlineStr">
        <is>
          <t>250.31%</t>
        </is>
      </c>
      <c r="N113" t="n">
        <v>4.7</v>
      </c>
      <c r="O113" t="n">
        <v>9</v>
      </c>
      <c r="Q113" t="inlineStr">
        <is>
          <t>InStock</t>
        </is>
      </c>
      <c r="R113" t="inlineStr">
        <is>
          <t>undefined</t>
        </is>
      </c>
      <c r="S113" t="inlineStr">
        <is>
          <t>T244D</t>
        </is>
      </c>
    </row>
    <row r="114" ht="75" customHeight="1">
      <c r="A114" s="1">
        <f>HYPERLINK("https://www.toolnut.com/bosch-t244d-5-pc-4-6-tpi-speed-for-wood-t-shank-jig-saw-blades.html", "https://www.toolnut.com/bosch-t244d-5-pc-4-6-tpi-speed-for-wood-t-shank-jig-saw-blades.html")</f>
        <v/>
      </c>
      <c r="B114" s="1">
        <f>HYPERLINK("https://www.toolnut.com/bosch-t244d-5-pc-4-6-tpi-speed-for-wood-t-shank-jig-saw-blades.html", "https://www.toolnut.com/bosch-t244d-5-pc-4-6-tpi-speed-for-wood-t-shank-jig-saw-blades.html")</f>
        <v/>
      </c>
      <c r="C114" t="inlineStr">
        <is>
          <t>Bosch T244D 5-Piece 4 In.6 TPI Speed for Wood T-Shank Jig Saw Blades</t>
        </is>
      </c>
      <c r="D114" t="inlineStr">
        <is>
          <t>BOSCH T144DF 5-Piece 4 In. 6 TPI Speed for Hardwood T-Shank Jig Saw Blades</t>
        </is>
      </c>
      <c r="E114" s="1">
        <f>HYPERLINK("https://www.amazon.com/Bosch-T144DF-5-Piece-Hardwood-T-Shank/dp/B0002EVIAU/ref=sr_1_10?keywords=Bosch+T244D+5-Piece+4+In.6+TPI+Speed+for+Wood+T-Shank+Jig+Saw+Blades&amp;qid=1695346705&amp;sr=8-10", "https://www.amazon.com/Bosch-T144DF-5-Piece-Hardwood-T-Shank/dp/B0002EVIAU/ref=sr_1_10?keywords=Bosch+T244D+5-Piece+4+In.6+TPI+Speed+for+Wood+T-Shank+Jig+Saw+Blades&amp;qid=1695346705&amp;sr=8-10")</f>
        <v/>
      </c>
      <c r="F114" t="inlineStr">
        <is>
          <t>B0002EVIAU</t>
        </is>
      </c>
      <c r="G114">
        <f>_xlfn.IMAGE("https://www.toolnut.com/media/catalog/product/b/o/bosch-t244d-1_2.jpg?quality=100&amp;bg-color=255,255,255&amp;fit=bounds&amp;height=700&amp;width=700&amp;canvas=700:700&amp;dpr=1 1x")</f>
        <v/>
      </c>
      <c r="H114">
        <f>_xlfn.IMAGE("https://m.media-amazon.com/images/I/61nnGWBN7WL._AC_UL320_.jpg")</f>
        <v/>
      </c>
      <c r="K114" t="inlineStr">
        <is>
          <t>7.99</t>
        </is>
      </c>
      <c r="L114" t="n">
        <v>15.99</v>
      </c>
      <c r="M114" s="2" t="inlineStr">
        <is>
          <t>100.13%</t>
        </is>
      </c>
      <c r="N114" t="n">
        <v>5</v>
      </c>
      <c r="O114" t="n">
        <v>10</v>
      </c>
      <c r="Q114" t="inlineStr">
        <is>
          <t>InStock</t>
        </is>
      </c>
      <c r="R114" t="inlineStr">
        <is>
          <t>undefined</t>
        </is>
      </c>
      <c r="S114" t="inlineStr">
        <is>
          <t>T244D</t>
        </is>
      </c>
    </row>
    <row r="115" ht="75" customHeight="1">
      <c r="A115" s="1">
        <f>HYPERLINK("https://www.toolnut.com/dewalt-dah99314pb-3-3-4-in-hole-saw-pilot-drill-bit-1-4-in-shank.html", "https://www.toolnut.com/dewalt-dah99314pb-3-3-4-in-hole-saw-pilot-drill-bit-1-4-in-shank.html")</f>
        <v/>
      </c>
      <c r="B115" s="1">
        <f>HYPERLINK("https://www.toolnut.com/dewalt-dah99314pb-3-3-4-in-hole-saw-pilot-drill-bit-1-4-in-shank.html", "https://www.toolnut.com/dewalt-dah99314pb-3-3-4-in-hole-saw-pilot-drill-bit-1-4-in-shank.html")</f>
        <v/>
      </c>
      <c r="C115" t="inlineStr">
        <is>
          <t>DeWalt DAH99314PB 3-3/4 in. Hole Saw Pilot Drill Bit, 1/4 in. Shank</t>
        </is>
      </c>
      <c r="D115" t="inlineStr">
        <is>
          <t>ASNOMY Tungsten Carbide Tipped Hole Saw Drill Bit for Hard Metal, 3-1/4 Inch T.C.T Hole Saw Cutter with 2pcs Titanium-Plated Pilot Drill bit for Metal, Steel, Iron, Wood, Plastic</t>
        </is>
      </c>
      <c r="E115" s="1">
        <f>HYPERLINK("https://www.amazon.com/ASNOMY-Tungsten-Carbide-Titanium-Plated-Plastic/dp/B0BY8PDKMQ/ref=sr_1_2?keywords=DeWalt+DAH99314PB+3-3%2F4+in.+Hole+Saw+Pilot+Drill+Bit%2C+1%2F4+in.+Shank&amp;qid=1695346983&amp;sr=8-2", "https://www.amazon.com/ASNOMY-Tungsten-Carbide-Titanium-Plated-Plastic/dp/B0BY8PDKMQ/ref=sr_1_2?keywords=DeWalt+DAH99314PB+3-3%2F4+in.+Hole+Saw+Pilot+Drill+Bit%2C+1%2F4+in.+Shank&amp;qid=1695346983&amp;sr=8-2")</f>
        <v/>
      </c>
      <c r="F115" t="inlineStr">
        <is>
          <t>B0BY8PDKMQ</t>
        </is>
      </c>
      <c r="G115">
        <f>_xlfn.IMAGE("https://www.toolnut.com/media/catalog/product/d/a/dah99314pb-1.jpg?quality=100&amp;bg-color=255,255,255&amp;fit=bounds&amp;height=700&amp;width=700&amp;canvas=700:700&amp;dpr=1 1x")</f>
        <v/>
      </c>
      <c r="H115">
        <f>_xlfn.IMAGE("https://m.media-amazon.com/images/I/51CKygXHu8L._AC_UL320_.jpg")</f>
        <v/>
      </c>
      <c r="K115" t="inlineStr">
        <is>
          <t>3.99</t>
        </is>
      </c>
      <c r="L115" t="n">
        <v>20.99</v>
      </c>
      <c r="M115" s="2" t="inlineStr">
        <is>
          <t>426.07%</t>
        </is>
      </c>
      <c r="N115" t="n">
        <v>4.3</v>
      </c>
      <c r="O115" t="n">
        <v>904</v>
      </c>
      <c r="Q115" t="inlineStr">
        <is>
          <t>InStock</t>
        </is>
      </c>
      <c r="R115" t="inlineStr">
        <is>
          <t>undefined</t>
        </is>
      </c>
      <c r="S115" t="inlineStr">
        <is>
          <t>DAH99314PB</t>
        </is>
      </c>
    </row>
    <row r="116" ht="75" customHeight="1">
      <c r="A116" s="1">
        <f>HYPERLINK("https://www.toolnut.com/dewalt-dcf892b-20v-max-xr-1-2-in-mid-range-impact-wrench-with-detent-pin-anvil-tool-only.html", "https://www.toolnut.com/dewalt-dcf892b-20v-max-xr-1-2-in-mid-range-impact-wrench-with-detent-pin-anvil-tool-only.html")</f>
        <v/>
      </c>
      <c r="B116" s="1">
        <f>HYPERLINK("https://www.toolnut.com/dewalt-dcf892b-20v-max-xr-1-2-in-mid-range-impact-wrench-with-detent-pin-anvil-tool-only.html", "https://www.toolnut.com/dewalt-dcf892b-20v-max-xr-1-2-in-mid-range-impact-wrench-with-detent-pin-anvil-tool-only.html")</f>
        <v/>
      </c>
      <c r="C116" t="inlineStr">
        <is>
          <t>Dewalt DCF892B 20V MAX* XR 1/2-in Mid-Range Impact Wrench with Detent Pin Anvil (Tool Only)</t>
        </is>
      </c>
      <c r="D116" t="inlineStr">
        <is>
          <t>DEWALT 20V MAX* Impact Wrench Detent Pin Anvil Kit, Mid-Range, Tool Connect, 1/2-Inch (DCF896P2)</t>
        </is>
      </c>
      <c r="E116" s="1">
        <f>HYPERLINK("https://www.amazon.com/DEWALT-Impact-Mid-Range-Connect-DCF896P2/dp/B07K4XKGDG/ref=sr_1_1?keywords=Dewalt+DCF892B+20V+MAX*+XR+1%2F2-in+Mid-Range+Impact+Wrench+with+Detent+Pin+Anvil+%28Tool+Only%29&amp;qid=1695346647&amp;sr=8-1", "https://www.amazon.com/DEWALT-Impact-Mid-Range-Connect-DCF896P2/dp/B07K4XKGDG/ref=sr_1_1?keywords=Dewalt+DCF892B+20V+MAX*+XR+1%2F2-in+Mid-Range+Impact+Wrench+with+Detent+Pin+Anvil+%28Tool+Only%29&amp;qid=1695346647&amp;sr=8-1")</f>
        <v/>
      </c>
      <c r="F116" t="inlineStr">
        <is>
          <t>B07K4XKGDG</t>
        </is>
      </c>
      <c r="G116">
        <f>_xlfn.IMAGE("https://www.toolnut.com/media/catalog/product/e/c/ecomm_medium-dcf892b_1.jpg?quality=100&amp;bg-color=255,255,255&amp;fit=bounds&amp;height=700&amp;width=700&amp;canvas=700:700&amp;dpr=1 1x")</f>
        <v/>
      </c>
      <c r="H116">
        <f>_xlfn.IMAGE("https://m.media-amazon.com/images/I/711HFLcBzmL._AC_UL320_.jpg")</f>
        <v/>
      </c>
      <c r="K116" t="inlineStr">
        <is>
          <t>249.0</t>
        </is>
      </c>
      <c r="L116" t="n">
        <v>449.99</v>
      </c>
      <c r="M116" s="2" t="inlineStr">
        <is>
          <t>80.72%</t>
        </is>
      </c>
      <c r="N116" t="n">
        <v>4.3</v>
      </c>
      <c r="O116" t="n">
        <v>25</v>
      </c>
      <c r="Q116" t="inlineStr">
        <is>
          <t>InStock</t>
        </is>
      </c>
      <c r="R116" t="inlineStr">
        <is>
          <t>undefined</t>
        </is>
      </c>
      <c r="S116" t="inlineStr">
        <is>
          <t>DCF892B</t>
        </is>
      </c>
    </row>
    <row r="117" ht="75" customHeight="1">
      <c r="A117" s="1">
        <f>HYPERLINK("https://www.toolnut.com/dewalt-dck201p1-20-volt-max-lithium-ion-cordless-combo-kit.html", "https://www.toolnut.com/dewalt-dck201p1-20-volt-max-lithium-ion-cordless-combo-kit.html")</f>
        <v/>
      </c>
      <c r="B117" s="1">
        <f>HYPERLINK("https://www.toolnut.com/dewalt-dck201p1-20-volt-max-lithium-ion-cordless-combo-kit.html", "https://www.toolnut.com/dewalt-dck201p1-20-volt-max-lithium-ion-cordless-combo-kit.html")</f>
        <v/>
      </c>
      <c r="C117" t="inlineStr">
        <is>
          <t>DeWalt DCK201P1 20V MAX XR Brushless 2-Tool Woodworking 5.0Ah Combo Kit</t>
        </is>
      </c>
      <c r="D117" t="inlineStr">
        <is>
          <t>DEWALT 20V MAX* XR Cordless Drill Combo Kit, Brushless, 5-Tool (DCK594P2)</t>
        </is>
      </c>
      <c r="E117" s="1">
        <f>HYPERLINK("https://www.amazon.com/DEWALT-DCK594P2-20V-5-Tool-Combo/dp/B073T4X9Z6/ref=sr_1_4?keywords=DeWalt+DCK201P1+20V+MAX+XR+Brushless+2-Tool+Woodworking+5.0Ah+Combo+Kit&amp;qid=1695346785&amp;sr=8-4", "https://www.amazon.com/DEWALT-DCK594P2-20V-5-Tool-Combo/dp/B073T4X9Z6/ref=sr_1_4?keywords=DeWalt+DCK201P1+20V+MAX+XR+Brushless+2-Tool+Woodworking+5.0Ah+Combo+Kit&amp;qid=1695346785&amp;sr=8-4")</f>
        <v/>
      </c>
      <c r="F117" t="inlineStr">
        <is>
          <t>B073T4X9Z6</t>
        </is>
      </c>
      <c r="G117">
        <f>_xlfn.IMAGE("https://www.toolnut.com/media/catalog/product/e/c/ecomm_medium-dck201p1_k1.jpg?quality=100&amp;bg-color=255,255,255&amp;fit=bounds&amp;height=700&amp;width=700&amp;canvas=700:700&amp;dpr=1 1x")</f>
        <v/>
      </c>
      <c r="H117">
        <f>_xlfn.IMAGE("https://m.media-amazon.com/images/I/61aYJShhDdL._AC_UL320_.jpg")</f>
        <v/>
      </c>
      <c r="K117" t="inlineStr">
        <is>
          <t>369.0</t>
        </is>
      </c>
      <c r="L117" t="n">
        <v>849</v>
      </c>
      <c r="M117" s="2" t="inlineStr">
        <is>
          <t>130.08%</t>
        </is>
      </c>
      <c r="N117" t="n">
        <v>4.8</v>
      </c>
      <c r="O117" t="n">
        <v>192</v>
      </c>
      <c r="Q117" t="inlineStr">
        <is>
          <t>OutOfStock</t>
        </is>
      </c>
      <c r="R117" t="inlineStr">
        <is>
          <t>undefined</t>
        </is>
      </c>
      <c r="S117" t="inlineStr">
        <is>
          <t>DCK201P1</t>
        </is>
      </c>
    </row>
    <row r="118" ht="75" customHeight="1">
      <c r="A118" s="1">
        <f>HYPERLINK("https://www.toolnut.com/dewalt-dck447p2-20v-max-xr-brushless-4-tool-5-0ah-combo-kit.html", "https://www.toolnut.com/dewalt-dck447p2-20v-max-xr-brushless-4-tool-5-0ah-combo-kit.html")</f>
        <v/>
      </c>
      <c r="B118" s="1">
        <f>HYPERLINK("https://www.toolnut.com/dewalt-dck447p2-20v-max-xr-brushless-4-tool-5-0ah-combo-kit.html", "https://www.toolnut.com/dewalt-dck447p2-20v-max-xr-brushless-4-tool-5-0ah-combo-kit.html")</f>
        <v/>
      </c>
      <c r="C118" t="inlineStr">
        <is>
          <t>DeWalt DCK447P2 20V MAX XR Brushless 4-Tool 5.0Ah Combo Kit</t>
        </is>
      </c>
      <c r="D118" t="inlineStr">
        <is>
          <t>DEWALT 20V MAX* XR Cordless Drill Combo Kit, Brushless, 5-Tool (DCK594P2)</t>
        </is>
      </c>
      <c r="E118" s="1">
        <f>HYPERLINK("https://www.amazon.com/DEWALT-DCK594P2-20V-5-Tool-Combo/dp/B073T4X9Z6/ref=sr_1_10?keywords=DeWalt+DCK447P2+20V+MAX+XR+Brushless+4-Tool+5.0Ah+Combo+Kit&amp;qid=1695346792&amp;sr=8-10", "https://www.amazon.com/DEWALT-DCK594P2-20V-5-Tool-Combo/dp/B073T4X9Z6/ref=sr_1_10?keywords=DeWalt+DCK447P2+20V+MAX+XR+Brushless+4-Tool+5.0Ah+Combo+Kit&amp;qid=1695346792&amp;sr=8-10")</f>
        <v/>
      </c>
      <c r="F118" t="inlineStr">
        <is>
          <t>B073T4X9Z6</t>
        </is>
      </c>
      <c r="G118">
        <f>_xlfn.IMAGE("https://www.toolnut.com/media/catalog/product/d/c/dck447p2-k1.jpg?quality=100&amp;bg-color=255,255,255&amp;fit=bounds&amp;height=700&amp;width=700&amp;canvas=700:700&amp;dpr=1 1x")</f>
        <v/>
      </c>
      <c r="H118">
        <f>_xlfn.IMAGE("https://m.media-amazon.com/images/I/61aYJShhDdL._AC_UL320_.jpg")</f>
        <v/>
      </c>
      <c r="K118" t="inlineStr">
        <is>
          <t>479.0</t>
        </is>
      </c>
      <c r="L118" t="n">
        <v>849</v>
      </c>
      <c r="M118" s="2" t="inlineStr">
        <is>
          <t>77.24%</t>
        </is>
      </c>
      <c r="N118" t="n">
        <v>4.8</v>
      </c>
      <c r="O118" t="n">
        <v>192</v>
      </c>
      <c r="Q118" t="inlineStr">
        <is>
          <t>InStock</t>
        </is>
      </c>
      <c r="R118" t="inlineStr">
        <is>
          <t>undefined</t>
        </is>
      </c>
      <c r="S118" t="inlineStr">
        <is>
          <t>DCK447P2</t>
        </is>
      </c>
    </row>
    <row r="119" ht="75" customHeight="1">
      <c r="A119" s="1">
        <f>HYPERLINK("https://www.toolnut.com/dewalt-dw3741c-t-shank-jig-saw-blade-set-with-case-10-pieces.html", "https://www.toolnut.com/dewalt-dw3741c-t-shank-jig-saw-blade-set-with-case-10-pieces.html")</f>
        <v/>
      </c>
      <c r="B119" s="1">
        <f>HYPERLINK("https://www.toolnut.com/dewalt-dw3741c-t-shank-jig-saw-blade-set-with-case-10-pieces.html", "https://www.toolnut.com/dewalt-dw3741c-t-shank-jig-saw-blade-set-with-case-10-pieces.html")</f>
        <v/>
      </c>
      <c r="C119" t="inlineStr">
        <is>
          <t>DeWalt DW3741C T-shank Jig Saw Blade Set with case, 10-pieces</t>
        </is>
      </c>
      <c r="D119" t="inlineStr">
        <is>
          <t>DEWALT DCS331B 20-Volt MAX Li-Ion Jig Saw (Tool Only), Yellow with DEWALT DW3741C 10-Piece T-Shank Jig Saw Blade Set w/Case</t>
        </is>
      </c>
      <c r="E119" s="1">
        <f>HYPERLINK("https://www.amazon.com/DEWALT-DCS331B-20-Volt-DW3741C-10-Piece/dp/B07S7F7Q3Z/ref=sr_1_5?keywords=DeWalt+DW3741C+T-shank+Jig+Saw+Blade+Set+with+case%2C+10-pieces&amp;qid=1695346729&amp;sr=8-5", "https://www.amazon.com/DEWALT-DCS331B-20-Volt-DW3741C-10-Piece/dp/B07S7F7Q3Z/ref=sr_1_5?keywords=DeWalt+DW3741C+T-shank+Jig+Saw+Blade+Set+with+case%2C+10-pieces&amp;qid=1695346729&amp;sr=8-5")</f>
        <v/>
      </c>
      <c r="F119" t="inlineStr">
        <is>
          <t>B07S7F7Q3Z</t>
        </is>
      </c>
      <c r="G119">
        <f>_xlfn.IMAGE("https://www.toolnut.com/media/catalog/product/d/w/dw3741c.jpg?quality=100&amp;bg-color=255,255,255&amp;fit=bounds&amp;height=700&amp;width=700&amp;canvas=700:700&amp;dpr=1 1x")</f>
        <v/>
      </c>
      <c r="H119">
        <f>_xlfn.IMAGE("https://m.media-amazon.com/images/I/61yDtQc+xAL._AC_UL320_.jpg")</f>
        <v/>
      </c>
      <c r="K119" t="inlineStr">
        <is>
          <t>16.74</t>
        </is>
      </c>
      <c r="L119" t="n">
        <v>196.98</v>
      </c>
      <c r="M119" s="2" t="inlineStr">
        <is>
          <t>1076.70%</t>
        </is>
      </c>
      <c r="N119" t="n">
        <v>4.8</v>
      </c>
      <c r="O119" t="n">
        <v>6927</v>
      </c>
      <c r="Q119" t="inlineStr">
        <is>
          <t>InStock</t>
        </is>
      </c>
      <c r="R119" t="inlineStr">
        <is>
          <t>undefined</t>
        </is>
      </c>
      <c r="S119" t="inlineStr">
        <is>
          <t>DW3741C</t>
        </is>
      </c>
    </row>
    <row r="120" ht="75" customHeight="1">
      <c r="A120" s="1">
        <f>HYPERLINK("https://www.toolnut.com/dewalt-dw3741c-t-shank-jig-saw-blade-set-with-case-10-pieces.html", "https://www.toolnut.com/dewalt-dw3741c-t-shank-jig-saw-blade-set-with-case-10-pieces.html")</f>
        <v/>
      </c>
      <c r="B120" s="1">
        <f>HYPERLINK("https://www.toolnut.com/dewalt-dw3741c-t-shank-jig-saw-blade-set-with-case-10-pieces.html", "https://www.toolnut.com/dewalt-dw3741c-t-shank-jig-saw-blade-set-with-case-10-pieces.html")</f>
        <v/>
      </c>
      <c r="C120" t="inlineStr">
        <is>
          <t>DeWalt DW3741C T-shank Jig Saw Blade Set with case, 10-pieces</t>
        </is>
      </c>
      <c r="D120" t="inlineStr">
        <is>
          <t>DEWALT DW331K 6.5 Amp Top Handle Jig-Saw with DEWALT DW3741C 10-Piece T-Shank Jig Saw Blade Set w/Case</t>
        </is>
      </c>
      <c r="E120" s="1">
        <f>HYPERLINK("https://www.amazon.com/DEWALT-Jig-Saw-DW3741C-10-Piece-T-Shank/dp/B07SBK4KN2/ref=sr_1_4?keywords=DeWalt+DW3741C+T-shank+Jig+Saw+Blade+Set+with+case%2C+10-pieces&amp;qid=1695346729&amp;sr=8-4", "https://www.amazon.com/DEWALT-Jig-Saw-DW3741C-10-Piece-T-Shank/dp/B07SBK4KN2/ref=sr_1_4?keywords=DeWalt+DW3741C+T-shank+Jig+Saw+Blade+Set+with+case%2C+10-pieces&amp;qid=1695346729&amp;sr=8-4")</f>
        <v/>
      </c>
      <c r="F120" t="inlineStr">
        <is>
          <t>B07SBK4KN2</t>
        </is>
      </c>
      <c r="G120">
        <f>_xlfn.IMAGE("https://www.toolnut.com/media/catalog/product/d/w/dw3741c.jpg?quality=100&amp;bg-color=255,255,255&amp;fit=bounds&amp;height=700&amp;width=700&amp;canvas=700:700&amp;dpr=1 1x")</f>
        <v/>
      </c>
      <c r="H120">
        <f>_xlfn.IMAGE("https://m.media-amazon.com/images/I/61sfBUOid5L._AC_UL320_.jpg")</f>
        <v/>
      </c>
      <c r="K120" t="inlineStr">
        <is>
          <t>16.74</t>
        </is>
      </c>
      <c r="L120" t="n">
        <v>177.58</v>
      </c>
      <c r="M120" s="2" t="inlineStr">
        <is>
          <t>960.81%</t>
        </is>
      </c>
      <c r="N120" t="n">
        <v>4.8</v>
      </c>
      <c r="O120" t="n">
        <v>1158</v>
      </c>
      <c r="Q120" t="inlineStr">
        <is>
          <t>InStock</t>
        </is>
      </c>
      <c r="R120" t="inlineStr">
        <is>
          <t>undefined</t>
        </is>
      </c>
      <c r="S120" t="inlineStr">
        <is>
          <t>DW3741C</t>
        </is>
      </c>
    </row>
    <row r="121" ht="75" customHeight="1">
      <c r="A121" s="1">
        <f>HYPERLINK("https://www.toolnut.com/dewalt-dw3741c-t-shank-jig-saw-blade-set-with-case-10-pieces.html", "https://www.toolnut.com/dewalt-dw3741c-t-shank-jig-saw-blade-set-with-case-10-pieces.html")</f>
        <v/>
      </c>
      <c r="B121" s="1">
        <f>HYPERLINK("https://www.toolnut.com/dewalt-dw3741c-t-shank-jig-saw-blade-set-with-case-10-pieces.html", "https://www.toolnut.com/dewalt-dw3741c-t-shank-jig-saw-blade-set-with-case-10-pieces.html")</f>
        <v/>
      </c>
      <c r="C121" t="inlineStr">
        <is>
          <t>DeWalt DW3741C T-shank Jig Saw Blade Set with case, 10-pieces</t>
        </is>
      </c>
      <c r="D121" t="inlineStr">
        <is>
          <t>DEWALT DW317K 5.5 Amp Top Handle Jig Saw Kit with DEWALT DW3741C 10-Piece T-Shank Jig Saw Blade Set w/Case</t>
        </is>
      </c>
      <c r="E121" s="1">
        <f>HYPERLINK("https://www.amazon.com/DEWALT-DW317K-DW3741C-10-Piece-T-Shank/dp/B07S6C2YTD/ref=sr_1_2?keywords=DeWalt+DW3741C+T-shank+Jig+Saw+Blade+Set+with+case%2C+10-pieces&amp;qid=1695346729&amp;sr=8-2", "https://www.amazon.com/DEWALT-DW317K-DW3741C-10-Piece-T-Shank/dp/B07S6C2YTD/ref=sr_1_2?keywords=DeWalt+DW3741C+T-shank+Jig+Saw+Blade+Set+with+case%2C+10-pieces&amp;qid=1695346729&amp;sr=8-2")</f>
        <v/>
      </c>
      <c r="F121" t="inlineStr">
        <is>
          <t>B07S6C2YTD</t>
        </is>
      </c>
      <c r="G121">
        <f>_xlfn.IMAGE("https://www.toolnut.com/media/catalog/product/d/w/dw3741c.jpg?quality=100&amp;bg-color=255,255,255&amp;fit=bounds&amp;height=700&amp;width=700&amp;canvas=700:700&amp;dpr=1 1x")</f>
        <v/>
      </c>
      <c r="H121">
        <f>_xlfn.IMAGE("https://m.media-amazon.com/images/I/5127vfONSrL._AC_UL320_.jpg")</f>
        <v/>
      </c>
      <c r="K121" t="inlineStr">
        <is>
          <t>16.74</t>
        </is>
      </c>
      <c r="L121" t="n">
        <v>146.98</v>
      </c>
      <c r="M121" s="2" t="inlineStr">
        <is>
          <t>778.02%</t>
        </is>
      </c>
      <c r="N121" t="n">
        <v>4.7</v>
      </c>
      <c r="O121" t="n">
        <v>1192</v>
      </c>
      <c r="Q121" t="inlineStr">
        <is>
          <t>InStock</t>
        </is>
      </c>
      <c r="R121" t="inlineStr">
        <is>
          <t>undefined</t>
        </is>
      </c>
      <c r="S121" t="inlineStr">
        <is>
          <t>DW3741C</t>
        </is>
      </c>
    </row>
    <row r="122" ht="75" customHeight="1">
      <c r="A122" s="1">
        <f>HYPERLINK("https://www.toolnut.com/dewalt-dw3742c-14-piece-jig-saw-blade-set-with-case.html", "https://www.toolnut.com/dewalt-dw3742c-14-piece-jig-saw-blade-set-with-case.html")</f>
        <v/>
      </c>
      <c r="B122" s="1">
        <f>HYPERLINK("https://www.toolnut.com/dewalt-dw3742c-14-piece-jig-saw-blade-set-with-case.html", "https://www.toolnut.com/dewalt-dw3742c-14-piece-jig-saw-blade-set-with-case.html")</f>
        <v/>
      </c>
      <c r="C122" t="inlineStr">
        <is>
          <t>Dewalt Dw3742C 14 Piece Jigsaw Blade Set With Case</t>
        </is>
      </c>
      <c r="D122" t="inlineStr">
        <is>
          <t>DEWALT DW3742C 14-Piece T-Shank Jig Saw Blade Set with Case and DEWALT DCS331B 20-Volt MAX Li-Ion Jig Saw (Tool Only), Yellow</t>
        </is>
      </c>
      <c r="E122" s="1">
        <f>HYPERLINK("https://www.amazon.com/DEWALT-DCS331B-20-Volt-DW3742C-14-Piece/dp/B01MA36COI/ref=sr_1_2?keywords=Dewalt+Dw3742C+14+Piece+Jigsaw+Blade+Set+With+Case&amp;qid=1695346690&amp;sr=8-2", "https://www.amazon.com/DEWALT-DCS331B-20-Volt-DW3742C-14-Piece/dp/B01MA36COI/ref=sr_1_2?keywords=Dewalt+Dw3742C+14+Piece+Jigsaw+Blade+Set+With+Case&amp;qid=1695346690&amp;sr=8-2")</f>
        <v/>
      </c>
      <c r="F122" t="inlineStr">
        <is>
          <t>B01MA36COI</t>
        </is>
      </c>
      <c r="G122">
        <f>_xlfn.IMAGE("https://www.toolnut.com/media/catalog/product/d/e/dewalt-dw3742c-1.jpg?quality=100&amp;bg-color=255,255,255&amp;fit=bounds&amp;height=700&amp;width=700&amp;canvas=700:700&amp;dpr=1 1x")</f>
        <v/>
      </c>
      <c r="H122">
        <f>_xlfn.IMAGE("https://m.media-amazon.com/images/I/41pGKgZXJ0L._AC_UL320_.jpg")</f>
        <v/>
      </c>
      <c r="K122" t="inlineStr">
        <is>
          <t>22.49</t>
        </is>
      </c>
      <c r="L122" t="n">
        <v>198.89</v>
      </c>
      <c r="M122" s="2" t="inlineStr">
        <is>
          <t>784.35%</t>
        </is>
      </c>
      <c r="N122" t="n">
        <v>4.8</v>
      </c>
      <c r="O122" t="n">
        <v>6927</v>
      </c>
      <c r="Q122" t="inlineStr">
        <is>
          <t>InStock</t>
        </is>
      </c>
      <c r="R122" t="inlineStr">
        <is>
          <t>undefined</t>
        </is>
      </c>
      <c r="S122" t="inlineStr">
        <is>
          <t>DW3742C</t>
        </is>
      </c>
    </row>
    <row r="123" ht="75" customHeight="1">
      <c r="A123" s="1">
        <f>HYPERLINK("https://www.toolnut.com/dewalt-dw3742c-14-piece-jig-saw-blade-set-with-case.html", "https://www.toolnut.com/dewalt-dw3742c-14-piece-jig-saw-blade-set-with-case.html")</f>
        <v/>
      </c>
      <c r="B123" s="1">
        <f>HYPERLINK("https://www.toolnut.com/dewalt-dw3742c-14-piece-jig-saw-blade-set-with-case.html", "https://www.toolnut.com/dewalt-dw3742c-14-piece-jig-saw-blade-set-with-case.html")</f>
        <v/>
      </c>
      <c r="C123" t="inlineStr">
        <is>
          <t>Dewalt Dw3742C 14 Piece Jigsaw Blade Set With Case</t>
        </is>
      </c>
      <c r="D123" t="inlineStr">
        <is>
          <t>DEWALT DW331K 6.5 Amp Top Handle Jig-Saw with DEWALT DW3742C 14-Piece T-Shank Jig Saw Blade Set with Case</t>
        </is>
      </c>
      <c r="E123" s="1">
        <f>HYPERLINK("https://www.amazon.com/DEWALT-Jig-Saw-DW3742C-14-Piece-T-Shank/dp/B07S9GDYJC/ref=sr_1_3?keywords=Dewalt+Dw3742C+14+Piece+Jigsaw+Blade+Set+With+Case&amp;qid=1695346690&amp;sr=8-3", "https://www.amazon.com/DEWALT-Jig-Saw-DW3742C-14-Piece-T-Shank/dp/B07S9GDYJC/ref=sr_1_3?keywords=Dewalt+Dw3742C+14+Piece+Jigsaw+Blade+Set+With+Case&amp;qid=1695346690&amp;sr=8-3")</f>
        <v/>
      </c>
      <c r="F123" t="inlineStr">
        <is>
          <t>B07S9GDYJC</t>
        </is>
      </c>
      <c r="G123">
        <f>_xlfn.IMAGE("https://www.toolnut.com/media/catalog/product/d/e/dewalt-dw3742c-1.jpg?quality=100&amp;bg-color=255,255,255&amp;fit=bounds&amp;height=700&amp;width=700&amp;canvas=700:700&amp;dpr=1 1x")</f>
        <v/>
      </c>
      <c r="H123">
        <f>_xlfn.IMAGE("https://m.media-amazon.com/images/I/61qElwzOouL._AC_UL320_.jpg")</f>
        <v/>
      </c>
      <c r="K123" t="inlineStr">
        <is>
          <t>22.49</t>
        </is>
      </c>
      <c r="L123" t="n">
        <v>179.49</v>
      </c>
      <c r="M123" s="2" t="inlineStr">
        <is>
          <t>698.09%</t>
        </is>
      </c>
      <c r="N123" t="n">
        <v>4.8</v>
      </c>
      <c r="O123" t="n">
        <v>1158</v>
      </c>
      <c r="Q123" t="inlineStr">
        <is>
          <t>InStock</t>
        </is>
      </c>
      <c r="R123" t="inlineStr">
        <is>
          <t>undefined</t>
        </is>
      </c>
      <c r="S123" t="inlineStr">
        <is>
          <t>DW3742C</t>
        </is>
      </c>
    </row>
    <row r="124" ht="75" customHeight="1">
      <c r="A124" s="1">
        <f>HYPERLINK("https://www.toolnut.com/dewalt-dw3742c-14-piece-jig-saw-blade-set-with-case.html", "https://www.toolnut.com/dewalt-dw3742c-14-piece-jig-saw-blade-set-with-case.html")</f>
        <v/>
      </c>
      <c r="B124" s="1">
        <f>HYPERLINK("https://www.toolnut.com/dewalt-dw3742c-14-piece-jig-saw-blade-set-with-case.html", "https://www.toolnut.com/dewalt-dw3742c-14-piece-jig-saw-blade-set-with-case.html")</f>
        <v/>
      </c>
      <c r="C124" t="inlineStr">
        <is>
          <t>Dewalt Dw3742C 14 Piece Jigsaw Blade Set With Case</t>
        </is>
      </c>
      <c r="D124" t="inlineStr">
        <is>
          <t>DEWALT DW317K 5.5 Amp Top Handle Jig Saw Kit with DEWALT DW3742C 14-Piece T-Shank Jig Saw Blade Set with Case</t>
        </is>
      </c>
      <c r="E124" s="1">
        <f>HYPERLINK("https://www.amazon.com/DEWALT-DW317K-DW3742C-14-Piece-T-Shank/dp/B07S8D5Z4J/ref=sr_1_4?keywords=Dewalt+Dw3742C+14+Piece+Jigsaw+Blade+Set+With+Case&amp;qid=1695346690&amp;sr=8-4", "https://www.amazon.com/DEWALT-DW317K-DW3742C-14-Piece-T-Shank/dp/B07S8D5Z4J/ref=sr_1_4?keywords=Dewalt+Dw3742C+14+Piece+Jigsaw+Blade+Set+With+Case&amp;qid=1695346690&amp;sr=8-4")</f>
        <v/>
      </c>
      <c r="F124" t="inlineStr">
        <is>
          <t>B07S8D5Z4J</t>
        </is>
      </c>
      <c r="G124">
        <f>_xlfn.IMAGE("https://www.toolnut.com/media/catalog/product/d/e/dewalt-dw3742c-1.jpg?quality=100&amp;bg-color=255,255,255&amp;fit=bounds&amp;height=700&amp;width=700&amp;canvas=700:700&amp;dpr=1 1x")</f>
        <v/>
      </c>
      <c r="H124">
        <f>_xlfn.IMAGE("https://m.media-amazon.com/images/I/61XiC6-J3NL._AC_UL320_.jpg")</f>
        <v/>
      </c>
      <c r="K124" t="inlineStr">
        <is>
          <t>22.49</t>
        </is>
      </c>
      <c r="L124" t="n">
        <v>148.89</v>
      </c>
      <c r="M124" s="2" t="inlineStr">
        <is>
          <t>562.03%</t>
        </is>
      </c>
      <c r="N124" t="n">
        <v>4.7</v>
      </c>
      <c r="O124" t="n">
        <v>1192</v>
      </c>
      <c r="Q124" t="inlineStr">
        <is>
          <t>InStock</t>
        </is>
      </c>
      <c r="R124" t="inlineStr">
        <is>
          <t>undefined</t>
        </is>
      </c>
      <c r="S124" t="inlineStr">
        <is>
          <t>DW3742C</t>
        </is>
      </c>
    </row>
    <row r="125" ht="75" customHeight="1">
      <c r="A125" s="1">
        <f>HYPERLINK("https://www.toolnut.com/dewalt-dw5824-1-1-4-x-10-x-15-4-cutter-sds-max-rotary-hammer-bit.html", "https://www.toolnut.com/dewalt-dw5824-1-1-4-x-10-x-15-4-cutter-sds-max-rotary-hammer-bit.html")</f>
        <v/>
      </c>
      <c r="B125" s="1">
        <f>HYPERLINK("https://www.toolnut.com/dewalt-dw5824-1-1-4-x-10-x-15-4-cutter-sds-max-rotary-hammer-bit.html", "https://www.toolnut.com/dewalt-dw5824-1-1-4-x-10-x-15-4-cutter-sds-max-rotary-hammer-bit.html")</f>
        <v/>
      </c>
      <c r="C125" t="inlineStr">
        <is>
          <t>DeWalt DW5824 1-1/4" x 10" x 15" 4 Cutter SDS MAX Rotary Hammer Bit</t>
        </is>
      </c>
      <c r="D125" t="inlineStr">
        <is>
          <t>DEWALT SDS MAX Bit for Rotary Hammer, 4 Cutter, 2-Inch x 22-1/2-Inch (DW5831)</t>
        </is>
      </c>
      <c r="E125" s="1">
        <f>HYPERLINK("https://www.amazon.com/DEWALT-DW5831-2-Inch-18-Inch-4-Cutter/dp/B00004RHF3/ref=sr_1_10?keywords=DeWalt+DW5824+1-1%2F4%22+x+10%22+x+15%22+4+Cutter+SDS+MAX+Rotary+Hammer+Bit&amp;qid=1695346895&amp;sr=8-10", "https://www.amazon.com/DEWALT-DW5831-2-Inch-18-Inch-4-Cutter/dp/B00004RHF3/ref=sr_1_10?keywords=DeWalt+DW5824+1-1%2F4%22+x+10%22+x+15%22+4+Cutter+SDS+MAX+Rotary+Hammer+Bit&amp;qid=1695346895&amp;sr=8-10")</f>
        <v/>
      </c>
      <c r="F125" t="inlineStr">
        <is>
          <t>B00004RHF3</t>
        </is>
      </c>
      <c r="G125">
        <f>_xlfn.IMAGE("https://www.toolnut.com/media/catalog/product/d/e/dewalt-dw5824-1_2.jpg?quality=100&amp;bg-color=255,255,255&amp;fit=bounds&amp;height=700&amp;width=700&amp;canvas=700:700&amp;dpr=1 1x")</f>
        <v/>
      </c>
      <c r="H125">
        <f>_xlfn.IMAGE("https://m.media-amazon.com/images/I/71yz2H2BvAL._AC_UL320_.jpg")</f>
        <v/>
      </c>
      <c r="K125" t="inlineStr">
        <is>
          <t>79.99</t>
        </is>
      </c>
      <c r="L125" t="n">
        <v>149</v>
      </c>
      <c r="M125" s="2" t="inlineStr">
        <is>
          <t>86.27%</t>
        </is>
      </c>
      <c r="N125" t="n">
        <v>4.2</v>
      </c>
      <c r="O125" t="n">
        <v>40</v>
      </c>
      <c r="Q125" t="inlineStr">
        <is>
          <t>InStock</t>
        </is>
      </c>
      <c r="R125" t="inlineStr">
        <is>
          <t>undefined</t>
        </is>
      </c>
      <c r="S125" t="inlineStr">
        <is>
          <t>DW5824</t>
        </is>
      </c>
    </row>
    <row r="126" ht="75" customHeight="1">
      <c r="A126" s="1">
        <f>HYPERLINK("https://www.toolnut.com/dewalt-dw5824-1-1-4-x-10-x-15-4-cutter-sds-max-rotary-hammer-bit.html", "https://www.toolnut.com/dewalt-dw5824-1-1-4-x-10-x-15-4-cutter-sds-max-rotary-hammer-bit.html")</f>
        <v/>
      </c>
      <c r="B126" s="1">
        <f>HYPERLINK("https://www.toolnut.com/dewalt-dw5824-1-1-4-x-10-x-15-4-cutter-sds-max-rotary-hammer-bit.html", "https://www.toolnut.com/dewalt-dw5824-1-1-4-x-10-x-15-4-cutter-sds-max-rotary-hammer-bit.html")</f>
        <v/>
      </c>
      <c r="C126" t="inlineStr">
        <is>
          <t>DeWalt DW5824 1-1/4" x 10" x 15" 4 Cutter SDS MAX Rotary Hammer Bit</t>
        </is>
      </c>
      <c r="D126" t="inlineStr">
        <is>
          <t>DEWALT SDS MAX Bit for Rotary Hammer, 4 Cutter, 2-Inch x 22-1/2-Inch (DW5831)</t>
        </is>
      </c>
      <c r="E126" s="1">
        <f>HYPERLINK("https://www.amazon.com/DEWALT-DW5831-2-Inch-18-Inch-4-Cutter/dp/B00004RHF3/ref=sr_1_10?keywords=DeWalt+DW5824+1-1%2F4%22+x+10%22+x+15%22+4+Cutter+SDS+MAX+Rotary+Hammer+Bit&amp;qid=1695346895&amp;sr=8-10", "https://www.amazon.com/DEWALT-DW5831-2-Inch-18-Inch-4-Cutter/dp/B00004RHF3/ref=sr_1_10?keywords=DeWalt+DW5824+1-1%2F4%22+x+10%22+x+15%22+4+Cutter+SDS+MAX+Rotary+Hammer+Bit&amp;qid=1695346895&amp;sr=8-10")</f>
        <v/>
      </c>
      <c r="F126" t="inlineStr">
        <is>
          <t>B00004RHF3</t>
        </is>
      </c>
      <c r="G126">
        <f>_xlfn.IMAGE("https://www.toolnut.com/media/catalog/product/d/e/dewalt-dw5824-1_2.jpg?quality=100&amp;bg-color=255,255,255&amp;fit=bounds&amp;height=700&amp;width=700&amp;canvas=700:700&amp;dpr=1 1x")</f>
        <v/>
      </c>
      <c r="H126">
        <f>_xlfn.IMAGE("https://m.media-amazon.com/images/I/71yz2H2BvAL._AC_UL320_.jpg")</f>
        <v/>
      </c>
      <c r="K126" t="inlineStr">
        <is>
          <t>79.99</t>
        </is>
      </c>
      <c r="L126" t="n">
        <v>149</v>
      </c>
      <c r="M126" s="2" t="inlineStr">
        <is>
          <t>86.27%</t>
        </is>
      </c>
      <c r="N126" t="n">
        <v>4.2</v>
      </c>
      <c r="O126" t="n">
        <v>40</v>
      </c>
      <c r="Q126" t="inlineStr">
        <is>
          <t>InStock</t>
        </is>
      </c>
      <c r="R126" t="inlineStr">
        <is>
          <t>undefined</t>
        </is>
      </c>
      <c r="S126" t="inlineStr">
        <is>
          <t>DW5824</t>
        </is>
      </c>
    </row>
    <row r="127" ht="75" customHeight="1">
      <c r="A127" s="1">
        <f>HYPERLINK("https://www.toolnut.com/dewalt-dwa2ngft35ir-impact-ready-flextorq-set-35-pieces.html", "https://www.toolnut.com/dewalt-dwa2ngft35ir-impact-ready-flextorq-set-35-pieces.html")</f>
        <v/>
      </c>
      <c r="B127" s="1">
        <f>HYPERLINK("https://www.toolnut.com/dewalt-dwa2ngft35ir-impact-ready-flextorq-set-35-pieces.html", "https://www.toolnut.com/dewalt-dwa2ngft35ir-impact-ready-flextorq-set-35-pieces.html")</f>
        <v/>
      </c>
      <c r="C127" t="inlineStr">
        <is>
          <t>DeWalt DWA2NGFT35IR Impact Ready FlexTorq Set, 35-Pieces</t>
        </is>
      </c>
      <c r="D127" t="inlineStr">
        <is>
          <t>DEWALT DW1354 14-Piece Titanium Drill Bit Set, Yellow and DEWALT DWA2T40IR IMPACT READY FlexTorq Screw Driving Set, 40-Piece</t>
        </is>
      </c>
      <c r="E127" s="1">
        <f>HYPERLINK("https://www.amazon.com/DEWALT-14-Piece-Titanium-DWA2T40IR-FlexTorq/dp/B07VJWMQB9/ref=sr_1_8?keywords=DeWalt+DWA2NGFT35IR+Impact+Ready+FlexTorq+Set%2C+35-Pieces&amp;qid=1695346850&amp;sr=8-8", "https://www.amazon.com/DEWALT-14-Piece-Titanium-DWA2T40IR-FlexTorq/dp/B07VJWMQB9/ref=sr_1_8?keywords=DeWalt+DWA2NGFT35IR+Impact+Ready+FlexTorq+Set%2C+35-Pieces&amp;qid=1695346850&amp;sr=8-8")</f>
        <v/>
      </c>
      <c r="F127" t="inlineStr">
        <is>
          <t>B07VJWMQB9</t>
        </is>
      </c>
      <c r="G127">
        <f>_xlfn.IMAGE("https://www.toolnut.com/media/catalog/product/d/w/dwa2ngft35ir.jpg?quality=100&amp;bg-color=255,255,255&amp;fit=bounds&amp;height=700&amp;width=700&amp;canvas=700:700&amp;dpr=1 1x")</f>
        <v/>
      </c>
      <c r="H127">
        <f>_xlfn.IMAGE("https://m.media-amazon.com/images/I/51HsTs8zaHL._AC_UL320_.jpg")</f>
        <v/>
      </c>
      <c r="K127" t="inlineStr">
        <is>
          <t>27.99</t>
        </is>
      </c>
      <c r="L127" t="n">
        <v>45.99</v>
      </c>
      <c r="M127" s="2" t="inlineStr">
        <is>
          <t>64.31%</t>
        </is>
      </c>
      <c r="N127" t="n">
        <v>4.8</v>
      </c>
      <c r="O127" t="n">
        <v>231</v>
      </c>
      <c r="Q127" t="inlineStr">
        <is>
          <t>InStock</t>
        </is>
      </c>
      <c r="R127" t="inlineStr">
        <is>
          <t>undefined</t>
        </is>
      </c>
      <c r="S127" t="inlineStr">
        <is>
          <t>DWA2NGFT35IR</t>
        </is>
      </c>
    </row>
    <row r="128" ht="75" customHeight="1">
      <c r="A128" s="1">
        <f>HYPERLINK("https://www.toolnut.com/dewalt-dwa2ngft35ir-impact-ready-flextorq-set-35-pieces.html", "https://www.toolnut.com/dewalt-dwa2ngft35ir-impact-ready-flextorq-set-35-pieces.html")</f>
        <v/>
      </c>
      <c r="B128" s="1">
        <f>HYPERLINK("https://www.toolnut.com/dewalt-dwa2ngft35ir-impact-ready-flextorq-set-35-pieces.html", "https://www.toolnut.com/dewalt-dwa2ngft35ir-impact-ready-flextorq-set-35-pieces.html")</f>
        <v/>
      </c>
      <c r="C128" t="inlineStr">
        <is>
          <t>DeWalt DWA2NGFT35IR Impact Ready FlexTorq Set, 35-Pieces</t>
        </is>
      </c>
      <c r="D128" t="inlineStr">
        <is>
          <t>DEWALT DW1354 14-Piece Titanium Drill Bit Set, Yellow and DEWALT DWA2T40IR IMPACT READY FlexTorq Screw Driving Set, 40-Piece</t>
        </is>
      </c>
      <c r="E128" s="1">
        <f>HYPERLINK("https://www.amazon.com/DEWALT-14-Piece-Titanium-DWA2T40IR-FlexTorq/dp/B07VJWMQB9/ref=sr_1_8?keywords=DeWalt+DWA2NGFT35IR+Impact+Ready+FlexTorq+Set%2C+35-Pieces&amp;qid=1695346850&amp;sr=8-8", "https://www.amazon.com/DEWALT-14-Piece-Titanium-DWA2T40IR-FlexTorq/dp/B07VJWMQB9/ref=sr_1_8?keywords=DeWalt+DWA2NGFT35IR+Impact+Ready+FlexTorq+Set%2C+35-Pieces&amp;qid=1695346850&amp;sr=8-8")</f>
        <v/>
      </c>
      <c r="F128" t="inlineStr">
        <is>
          <t>B07VJWMQB9</t>
        </is>
      </c>
      <c r="G128">
        <f>_xlfn.IMAGE("https://www.toolnut.com/media/catalog/product/d/w/dwa2ngft35ir.jpg?quality=100&amp;bg-color=255,255,255&amp;fit=bounds&amp;height=700&amp;width=700&amp;canvas=700:700&amp;dpr=1 1x")</f>
        <v/>
      </c>
      <c r="H128">
        <f>_xlfn.IMAGE("https://m.media-amazon.com/images/I/51HsTs8zaHL._AC_UL320_.jpg")</f>
        <v/>
      </c>
      <c r="K128" t="inlineStr">
        <is>
          <t>27.99</t>
        </is>
      </c>
      <c r="L128" t="n">
        <v>45.99</v>
      </c>
      <c r="M128" s="2" t="inlineStr">
        <is>
          <t>64.31%</t>
        </is>
      </c>
      <c r="N128" t="n">
        <v>4.8</v>
      </c>
      <c r="O128" t="n">
        <v>231</v>
      </c>
      <c r="Q128" t="inlineStr">
        <is>
          <t>InStock</t>
        </is>
      </c>
      <c r="R128" t="inlineStr">
        <is>
          <t>undefined</t>
        </is>
      </c>
      <c r="S128" t="inlineStr">
        <is>
          <t>DWA2NGFT35IR</t>
        </is>
      </c>
    </row>
    <row r="129" ht="75" customHeight="1">
      <c r="A129" s="1">
        <f>HYPERLINK("https://www.toolnut.com/dewalt-dwa2t40irset-40-piece-flextorq-impact-ready-screwdriver-bit-set.html", "https://www.toolnut.com/dewalt-dwa2t40irset-40-piece-flextorq-impact-ready-screwdriver-bit-set.html")</f>
        <v/>
      </c>
      <c r="B129" s="1">
        <f>HYPERLINK("https://www.toolnut.com/dewalt-dwa2t40irset-40-piece-flextorq-impact-ready-screwdriver-bit-set.html", "https://www.toolnut.com/dewalt-dwa2t40irset-40-piece-flextorq-impact-ready-screwdriver-bit-set.html")</f>
        <v/>
      </c>
      <c r="C129" t="inlineStr">
        <is>
          <t>DeWalt DWA2T40IRSET 40-Piece FlexTorq Impact Ready Screwdriver Bit Set w/ Case</t>
        </is>
      </c>
      <c r="D129" t="inlineStr">
        <is>
          <t>DEWALT Mechanics Tool Set, 192-Piece with Screwdriver Bit Set, Impact Ready, FlexTorq, 40-Piece (DWMT75049 &amp; DWA2T40IR)</t>
        </is>
      </c>
      <c r="E129" s="1">
        <f>HYPERLINK("https://www.amazon.com/DEWALT-Mechanics-192-Piece-Screwdriver-DWMT75049/dp/B09JXTJ3Q3/ref=sr_1_10?keywords=DeWalt+DWA2T40IRSET+40-Piece+FlexTorq+Impact+Ready+Screwdriver+Bit+Set+w%2F+Case&amp;qid=1695346940&amp;sr=8-10", "https://www.amazon.com/DEWALT-Mechanics-192-Piece-Screwdriver-DWMT75049/dp/B09JXTJ3Q3/ref=sr_1_10?keywords=DeWalt+DWA2T40IRSET+40-Piece+FlexTorq+Impact+Ready+Screwdriver+Bit+Set+w%2F+Case&amp;qid=1695346940&amp;sr=8-10")</f>
        <v/>
      </c>
      <c r="F129" t="inlineStr">
        <is>
          <t>B09JXTJ3Q3</t>
        </is>
      </c>
      <c r="G129">
        <f>_xlfn.IMAGE("https://www.toolnut.com/media/catalog/product/d/w/dwa2t40irset-p1.jpg?quality=100&amp;bg-color=255,255,255&amp;fit=bounds&amp;height=700&amp;width=700&amp;canvas=700:700")</f>
        <v/>
      </c>
      <c r="H129">
        <f>_xlfn.IMAGE("https://m.media-amazon.com/images/I/51hw7TTS+oL._AC_UL320_.jpg")</f>
        <v/>
      </c>
      <c r="K129" t="inlineStr">
        <is>
          <t>29.98</t>
        </is>
      </c>
      <c r="L129" t="n">
        <v>227.26</v>
      </c>
      <c r="M129" s="2" t="inlineStr">
        <is>
          <t>658.04%</t>
        </is>
      </c>
      <c r="N129" t="n">
        <v>4.8</v>
      </c>
      <c r="O129" t="n">
        <v>6622</v>
      </c>
      <c r="Q129" t="inlineStr">
        <is>
          <t>InStock</t>
        </is>
      </c>
      <c r="R129" t="inlineStr">
        <is>
          <t>undefined</t>
        </is>
      </c>
      <c r="S129" t="inlineStr">
        <is>
          <t>DWA2T40IRSET</t>
        </is>
      </c>
    </row>
    <row r="130" ht="75" customHeight="1">
      <c r="A130" s="1">
        <f>HYPERLINK("https://www.toolnut.com/dewalt-dwadend-2-2pc-reversible-nut-driver-set.html", "https://www.toolnut.com/dewalt-dwadend-2-2pc-reversible-nut-driver-set.html")</f>
        <v/>
      </c>
      <c r="B130" s="1">
        <f>HYPERLINK("https://www.toolnut.com/dewalt-dwadend-2-2pc-reversible-nut-driver-set.html", "https://www.toolnut.com/dewalt-dwadend-2-2pc-reversible-nut-driver-set.html")</f>
        <v/>
      </c>
      <c r="C130" t="inlineStr">
        <is>
          <t>DeWalt DWADEND-2 2-Piece Reversible Nut Driver Set</t>
        </is>
      </c>
      <c r="D130" t="inlineStr">
        <is>
          <t>DEWALT Nut Driver Set, Impact Ready, Magnetic, 5-Piece (DW2235IR)</t>
        </is>
      </c>
      <c r="E130" s="1">
        <f>HYPERLINK("https://www.amazon.com/DEWALT-DW2235IR-5-Piece-Magnetic-Nutsetter/dp/B003JQJYHM/ref=sr_1_4?keywords=DeWalt+DWADEND-2+2-Piece+Reversible+Nut+Driver+Set&amp;qid=1695346875&amp;sr=8-4", "https://www.amazon.com/DEWALT-DW2235IR-5-Piece-Magnetic-Nutsetter/dp/B003JQJYHM/ref=sr_1_4?keywords=DeWalt+DWADEND-2+2-Piece+Reversible+Nut+Driver+Set&amp;qid=1695346875&amp;sr=8-4")</f>
        <v/>
      </c>
      <c r="F130" t="inlineStr">
        <is>
          <t>B003JQJYHM</t>
        </is>
      </c>
      <c r="G130">
        <f>_xlfn.IMAGE("https://www.toolnut.com/media/catalog/product/d/e/dewalt_dwadend-2.jpeg?quality=100&amp;bg-color=255,255,255&amp;fit=bounds&amp;height=700&amp;width=700&amp;canvas=700:700&amp;dpr=1 1x")</f>
        <v/>
      </c>
      <c r="H130">
        <f>_xlfn.IMAGE("https://m.media-amazon.com/images/I/71r1OC0zMkS._AC_UL320_.jpg")</f>
        <v/>
      </c>
      <c r="K130" t="inlineStr">
        <is>
          <t>7.99</t>
        </is>
      </c>
      <c r="L130" t="n">
        <v>17.98</v>
      </c>
      <c r="M130" s="2" t="inlineStr">
        <is>
          <t>125.03%</t>
        </is>
      </c>
      <c r="N130" t="n">
        <v>4.8</v>
      </c>
      <c r="O130" t="n">
        <v>6213</v>
      </c>
      <c r="Q130" t="inlineStr">
        <is>
          <t>InStock</t>
        </is>
      </c>
      <c r="R130" t="inlineStr">
        <is>
          <t>undefined</t>
        </is>
      </c>
      <c r="S130" t="inlineStr">
        <is>
          <t>DWADEND-2</t>
        </is>
      </c>
    </row>
    <row r="131" ht="75" customHeight="1">
      <c r="A131" s="1">
        <f>HYPERLINK("https://www.toolnut.com/dewalt-dwadend-2-2pc-reversible-nut-driver-set.html", "https://www.toolnut.com/dewalt-dwadend-2-2pc-reversible-nut-driver-set.html")</f>
        <v/>
      </c>
      <c r="B131" s="1">
        <f>HYPERLINK("https://www.toolnut.com/dewalt-dwadend-2-2pc-reversible-nut-driver-set.html", "https://www.toolnut.com/dewalt-dwadend-2-2pc-reversible-nut-driver-set.html")</f>
        <v/>
      </c>
      <c r="C131" t="inlineStr">
        <is>
          <t>DeWalt DWADEND-2 2-Piece Reversible Nut Driver Set</t>
        </is>
      </c>
      <c r="D131" t="inlineStr">
        <is>
          <t>DEWALT Nut Driver Set, Impact Ready, Magnetic, 5-Piece (DW2235IR)</t>
        </is>
      </c>
      <c r="E131" s="1">
        <f>HYPERLINK("https://www.amazon.com/DEWALT-DW2235IR-5-Piece-Magnetic-Nutsetter/dp/B003JQJYHM/ref=sr_1_4?keywords=DeWalt+DWADEND-2+2-Piece+Reversible+Nut+Driver+Set&amp;qid=1695346875&amp;sr=8-4", "https://www.amazon.com/DEWALT-DW2235IR-5-Piece-Magnetic-Nutsetter/dp/B003JQJYHM/ref=sr_1_4?keywords=DeWalt+DWADEND-2+2-Piece+Reversible+Nut+Driver+Set&amp;qid=1695346875&amp;sr=8-4")</f>
        <v/>
      </c>
      <c r="F131" t="inlineStr">
        <is>
          <t>B003JQJYHM</t>
        </is>
      </c>
      <c r="G131">
        <f>_xlfn.IMAGE("https://www.toolnut.com/media/catalog/product/d/e/dewalt_dwadend-2.jpeg?quality=100&amp;bg-color=255,255,255&amp;fit=bounds&amp;height=700&amp;width=700&amp;canvas=700:700&amp;dpr=1 1x")</f>
        <v/>
      </c>
      <c r="H131">
        <f>_xlfn.IMAGE("https://m.media-amazon.com/images/I/71r1OC0zMkS._AC_UL320_.jpg")</f>
        <v/>
      </c>
      <c r="K131" t="inlineStr">
        <is>
          <t>7.99</t>
        </is>
      </c>
      <c r="L131" t="n">
        <v>17.98</v>
      </c>
      <c r="M131" s="2" t="inlineStr">
        <is>
          <t>125.03%</t>
        </is>
      </c>
      <c r="N131" t="n">
        <v>4.8</v>
      </c>
      <c r="O131" t="n">
        <v>6213</v>
      </c>
      <c r="Q131" t="inlineStr">
        <is>
          <t>InStock</t>
        </is>
      </c>
      <c r="R131" t="inlineStr">
        <is>
          <t>undefined</t>
        </is>
      </c>
      <c r="S131" t="inlineStr">
        <is>
          <t>DWADEND-2</t>
        </is>
      </c>
    </row>
    <row r="132" ht="75" customHeight="1">
      <c r="A132" s="1">
        <f>HYPERLINK("https://www.toolnut.com/dewalt-dwafirdg-flextorq-impact-ready-drive-guide.html", "https://www.toolnut.com/dewalt-dwafirdg-flextorq-impact-ready-drive-guide.html")</f>
        <v/>
      </c>
      <c r="B132" s="1">
        <f>HYPERLINK("https://www.toolnut.com/dewalt-dwafirdg-flextorq-impact-ready-drive-guide.html", "https://www.toolnut.com/dewalt-dwafirdg-flextorq-impact-ready-drive-guide.html")</f>
        <v/>
      </c>
      <c r="C132" t="inlineStr">
        <is>
          <t>DeWalt DWAFIRDG FlexTorq Impact Ready Drive Guide</t>
        </is>
      </c>
      <c r="D132" t="inlineStr">
        <is>
          <t>DEWALT Screwdriver Bit Set, Impact Ready, FlexTorq, 35-Piece (DWA2T35IR)</t>
        </is>
      </c>
      <c r="E132" s="1">
        <f>HYPERLINK("https://www.amazon.com/DEWALT-DWA2T35IR-FlexTorq-Screwdriving-35-Piece/dp/B00G9CL83Q/ref=sr_1_5?keywords=dewalt+dwarfirdg+flextorq+impact+ready+drive+guide&amp;qid=1695346925&amp;sr=8-5", "https://www.amazon.com/DEWALT-DWA2T35IR-FlexTorq-Screwdriving-35-Piece/dp/B00G9CL83Q/ref=sr_1_5?keywords=dewalt+dwarfirdg+flextorq+impact+ready+drive+guide&amp;qid=1695346925&amp;sr=8-5")</f>
        <v/>
      </c>
      <c r="F132" t="inlineStr">
        <is>
          <t>B00G9CL83Q</t>
        </is>
      </c>
      <c r="G132">
        <f>_xlfn.IMAGE("https://www.toolnut.com/media/catalog/product/d/w/dwafirdg-p1.jpg?quality=100&amp;bg-color=255,255,255&amp;fit=bounds&amp;height=700&amp;width=700&amp;canvas=700:700&amp;dpr=1 1x")</f>
        <v/>
      </c>
      <c r="H132">
        <f>_xlfn.IMAGE("https://m.media-amazon.com/images/I/81CzgmLgy9L._AC_UL320_.jpg")</f>
        <v/>
      </c>
      <c r="K132" t="inlineStr">
        <is>
          <t>9.98</t>
        </is>
      </c>
      <c r="L132" t="n">
        <v>36</v>
      </c>
      <c r="M132" s="2" t="inlineStr">
        <is>
          <t>260.72%</t>
        </is>
      </c>
      <c r="N132" t="n">
        <v>4.8</v>
      </c>
      <c r="O132" t="n">
        <v>4382</v>
      </c>
      <c r="Q132" t="inlineStr">
        <is>
          <t>InStock</t>
        </is>
      </c>
      <c r="R132" t="inlineStr">
        <is>
          <t>undefined</t>
        </is>
      </c>
      <c r="S132" t="inlineStr">
        <is>
          <t>DWAFIRDG</t>
        </is>
      </c>
    </row>
    <row r="133" ht="75" customHeight="1">
      <c r="A133" s="1">
        <f>HYPERLINK("https://www.toolnut.com/dewalt-dwafirdg-flextorq-impact-ready-drive-guide.html", "https://www.toolnut.com/dewalt-dwafirdg-flextorq-impact-ready-drive-guide.html")</f>
        <v/>
      </c>
      <c r="B133" s="1">
        <f>HYPERLINK("https://www.toolnut.com/dewalt-dwafirdg-flextorq-impact-ready-drive-guide.html", "https://www.toolnut.com/dewalt-dwafirdg-flextorq-impact-ready-drive-guide.html")</f>
        <v/>
      </c>
      <c r="C133" t="inlineStr">
        <is>
          <t>DeWalt DWAFIRDG FlexTorq Impact Ready Drive Guide</t>
        </is>
      </c>
      <c r="D133" t="inlineStr">
        <is>
          <t>DEWALT Screwdriver Bit Set, Impact Ready, FlexTorq, 40-Piece (DWA2T40IR)</t>
        </is>
      </c>
      <c r="E133" s="1">
        <f>HYPERLINK("https://www.amazon.com/DEWALT-DWA2T40IR-FlexTorq-Driving-40-Piece/dp/B00GMXFK3G/ref=sr_1_6?keywords=dewalt+dwarfirdg+flextorq+impact+ready+drive+guide&amp;qid=1695346925&amp;sr=8-6", "https://www.amazon.com/DEWALT-DWA2T40IR-FlexTorq-Driving-40-Piece/dp/B00GMXFK3G/ref=sr_1_6?keywords=dewalt+dwarfirdg+flextorq+impact+ready+drive+guide&amp;qid=1695346925&amp;sr=8-6")</f>
        <v/>
      </c>
      <c r="F133" t="inlineStr">
        <is>
          <t>B00GMXFK3G</t>
        </is>
      </c>
      <c r="G133">
        <f>_xlfn.IMAGE("https://www.toolnut.com/media/catalog/product/d/w/dwafirdg-p1.jpg?quality=100&amp;bg-color=255,255,255&amp;fit=bounds&amp;height=700&amp;width=700&amp;canvas=700:700&amp;dpr=1 1x")</f>
        <v/>
      </c>
      <c r="H133">
        <f>_xlfn.IMAGE("https://m.media-amazon.com/images/I/71WoK0vc-OL._AC_UL320_.jpg")</f>
        <v/>
      </c>
      <c r="K133" t="inlineStr">
        <is>
          <t>9.98</t>
        </is>
      </c>
      <c r="L133" t="n">
        <v>26</v>
      </c>
      <c r="M133" s="2" t="inlineStr">
        <is>
          <t>160.52%</t>
        </is>
      </c>
      <c r="N133" t="n">
        <v>4.8</v>
      </c>
      <c r="O133" t="n">
        <v>81044</v>
      </c>
      <c r="Q133" t="inlineStr">
        <is>
          <t>InStock</t>
        </is>
      </c>
      <c r="R133" t="inlineStr">
        <is>
          <t>undefined</t>
        </is>
      </c>
      <c r="S133" t="inlineStr">
        <is>
          <t>DWAFIRDG</t>
        </is>
      </c>
    </row>
    <row r="134" ht="75" customHeight="1">
      <c r="A134" s="1">
        <f>HYPERLINK("https://www.toolnut.com/dewalt-dwafirdg-flextorq-impact-ready-drive-guide.html", "https://www.toolnut.com/dewalt-dwafirdg-flextorq-impact-ready-drive-guide.html")</f>
        <v/>
      </c>
      <c r="B134" s="1">
        <f>HYPERLINK("https://www.toolnut.com/dewalt-dwafirdg-flextorq-impact-ready-drive-guide.html", "https://www.toolnut.com/dewalt-dwafirdg-flextorq-impact-ready-drive-guide.html")</f>
        <v/>
      </c>
      <c r="C134" t="inlineStr">
        <is>
          <t>DeWalt DWAFIRDG FlexTorq Impact Ready Drive Guide</t>
        </is>
      </c>
      <c r="D134" t="inlineStr">
        <is>
          <t>DEWALT Screwdriver Bit Set, Impact Ready, FlexTorq, 40-Piece (DWA2T40IR)</t>
        </is>
      </c>
      <c r="E134" s="1">
        <f>HYPERLINK("https://www.amazon.com/DEWALT-DWA2T40IR-FlexTorq-Driving-40-Piece/dp/B00GMXFK3G/ref=sr_1_6?keywords=dewalt+dwarfirdg+flextorq+impact+ready+drive+guide&amp;qid=1695346925&amp;sr=8-6", "https://www.amazon.com/DEWALT-DWA2T40IR-FlexTorq-Driving-40-Piece/dp/B00GMXFK3G/ref=sr_1_6?keywords=dewalt+dwarfirdg+flextorq+impact+ready+drive+guide&amp;qid=1695346925&amp;sr=8-6")</f>
        <v/>
      </c>
      <c r="F134" t="inlineStr">
        <is>
          <t>B00GMXFK3G</t>
        </is>
      </c>
      <c r="G134">
        <f>_xlfn.IMAGE("https://www.toolnut.com/media/catalog/product/d/w/dwafirdg-p1.jpg?quality=100&amp;bg-color=255,255,255&amp;fit=bounds&amp;height=700&amp;width=700&amp;canvas=700:700&amp;dpr=1 1x")</f>
        <v/>
      </c>
      <c r="H134">
        <f>_xlfn.IMAGE("https://m.media-amazon.com/images/I/71WoK0vc-OL._AC_UL320_.jpg")</f>
        <v/>
      </c>
      <c r="K134" t="inlineStr">
        <is>
          <t>9.98</t>
        </is>
      </c>
      <c r="L134" t="n">
        <v>26</v>
      </c>
      <c r="M134" s="2" t="inlineStr">
        <is>
          <t>160.52%</t>
        </is>
      </c>
      <c r="N134" t="n">
        <v>4.8</v>
      </c>
      <c r="O134" t="n">
        <v>81044</v>
      </c>
      <c r="Q134" t="inlineStr">
        <is>
          <t>InStock</t>
        </is>
      </c>
      <c r="R134" t="inlineStr">
        <is>
          <t>undefined</t>
        </is>
      </c>
      <c r="S134" t="inlineStr">
        <is>
          <t>DWAFIRDG</t>
        </is>
      </c>
    </row>
    <row r="135" ht="75" customHeight="1">
      <c r="A135" s="1">
        <f>HYPERLINK("https://www.toolnut.com/dewalt-dwangft100set-100-piece-flextorq-impact-ready-screwdriving-bit-set-w-case.html", "https://www.toolnut.com/dewalt-dwangft100set-100-piece-flextorq-impact-ready-screwdriving-bit-set-w-case.html")</f>
        <v/>
      </c>
      <c r="B135" s="1">
        <f>HYPERLINK("https://www.toolnut.com/dewalt-dwangft100set-100-piece-flextorq-impact-ready-screwdriving-bit-set-w-case.html", "https://www.toolnut.com/dewalt-dwangft100set-100-piece-flextorq-impact-ready-screwdriving-bit-set-w-case.html")</f>
        <v/>
      </c>
      <c r="C135" t="inlineStr">
        <is>
          <t>DeWalt DWANGFT100SET 100-Piece FlexTorq Impact Ready Screwdriving Bit Set w/ Case</t>
        </is>
      </c>
      <c r="D135" t="inlineStr">
        <is>
          <t>DEWALT FlexTorq 100-Piece Impact Driver Bit Set (DWANGFT100SETC)</t>
        </is>
      </c>
      <c r="E135" s="1">
        <f>HYPERLINK("https://www.amazon.com/DEWALT-FlexTorq-100-Piece-Impact-DWANGFT100SETC/dp/B09FR9D27B/ref=sr_1_2?keywords=DeWalt+DWANGFT100SET+100-Piece+FlexTorq+Impact+Ready+Screwdriving+Bit+Set+w%2F+Case&amp;qid=1695346925&amp;sr=8-2", "https://www.amazon.com/DEWALT-FlexTorq-100-Piece-Impact-DWANGFT100SETC/dp/B09FR9D27B/ref=sr_1_2?keywords=DeWalt+DWANGFT100SET+100-Piece+FlexTorq+Impact+Ready+Screwdriving+Bit+Set+w%2F+Case&amp;qid=1695346925&amp;sr=8-2")</f>
        <v/>
      </c>
      <c r="F135" t="inlineStr">
        <is>
          <t>B09FR9D27B</t>
        </is>
      </c>
      <c r="G135">
        <f>_xlfn.IMAGE("https://www.toolnut.com/media/catalog/product/d/w/dwangft100set-1.jpg?quality=100&amp;bg-color=255,255,255&amp;fit=bounds&amp;height=700&amp;width=700&amp;canvas=700:700&amp;dpr=1 1x")</f>
        <v/>
      </c>
      <c r="H135">
        <f>_xlfn.IMAGE("https://m.media-amazon.com/images/I/81e0d9ugeWL._AC_UL320_.jpg")</f>
        <v/>
      </c>
      <c r="K135" t="inlineStr">
        <is>
          <t>44.98</t>
        </is>
      </c>
      <c r="L135" t="n">
        <v>105</v>
      </c>
      <c r="M135" s="2" t="inlineStr">
        <is>
          <t>133.44%</t>
        </is>
      </c>
      <c r="N135" t="n">
        <v>4.7</v>
      </c>
      <c r="O135" t="n">
        <v>140</v>
      </c>
      <c r="Q135" t="inlineStr">
        <is>
          <t>InStock</t>
        </is>
      </c>
      <c r="R135" t="inlineStr">
        <is>
          <t>undefined</t>
        </is>
      </c>
      <c r="S135" t="inlineStr">
        <is>
          <t>DWANGFT100SET</t>
        </is>
      </c>
    </row>
    <row r="136" ht="75" customHeight="1">
      <c r="A136" s="1">
        <f>HYPERLINK("https://www.toolnut.com/dewalt-dwangft100set-100-piece-flextorq-impact-ready-screwdriving-bit-set-w-case.html", "https://www.toolnut.com/dewalt-dwangft100set-100-piece-flextorq-impact-ready-screwdriving-bit-set-w-case.html")</f>
        <v/>
      </c>
      <c r="B136" s="1">
        <f>HYPERLINK("https://www.toolnut.com/dewalt-dwangft100set-100-piece-flextorq-impact-ready-screwdriving-bit-set-w-case.html", "https://www.toolnut.com/dewalt-dwangft100set-100-piece-flextorq-impact-ready-screwdriving-bit-set-w-case.html")</f>
        <v/>
      </c>
      <c r="C136" t="inlineStr">
        <is>
          <t>DeWalt DWANGFT100SET 100-Piece FlexTorq Impact Ready Screwdriving Bit Set w/ Case</t>
        </is>
      </c>
      <c r="D136" t="inlineStr">
        <is>
          <t>DEWALT FlexTorq 100-Piece Impact Driver Bit Set (DWANGFT100SETC)</t>
        </is>
      </c>
      <c r="E136" s="1">
        <f>HYPERLINK("https://www.amazon.com/DEWALT-FlexTorq-100-Piece-Impact-DWANGFT100SETC/dp/B09FR9D27B/ref=sr_1_2?keywords=DeWalt+DWANGFT100SET+100-Piece+FlexTorq+Impact+Ready+Screwdriving+Bit+Set+w%2F+Case&amp;qid=1695346925&amp;sr=8-2", "https://www.amazon.com/DEWALT-FlexTorq-100-Piece-Impact-DWANGFT100SETC/dp/B09FR9D27B/ref=sr_1_2?keywords=DeWalt+DWANGFT100SET+100-Piece+FlexTorq+Impact+Ready+Screwdriving+Bit+Set+w%2F+Case&amp;qid=1695346925&amp;sr=8-2")</f>
        <v/>
      </c>
      <c r="F136" t="inlineStr">
        <is>
          <t>B09FR9D27B</t>
        </is>
      </c>
      <c r="G136">
        <f>_xlfn.IMAGE("https://www.toolnut.com/media/catalog/product/d/w/dwangft100set-1.jpg?quality=100&amp;bg-color=255,255,255&amp;fit=bounds&amp;height=700&amp;width=700&amp;canvas=700:700&amp;dpr=1 1x")</f>
        <v/>
      </c>
      <c r="H136">
        <f>_xlfn.IMAGE("https://m.media-amazon.com/images/I/81e0d9ugeWL._AC_UL320_.jpg")</f>
        <v/>
      </c>
      <c r="K136" t="inlineStr">
        <is>
          <t>44.98</t>
        </is>
      </c>
      <c r="L136" t="n">
        <v>105</v>
      </c>
      <c r="M136" s="2" t="inlineStr">
        <is>
          <t>133.44%</t>
        </is>
      </c>
      <c r="N136" t="n">
        <v>4.7</v>
      </c>
      <c r="O136" t="n">
        <v>140</v>
      </c>
      <c r="Q136" t="inlineStr">
        <is>
          <t>InStock</t>
        </is>
      </c>
      <c r="R136" t="inlineStr">
        <is>
          <t>undefined</t>
        </is>
      </c>
      <c r="S136" t="inlineStr">
        <is>
          <t>DWANGFT100SET</t>
        </is>
      </c>
    </row>
    <row r="137" ht="75" customHeight="1">
      <c r="A137" s="1">
        <f>HYPERLINK("https://www.toolnut.com/diablo-d055018wmx-5-1-2-inch-x-18-tooth-fast-framing-saw-blade.html", "https://www.toolnut.com/diablo-d055018wmx-5-1-2-inch-x-18-tooth-fast-framing-saw-blade.html")</f>
        <v/>
      </c>
      <c r="B137" s="1">
        <f>HYPERLINK("https://www.toolnut.com/diablo-d055018wmx-5-1-2-inch-x-18-tooth-fast-framing-saw-blade.html", "https://www.toolnut.com/diablo-d055018wmx-5-1-2-inch-x-18-tooth-fast-framing-saw-blade.html")</f>
        <v/>
      </c>
      <c r="C137" t="inlineStr">
        <is>
          <t>Diablo D055018WMX 5-1/2-Inch x 18 Tooth Fast Framing Saw Blade</t>
        </is>
      </c>
      <c r="D137" t="inlineStr">
        <is>
          <t>Freud D0518x 5-1/2-Inch x 18 Tooth Framing Circular Saw Blade</t>
        </is>
      </c>
      <c r="E137" s="1">
        <f>HYPERLINK("https://www.amazon.com/Freud-D0518x-2-Inch-Framing-Circular/dp/B00I9JT384/ref=sr_1_1?keywords=Diablo+D055018WMX+5-1%2F2-Inch+x+18+Tooth+Fast+Framing+Saw+Blade&amp;qid=1695346722&amp;sr=8-1", "https://www.amazon.com/Freud-D0518x-2-Inch-Framing-Circular/dp/B00I9JT384/ref=sr_1_1?keywords=Diablo+D055018WMX+5-1%2F2-Inch+x+18+Tooth+Fast+Framing+Saw+Blade&amp;qid=1695346722&amp;sr=8-1")</f>
        <v/>
      </c>
      <c r="F137" t="inlineStr">
        <is>
          <t>B00I9JT384</t>
        </is>
      </c>
      <c r="G137">
        <f>_xlfn.IMAGE("https://www.toolnut.com/media/catalog/product/d/0/d055018wmx_main-image.jpg?quality=100&amp;bg-color=255,255,255&amp;fit=bounds&amp;height=700&amp;width=700&amp;canvas=700:700&amp;dpr=1 1x")</f>
        <v/>
      </c>
      <c r="H137">
        <f>_xlfn.IMAGE("https://m.media-amazon.com/images/I/61zzaxYI-WL._AC_UL320_.jpg")</f>
        <v/>
      </c>
      <c r="K137" t="inlineStr">
        <is>
          <t>11.99</t>
        </is>
      </c>
      <c r="L137" t="n">
        <v>23.99</v>
      </c>
      <c r="M137" s="2" t="inlineStr">
        <is>
          <t>100.08%</t>
        </is>
      </c>
      <c r="N137" t="n">
        <v>4.7</v>
      </c>
      <c r="O137" t="n">
        <v>469</v>
      </c>
      <c r="Q137" t="inlineStr">
        <is>
          <t>InStock</t>
        </is>
      </c>
      <c r="R137" t="inlineStr">
        <is>
          <t>undefined</t>
        </is>
      </c>
      <c r="S137" t="inlineStr">
        <is>
          <t>D055018WMX</t>
        </is>
      </c>
    </row>
    <row r="138" ht="75" customHeight="1">
      <c r="A138" s="1">
        <f>HYPERLINK("https://www.toolnut.com/diablo-d0724x-7-1-4-x-24-atb-framing-saw-blade.html", "https://www.toolnut.com/diablo-d0724x-7-1-4-x-24-atb-framing-saw-blade.html")</f>
        <v/>
      </c>
      <c r="B138" s="1">
        <f>HYPERLINK("https://www.toolnut.com/diablo-d0724x-7-1-4-x-24-atb-framing-saw-blade.html", "https://www.toolnut.com/diablo-d0724x-7-1-4-x-24-atb-framing-saw-blade.html")</f>
        <v/>
      </c>
      <c r="C138" t="inlineStr">
        <is>
          <t>Diablo D0724X 7-1/4-Inch x 24 ATB Framing Saw Blade</t>
        </is>
      </c>
      <c r="D138" t="inlineStr">
        <is>
          <t>(4 Count) Freud Diablo D0724 7-1/4-Inch 24 Tooth ATB Carbide Framing Saw Blade with 5/8-Inch and Diamond Knockout Arbor</t>
        </is>
      </c>
      <c r="E138" s="1">
        <f>HYPERLINK("https://www.amazon.com/Freud-Diablo-D0724-Carbide-Knockout/dp/B00OL849JA/ref=sr_1_4?keywords=Diablo+D0724X+7-1%2F4-Inch+x+24+ATB+Framing+Saw+Blade&amp;qid=1695346713&amp;sr=8-4", "https://www.amazon.com/Freud-Diablo-D0724-Carbide-Knockout/dp/B00OL849JA/ref=sr_1_4?keywords=Diablo+D0724X+7-1%2F4-Inch+x+24+ATB+Framing+Saw+Blade&amp;qid=1695346713&amp;sr=8-4")</f>
        <v/>
      </c>
      <c r="F138" t="inlineStr">
        <is>
          <t>B00OL849JA</t>
        </is>
      </c>
      <c r="G138">
        <f>_xlfn.IMAGE("https://www.toolnut.com/media/catalog/product/d/0/d0724x_main-image.jpg?quality=100&amp;bg-color=255,255,255&amp;fit=bounds&amp;height=700&amp;width=700&amp;canvas=700:700&amp;dpr=1 1x")</f>
        <v/>
      </c>
      <c r="H138">
        <f>_xlfn.IMAGE("https://m.media-amazon.com/images/I/41Y-PeOXAoL._AC_UL320_.jpg")</f>
        <v/>
      </c>
      <c r="K138" t="inlineStr">
        <is>
          <t>10.99</t>
        </is>
      </c>
      <c r="L138" t="n">
        <v>45.99</v>
      </c>
      <c r="M138" s="2" t="inlineStr">
        <is>
          <t>318.47%</t>
        </is>
      </c>
      <c r="N138" t="n">
        <v>5</v>
      </c>
      <c r="O138" t="n">
        <v>1</v>
      </c>
      <c r="Q138" t="inlineStr">
        <is>
          <t>InStock</t>
        </is>
      </c>
      <c r="R138" t="inlineStr">
        <is>
          <t>undefined</t>
        </is>
      </c>
      <c r="S138" t="inlineStr">
        <is>
          <t>D0724X</t>
        </is>
      </c>
    </row>
    <row r="139" ht="75" customHeight="1">
      <c r="A139" s="1">
        <f>HYPERLINK("https://www.toolnut.com/diablo-d1472cf-steel-demon-14-in-x-72-tooth-1-in-arbor-ferrous-metal-saw-blade.html", "https://www.toolnut.com/diablo-d1472cf-steel-demon-14-in-x-72-tooth-1-in-arbor-ferrous-metal-saw-blade.html")</f>
        <v/>
      </c>
      <c r="B139" s="1">
        <f>HYPERLINK("https://www.toolnut.com/diablo-d1472cf-steel-demon-14-in-x-72-tooth-1-in-arbor-ferrous-metal-saw-blade.html", "https://www.toolnut.com/diablo-d1472cf-steel-demon-14-in-x-72-tooth-1-in-arbor-ferrous-metal-saw-blade.html")</f>
        <v/>
      </c>
      <c r="C139" t="inlineStr">
        <is>
          <t>Diablo D1472CF 14-Inch x 72 Tooth Steel Demon Cermet Metal and Stainless Steel Cutting Saw Blade</t>
        </is>
      </c>
      <c r="D139" t="inlineStr">
        <is>
          <t>Diablo D1472CF 14-inch Steel Demon 72T Cermet II Carbide Ferrous Metal Saw Blade (Fоur Расk)</t>
        </is>
      </c>
      <c r="E139" s="1">
        <f>HYPERLINK("https://www.amazon.com/Diablo-D1472CF-14-inch-Carbide-Ferrous/dp/B08F2XP8MM/ref=sr_1_6?keywords=Diablo+D1472CF+14-Inch+x+72+Tooth+Steel+Demon+Cermet+Metal+and+Stainless+Steel+Cutting+Saw+Blade&amp;qid=1695346763&amp;sr=8-6", "https://www.amazon.com/Diablo-D1472CF-14-inch-Carbide-Ferrous/dp/B08F2XP8MM/ref=sr_1_6?keywords=Diablo+D1472CF+14-Inch+x+72+Tooth+Steel+Demon+Cermet+Metal+and+Stainless+Steel+Cutting+Saw+Blade&amp;qid=1695346763&amp;sr=8-6")</f>
        <v/>
      </c>
      <c r="F139" t="inlineStr">
        <is>
          <t>B08F2XP8MM</t>
        </is>
      </c>
      <c r="G139">
        <f>_xlfn.IMAGE("https://www.toolnut.com/media/catalog/product/d/1/d1472cf_main-image_1.jpg?quality=100&amp;bg-color=255,255,255&amp;fit=bounds&amp;height=700&amp;width=700&amp;canvas=700:700&amp;dpr=1 1x")</f>
        <v/>
      </c>
      <c r="H139">
        <f>_xlfn.IMAGE("https://m.media-amazon.com/images/I/71IWKevjn3L._AC_UL320_.jpg")</f>
        <v/>
      </c>
      <c r="K139" t="inlineStr">
        <is>
          <t>89.97</t>
        </is>
      </c>
      <c r="L139" t="n">
        <v>299.99</v>
      </c>
      <c r="M139" s="2" t="inlineStr">
        <is>
          <t>233.43%</t>
        </is>
      </c>
      <c r="N139" t="n">
        <v>5</v>
      </c>
      <c r="O139" t="n">
        <v>4</v>
      </c>
      <c r="Q139" t="inlineStr">
        <is>
          <t>InStock</t>
        </is>
      </c>
      <c r="R139" t="inlineStr">
        <is>
          <t>undefined</t>
        </is>
      </c>
      <c r="S139" t="inlineStr">
        <is>
          <t>D1472CF</t>
        </is>
      </c>
    </row>
    <row r="140" ht="75" customHeight="1">
      <c r="A140" s="1">
        <f>HYPERLINK("https://www.toolnut.com/diablo-d1472cf-steel-demon-14-in-x-72-tooth-1-in-arbor-ferrous-metal-saw-blade.html", "https://www.toolnut.com/diablo-d1472cf-steel-demon-14-in-x-72-tooth-1-in-arbor-ferrous-metal-saw-blade.html")</f>
        <v/>
      </c>
      <c r="B140" s="1">
        <f>HYPERLINK("https://www.toolnut.com/diablo-d1472cf-steel-demon-14-in-x-72-tooth-1-in-arbor-ferrous-metal-saw-blade.html", "https://www.toolnut.com/diablo-d1472cf-steel-demon-14-in-x-72-tooth-1-in-arbor-ferrous-metal-saw-blade.html")</f>
        <v/>
      </c>
      <c r="C140" t="inlineStr">
        <is>
          <t>Diablo D1472CF 14-Inch x 72 Tooth Steel Demon Cermet Metal and Stainless Steel Cutting Saw Blade</t>
        </is>
      </c>
      <c r="D140" t="inlineStr">
        <is>
          <t>Diablo D1472CF 14-inch Steel Demon 72T Cermet II Carbide Ferrous Metal Saw Blade (Twо Расk)</t>
        </is>
      </c>
      <c r="E140" s="1">
        <f>HYPERLINK("https://www.amazon.com/Diablo-D1472CF-14-inch-Carbide-Ferrous/dp/B08F2VQTXL/ref=sr_1_3?keywords=Diablo+D1472CF+14-Inch+x+72+Tooth+Steel+Demon+Cermet+Metal+and+Stainless+Steel+Cutting+Saw+Blade&amp;qid=1695346763&amp;sr=8-3", "https://www.amazon.com/Diablo-D1472CF-14-inch-Carbide-Ferrous/dp/B08F2VQTXL/ref=sr_1_3?keywords=Diablo+D1472CF+14-Inch+x+72+Tooth+Steel+Demon+Cermet+Metal+and+Stainless+Steel+Cutting+Saw+Blade&amp;qid=1695346763&amp;sr=8-3")</f>
        <v/>
      </c>
      <c r="F140" t="inlineStr">
        <is>
          <t>B08F2VQTXL</t>
        </is>
      </c>
      <c r="G140">
        <f>_xlfn.IMAGE("https://www.toolnut.com/media/catalog/product/d/1/d1472cf_main-image_1.jpg?quality=100&amp;bg-color=255,255,255&amp;fit=bounds&amp;height=700&amp;width=700&amp;canvas=700:700&amp;dpr=1 1x")</f>
        <v/>
      </c>
      <c r="H140">
        <f>_xlfn.IMAGE("https://m.media-amazon.com/images/I/71N7IMndGUL._AC_UL320_.jpg")</f>
        <v/>
      </c>
      <c r="K140" t="inlineStr">
        <is>
          <t>89.97</t>
        </is>
      </c>
      <c r="L140" t="n">
        <v>157.99</v>
      </c>
      <c r="M140" s="2" t="inlineStr">
        <is>
          <t>75.60%</t>
        </is>
      </c>
      <c r="N140" t="n">
        <v>4.2</v>
      </c>
      <c r="O140" t="n">
        <v>7</v>
      </c>
      <c r="Q140" t="inlineStr">
        <is>
          <t>InStock</t>
        </is>
      </c>
      <c r="R140" t="inlineStr">
        <is>
          <t>undefined</t>
        </is>
      </c>
      <c r="S140" t="inlineStr">
        <is>
          <t>D1472CF</t>
        </is>
      </c>
    </row>
    <row r="141" ht="75" customHeight="1">
      <c r="A141" s="1">
        <f>HYPERLINK("https://www.toolnut.com/diablo-dag1110-7-8-inch-x-7-1-2-inch-auger-bit.html", "https://www.toolnut.com/diablo-dag1110-7-8-inch-x-7-1-2-inch-auger-bit.html")</f>
        <v/>
      </c>
      <c r="B141" s="1">
        <f>HYPERLINK("https://www.toolnut.com/diablo-dag1110-7-8-inch-x-7-1-2-inch-auger-bit.html", "https://www.toolnut.com/diablo-dag1110-7-8-inch-x-7-1-2-inch-auger-bit.html")</f>
        <v/>
      </c>
      <c r="C141" t="inlineStr">
        <is>
          <t>Diablo DAG1110 7/8 Inch x 7-1/2 Inch Auger Bit</t>
        </is>
      </c>
      <c r="D141" t="inlineStr">
        <is>
          <t>Diablo 7/8 in. x 17-1/2 in. Auger Bit</t>
        </is>
      </c>
      <c r="E141" s="1">
        <f>HYPERLINK("https://www.amazon.com/Diablo-17-1-Auger-Bit/dp/B089LG8GYB/ref=sr_1_2?keywords=Diablo+DAG1110+7%2F8+Inch+x+7-1%2F2+Inch+Auger+Bit&amp;qid=1695346854&amp;sr=8-2", "https://www.amazon.com/Diablo-17-1-Auger-Bit/dp/B089LG8GYB/ref=sr_1_2?keywords=Diablo+DAG1110+7%2F8+Inch+x+7-1%2F2+Inch+Auger+Bit&amp;qid=1695346854&amp;sr=8-2")</f>
        <v/>
      </c>
      <c r="F141" t="inlineStr">
        <is>
          <t>B089LG8GYB</t>
        </is>
      </c>
      <c r="G141">
        <f>_xlfn.IMAGE("https://www.toolnut.com/media/catalog/product/d/a/dag1110_main-image.jpg?quality=100&amp;bg-color=255,255,255&amp;fit=bounds&amp;height=700&amp;width=700&amp;canvas=700:700&amp;dpr=1 1x")</f>
        <v/>
      </c>
      <c r="H141">
        <f>_xlfn.IMAGE("https://m.media-amazon.com/images/I/61QXZJGNQTL._AC_UL320_.jpg")</f>
        <v/>
      </c>
      <c r="K141" t="inlineStr">
        <is>
          <t>14.99</t>
        </is>
      </c>
      <c r="L141" t="n">
        <v>30.9</v>
      </c>
      <c r="M141" s="2" t="inlineStr">
        <is>
          <t>106.14%</t>
        </is>
      </c>
      <c r="N141" t="n">
        <v>4.3</v>
      </c>
      <c r="O141" t="n">
        <v>29</v>
      </c>
      <c r="Q141" t="inlineStr">
        <is>
          <t>InStock</t>
        </is>
      </c>
      <c r="R141" t="inlineStr">
        <is>
          <t>undefined</t>
        </is>
      </c>
      <c r="S141" t="inlineStr">
        <is>
          <t>DAG1110</t>
        </is>
      </c>
    </row>
    <row r="142" ht="75" customHeight="1">
      <c r="A142" s="1">
        <f>HYPERLINK("https://www.toolnut.com/diablo-dag1110-7-8-inch-x-7-1-2-inch-auger-bit.html", "https://www.toolnut.com/diablo-dag1110-7-8-inch-x-7-1-2-inch-auger-bit.html")</f>
        <v/>
      </c>
      <c r="B142" s="1">
        <f>HYPERLINK("https://www.toolnut.com/diablo-dag1110-7-8-inch-x-7-1-2-inch-auger-bit.html", "https://www.toolnut.com/diablo-dag1110-7-8-inch-x-7-1-2-inch-auger-bit.html")</f>
        <v/>
      </c>
      <c r="C142" t="inlineStr">
        <is>
          <t>Diablo DAG1110 7/8 Inch x 7-1/2 Inch Auger Bit</t>
        </is>
      </c>
      <c r="D142" t="inlineStr">
        <is>
          <t>Diablo 7/8 in. x 17-1/2 in. Auger Bit</t>
        </is>
      </c>
      <c r="E142" s="1">
        <f>HYPERLINK("https://www.amazon.com/Diablo-17-1-Auger-Bit/dp/B089LG8GYB/ref=sr_1_2?keywords=Diablo+DAG1110+7%2F8+Inch+x+7-1%2F2+Inch+Auger+Bit&amp;qid=1695346854&amp;sr=8-2", "https://www.amazon.com/Diablo-17-1-Auger-Bit/dp/B089LG8GYB/ref=sr_1_2?keywords=Diablo+DAG1110+7%2F8+Inch+x+7-1%2F2+Inch+Auger+Bit&amp;qid=1695346854&amp;sr=8-2")</f>
        <v/>
      </c>
      <c r="F142" t="inlineStr">
        <is>
          <t>B089LG8GYB</t>
        </is>
      </c>
      <c r="G142">
        <f>_xlfn.IMAGE("https://www.toolnut.com/media/catalog/product/d/a/dag1110_main-image.jpg?quality=100&amp;bg-color=255,255,255&amp;fit=bounds&amp;height=700&amp;width=700&amp;canvas=700:700&amp;dpr=1 1x")</f>
        <v/>
      </c>
      <c r="H142">
        <f>_xlfn.IMAGE("https://m.media-amazon.com/images/I/61QXZJGNQTL._AC_UL320_.jpg")</f>
        <v/>
      </c>
      <c r="K142" t="inlineStr">
        <is>
          <t>14.99</t>
        </is>
      </c>
      <c r="L142" t="n">
        <v>30.9</v>
      </c>
      <c r="M142" s="2" t="inlineStr">
        <is>
          <t>106.14%</t>
        </is>
      </c>
      <c r="N142" t="n">
        <v>4.3</v>
      </c>
      <c r="O142" t="n">
        <v>29</v>
      </c>
      <c r="Q142" t="inlineStr">
        <is>
          <t>InStock</t>
        </is>
      </c>
      <c r="R142" t="inlineStr">
        <is>
          <t>undefined</t>
        </is>
      </c>
      <c r="S142" t="inlineStr">
        <is>
          <t>DAG1110</t>
        </is>
      </c>
    </row>
    <row r="143" ht="75" customHeight="1">
      <c r="A143" s="1">
        <f>HYPERLINK("https://www.toolnut.com/diablo-djt20s-t-shank-jig-saw-blade-set-for-wood-metal-20-piece-set.html", "https://www.toolnut.com/diablo-djt20s-t-shank-jig-saw-blade-set-for-wood-metal-20-piece-set.html")</f>
        <v/>
      </c>
      <c r="B143" s="1">
        <f>HYPERLINK("https://www.toolnut.com/diablo-djt20s-t-shank-jig-saw-blade-set-for-wood-metal-20-piece-set.html", "https://www.toolnut.com/diablo-djt20s-t-shank-jig-saw-blade-set-for-wood-metal-20-piece-set.html")</f>
        <v/>
      </c>
      <c r="C143" t="inlineStr">
        <is>
          <t>Diablo DJT20S T-Shank Jig Saw Blade Set for Wood &amp; Metal, 20-Piece Set</t>
        </is>
      </c>
      <c r="D143" t="inlineStr">
        <is>
          <t>Diablo by Freud Diablo DOU5S 5 pc Universal Fit General Purpose Oscillating Blade Set (5-Piece) &amp; Diablo DJT20S 20 pc T-Shank Jig Saw Blade Set for Wood &amp; Metal (20-Piece)</t>
        </is>
      </c>
      <c r="E143" s="1">
        <f>HYPERLINK("https://www.amazon.com/Freud-Universal-General-Oscillating-20-Piece/dp/B0BGJ2PD5Y/ref=sr_1_3?keywords=Diablo+DJT20S+T-Shank+Jig+Saw+Blade+Set+for+Wood&amp;qid=1695346694&amp;sr=8-3", "https://www.amazon.com/Freud-Universal-General-Oscillating-20-Piece/dp/B0BGJ2PD5Y/ref=sr_1_3?keywords=Diablo+DJT20S+T-Shank+Jig+Saw+Blade+Set+for+Wood&amp;qid=1695346694&amp;sr=8-3")</f>
        <v/>
      </c>
      <c r="F143" t="inlineStr">
        <is>
          <t>B0BGJ2PD5Y</t>
        </is>
      </c>
      <c r="G143">
        <f>_xlfn.IMAGE("https://www.toolnut.com/media/catalog/product/d/j/djt20s_main-image.jpg?quality=100&amp;bg-color=255,255,255&amp;fit=bounds&amp;height=700&amp;width=700&amp;canvas=700:700&amp;dpr=1 1x")</f>
        <v/>
      </c>
      <c r="H143">
        <f>_xlfn.IMAGE("https://m.media-amazon.com/images/I/51x2P4kRD7L._AC_UL320_.jpg")</f>
        <v/>
      </c>
      <c r="K143" t="inlineStr">
        <is>
          <t>19.97</t>
        </is>
      </c>
      <c r="L143" t="n">
        <v>68.95999999999999</v>
      </c>
      <c r="M143" s="2" t="inlineStr">
        <is>
          <t>245.32%</t>
        </is>
      </c>
      <c r="N143" t="n">
        <v>4.7</v>
      </c>
      <c r="O143" t="n">
        <v>540</v>
      </c>
      <c r="Q143" t="inlineStr">
        <is>
          <t>InStock</t>
        </is>
      </c>
      <c r="R143" t="inlineStr">
        <is>
          <t>undefined</t>
        </is>
      </c>
      <c r="S143" t="inlineStr">
        <is>
          <t>DJT20S</t>
        </is>
      </c>
    </row>
    <row r="144" ht="75" customHeight="1">
      <c r="A144" s="1">
        <f>HYPERLINK("https://www.toolnut.com/diablo-dmamx1090-5-8-inch-x-8-inch-x-13-inch-rebar-demon-sds-max-4-cutter-full-carbide-head-hammer-drill-bit.html", "https://www.toolnut.com/diablo-dmamx1090-5-8-inch-x-8-inch-x-13-inch-rebar-demon-sds-max-4-cutter-full-carbide-head-hammer-drill-bit.html")</f>
        <v/>
      </c>
      <c r="B144" s="1">
        <f>HYPERLINK("https://www.toolnut.com/diablo-dmamx1090-5-8-inch-x-8-inch-x-13-inch-rebar-demon-sds-max-4-cutter-full-carbide-head-hammer-drill-bit.html", "https://www.toolnut.com/diablo-dmamx1090-5-8-inch-x-8-inch-x-13-inch-rebar-demon-sds-max-4-cutter-full-carbide-head-hammer-drill-bit.html")</f>
        <v/>
      </c>
      <c r="C144" t="inlineStr">
        <is>
          <t>Diablo DMAMX1090 5/8 Inch x 8 Inch x 13 Inch Rebar Demon SDS-Max 4-Cutter Full Carbide Head Hammer Drill Bit</t>
        </is>
      </c>
      <c r="D144" t="inlineStr">
        <is>
          <t>Diablo by Freud DMAMX1120 5/8 in. x 31 in. x 36 in. Rebar Demon SDS-Max 4-Cutter Full Carbide Head Hammer Bit</t>
        </is>
      </c>
      <c r="E144" s="1">
        <f>HYPERLINK("https://www.amazon.com/Diablo-SDS-Max-4-Cutter-Carbide-Hammer/dp/B089LJFH3C/ref=sr_1_5?keywords=Diablo+DMAMX1090+5%2F8+Inch+x+8+Inch+x+13+Inch+Rebar+Demon+SDS-Max+4-Cutter+Full+Carbide+Head+Hammer+Drill+Bit&amp;qid=1695346888&amp;sr=8-5", "https://www.amazon.com/Diablo-SDS-Max-4-Cutter-Carbide-Hammer/dp/B089LJFH3C/ref=sr_1_5?keywords=Diablo+DMAMX1090+5%2F8+Inch+x+8+Inch+x+13+Inch+Rebar+Demon+SDS-Max+4-Cutter+Full+Carbide+Head+Hammer+Drill+Bit&amp;qid=1695346888&amp;sr=8-5")</f>
        <v/>
      </c>
      <c r="F144" t="inlineStr">
        <is>
          <t>B089LJFH3C</t>
        </is>
      </c>
      <c r="G144">
        <f>_xlfn.IMAGE("https://www.toolnut.com/media/catalog/product/d/m/dmamx1090_main-image.jpg?quality=100&amp;bg-color=255,255,255&amp;fit=bounds&amp;height=700&amp;width=700&amp;canvas=700:700&amp;dpr=1 1x")</f>
        <v/>
      </c>
      <c r="H144">
        <f>_xlfn.IMAGE("https://m.media-amazon.com/images/I/615ffyRtaAL._AC_UL320_.jpg")</f>
        <v/>
      </c>
      <c r="K144" t="inlineStr">
        <is>
          <t>44.97</t>
        </is>
      </c>
      <c r="L144" t="n">
        <v>81.62</v>
      </c>
      <c r="M144" s="2" t="inlineStr">
        <is>
          <t>81.50%</t>
        </is>
      </c>
      <c r="N144" t="n">
        <v>3.9</v>
      </c>
      <c r="O144" t="n">
        <v>4</v>
      </c>
      <c r="Q144" t="inlineStr">
        <is>
          <t>InStock</t>
        </is>
      </c>
      <c r="R144" t="inlineStr">
        <is>
          <t>undefined</t>
        </is>
      </c>
      <c r="S144" t="inlineStr">
        <is>
          <t>DMAMX1090</t>
        </is>
      </c>
    </row>
    <row r="145" ht="75" customHeight="1">
      <c r="A145" s="1">
        <f>HYPERLINK("https://www.toolnut.com/diablo-dmamx1090-5-8-inch-x-8-inch-x-13-inch-rebar-demon-sds-max-4-cutter-full-carbide-head-hammer-drill-bit.html", "https://www.toolnut.com/diablo-dmamx1090-5-8-inch-x-8-inch-x-13-inch-rebar-demon-sds-max-4-cutter-full-carbide-head-hammer-drill-bit.html")</f>
        <v/>
      </c>
      <c r="B145" s="1">
        <f>HYPERLINK("https://www.toolnut.com/diablo-dmamx1090-5-8-inch-x-8-inch-x-13-inch-rebar-demon-sds-max-4-cutter-full-carbide-head-hammer-drill-bit.html", "https://www.toolnut.com/diablo-dmamx1090-5-8-inch-x-8-inch-x-13-inch-rebar-demon-sds-max-4-cutter-full-carbide-head-hammer-drill-bit.html")</f>
        <v/>
      </c>
      <c r="C145" t="inlineStr">
        <is>
          <t>Diablo DMAMX1090 5/8 Inch x 8 Inch x 13 Inch Rebar Demon SDS-Max 4-Cutter Full Carbide Head Hammer Drill Bit</t>
        </is>
      </c>
      <c r="D145" t="inlineStr">
        <is>
          <t>Diablo DMAMX1110 5/8 in. x 24 in. x 29 in. Rebar Demon™ SDS-Max 4-Cutter Full Carbide Head Hammer Bit</t>
        </is>
      </c>
      <c r="E145" s="1">
        <f>HYPERLINK("https://www.amazon.com/Diablo-SDS-Max-4-Cutter-Carbide-Hammer/dp/B089LJ9GHW/ref=sr_1_4?keywords=Diablo+DMAMX1090+5%2F8+Inch+x+8+Inch+x+13+Inch+Rebar+Demon+SDS-Max+4-Cutter+Full+Carbide+Head+Hammer+Drill+Bit&amp;qid=1695346888&amp;sr=8-4", "https://www.amazon.com/Diablo-SDS-Max-4-Cutter-Carbide-Hammer/dp/B089LJ9GHW/ref=sr_1_4?keywords=Diablo+DMAMX1090+5%2F8+Inch+x+8+Inch+x+13+Inch+Rebar+Demon+SDS-Max+4-Cutter+Full+Carbide+Head+Hammer+Drill+Bit&amp;qid=1695346888&amp;sr=8-4")</f>
        <v/>
      </c>
      <c r="F145" t="inlineStr">
        <is>
          <t>B089LJ9GHW</t>
        </is>
      </c>
      <c r="G145">
        <f>_xlfn.IMAGE("https://www.toolnut.com/media/catalog/product/d/m/dmamx1090_main-image.jpg?quality=100&amp;bg-color=255,255,255&amp;fit=bounds&amp;height=700&amp;width=700&amp;canvas=700:700&amp;dpr=1 1x")</f>
        <v/>
      </c>
      <c r="H145">
        <f>_xlfn.IMAGE("https://m.media-amazon.com/images/I/61vWAd-z8eL._AC_UL320_.jpg")</f>
        <v/>
      </c>
      <c r="K145" t="inlineStr">
        <is>
          <t>44.97</t>
        </is>
      </c>
      <c r="L145" t="n">
        <v>78.98</v>
      </c>
      <c r="M145" s="2" t="inlineStr">
        <is>
          <t>75.63%</t>
        </is>
      </c>
      <c r="N145" t="n">
        <v>4.7</v>
      </c>
      <c r="O145" t="n">
        <v>4</v>
      </c>
      <c r="Q145" t="inlineStr">
        <is>
          <t>InStock</t>
        </is>
      </c>
      <c r="R145" t="inlineStr">
        <is>
          <t>undefined</t>
        </is>
      </c>
      <c r="S145" t="inlineStr">
        <is>
          <t>DMAMX1090</t>
        </is>
      </c>
    </row>
    <row r="146" ht="75" customHeight="1">
      <c r="A146" s="1">
        <f>HYPERLINK("https://www.toolnut.com/diablo-dmamx1090-5-8-inch-x-8-inch-x-13-inch-rebar-demon-sds-max-4-cutter-full-carbide-head-hammer-drill-bit.html", "https://www.toolnut.com/diablo-dmamx1090-5-8-inch-x-8-inch-x-13-inch-rebar-demon-sds-max-4-cutter-full-carbide-head-hammer-drill-bit.html")</f>
        <v/>
      </c>
      <c r="B146" s="1">
        <f>HYPERLINK("https://www.toolnut.com/diablo-dmamx1090-5-8-inch-x-8-inch-x-13-inch-rebar-demon-sds-max-4-cutter-full-carbide-head-hammer-drill-bit.html", "https://www.toolnut.com/diablo-dmamx1090-5-8-inch-x-8-inch-x-13-inch-rebar-demon-sds-max-4-cutter-full-carbide-head-hammer-drill-bit.html")</f>
        <v/>
      </c>
      <c r="C146" t="inlineStr">
        <is>
          <t>Diablo DMAMX1090 5/8 Inch x 8 Inch x 13 Inch Rebar Demon SDS-Max 4-Cutter Full Carbide Head Hammer Drill Bit</t>
        </is>
      </c>
      <c r="D146" t="inlineStr">
        <is>
          <t>Diablo by Freud DMAMX1120 5/8 in. x 31 in. x 36 in. Rebar Demon SDS-Max 4-Cutter Full Carbide Head Hammer Bit</t>
        </is>
      </c>
      <c r="E146" s="1">
        <f>HYPERLINK("https://www.amazon.com/Diablo-SDS-Max-4-Cutter-Carbide-Hammer/dp/B089LJFH3C/ref=sr_1_5?keywords=Diablo+DMAMX1090+5%2F8+Inch+x+8+Inch+x+13+Inch+Rebar+Demon+SDS-Max+4-Cutter+Full+Carbide+Head+Hammer+Drill+Bit&amp;qid=1695346888&amp;sr=8-5", "https://www.amazon.com/Diablo-SDS-Max-4-Cutter-Carbide-Hammer/dp/B089LJFH3C/ref=sr_1_5?keywords=Diablo+DMAMX1090+5%2F8+Inch+x+8+Inch+x+13+Inch+Rebar+Demon+SDS-Max+4-Cutter+Full+Carbide+Head+Hammer+Drill+Bit&amp;qid=1695346888&amp;sr=8-5")</f>
        <v/>
      </c>
      <c r="F146" t="inlineStr">
        <is>
          <t>B089LJFH3C</t>
        </is>
      </c>
      <c r="G146">
        <f>_xlfn.IMAGE("https://www.toolnut.com/media/catalog/product/d/m/dmamx1090_main-image.jpg?quality=100&amp;bg-color=255,255,255&amp;fit=bounds&amp;height=700&amp;width=700&amp;canvas=700:700&amp;dpr=1 1x")</f>
        <v/>
      </c>
      <c r="H146">
        <f>_xlfn.IMAGE("https://m.media-amazon.com/images/I/615ffyRtaAL._AC_UL320_.jpg")</f>
        <v/>
      </c>
      <c r="K146" t="inlineStr">
        <is>
          <t>44.97</t>
        </is>
      </c>
      <c r="L146" t="n">
        <v>81.62</v>
      </c>
      <c r="M146" s="2" t="inlineStr">
        <is>
          <t>81.50%</t>
        </is>
      </c>
      <c r="N146" t="n">
        <v>3.9</v>
      </c>
      <c r="O146" t="n">
        <v>4</v>
      </c>
      <c r="Q146" t="inlineStr">
        <is>
          <t>InStock</t>
        </is>
      </c>
      <c r="R146" t="inlineStr">
        <is>
          <t>undefined</t>
        </is>
      </c>
      <c r="S146" t="inlineStr">
        <is>
          <t>DMAMX1090</t>
        </is>
      </c>
    </row>
    <row r="147" ht="75" customHeight="1">
      <c r="A147" s="1">
        <f>HYPERLINK("https://www.toolnut.com/diablo-dmamx1090-5-8-inch-x-8-inch-x-13-inch-rebar-demon-sds-max-4-cutter-full-carbide-head-hammer-drill-bit.html", "https://www.toolnut.com/diablo-dmamx1090-5-8-inch-x-8-inch-x-13-inch-rebar-demon-sds-max-4-cutter-full-carbide-head-hammer-drill-bit.html")</f>
        <v/>
      </c>
      <c r="B147" s="1">
        <f>HYPERLINK("https://www.toolnut.com/diablo-dmamx1090-5-8-inch-x-8-inch-x-13-inch-rebar-demon-sds-max-4-cutter-full-carbide-head-hammer-drill-bit.html", "https://www.toolnut.com/diablo-dmamx1090-5-8-inch-x-8-inch-x-13-inch-rebar-demon-sds-max-4-cutter-full-carbide-head-hammer-drill-bit.html")</f>
        <v/>
      </c>
      <c r="C147" t="inlineStr">
        <is>
          <t>Diablo DMAMX1090 5/8 Inch x 8 Inch x 13 Inch Rebar Demon SDS-Max 4-Cutter Full Carbide Head Hammer Drill Bit</t>
        </is>
      </c>
      <c r="D147" t="inlineStr">
        <is>
          <t>Diablo DMAMX1110 5/8 in. x 24 in. x 29 in. Rebar Demon™ SDS-Max 4-Cutter Full Carbide Head Hammer Bit</t>
        </is>
      </c>
      <c r="E147" s="1">
        <f>HYPERLINK("https://www.amazon.com/Diablo-SDS-Max-4-Cutter-Carbide-Hammer/dp/B089LJ9GHW/ref=sr_1_4?keywords=Diablo+DMAMX1090+5%2F8+Inch+x+8+Inch+x+13+Inch+Rebar+Demon+SDS-Max+4-Cutter+Full+Carbide+Head+Hammer+Drill+Bit&amp;qid=1695346888&amp;sr=8-4", "https://www.amazon.com/Diablo-SDS-Max-4-Cutter-Carbide-Hammer/dp/B089LJ9GHW/ref=sr_1_4?keywords=Diablo+DMAMX1090+5%2F8+Inch+x+8+Inch+x+13+Inch+Rebar+Demon+SDS-Max+4-Cutter+Full+Carbide+Head+Hammer+Drill+Bit&amp;qid=1695346888&amp;sr=8-4")</f>
        <v/>
      </c>
      <c r="F147" t="inlineStr">
        <is>
          <t>B089LJ9GHW</t>
        </is>
      </c>
      <c r="G147">
        <f>_xlfn.IMAGE("https://www.toolnut.com/media/catalog/product/d/m/dmamx1090_main-image.jpg?quality=100&amp;bg-color=255,255,255&amp;fit=bounds&amp;height=700&amp;width=700&amp;canvas=700:700&amp;dpr=1 1x")</f>
        <v/>
      </c>
      <c r="H147">
        <f>_xlfn.IMAGE("https://m.media-amazon.com/images/I/61vWAd-z8eL._AC_UL320_.jpg")</f>
        <v/>
      </c>
      <c r="K147" t="inlineStr">
        <is>
          <t>44.97</t>
        </is>
      </c>
      <c r="L147" t="n">
        <v>78.98</v>
      </c>
      <c r="M147" s="2" t="inlineStr">
        <is>
          <t>75.63%</t>
        </is>
      </c>
      <c r="N147" t="n">
        <v>4.7</v>
      </c>
      <c r="O147" t="n">
        <v>4</v>
      </c>
      <c r="Q147" t="inlineStr">
        <is>
          <t>InStock</t>
        </is>
      </c>
      <c r="R147" t="inlineStr">
        <is>
          <t>undefined</t>
        </is>
      </c>
      <c r="S147" t="inlineStr">
        <is>
          <t>DMAMX1090</t>
        </is>
      </c>
    </row>
    <row r="148" ht="75" customHeight="1">
      <c r="A148" s="1">
        <f>HYPERLINK("https://www.toolnut.com/diablo-dsa0500-1-2-inch-square-x-1-4-inch-hex-socket-adapter.html", "https://www.toolnut.com/diablo-dsa0500-1-2-inch-square-x-1-4-inch-hex-socket-adapter.html")</f>
        <v/>
      </c>
      <c r="B148" s="1">
        <f>HYPERLINK("https://www.toolnut.com/diablo-dsa0500-1-2-inch-square-x-1-4-inch-hex-socket-adapter.html", "https://www.toolnut.com/diablo-dsa0500-1-2-inch-square-x-1-4-inch-hex-socket-adapter.html")</f>
        <v/>
      </c>
      <c r="C148" t="inlineStr">
        <is>
          <t>Diablo DSA0500 1/2 Inch Square x 1/4 Inch Hex Socket Adapter</t>
        </is>
      </c>
      <c r="D148" t="inlineStr">
        <is>
          <t>IRWIN Tools Impact Performance Series Square Drive to Hex Shank Socket Adapter, 1/2-Inch Square to 1/4-Inch Hex (1869513)</t>
        </is>
      </c>
      <c r="E148" s="1">
        <f>HYPERLINK("https://www.amazon.com/Tools-Impact-Performance-Adapter-1869513/dp/B00LAEM5NK/ref=sr_1_9?keywords=Diablo+DSA0500+1%2F2+Inch+Square+x+1%2F4+Inch+Hex+Socket+Adapter&amp;qid=1695347186&amp;sr=8-9", "https://www.amazon.com/Tools-Impact-Performance-Adapter-1869513/dp/B00LAEM5NK/ref=sr_1_9?keywords=Diablo+DSA0500+1%2F2+Inch+Square+x+1%2F4+Inch+Hex+Socket+Adapter&amp;qid=1695347186&amp;sr=8-9")</f>
        <v/>
      </c>
      <c r="F148" t="inlineStr">
        <is>
          <t>B00LAEM5NK</t>
        </is>
      </c>
      <c r="G148">
        <f>_xlfn.IMAGE("https://www.toolnut.com/media/catalog/product/d/s/dsa0500_main-image.jpg?quality=100&amp;bg-color=255,255,255&amp;fit=bounds&amp;height=700&amp;width=700&amp;canvas=700:700&amp;dpr=1 1x")</f>
        <v/>
      </c>
      <c r="H148">
        <f>_xlfn.IMAGE("https://m.media-amazon.com/images/I/71aU-yTyC5L._AC_UL320_.jpg")</f>
        <v/>
      </c>
      <c r="K148" t="inlineStr">
        <is>
          <t>3.99</t>
        </is>
      </c>
      <c r="L148" t="n">
        <v>24.99</v>
      </c>
      <c r="M148" s="2" t="inlineStr">
        <is>
          <t>526.32%</t>
        </is>
      </c>
      <c r="N148" t="n">
        <v>3.8</v>
      </c>
      <c r="O148" t="n">
        <v>93</v>
      </c>
      <c r="Q148" t="inlineStr">
        <is>
          <t>InStock</t>
        </is>
      </c>
      <c r="R148" t="inlineStr">
        <is>
          <t>undefined</t>
        </is>
      </c>
      <c r="S148" t="inlineStr">
        <is>
          <t>DSA0500</t>
        </is>
      </c>
    </row>
    <row r="149" ht="75" customHeight="1">
      <c r="A149" s="1">
        <f>HYPERLINK("https://www.toolnut.com/diablo-dsc-s14-14-piece-screwdriving-set-14-piece.html", "https://www.toolnut.com/diablo-dsc-s14-14-piece-screwdriving-set-14-piece.html")</f>
        <v/>
      </c>
      <c r="B149" s="1">
        <f>HYPERLINK("https://www.toolnut.com/diablo-dsc-s14-14-piece-screwdriving-set-14-piece.html", "https://www.toolnut.com/diablo-dsc-s14-14-piece-screwdriving-set-14-piece.html")</f>
        <v/>
      </c>
      <c r="C149" t="inlineStr">
        <is>
          <t>Diablo DSC-S14 14-Piece Screwdriving Set , 14-Piece</t>
        </is>
      </c>
      <c r="D149" t="inlineStr">
        <is>
          <t>Diablo by Freud DSC-S45 45 pc Screwdriving Set (45-Piece) Multi, One Size</t>
        </is>
      </c>
      <c r="E149" s="1">
        <f>HYPERLINK("https://www.amazon.com/Diablo-DSC-S45-Screwdriving-Set-45-Piece/dp/B089KM81B8/ref=sr_1_2?keywords=Diablo+DSC-S14+14-Piece+Screwdriving+Set+%2C+14-Piece&amp;qid=1695346872&amp;sr=8-2", "https://www.amazon.com/Diablo-DSC-S45-Screwdriving-Set-45-Piece/dp/B089KM81B8/ref=sr_1_2?keywords=Diablo+DSC-S14+14-Piece+Screwdriving+Set+%2C+14-Piece&amp;qid=1695346872&amp;sr=8-2")</f>
        <v/>
      </c>
      <c r="F149" t="inlineStr">
        <is>
          <t>B089KM81B8</t>
        </is>
      </c>
      <c r="G149">
        <f>_xlfn.IMAGE("https://www.toolnut.com/media/catalog/product/d/s/dsc-s14_main-image.jpg?quality=100&amp;bg-color=255,255,255&amp;fit=bounds&amp;height=700&amp;width=700&amp;canvas=700:700&amp;dpr=1 1x")</f>
        <v/>
      </c>
      <c r="H149">
        <f>_xlfn.IMAGE("https://m.media-amazon.com/images/I/81lP3SSnx2L._AC_UL320_.jpg")</f>
        <v/>
      </c>
      <c r="K149" t="inlineStr">
        <is>
          <t>12.99</t>
        </is>
      </c>
      <c r="L149" t="n">
        <v>27.99</v>
      </c>
      <c r="M149" s="2" t="inlineStr">
        <is>
          <t>115.47%</t>
        </is>
      </c>
      <c r="N149" t="n">
        <v>4.5</v>
      </c>
      <c r="O149" t="n">
        <v>73</v>
      </c>
      <c r="Q149" t="inlineStr">
        <is>
          <t>InStock</t>
        </is>
      </c>
      <c r="R149" t="inlineStr">
        <is>
          <t>undefined</t>
        </is>
      </c>
      <c r="S149" t="inlineStr">
        <is>
          <t>DSC-S14</t>
        </is>
      </c>
    </row>
    <row r="150" ht="75" customHeight="1">
      <c r="A150" s="1">
        <f>HYPERLINK("https://www.toolnut.com/diablo-dsc-s14-14-piece-screwdriving-set-14-piece.html", "https://www.toolnut.com/diablo-dsc-s14-14-piece-screwdriving-set-14-piece.html")</f>
        <v/>
      </c>
      <c r="B150" s="1">
        <f>HYPERLINK("https://www.toolnut.com/diablo-dsc-s14-14-piece-screwdriving-set-14-piece.html", "https://www.toolnut.com/diablo-dsc-s14-14-piece-screwdriving-set-14-piece.html")</f>
        <v/>
      </c>
      <c r="C150" t="inlineStr">
        <is>
          <t>Diablo DSC-S14 14-Piece Screwdriving Set , 14-Piece</t>
        </is>
      </c>
      <c r="D150" t="inlineStr">
        <is>
          <t>Diablo by Freud DSC-S45 45 pc Screwdriving Set (45-Piece) Multi, One Size</t>
        </is>
      </c>
      <c r="E150" s="1">
        <f>HYPERLINK("https://www.amazon.com/Diablo-DSC-S45-Screwdriving-Set-45-Piece/dp/B089KM81B8/ref=sr_1_2?keywords=Diablo+DSC-S14+14-Piece+Screwdriving+Set+%2C+14-Piece&amp;qid=1695346872&amp;sr=8-2", "https://www.amazon.com/Diablo-DSC-S45-Screwdriving-Set-45-Piece/dp/B089KM81B8/ref=sr_1_2?keywords=Diablo+DSC-S14+14-Piece+Screwdriving+Set+%2C+14-Piece&amp;qid=1695346872&amp;sr=8-2")</f>
        <v/>
      </c>
      <c r="F150" t="inlineStr">
        <is>
          <t>B089KM81B8</t>
        </is>
      </c>
      <c r="G150">
        <f>_xlfn.IMAGE("https://www.toolnut.com/media/catalog/product/d/s/dsc-s14_main-image.jpg?quality=100&amp;bg-color=255,255,255&amp;fit=bounds&amp;height=700&amp;width=700&amp;canvas=700:700&amp;dpr=1 1x")</f>
        <v/>
      </c>
      <c r="H150">
        <f>_xlfn.IMAGE("https://m.media-amazon.com/images/I/81lP3SSnx2L._AC_UL320_.jpg")</f>
        <v/>
      </c>
      <c r="K150" t="inlineStr">
        <is>
          <t>12.99</t>
        </is>
      </c>
      <c r="L150" t="n">
        <v>27.99</v>
      </c>
      <c r="M150" s="2" t="inlineStr">
        <is>
          <t>115.47%</t>
        </is>
      </c>
      <c r="N150" t="n">
        <v>4.5</v>
      </c>
      <c r="O150" t="n">
        <v>73</v>
      </c>
      <c r="Q150" t="inlineStr">
        <is>
          <t>InStock</t>
        </is>
      </c>
      <c r="R150" t="inlineStr">
        <is>
          <t>undefined</t>
        </is>
      </c>
      <c r="S150" t="inlineStr">
        <is>
          <t>DSC-S14</t>
        </is>
      </c>
    </row>
    <row r="151" ht="75" customHeight="1">
      <c r="A151" s="1">
        <f>HYPERLINK("https://www.toolnut.com/diablo-dsc-s24-24-piece-screwdriving-set.html", "https://www.toolnut.com/diablo-dsc-s24-24-piece-screwdriving-set.html")</f>
        <v/>
      </c>
      <c r="B151" s="1">
        <f>HYPERLINK("https://www.toolnut.com/diablo-dsc-s24-24-piece-screwdriving-set.html", "https://www.toolnut.com/diablo-dsc-s24-24-piece-screwdriving-set.html")</f>
        <v/>
      </c>
      <c r="C151" t="inlineStr">
        <is>
          <t>Diablo DSC-S24 24-Piece Screwdriving Set</t>
        </is>
      </c>
      <c r="D151" t="inlineStr">
        <is>
          <t>Diablo by Freud DSC-S45 45 pc Screwdriving Set (45-Piece) Multi, One Size</t>
        </is>
      </c>
      <c r="E151" s="1">
        <f>HYPERLINK("https://www.amazon.com/Diablo-DSC-S45-Screwdriving-Set-45-Piece/dp/B089KM81B8/ref=sr_1_2?keywords=Diablo+DSC-S24+24-Piece+Screwdriving+Set&amp;qid=1695346853&amp;sr=8-2", "https://www.amazon.com/Diablo-DSC-S45-Screwdriving-Set-45-Piece/dp/B089KM81B8/ref=sr_1_2?keywords=Diablo+DSC-S24+24-Piece+Screwdriving+Set&amp;qid=1695346853&amp;sr=8-2")</f>
        <v/>
      </c>
      <c r="F151" t="inlineStr">
        <is>
          <t>B089KM81B8</t>
        </is>
      </c>
      <c r="G151">
        <f>_xlfn.IMAGE("https://www.toolnut.com/media/catalog/product/d/s/dsc-s24_main-image.jpg?quality=100&amp;bg-color=255,255,255&amp;fit=bounds&amp;height=700&amp;width=700&amp;canvas=700:700&amp;dpr=1 1x")</f>
        <v/>
      </c>
      <c r="H151">
        <f>_xlfn.IMAGE("https://m.media-amazon.com/images/I/81lP3SSnx2L._AC_UL320_.jpg")</f>
        <v/>
      </c>
      <c r="K151" t="inlineStr">
        <is>
          <t>13.79</t>
        </is>
      </c>
      <c r="L151" t="n">
        <v>27.99</v>
      </c>
      <c r="M151" s="2" t="inlineStr">
        <is>
          <t>102.97%</t>
        </is>
      </c>
      <c r="N151" t="n">
        <v>4.5</v>
      </c>
      <c r="O151" t="n">
        <v>73</v>
      </c>
      <c r="Q151" t="inlineStr">
        <is>
          <t>InStock</t>
        </is>
      </c>
      <c r="R151" t="inlineStr">
        <is>
          <t>17.99</t>
        </is>
      </c>
      <c r="S151" t="inlineStr">
        <is>
          <t>DSC-S24</t>
        </is>
      </c>
    </row>
    <row r="152" ht="75" customHeight="1">
      <c r="A152" s="1">
        <f>HYPERLINK("https://www.toolnut.com/diablo-dsc-s24-24-piece-screwdriving-set.html", "https://www.toolnut.com/diablo-dsc-s24-24-piece-screwdriving-set.html")</f>
        <v/>
      </c>
      <c r="B152" s="1">
        <f>HYPERLINK("https://www.toolnut.com/diablo-dsc-s24-24-piece-screwdriving-set.html", "https://www.toolnut.com/diablo-dsc-s24-24-piece-screwdriving-set.html")</f>
        <v/>
      </c>
      <c r="C152" t="inlineStr">
        <is>
          <t>Diablo DSC-S24 24-Piece Screwdriving Set</t>
        </is>
      </c>
      <c r="D152" t="inlineStr">
        <is>
          <t>Diablo by Freud DSC-S45 45 pc Screwdriving Set (45-Piece) Multi, One Size</t>
        </is>
      </c>
      <c r="E152" s="1">
        <f>HYPERLINK("https://www.amazon.com/Diablo-DSC-S45-Screwdriving-Set-45-Piece/dp/B089KM81B8/ref=sr_1_2?keywords=Diablo+DSC-S24+24-Piece+Screwdriving+Set&amp;qid=1695346853&amp;sr=8-2", "https://www.amazon.com/Diablo-DSC-S45-Screwdriving-Set-45-Piece/dp/B089KM81B8/ref=sr_1_2?keywords=Diablo+DSC-S24+24-Piece+Screwdriving+Set&amp;qid=1695346853&amp;sr=8-2")</f>
        <v/>
      </c>
      <c r="F152" t="inlineStr">
        <is>
          <t>B089KM81B8</t>
        </is>
      </c>
      <c r="G152">
        <f>_xlfn.IMAGE("https://www.toolnut.com/media/catalog/product/d/s/dsc-s24_main-image.jpg?quality=100&amp;bg-color=255,255,255&amp;fit=bounds&amp;height=700&amp;width=700&amp;canvas=700:700&amp;dpr=1 1x")</f>
        <v/>
      </c>
      <c r="H152">
        <f>_xlfn.IMAGE("https://m.media-amazon.com/images/I/81lP3SSnx2L._AC_UL320_.jpg")</f>
        <v/>
      </c>
      <c r="K152" t="inlineStr">
        <is>
          <t>13.79</t>
        </is>
      </c>
      <c r="L152" t="n">
        <v>27.99</v>
      </c>
      <c r="M152" s="2" t="inlineStr">
        <is>
          <t>102.97%</t>
        </is>
      </c>
      <c r="N152" t="n">
        <v>4.5</v>
      </c>
      <c r="O152" t="n">
        <v>73</v>
      </c>
      <c r="Q152" t="inlineStr">
        <is>
          <t>InStock</t>
        </is>
      </c>
      <c r="R152" t="inlineStr">
        <is>
          <t>17.99</t>
        </is>
      </c>
      <c r="S152" t="inlineStr">
        <is>
          <t>DSC-S24</t>
        </is>
      </c>
    </row>
    <row r="153" ht="75" customHeight="1">
      <c r="A153" s="1">
        <f>HYPERLINK("https://www.toolnut.com/empire-e255m-6-metric-pocket-square.html", "https://www.toolnut.com/empire-e255m-6-metric-pocket-square.html")</f>
        <v/>
      </c>
      <c r="B153" s="1">
        <f>HYPERLINK("https://www.toolnut.com/empire-e255m-6-metric-pocket-square.html", "https://www.toolnut.com/empire-e255m-6-metric-pocket-square.html")</f>
        <v/>
      </c>
      <c r="C153" t="inlineStr">
        <is>
          <t>Empire E255M 6-inch/150mm True Blue Combination Square</t>
        </is>
      </c>
      <c r="D153" t="inlineStr">
        <is>
          <t>Empire Level E255M 6-Inch Pocket Combination Square With Stainless Steel Blade, Metric Graduations and True Blue Vial</t>
        </is>
      </c>
      <c r="E153" s="1">
        <f>HYPERLINK("https://www.amazon.com/Empire-Level-E255M-Combination-Graduations/dp/B001BRDR7O/ref=sr_1_1?keywords=Empire+E255M+6-inch%2F150mm+True+Blue+Combination+Square&amp;qid=1695346644&amp;sr=8-1", "https://www.amazon.com/Empire-Level-E255M-Combination-Graduations/dp/B001BRDR7O/ref=sr_1_1?keywords=Empire+E255M+6-inch%2F150mm+True+Blue+Combination+Square&amp;qid=1695346644&amp;sr=8-1")</f>
        <v/>
      </c>
      <c r="F153" t="inlineStr">
        <is>
          <t>B001BRDR7O</t>
        </is>
      </c>
      <c r="G153">
        <f>_xlfn.IMAGE("https://www.toolnut.com/media/catalog/product/e/m/empire-e255m-1.jpg?quality=100&amp;bg-color=255,255,255&amp;fit=bounds&amp;height=700&amp;width=700&amp;canvas=700:700&amp;dpr=1 1x")</f>
        <v/>
      </c>
      <c r="H153">
        <f>_xlfn.IMAGE("https://m.media-amazon.com/images/I/71HJhbs6LFS._AC_UL320_.jpg")</f>
        <v/>
      </c>
      <c r="K153" t="inlineStr">
        <is>
          <t>9.99</t>
        </is>
      </c>
      <c r="L153" t="n">
        <v>19.33</v>
      </c>
      <c r="M153" s="2" t="inlineStr">
        <is>
          <t>93.49%</t>
        </is>
      </c>
      <c r="N153" t="n">
        <v>4.4</v>
      </c>
      <c r="O153" t="n">
        <v>230</v>
      </c>
      <c r="Q153" t="inlineStr">
        <is>
          <t>InStock</t>
        </is>
      </c>
      <c r="R153" t="inlineStr">
        <is>
          <t>undefined</t>
        </is>
      </c>
      <c r="S153" t="inlineStr">
        <is>
          <t>E255M</t>
        </is>
      </c>
    </row>
    <row r="154" ht="75" customHeight="1">
      <c r="A154" s="1">
        <f>HYPERLINK("https://www.toolnut.com/festool-495378-panther-ripping-blade-for-ts-75-plunge-cut-saw-16-tooth.html", "https://www.toolnut.com/festool-495378-panther-ripping-blade-for-ts-75-plunge-cut-saw-16-tooth.html")</f>
        <v/>
      </c>
      <c r="B154" s="1">
        <f>HYPERLINK("https://www.toolnut.com/festool-495378-panther-ripping-blade-for-ts-75-plunge-cut-saw-16-tooth.html", "https://www.toolnut.com/festool-495378-panther-ripping-blade-for-ts-75-plunge-cut-saw-16-tooth.html")</f>
        <v/>
      </c>
      <c r="C154" t="inlineStr">
        <is>
          <t>Festool 495378 Panther Ripping Blade for TS 75 Plunge Cut Saw - 16 Tooth</t>
        </is>
      </c>
      <c r="D154" t="inlineStr">
        <is>
          <t>Festool 495382 Solid Surface/Laminate Blade For TS 75 Plunge Cut Saw - 60 Tooth</t>
        </is>
      </c>
      <c r="E154" s="1">
        <f>HYPERLINK("https://www.amazon.com/Festool-495382-Surface-Laminate-Plunge/dp/B002VMR3EQ/ref=sr_1_8?keywords=Festool+495378+Panther+Ripping+Blade+for+TS+75+Plunge+Cut+Saw+-+16+Tooth&amp;qid=1695346693&amp;sr=8-8", "https://www.amazon.com/Festool-495382-Surface-Laminate-Plunge/dp/B002VMR3EQ/ref=sr_1_8?keywords=Festool+495378+Panther+Ripping+Blade+for+TS+75+Plunge+Cut+Saw+-+16+Tooth&amp;qid=1695346693&amp;sr=8-8")</f>
        <v/>
      </c>
      <c r="F154" t="inlineStr">
        <is>
          <t>B002VMR3EQ</t>
        </is>
      </c>
      <c r="G154">
        <f>_xlfn.IMAGE("https://www.toolnut.com/media/catalog/product/f/e/festool-495378-1.jpg?quality=100&amp;bg-color=255,255,255&amp;fit=bounds&amp;height=700&amp;width=700&amp;canvas=700:700&amp;dpr=1 1x")</f>
        <v/>
      </c>
      <c r="H154">
        <f>_xlfn.IMAGE("https://m.media-amazon.com/images/I/91kWrhC1lsL._AC_UL320_.jpg")</f>
        <v/>
      </c>
      <c r="K154" t="inlineStr">
        <is>
          <t>86.0</t>
        </is>
      </c>
      <c r="L154" t="n">
        <v>155</v>
      </c>
      <c r="M154" s="2" t="inlineStr">
        <is>
          <t>80.23%</t>
        </is>
      </c>
      <c r="N154" t="n">
        <v>4.7</v>
      </c>
      <c r="O154" t="n">
        <v>25</v>
      </c>
      <c r="Q154" t="inlineStr">
        <is>
          <t>InStock</t>
        </is>
      </c>
      <c r="R154" t="inlineStr">
        <is>
          <t>undefined</t>
        </is>
      </c>
      <c r="S154" t="inlineStr">
        <is>
          <t>495378</t>
        </is>
      </c>
    </row>
    <row r="155" ht="75" customHeight="1">
      <c r="A155" s="1">
        <f>HYPERLINK("https://www.toolnut.com/festool-495379-standard-ripping-blade-for-ts-75-plunge-cut-saw-18-tooth.html", "https://www.toolnut.com/festool-495379-standard-ripping-blade-for-ts-75-plunge-cut-saw-18-tooth.html")</f>
        <v/>
      </c>
      <c r="B155" s="1">
        <f>HYPERLINK("https://www.toolnut.com/festool-495379-standard-ripping-blade-for-ts-75-plunge-cut-saw-18-tooth.html", "https://www.toolnut.com/festool-495379-standard-ripping-blade-for-ts-75-plunge-cut-saw-18-tooth.html")</f>
        <v/>
      </c>
      <c r="C155" t="inlineStr">
        <is>
          <t>Festool 495379 Standard Ripping Blade for TS 75 Plunge Cut Saw - 18 Tooth</t>
        </is>
      </c>
      <c r="D155" t="inlineStr">
        <is>
          <t>Festool 495382 Solid Surface/Laminate Blade For TS 75 Plunge Cut Saw - 60 Tooth</t>
        </is>
      </c>
      <c r="E155" s="1">
        <f>HYPERLINK("https://www.amazon.com/Festool-495382-Surface-Laminate-Plunge/dp/B002VMR3EQ/ref=sr_1_7?keywords=Festool+495379+Standard+Ripping+Blade+for+TS+75+Plunge+Cut+Saw+-+18+Tooth&amp;qid=1695346715&amp;sr=8-7", "https://www.amazon.com/Festool-495382-Surface-Laminate-Plunge/dp/B002VMR3EQ/ref=sr_1_7?keywords=Festool+495379+Standard+Ripping+Blade+for+TS+75+Plunge+Cut+Saw+-+18+Tooth&amp;qid=1695346715&amp;sr=8-7")</f>
        <v/>
      </c>
      <c r="F155" t="inlineStr">
        <is>
          <t>B002VMR3EQ</t>
        </is>
      </c>
      <c r="G155">
        <f>_xlfn.IMAGE("https://www.toolnut.com/media/catalog/product/f/e/festool-495379-1.jpg?quality=100&amp;bg-color=255,255,255&amp;fit=bounds&amp;height=700&amp;width=700&amp;canvas=700:700&amp;dpr=1 1x")</f>
        <v/>
      </c>
      <c r="H155">
        <f>_xlfn.IMAGE("https://m.media-amazon.com/images/I/91kWrhC1lsL._AC_UL320_.jpg")</f>
        <v/>
      </c>
      <c r="K155" t="inlineStr">
        <is>
          <t>90.0</t>
        </is>
      </c>
      <c r="L155" t="n">
        <v>155</v>
      </c>
      <c r="M155" s="2" t="inlineStr">
        <is>
          <t>72.22%</t>
        </is>
      </c>
      <c r="N155" t="n">
        <v>4.7</v>
      </c>
      <c r="O155" t="n">
        <v>25</v>
      </c>
      <c r="Q155" t="inlineStr">
        <is>
          <t>InStock</t>
        </is>
      </c>
      <c r="R155" t="inlineStr">
        <is>
          <t>undefined</t>
        </is>
      </c>
      <c r="S155" t="inlineStr">
        <is>
          <t>495379</t>
        </is>
      </c>
    </row>
    <row r="156" ht="75" customHeight="1">
      <c r="A156" s="1">
        <f>HYPERLINK("https://www.toolnut.com/festool-496304-universal-saw-blade-for-ts-55-plunge-cut-saw-28-tooth.html", "https://www.toolnut.com/festool-496304-universal-saw-blade-for-ts-55-plunge-cut-saw-28-tooth.html")</f>
        <v/>
      </c>
      <c r="B156" s="1">
        <f>HYPERLINK("https://www.toolnut.com/festool-496304-universal-saw-blade-for-ts-55-plunge-cut-saw-28-tooth.html", "https://www.toolnut.com/festool-496304-universal-saw-blade-for-ts-55-plunge-cut-saw-28-tooth.html")</f>
        <v/>
      </c>
      <c r="C156" t="inlineStr">
        <is>
          <t>Festool 496304 Universal Saw Blade for TS 55 Plunge Cut Saw - 28 Tooth</t>
        </is>
      </c>
      <c r="D156" t="inlineStr">
        <is>
          <t>Festool 495381 Fine Tooth Cross-Cut Saw Blade For TS 75 Plunge Cut Saw - 52 Tooth</t>
        </is>
      </c>
      <c r="E156" s="1">
        <f>HYPERLINK("https://www.amazon.com/Festool-495381-Tooth-Cross-Cut-Plunge/dp/B002VMPV7C/ref=sr_1_9?keywords=Festool+496304+Universal+Saw+Blade+for+TS+55+Plunge+Cut+Saw+-+28+Tooth&amp;qid=1695346691&amp;sr=8-9", "https://www.amazon.com/Festool-495381-Tooth-Cross-Cut-Plunge/dp/B002VMPV7C/ref=sr_1_9?keywords=Festool+496304+Universal+Saw+Blade+for+TS+55+Plunge+Cut+Saw+-+28+Tooth&amp;qid=1695346691&amp;sr=8-9")</f>
        <v/>
      </c>
      <c r="F156" t="inlineStr">
        <is>
          <t>B002VMPV7C</t>
        </is>
      </c>
      <c r="G156">
        <f>_xlfn.IMAGE("https://www.toolnut.com/media/catalog/product/f/e/festool-496304.jpg?quality=100&amp;bg-color=255,255,255&amp;fit=bounds&amp;height=700&amp;width=700&amp;canvas=700:700&amp;dpr=1 1x")</f>
        <v/>
      </c>
      <c r="H156">
        <f>_xlfn.IMAGE("https://m.media-amazon.com/images/I/91Y5lJ9E+QL._AC_UL320_.jpg")</f>
        <v/>
      </c>
      <c r="K156" t="inlineStr">
        <is>
          <t>63.0</t>
        </is>
      </c>
      <c r="L156" t="n">
        <v>138.99</v>
      </c>
      <c r="M156" s="2" t="inlineStr">
        <is>
          <t>120.62%</t>
        </is>
      </c>
      <c r="N156" t="n">
        <v>4.7</v>
      </c>
      <c r="O156" t="n">
        <v>78</v>
      </c>
      <c r="Q156" t="inlineStr">
        <is>
          <t>InStock</t>
        </is>
      </c>
      <c r="R156" t="inlineStr">
        <is>
          <t>undefined</t>
        </is>
      </c>
      <c r="S156" t="inlineStr">
        <is>
          <t>496304</t>
        </is>
      </c>
    </row>
    <row r="157" ht="75" customHeight="1">
      <c r="A157" s="1">
        <f>HYPERLINK("https://www.toolnut.com/festool-577476-d-1-8-ce-w-brad-point-drill-bit.html", "https://www.toolnut.com/festool-577476-d-1-8-ce-w-brad-point-drill-bit.html")</f>
        <v/>
      </c>
      <c r="B157" s="1">
        <f>HYPERLINK("https://www.toolnut.com/festool-577476-d-1-8-ce-w-brad-point-drill-bit.html", "https://www.toolnut.com/festool-577476-d-1-8-ce-w-brad-point-drill-bit.html")</f>
        <v/>
      </c>
      <c r="C157" t="inlineStr">
        <is>
          <t>Festool 577476 D 1/8" CE/W Brad Point Drill Bit</t>
        </is>
      </c>
      <c r="D157" t="inlineStr">
        <is>
          <t>Festool 492517 Centrotec HSS Brad-Point Drill Bit, 8mm</t>
        </is>
      </c>
      <c r="E157" s="1">
        <f>HYPERLINK("https://www.amazon.com/Festool-492517-Centrotec-Brad-Point-Drill/dp/B002VMNS6S/ref=sr_1_5?keywords=Festool+577476+D+1%2F8%22+CE%2FW+Brad+Point+Drill+Bit&amp;qid=1695346925&amp;sr=8-5", "https://www.amazon.com/Festool-492517-Centrotec-Brad-Point-Drill/dp/B002VMNS6S/ref=sr_1_5?keywords=Festool+577476+D+1%2F8%22+CE%2FW+Brad+Point+Drill+Bit&amp;qid=1695346925&amp;sr=8-5")</f>
        <v/>
      </c>
      <c r="F157" t="inlineStr">
        <is>
          <t>B002VMNS6S</t>
        </is>
      </c>
      <c r="G157">
        <f>_xlfn.IMAGE("https://www.toolnut.com/media/catalog/product/b/s/bs_bpbit_577480_a_02_us.jpg?quality=100&amp;bg-color=255,255,255&amp;fit=bounds&amp;height=700&amp;width=700&amp;canvas=700:700&amp;dpr=1 1x")</f>
        <v/>
      </c>
      <c r="H157">
        <f>_xlfn.IMAGE("https://m.media-amazon.com/images/I/51JOTuqArUL._AC_UL320_.jpg")</f>
        <v/>
      </c>
      <c r="K157" t="inlineStr">
        <is>
          <t>13.0</t>
        </is>
      </c>
      <c r="L157" t="n">
        <v>23</v>
      </c>
      <c r="M157" s="2" t="inlineStr">
        <is>
          <t>76.92%</t>
        </is>
      </c>
      <c r="N157" t="n">
        <v>5</v>
      </c>
      <c r="O157" t="n">
        <v>6</v>
      </c>
      <c r="Q157" t="inlineStr">
        <is>
          <t>InStock</t>
        </is>
      </c>
      <c r="R157" t="inlineStr">
        <is>
          <t>undefined</t>
        </is>
      </c>
      <c r="S157" t="inlineStr">
        <is>
          <t>577476</t>
        </is>
      </c>
    </row>
    <row r="158" ht="75" customHeight="1">
      <c r="A158" s="1">
        <f>HYPERLINK("https://www.toolnut.com/festool-577476-d-1-8-ce-w-brad-point-drill-bit.html", "https://www.toolnut.com/festool-577476-d-1-8-ce-w-brad-point-drill-bit.html")</f>
        <v/>
      </c>
      <c r="B158" s="1">
        <f>HYPERLINK("https://www.toolnut.com/festool-577476-d-1-8-ce-w-brad-point-drill-bit.html", "https://www.toolnut.com/festool-577476-d-1-8-ce-w-brad-point-drill-bit.html")</f>
        <v/>
      </c>
      <c r="C158" t="inlineStr">
        <is>
          <t>Festool 577476 D 1/8" CE/W Brad Point Drill Bit</t>
        </is>
      </c>
      <c r="D158" t="inlineStr">
        <is>
          <t>Festool 492517 Centrotec HSS Brad-Point Drill Bit, 8mm</t>
        </is>
      </c>
      <c r="E158" s="1">
        <f>HYPERLINK("https://www.amazon.com/Festool-492517-Centrotec-Brad-Point-Drill/dp/B002VMNS6S/ref=sr_1_5?keywords=Festool+577476+D+1%2F8%22+CE%2FW+Brad+Point+Drill+Bit&amp;qid=1695346925&amp;sr=8-5", "https://www.amazon.com/Festool-492517-Centrotec-Brad-Point-Drill/dp/B002VMNS6S/ref=sr_1_5?keywords=Festool+577476+D+1%2F8%22+CE%2FW+Brad+Point+Drill+Bit&amp;qid=1695346925&amp;sr=8-5")</f>
        <v/>
      </c>
      <c r="F158" t="inlineStr">
        <is>
          <t>B002VMNS6S</t>
        </is>
      </c>
      <c r="G158">
        <f>_xlfn.IMAGE("https://www.toolnut.com/media/catalog/product/b/s/bs_bpbit_577480_a_02_us.jpg?quality=100&amp;bg-color=255,255,255&amp;fit=bounds&amp;height=700&amp;width=700&amp;canvas=700:700&amp;dpr=1 1x")</f>
        <v/>
      </c>
      <c r="H158">
        <f>_xlfn.IMAGE("https://m.media-amazon.com/images/I/51JOTuqArUL._AC_UL320_.jpg")</f>
        <v/>
      </c>
      <c r="K158" t="inlineStr">
        <is>
          <t>13.0</t>
        </is>
      </c>
      <c r="L158" t="n">
        <v>23</v>
      </c>
      <c r="M158" s="2" t="inlineStr">
        <is>
          <t>76.92%</t>
        </is>
      </c>
      <c r="N158" t="n">
        <v>5</v>
      </c>
      <c r="O158" t="n">
        <v>6</v>
      </c>
      <c r="Q158" t="inlineStr">
        <is>
          <t>InStock</t>
        </is>
      </c>
      <c r="R158" t="inlineStr">
        <is>
          <t>undefined</t>
        </is>
      </c>
      <c r="S158" t="inlineStr">
        <is>
          <t>577476</t>
        </is>
      </c>
    </row>
    <row r="159" ht="75" customHeight="1">
      <c r="A159" s="1">
        <f>HYPERLINK("https://www.toolnut.com/fisch-fsa-134510-wave-cutter-35mm-dia-x-10mm-x-90mm-oal.html", "https://www.toolnut.com/fisch-fsa-134510-wave-cutter-35mm-dia-x-10mm-x-90mm-oal.html")</f>
        <v/>
      </c>
      <c r="B159" s="1">
        <f>HYPERLINK("https://www.toolnut.com/fisch-fsa-134510-wave-cutter-35mm-dia-x-10mm-x-90mm-oal.html", "https://www.toolnut.com/fisch-fsa-134510-wave-cutter-35mm-dia-x-10mm-x-90mm-oal.html")</f>
        <v/>
      </c>
      <c r="C159" t="inlineStr">
        <is>
          <t>Fisch FSA-134510 35mm Wave Cutter Forstner Bit</t>
        </is>
      </c>
      <c r="D159" t="inlineStr">
        <is>
          <t>Fisch FSA-197058 1/4-Inch-1-Inch Diameter Wave Cutter Forstner Bit In Wooden Box, 7-Piece</t>
        </is>
      </c>
      <c r="E159" s="1">
        <f>HYPERLINK("https://www.amazon.com/Fisch-FSA-197058-4-Inch-1-Inch-Diameter-Forstner/dp/B008KIUFEK/ref=sr_1_7?keywords=Fisch+FSA-134510+35mm+Wave+Cutter+Forstner+Bit&amp;qid=1695347025&amp;sr=8-7", "https://www.amazon.com/Fisch-FSA-197058-4-Inch-1-Inch-Diameter-Forstner/dp/B008KIUFEK/ref=sr_1_7?keywords=Fisch+FSA-134510+35mm+Wave+Cutter+Forstner+Bit&amp;qid=1695347025&amp;sr=8-7")</f>
        <v/>
      </c>
      <c r="F159" t="inlineStr">
        <is>
          <t>B008KIUFEK</t>
        </is>
      </c>
      <c r="G159">
        <f>_xlfn.IMAGE("https://www.toolnut.com/media/catalog/product/f/s/fsa-134510.jpg?quality=100&amp;bg-color=255,255,255&amp;fit=bounds&amp;height=700&amp;width=700&amp;canvas=700:700&amp;dpr=1 1x")</f>
        <v/>
      </c>
      <c r="H159">
        <f>_xlfn.IMAGE("https://m.media-amazon.com/images/I/910FrHGu9hL._AC_UL320_.jpg")</f>
        <v/>
      </c>
      <c r="K159" t="inlineStr">
        <is>
          <t>26.99</t>
        </is>
      </c>
      <c r="L159" t="n">
        <v>99.98999999999999</v>
      </c>
      <c r="M159" s="2" t="inlineStr">
        <is>
          <t>270.47%</t>
        </is>
      </c>
      <c r="N159" t="n">
        <v>4.5</v>
      </c>
      <c r="O159" t="n">
        <v>73</v>
      </c>
      <c r="Q159" t="inlineStr">
        <is>
          <t>InStock</t>
        </is>
      </c>
      <c r="R159" t="inlineStr">
        <is>
          <t>undefined</t>
        </is>
      </c>
      <c r="S159" t="inlineStr">
        <is>
          <t>FSA-134510</t>
        </is>
      </c>
    </row>
    <row r="160" ht="75" customHeight="1">
      <c r="A160" s="1">
        <f>HYPERLINK("https://www.toolnut.com/fisch-fsa-134510-wave-cutter-35mm-dia-x-10mm-x-90mm-oal.html", "https://www.toolnut.com/fisch-fsa-134510-wave-cutter-35mm-dia-x-10mm-x-90mm-oal.html")</f>
        <v/>
      </c>
      <c r="B160" s="1">
        <f>HYPERLINK("https://www.toolnut.com/fisch-fsa-134510-wave-cutter-35mm-dia-x-10mm-x-90mm-oal.html", "https://www.toolnut.com/fisch-fsa-134510-wave-cutter-35mm-dia-x-10mm-x-90mm-oal.html")</f>
        <v/>
      </c>
      <c r="C160" t="inlineStr">
        <is>
          <t>Fisch FSA-134510 35mm Wave Cutter Forstner Bit</t>
        </is>
      </c>
      <c r="D160" t="inlineStr">
        <is>
          <t>Fisch FSA-270515 Wave Cutter Forstner Bit, 55mm x 10mm</t>
        </is>
      </c>
      <c r="E160" s="1">
        <f>HYPERLINK("https://www.amazon.com/Fisch-FSA-270515-Wave-Cutter-Forstner/dp/B01MA4XJ29/ref=sr_1_5?keywords=Fisch+FSA-134510+35mm+Wave+Cutter+Forstner+Bit&amp;qid=1695347025&amp;sr=8-5", "https://www.amazon.com/Fisch-FSA-270515-Wave-Cutter-Forstner/dp/B01MA4XJ29/ref=sr_1_5?keywords=Fisch+FSA-134510+35mm+Wave+Cutter+Forstner+Bit&amp;qid=1695347025&amp;sr=8-5")</f>
        <v/>
      </c>
      <c r="F160" t="inlineStr">
        <is>
          <t>B01MA4XJ29</t>
        </is>
      </c>
      <c r="G160">
        <f>_xlfn.IMAGE("https://www.toolnut.com/media/catalog/product/f/s/fsa-134510.jpg?quality=100&amp;bg-color=255,255,255&amp;fit=bounds&amp;height=700&amp;width=700&amp;canvas=700:700&amp;dpr=1 1x")</f>
        <v/>
      </c>
      <c r="H160">
        <f>_xlfn.IMAGE("https://m.media-amazon.com/images/I/41JXu9krV0S._AC_UL320_.jpg")</f>
        <v/>
      </c>
      <c r="K160" t="inlineStr">
        <is>
          <t>26.99</t>
        </is>
      </c>
      <c r="L160" t="n">
        <v>63.27</v>
      </c>
      <c r="M160" s="2" t="inlineStr">
        <is>
          <t>134.42%</t>
        </is>
      </c>
      <c r="N160" t="n">
        <v>5</v>
      </c>
      <c r="O160" t="n">
        <v>2</v>
      </c>
      <c r="Q160" t="inlineStr">
        <is>
          <t>InStock</t>
        </is>
      </c>
      <c r="R160" t="inlineStr">
        <is>
          <t>undefined</t>
        </is>
      </c>
      <c r="S160" t="inlineStr">
        <is>
          <t>FSA-134510</t>
        </is>
      </c>
    </row>
    <row r="161" ht="75" customHeight="1">
      <c r="A161" s="1">
        <f>HYPERLINK("https://www.toolnut.com/fisch-fsa-134510-wave-cutter-35mm-dia-x-10mm-x-90mm-oal.html", "https://www.toolnut.com/fisch-fsa-134510-wave-cutter-35mm-dia-x-10mm-x-90mm-oal.html")</f>
        <v/>
      </c>
      <c r="B161" s="1">
        <f>HYPERLINK("https://www.toolnut.com/fisch-fsa-134510-wave-cutter-35mm-dia-x-10mm-x-90mm-oal.html", "https://www.toolnut.com/fisch-fsa-134510-wave-cutter-35mm-dia-x-10mm-x-90mm-oal.html")</f>
        <v/>
      </c>
      <c r="C161" t="inlineStr">
        <is>
          <t>Fisch FSA-134510 35mm Wave Cutter Forstner Bit</t>
        </is>
      </c>
      <c r="D161" t="inlineStr">
        <is>
          <t>Fisch FSA-270515 Wave Cutter Forstner Bit, 55mm x 10mm</t>
        </is>
      </c>
      <c r="E161" s="1">
        <f>HYPERLINK("https://www.amazon.com/Fisch-FSA-270515-Wave-Cutter-Forstner/dp/B01MA4XJ29/ref=sr_1_5?keywords=Fisch+FSA-134510+35mm+Wave+Cutter+Forstner+Bit&amp;qid=1695347025&amp;sr=8-5", "https://www.amazon.com/Fisch-FSA-270515-Wave-Cutter-Forstner/dp/B01MA4XJ29/ref=sr_1_5?keywords=Fisch+FSA-134510+35mm+Wave+Cutter+Forstner+Bit&amp;qid=1695347025&amp;sr=8-5")</f>
        <v/>
      </c>
      <c r="F161" t="inlineStr">
        <is>
          <t>B01MA4XJ29</t>
        </is>
      </c>
      <c r="G161">
        <f>_xlfn.IMAGE("https://www.toolnut.com/media/catalog/product/f/s/fsa-134510.jpg?quality=100&amp;bg-color=255,255,255&amp;fit=bounds&amp;height=700&amp;width=700&amp;canvas=700:700&amp;dpr=1 1x")</f>
        <v/>
      </c>
      <c r="H161">
        <f>_xlfn.IMAGE("https://m.media-amazon.com/images/I/41JXu9krV0S._AC_UL320_.jpg")</f>
        <v/>
      </c>
      <c r="K161" t="inlineStr">
        <is>
          <t>26.99</t>
        </is>
      </c>
      <c r="L161" t="n">
        <v>63.27</v>
      </c>
      <c r="M161" s="2" t="inlineStr">
        <is>
          <t>134.42%</t>
        </is>
      </c>
      <c r="N161" t="n">
        <v>5</v>
      </c>
      <c r="O161" t="n">
        <v>2</v>
      </c>
      <c r="Q161" t="inlineStr">
        <is>
          <t>InStock</t>
        </is>
      </c>
      <c r="R161" t="inlineStr">
        <is>
          <t>undefined</t>
        </is>
      </c>
      <c r="S161" t="inlineStr">
        <is>
          <t>FSA-134510</t>
        </is>
      </c>
    </row>
    <row r="162" ht="75" customHeight="1">
      <c r="A162" s="1">
        <f>HYPERLINK("https://www.toolnut.com/fisch-fsa-365693-35mm-black-shark-steel-forged-steel-forstner-bit.html", "https://www.toolnut.com/fisch-fsa-365693-35mm-black-shark-steel-forged-steel-forstner-bit.html")</f>
        <v/>
      </c>
      <c r="B162" s="1">
        <f>HYPERLINK("https://www.toolnut.com/fisch-fsa-365693-35mm-black-shark-steel-forged-steel-forstner-bit.html", "https://www.toolnut.com/fisch-fsa-365693-35mm-black-shark-steel-forged-steel-forstner-bit.html")</f>
        <v/>
      </c>
      <c r="C162" t="inlineStr">
        <is>
          <t>Fisch FSA-365693 35mm Black Shark Steel Forged Steel Forstner Bit</t>
        </is>
      </c>
      <c r="D162" t="inlineStr">
        <is>
          <t>Fisch FSA-365877 Black Shark Forstner Drill Bit 2-1/8" Diameter Quality Forged Steel Made in Austria</t>
        </is>
      </c>
      <c r="E162" s="1">
        <f>HYPERLINK("https://www.amazon.com/Fisch-8-Inch-Diameter-Forstner-FSA-365877/dp/B086Q1RLCR/ref=sr_1_6?keywords=Fisch+FSA-365693+35mm+Black+Shark+Steel+Forged+Steel+Forstner+Bit&amp;qid=1695346907&amp;sr=8-6", "https://www.amazon.com/Fisch-8-Inch-Diameter-Forstner-FSA-365877/dp/B086Q1RLCR/ref=sr_1_6?keywords=Fisch+FSA-365693+35mm+Black+Shark+Steel+Forged+Steel+Forstner+Bit&amp;qid=1695346907&amp;sr=8-6")</f>
        <v/>
      </c>
      <c r="F162" t="inlineStr">
        <is>
          <t>B086Q1RLCR</t>
        </is>
      </c>
      <c r="G162">
        <f>_xlfn.IMAGE("https://www.toolnut.com/media/catalog/product/f/s/fsa-365693.jpg?quality=100&amp;bg-color=255,255,255&amp;fit=bounds&amp;height=700&amp;width=700&amp;canvas=700:700")</f>
        <v/>
      </c>
      <c r="H162">
        <f>_xlfn.IMAGE("https://m.media-amazon.com/images/I/51AWjwT1vAL._AC_UL320_.jpg")</f>
        <v/>
      </c>
      <c r="K162" t="inlineStr">
        <is>
          <t>29.99</t>
        </is>
      </c>
      <c r="L162" t="n">
        <v>58.99</v>
      </c>
      <c r="M162" s="2" t="inlineStr">
        <is>
          <t>96.70%</t>
        </is>
      </c>
      <c r="N162" t="n">
        <v>5</v>
      </c>
      <c r="O162" t="n">
        <v>1</v>
      </c>
      <c r="Q162" t="inlineStr">
        <is>
          <t>InStock</t>
        </is>
      </c>
      <c r="R162" t="inlineStr">
        <is>
          <t>32.49</t>
        </is>
      </c>
      <c r="S162" t="inlineStr">
        <is>
          <t>FSA-365693</t>
        </is>
      </c>
    </row>
    <row r="163" ht="75" customHeight="1">
      <c r="A163" s="1">
        <f>HYPERLINK("https://www.toolnut.com/fisch-fsa-365693-35mm-black-shark-steel-forged-steel-forstner-bit.html", "https://www.toolnut.com/fisch-fsa-365693-35mm-black-shark-steel-forged-steel-forstner-bit.html")</f>
        <v/>
      </c>
      <c r="B163" s="1">
        <f>HYPERLINK("https://www.toolnut.com/fisch-fsa-365693-35mm-black-shark-steel-forged-steel-forstner-bit.html", "https://www.toolnut.com/fisch-fsa-365693-35mm-black-shark-steel-forged-steel-forstner-bit.html")</f>
        <v/>
      </c>
      <c r="C163" t="inlineStr">
        <is>
          <t>Fisch FSA-365693 35mm Black Shark Steel Forged Steel Forstner Bit</t>
        </is>
      </c>
      <c r="D163" t="inlineStr">
        <is>
          <t>Fisch FSA-365877 Black Shark Forstner Drill Bit 2-1/8" Diameter Quality Forged Steel Made in Austria</t>
        </is>
      </c>
      <c r="E163" s="1">
        <f>HYPERLINK("https://www.amazon.com/Fisch-8-Inch-Diameter-Forstner-FSA-365877/dp/B086Q1RLCR/ref=sr_1_6?keywords=Fisch+FSA-365693+35mm+Black+Shark+Steel+Forged+Steel+Forstner+Bit&amp;qid=1695346907&amp;sr=8-6", "https://www.amazon.com/Fisch-8-Inch-Diameter-Forstner-FSA-365877/dp/B086Q1RLCR/ref=sr_1_6?keywords=Fisch+FSA-365693+35mm+Black+Shark+Steel+Forged+Steel+Forstner+Bit&amp;qid=1695346907&amp;sr=8-6")</f>
        <v/>
      </c>
      <c r="F163" t="inlineStr">
        <is>
          <t>B086Q1RLCR</t>
        </is>
      </c>
      <c r="G163">
        <f>_xlfn.IMAGE("https://www.toolnut.com/media/catalog/product/f/s/fsa-365693.jpg?quality=100&amp;bg-color=255,255,255&amp;fit=bounds&amp;height=700&amp;width=700&amp;canvas=700:700")</f>
        <v/>
      </c>
      <c r="H163">
        <f>_xlfn.IMAGE("https://m.media-amazon.com/images/I/51AWjwT1vAL._AC_UL320_.jpg")</f>
        <v/>
      </c>
      <c r="K163" t="inlineStr">
        <is>
          <t>29.99</t>
        </is>
      </c>
      <c r="L163" t="n">
        <v>58.99</v>
      </c>
      <c r="M163" s="2" t="inlineStr">
        <is>
          <t>96.70%</t>
        </is>
      </c>
      <c r="N163" t="n">
        <v>5</v>
      </c>
      <c r="O163" t="n">
        <v>1</v>
      </c>
      <c r="Q163" t="inlineStr">
        <is>
          <t>InStock</t>
        </is>
      </c>
      <c r="R163" t="inlineStr">
        <is>
          <t>32.49</t>
        </is>
      </c>
      <c r="S163" t="inlineStr">
        <is>
          <t>FSA-365693</t>
        </is>
      </c>
    </row>
    <row r="164" ht="75" customHeight="1">
      <c r="A164" s="1">
        <f>HYPERLINK("https://www.toolnut.com/fisch-fsa-367192-7-piece-black-shark-forged-steel-forstner-bit-set.html", "https://www.toolnut.com/fisch-fsa-367192-7-piece-black-shark-forged-steel-forstner-bit-set.html")</f>
        <v/>
      </c>
      <c r="B164" s="1">
        <f>HYPERLINK("https://www.toolnut.com/fisch-fsa-367192-7-piece-black-shark-forged-steel-forstner-bit-set.html", "https://www.toolnut.com/fisch-fsa-367192-7-piece-black-shark-forged-steel-forstner-bit-set.html")</f>
        <v/>
      </c>
      <c r="C164" t="inlineStr">
        <is>
          <t>Fisch FSA-367192 7-Piece Black Shark Forged Steel Forstner Bit Set</t>
        </is>
      </c>
      <c r="D164" t="inlineStr">
        <is>
          <t>Fisch FSA-375005 16 Piece Black Shark Forstner Drill Bit Combo Set Custom Wooden Box Includes Bits from 15mm up to 35mm and 1/4-inch up to 2-inch Diameter Forged Steel Made in Austria</t>
        </is>
      </c>
      <c r="E164" s="1">
        <f>HYPERLINK("https://www.amazon.com/Fisch-Forstner-16-Piece-Imperial-Metric/dp/B088CVVPHL/ref=sr_1_4?keywords=Fisch+FSA-367192+7-Piece+Black+Shark+Forged+Steel+Forstner+Bit+Set&amp;qid=1695346911&amp;sr=8-4", "https://www.amazon.com/Fisch-Forstner-16-Piece-Imperial-Metric/dp/B088CVVPHL/ref=sr_1_4?keywords=Fisch+FSA-367192+7-Piece+Black+Shark+Forged+Steel+Forstner+Bit+Set&amp;qid=1695346911&amp;sr=8-4")</f>
        <v/>
      </c>
      <c r="F164" t="inlineStr">
        <is>
          <t>B088CVVPHL</t>
        </is>
      </c>
      <c r="G164">
        <f>_xlfn.IMAGE("https://www.toolnut.com/media/catalog/product/f/s/fsa-367192.jpg?quality=100&amp;bg-color=255,255,255&amp;fit=bounds&amp;height=700&amp;width=700&amp;canvas=700:700")</f>
        <v/>
      </c>
      <c r="H164">
        <f>_xlfn.IMAGE("https://m.media-amazon.com/images/I/81sy8qvxmEL._AC_UL320_.jpg")</f>
        <v/>
      </c>
      <c r="K164" t="inlineStr">
        <is>
          <t>79.99</t>
        </is>
      </c>
      <c r="L164" t="n">
        <v>334.3</v>
      </c>
      <c r="M164" s="2" t="inlineStr">
        <is>
          <t>317.93%</t>
        </is>
      </c>
      <c r="N164" t="n">
        <v>5</v>
      </c>
      <c r="O164" t="n">
        <v>3</v>
      </c>
      <c r="Q164" t="inlineStr">
        <is>
          <t>InStock</t>
        </is>
      </c>
      <c r="R164" t="inlineStr">
        <is>
          <t>99.99</t>
        </is>
      </c>
      <c r="S164" t="inlineStr">
        <is>
          <t>FSA-367192</t>
        </is>
      </c>
    </row>
    <row r="165" ht="75" customHeight="1">
      <c r="A165" s="1">
        <f>HYPERLINK("https://www.toolnut.com/fisch-fsa-367192-7-piece-black-shark-forged-steel-forstner-bit-set.html", "https://www.toolnut.com/fisch-fsa-367192-7-piece-black-shark-forged-steel-forstner-bit-set.html")</f>
        <v/>
      </c>
      <c r="B165" s="1">
        <f>HYPERLINK("https://www.toolnut.com/fisch-fsa-367192-7-piece-black-shark-forged-steel-forstner-bit-set.html", "https://www.toolnut.com/fisch-fsa-367192-7-piece-black-shark-forged-steel-forstner-bit-set.html")</f>
        <v/>
      </c>
      <c r="C165" t="inlineStr">
        <is>
          <t>Fisch FSA-367192 7-Piece Black Shark Forged Steel Forstner Bit Set</t>
        </is>
      </c>
      <c r="D165" t="inlineStr">
        <is>
          <t>Fisch FSA-367208 16 Piece Black Shark Forstner Drill Bit Set Custom Wooden Box Includes Bits from 1/4-inch up to 2-1/8-inch Diameter Forged Steel Made in Austria</t>
        </is>
      </c>
      <c r="E165" s="1">
        <f>HYPERLINK("https://www.amazon.com/Fisch-Imperial-Forstner-Wooden-FSA-367208/dp/B086PGT174/ref=sr_1_2?keywords=Fisch+FSA-367192+7-Piece+Black+Shark+Forged+Steel+Forstner+Bit+Set&amp;qid=1695346911&amp;sr=8-2", "https://www.amazon.com/Fisch-Imperial-Forstner-Wooden-FSA-367208/dp/B086PGT174/ref=sr_1_2?keywords=Fisch+FSA-367192+7-Piece+Black+Shark+Forged+Steel+Forstner+Bit+Set&amp;qid=1695346911&amp;sr=8-2")</f>
        <v/>
      </c>
      <c r="F165" t="inlineStr">
        <is>
          <t>B086PGT174</t>
        </is>
      </c>
      <c r="G165">
        <f>_xlfn.IMAGE("https://www.toolnut.com/media/catalog/product/f/s/fsa-367192.jpg?quality=100&amp;bg-color=255,255,255&amp;fit=bounds&amp;height=700&amp;width=700&amp;canvas=700:700")</f>
        <v/>
      </c>
      <c r="H165">
        <f>_xlfn.IMAGE("https://m.media-amazon.com/images/I/91jI6HnWOcL._AC_UL320_.jpg")</f>
        <v/>
      </c>
      <c r="K165" t="inlineStr">
        <is>
          <t>79.99</t>
        </is>
      </c>
      <c r="L165" t="n">
        <v>299.99</v>
      </c>
      <c r="M165" s="2" t="inlineStr">
        <is>
          <t>275.03%</t>
        </is>
      </c>
      <c r="N165" t="n">
        <v>4.6</v>
      </c>
      <c r="O165" t="n">
        <v>13</v>
      </c>
      <c r="Q165" t="inlineStr">
        <is>
          <t>InStock</t>
        </is>
      </c>
      <c r="R165" t="inlineStr">
        <is>
          <t>99.99</t>
        </is>
      </c>
      <c r="S165" t="inlineStr">
        <is>
          <t>FSA-367192</t>
        </is>
      </c>
    </row>
    <row r="166" ht="75" customHeight="1">
      <c r="A166" s="1">
        <f>HYPERLINK("https://www.toolnut.com/fisch-fsf-320791-brad-point-drill-7-pc-set-1-8-in-1-2-in-dia.html", "https://www.toolnut.com/fisch-fsf-320791-brad-point-drill-7-pc-set-1-8-in-1-2-in-dia.html")</f>
        <v/>
      </c>
      <c r="B166" s="1">
        <f>HYPERLINK("https://www.toolnut.com/fisch-fsf-320791-brad-point-drill-7-pc-set-1-8-in-1-2-in-dia.html", "https://www.toolnut.com/fisch-fsf-320791-brad-point-drill-7-pc-set-1-8-in-1-2-in-dia.html")</f>
        <v/>
      </c>
      <c r="C166" t="inlineStr">
        <is>
          <t>Fisch FSF-320791 Imperial Brad Point Drill 7-Piece Set</t>
        </is>
      </c>
      <c r="D166" t="inlineStr">
        <is>
          <t>Fisch Brad Point High Speed Double Flute 11-Piece Drill Bit Set | FSF-305712</t>
        </is>
      </c>
      <c r="E166" s="1">
        <f>HYPERLINK("https://www.amazon.com/Fisch-Point-Double-11-Piece-FSF-305712/dp/B07VXQWBZK/ref=sr_1_2?keywords=Fisch+FSF-320791+Imperial+Brad+Point+Drill+7-Piece+Set&amp;qid=1695346865&amp;sr=8-2", "https://www.amazon.com/Fisch-Point-Double-11-Piece-FSF-305712/dp/B07VXQWBZK/ref=sr_1_2?keywords=Fisch+FSF-320791+Imperial+Brad+Point+Drill+7-Piece+Set&amp;qid=1695346865&amp;sr=8-2")</f>
        <v/>
      </c>
      <c r="F166" t="inlineStr">
        <is>
          <t>B07VXQWBZK</t>
        </is>
      </c>
      <c r="G166">
        <f>_xlfn.IMAGE("https://www.toolnut.com/media/catalog/product/a/f/afn-fsf-320791.jpg?quality=100&amp;bg-color=255,255,255&amp;fit=bounds&amp;height=700&amp;width=700&amp;canvas=700:700&amp;dpr=1 1x")</f>
        <v/>
      </c>
      <c r="H166">
        <f>_xlfn.IMAGE("https://m.media-amazon.com/images/I/71lPe8a7o3S._AC_UL320_.jpg")</f>
        <v/>
      </c>
      <c r="K166" t="inlineStr">
        <is>
          <t>26.99</t>
        </is>
      </c>
      <c r="L166" t="n">
        <v>251</v>
      </c>
      <c r="M166" s="2" t="inlineStr">
        <is>
          <t>829.97%</t>
        </is>
      </c>
      <c r="N166" t="n">
        <v>5</v>
      </c>
      <c r="O166" t="n">
        <v>3</v>
      </c>
      <c r="Q166" t="inlineStr">
        <is>
          <t>InStock</t>
        </is>
      </c>
      <c r="R166" t="inlineStr">
        <is>
          <t>undefined</t>
        </is>
      </c>
      <c r="S166" t="inlineStr">
        <is>
          <t>FSF-320791</t>
        </is>
      </c>
    </row>
    <row r="167" ht="75" customHeight="1">
      <c r="A167" s="1">
        <f>HYPERLINK("https://www.toolnut.com/fisch-fsf-320791-brad-point-drill-7-pc-set-1-8-in-1-2-in-dia.html", "https://www.toolnut.com/fisch-fsf-320791-brad-point-drill-7-pc-set-1-8-in-1-2-in-dia.html")</f>
        <v/>
      </c>
      <c r="B167" s="1">
        <f>HYPERLINK("https://www.toolnut.com/fisch-fsf-320791-brad-point-drill-7-pc-set-1-8-in-1-2-in-dia.html", "https://www.toolnut.com/fisch-fsf-320791-brad-point-drill-7-pc-set-1-8-in-1-2-in-dia.html")</f>
        <v/>
      </c>
      <c r="C167" t="inlineStr">
        <is>
          <t>Fisch FSF-320791 Imperial Brad Point Drill 7-Piece Set</t>
        </is>
      </c>
      <c r="D167" t="inlineStr">
        <is>
          <t>Fisch - 013C00007K01 FSF-320814 High Speed Steel Double Flute Brad Point Drills Bit, 7-Piece Set</t>
        </is>
      </c>
      <c r="E167" s="1">
        <f>HYPERLINK("https://www.amazon.com/Fisch-FSF-320814-Double-Drills-7-Piece/dp/B0052WJRGO/ref=sr_1_6?keywords=Fisch+FSF-320791+Imperial+Brad+Point+Drill+7-Piece+Set&amp;qid=1695346865&amp;sr=8-6", "https://www.amazon.com/Fisch-FSF-320814-Double-Drills-7-Piece/dp/B0052WJRGO/ref=sr_1_6?keywords=Fisch+FSF-320791+Imperial+Brad+Point+Drill+7-Piece+Set&amp;qid=1695346865&amp;sr=8-6")</f>
        <v/>
      </c>
      <c r="F167" t="inlineStr">
        <is>
          <t>B0052WJRGO</t>
        </is>
      </c>
      <c r="G167">
        <f>_xlfn.IMAGE("https://www.toolnut.com/media/catalog/product/a/f/afn-fsf-320791.jpg?quality=100&amp;bg-color=255,255,255&amp;fit=bounds&amp;height=700&amp;width=700&amp;canvas=700:700&amp;dpr=1 1x")</f>
        <v/>
      </c>
      <c r="H167">
        <f>_xlfn.IMAGE("https://m.media-amazon.com/images/I/81uz3qR+VBL._AC_UL320_.jpg")</f>
        <v/>
      </c>
      <c r="K167" t="inlineStr">
        <is>
          <t>26.99</t>
        </is>
      </c>
      <c r="L167" t="n">
        <v>97.59999999999999</v>
      </c>
      <c r="M167" s="2" t="inlineStr">
        <is>
          <t>261.62%</t>
        </is>
      </c>
      <c r="N167" t="n">
        <v>4.3</v>
      </c>
      <c r="O167" t="n">
        <v>19</v>
      </c>
      <c r="Q167" t="inlineStr">
        <is>
          <t>InStock</t>
        </is>
      </c>
      <c r="R167" t="inlineStr">
        <is>
          <t>undefined</t>
        </is>
      </c>
      <c r="S167" t="inlineStr">
        <is>
          <t>FSF-320791</t>
        </is>
      </c>
    </row>
    <row r="168" ht="75" customHeight="1">
      <c r="A168" s="1">
        <f>HYPERLINK("https://www.toolnut.com/fisch-fsf-320791-brad-point-drill-7-pc-set-1-8-in-1-2-in-dia.html", "https://www.toolnut.com/fisch-fsf-320791-brad-point-drill-7-pc-set-1-8-in-1-2-in-dia.html")</f>
        <v/>
      </c>
      <c r="B168" s="1">
        <f>HYPERLINK("https://www.toolnut.com/fisch-fsf-320791-brad-point-drill-7-pc-set-1-8-in-1-2-in-dia.html", "https://www.toolnut.com/fisch-fsf-320791-brad-point-drill-7-pc-set-1-8-in-1-2-in-dia.html")</f>
        <v/>
      </c>
      <c r="C168" t="inlineStr">
        <is>
          <t>Fisch FSF-320791 Imperial Brad Point Drill 7-Piece Set</t>
        </is>
      </c>
      <c r="D168" t="inlineStr">
        <is>
          <t>Fisch Chrome Vanadium Wood Twist Drill Bits, 29-Piece Set, Imperial Sizes 1/16-1/2 Inches, FSF-364757</t>
        </is>
      </c>
      <c r="E168" s="1">
        <f>HYPERLINK("https://www.amazon.com/Fisch-FSF-364757-Imperial-Point-Drill/dp/B078P375Z5/ref=sr_1_3?keywords=Fisch+FSF-320791+Imperial+Brad+Point+Drill+7-Piece+Set&amp;qid=1695346865&amp;sr=8-3", "https://www.amazon.com/Fisch-FSF-364757-Imperial-Point-Drill/dp/B078P375Z5/ref=sr_1_3?keywords=Fisch+FSF-320791+Imperial+Brad+Point+Drill+7-Piece+Set&amp;qid=1695346865&amp;sr=8-3")</f>
        <v/>
      </c>
      <c r="F168" t="inlineStr">
        <is>
          <t>B078P375Z5</t>
        </is>
      </c>
      <c r="G168">
        <f>_xlfn.IMAGE("https://www.toolnut.com/media/catalog/product/a/f/afn-fsf-320791.jpg?quality=100&amp;bg-color=255,255,255&amp;fit=bounds&amp;height=700&amp;width=700&amp;canvas=700:700&amp;dpr=1 1x")</f>
        <v/>
      </c>
      <c r="H168">
        <f>_xlfn.IMAGE("https://m.media-amazon.com/images/I/71zKwwIKRvL._AC_UL320_.jpg")</f>
        <v/>
      </c>
      <c r="K168" t="inlineStr">
        <is>
          <t>26.99</t>
        </is>
      </c>
      <c r="L168" t="n">
        <v>75.28</v>
      </c>
      <c r="M168" s="2" t="inlineStr">
        <is>
          <t>178.92%</t>
        </is>
      </c>
      <c r="N168" t="n">
        <v>4.6</v>
      </c>
      <c r="O168" t="n">
        <v>300</v>
      </c>
      <c r="Q168" t="inlineStr">
        <is>
          <t>InStock</t>
        </is>
      </c>
      <c r="R168" t="inlineStr">
        <is>
          <t>undefined</t>
        </is>
      </c>
      <c r="S168" t="inlineStr">
        <is>
          <t>FSF-320791</t>
        </is>
      </c>
    </row>
    <row r="169" ht="75" customHeight="1">
      <c r="A169" s="1">
        <f>HYPERLINK("https://www.toolnut.com/fisch-fsf-320791-brad-point-drill-7-pc-set-1-8-in-1-2-in-dia.html", "https://www.toolnut.com/fisch-fsf-320791-brad-point-drill-7-pc-set-1-8-in-1-2-in-dia.html")</f>
        <v/>
      </c>
      <c r="B169" s="1">
        <f>HYPERLINK("https://www.toolnut.com/fisch-fsf-320791-brad-point-drill-7-pc-set-1-8-in-1-2-in-dia.html", "https://www.toolnut.com/fisch-fsf-320791-brad-point-drill-7-pc-set-1-8-in-1-2-in-dia.html")</f>
        <v/>
      </c>
      <c r="C169" t="inlineStr">
        <is>
          <t>Fisch FSF-320791 Imperial Brad Point Drill 7-Piece Set</t>
        </is>
      </c>
      <c r="D169" t="inlineStr">
        <is>
          <t>Fisch Chrome Vanadium Wood Twist Drill Bits, 29-Piece Set, Imperial Sizes 1/16-1/2 Inches, FSF-364757</t>
        </is>
      </c>
      <c r="E169" s="1">
        <f>HYPERLINK("https://www.amazon.com/Fisch-FSF-364757-Imperial-Point-Drill/dp/B078P375Z5/ref=sr_1_3?keywords=Fisch+FSF-320791+Imperial+Brad+Point+Drill+7-Piece+Set&amp;qid=1695346865&amp;sr=8-3", "https://www.amazon.com/Fisch-FSF-364757-Imperial-Point-Drill/dp/B078P375Z5/ref=sr_1_3?keywords=Fisch+FSF-320791+Imperial+Brad+Point+Drill+7-Piece+Set&amp;qid=1695346865&amp;sr=8-3")</f>
        <v/>
      </c>
      <c r="F169" t="inlineStr">
        <is>
          <t>B078P375Z5</t>
        </is>
      </c>
      <c r="G169">
        <f>_xlfn.IMAGE("https://www.toolnut.com/media/catalog/product/a/f/afn-fsf-320791.jpg?quality=100&amp;bg-color=255,255,255&amp;fit=bounds&amp;height=700&amp;width=700&amp;canvas=700:700&amp;dpr=1 1x")</f>
        <v/>
      </c>
      <c r="H169">
        <f>_xlfn.IMAGE("https://m.media-amazon.com/images/I/71zKwwIKRvL._AC_UL320_.jpg")</f>
        <v/>
      </c>
      <c r="K169" t="inlineStr">
        <is>
          <t>26.99</t>
        </is>
      </c>
      <c r="L169" t="n">
        <v>75.28</v>
      </c>
      <c r="M169" s="2" t="inlineStr">
        <is>
          <t>178.92%</t>
        </is>
      </c>
      <c r="N169" t="n">
        <v>4.6</v>
      </c>
      <c r="O169" t="n">
        <v>300</v>
      </c>
      <c r="Q169" t="inlineStr">
        <is>
          <t>InStock</t>
        </is>
      </c>
      <c r="R169" t="inlineStr">
        <is>
          <t>undefined</t>
        </is>
      </c>
      <c r="S169" t="inlineStr">
        <is>
          <t>FSF-320791</t>
        </is>
      </c>
    </row>
    <row r="170" ht="75" customHeight="1">
      <c r="A170" s="1">
        <f>HYPERLINK("https://www.toolnut.com/freud-dhs0688-11-16-in-hole-saw.html", "https://www.toolnut.com/freud-dhs0688-11-16-in-hole-saw.html")</f>
        <v/>
      </c>
      <c r="B170" s="1">
        <f>HYPERLINK("https://www.toolnut.com/freud-dhs0688-11-16-in-hole-saw.html", "https://www.toolnut.com/freud-dhs0688-11-16-in-hole-saw.html")</f>
        <v/>
      </c>
      <c r="C170" t="inlineStr">
        <is>
          <t>Diablo DHS0688 11/16 in. Hole Saw</t>
        </is>
      </c>
      <c r="D170" t="inlineStr">
        <is>
          <t>LENOX Tools Carbide Hole Saw, 11/16-Inch (17 mm) (LXAH31116)</t>
        </is>
      </c>
      <c r="E170" s="1">
        <f>HYPERLINK("https://www.amazon.com/LENOX-Tools-Carbide-16-Inch-LXAH31116/dp/B0857T7HPQ/ref=sr_1_9?keywords=Diablo+DHS0688+11%2F16+in.+Hole+Saw&amp;qid=1695346984&amp;sr=8-9", "https://www.amazon.com/LENOX-Tools-Carbide-16-Inch-LXAH31116/dp/B0857T7HPQ/ref=sr_1_9?keywords=Diablo+DHS0688+11%2F16+in.+Hole+Saw&amp;qid=1695346984&amp;sr=8-9")</f>
        <v/>
      </c>
      <c r="F170" t="inlineStr">
        <is>
          <t>B0857T7HPQ</t>
        </is>
      </c>
      <c r="G170">
        <f>_xlfn.IMAGE("https://www.toolnut.com/media/catalog/product/d/i/diablo-dhs0688.jpg?quality=100&amp;bg-color=255,255,255&amp;fit=bounds&amp;height=700&amp;width=700&amp;canvas=700:700&amp;dpr=1 1x")</f>
        <v/>
      </c>
      <c r="H170">
        <f>_xlfn.IMAGE("https://m.media-amazon.com/images/I/61wj8lYw4PL._AC_UL320_.jpg")</f>
        <v/>
      </c>
      <c r="K170" t="inlineStr">
        <is>
          <t>5.99</t>
        </is>
      </c>
      <c r="L170" t="n">
        <v>18.99</v>
      </c>
      <c r="M170" s="2" t="inlineStr">
        <is>
          <t>217.03%</t>
        </is>
      </c>
      <c r="N170" t="n">
        <v>4.6</v>
      </c>
      <c r="O170" t="n">
        <v>124</v>
      </c>
      <c r="Q170" t="inlineStr">
        <is>
          <t>InStock</t>
        </is>
      </c>
      <c r="R170" t="inlineStr">
        <is>
          <t>undefined</t>
        </is>
      </c>
      <c r="S170" t="inlineStr">
        <is>
          <t>DHS0688</t>
        </is>
      </c>
    </row>
    <row r="171" ht="75" customHeight="1">
      <c r="A171" s="1">
        <f>HYPERLINK("https://www.toolnut.com/freud-dhs1312-1-5-16-in-hole-saw.html", "https://www.toolnut.com/freud-dhs1312-1-5-16-in-hole-saw.html")</f>
        <v/>
      </c>
      <c r="B171" s="1">
        <f>HYPERLINK("https://www.toolnut.com/freud-dhs1312-1-5-16-in-hole-saw.html", "https://www.toolnut.com/freud-dhs1312-1-5-16-in-hole-saw.html")</f>
        <v/>
      </c>
      <c r="C171" t="inlineStr">
        <is>
          <t>Diablo DHS1312 1-5/16 in. Hole Saw</t>
        </is>
      </c>
      <c r="D171" t="inlineStr">
        <is>
          <t>FREUD AMERICA INC. 265-DHS16SEL 16pc Bi-Metal Hole Saw</t>
        </is>
      </c>
      <c r="E171" s="1">
        <f>HYPERLINK("https://www.amazon.com/Freud-DHS16SEL-Bi-Metal-Electrical-Piece/dp/B0778Y883Q/ref=sr_1_3?keywords=Diablo+DHS1312+1-5%2F16+in.+Hole+Saw&amp;qid=1695346980&amp;sr=8-3", "https://www.amazon.com/Freud-DHS16SEL-Bi-Metal-Electrical-Piece/dp/B0778Y883Q/ref=sr_1_3?keywords=Diablo+DHS1312+1-5%2F16+in.+Hole+Saw&amp;qid=1695346980&amp;sr=8-3")</f>
        <v/>
      </c>
      <c r="F171" t="inlineStr">
        <is>
          <t>B0778Y883Q</t>
        </is>
      </c>
      <c r="G171">
        <f>_xlfn.IMAGE("https://www.toolnut.com/media/catalog/product/d/i/diablo-dhs1312.jpg?quality=100&amp;bg-color=255,255,255&amp;fit=bounds&amp;height=700&amp;width=700&amp;canvas=700:700&amp;dpr=1 1x")</f>
        <v/>
      </c>
      <c r="H171">
        <f>_xlfn.IMAGE("https://m.media-amazon.com/images/I/61cIv0YQ9tL._AC_UL320_.jpg")</f>
        <v/>
      </c>
      <c r="K171" t="inlineStr">
        <is>
          <t>7.99</t>
        </is>
      </c>
      <c r="L171" t="n">
        <v>128.99</v>
      </c>
      <c r="M171" s="2" t="inlineStr">
        <is>
          <t>1514.39%</t>
        </is>
      </c>
      <c r="N171" t="n">
        <v>4.5</v>
      </c>
      <c r="O171" t="n">
        <v>111</v>
      </c>
      <c r="Q171" t="inlineStr">
        <is>
          <t>InStock</t>
        </is>
      </c>
      <c r="R171" t="inlineStr">
        <is>
          <t>undefined</t>
        </is>
      </c>
      <c r="S171" t="inlineStr">
        <is>
          <t>DHS1312</t>
        </is>
      </c>
    </row>
    <row r="172" ht="75" customHeight="1">
      <c r="A172" s="1">
        <f>HYPERLINK("https://www.toolnut.com/freud-dhs2063-2-1-16-in-hole-saw.html", "https://www.toolnut.com/freud-dhs2063-2-1-16-in-hole-saw.html")</f>
        <v/>
      </c>
      <c r="B172" s="1">
        <f>HYPERLINK("https://www.toolnut.com/freud-dhs2063-2-1-16-in-hole-saw.html", "https://www.toolnut.com/freud-dhs2063-2-1-16-in-hole-saw.html")</f>
        <v/>
      </c>
      <c r="C172" t="inlineStr">
        <is>
          <t>Diablo DHS2063 2-1/16 in. Hole Saw</t>
        </is>
      </c>
      <c r="D172" t="inlineStr">
        <is>
          <t>FREUD AMERICA INC. 265-DHS16SEL 16pc Bi-Metal Hole Saw</t>
        </is>
      </c>
      <c r="E172" s="1">
        <f>HYPERLINK("https://www.amazon.com/Freud-DHS16SEL-Bi-Metal-Electrical-Piece/dp/B0778Y883Q/ref=sr_1_4?keywords=Diablo+DHS2063+2-1%2F16+in.+Hole+Saw&amp;qid=1695346978&amp;sr=8-4", "https://www.amazon.com/Freud-DHS16SEL-Bi-Metal-Electrical-Piece/dp/B0778Y883Q/ref=sr_1_4?keywords=Diablo+DHS2063+2-1%2F16+in.+Hole+Saw&amp;qid=1695346978&amp;sr=8-4")</f>
        <v/>
      </c>
      <c r="F172" t="inlineStr">
        <is>
          <t>B0778Y883Q</t>
        </is>
      </c>
      <c r="G172">
        <f>_xlfn.IMAGE("https://www.toolnut.com/media/catalog/product/d/i/diablo-dhs2063.jpg?quality=100&amp;bg-color=255,255,255&amp;fit=bounds&amp;height=700&amp;width=700&amp;canvas=700:700&amp;dpr=1 1x")</f>
        <v/>
      </c>
      <c r="H172">
        <f>_xlfn.IMAGE("https://m.media-amazon.com/images/I/61cIv0YQ9tL._AC_UL320_.jpg")</f>
        <v/>
      </c>
      <c r="K172" t="inlineStr">
        <is>
          <t>9.99</t>
        </is>
      </c>
      <c r="L172" t="n">
        <v>128.99</v>
      </c>
      <c r="M172" s="2" t="inlineStr">
        <is>
          <t>1191.19%</t>
        </is>
      </c>
      <c r="N172" t="n">
        <v>4.5</v>
      </c>
      <c r="O172" t="n">
        <v>111</v>
      </c>
      <c r="Q172" t="inlineStr">
        <is>
          <t>InStock</t>
        </is>
      </c>
      <c r="R172" t="inlineStr">
        <is>
          <t>undefined</t>
        </is>
      </c>
      <c r="S172" t="inlineStr">
        <is>
          <t>DHS2063</t>
        </is>
      </c>
    </row>
    <row r="173" ht="75" customHeight="1">
      <c r="A173" s="1">
        <f>HYPERLINK("https://www.toolnut.com/freud-dhs2312-2-5-16-in-hole-saw.html", "https://www.toolnut.com/freud-dhs2312-2-5-16-in-hole-saw.html")</f>
        <v/>
      </c>
      <c r="B173" s="1">
        <f>HYPERLINK("https://www.toolnut.com/freud-dhs2312-2-5-16-in-hole-saw.html", "https://www.toolnut.com/freud-dhs2312-2-5-16-in-hole-saw.html")</f>
        <v/>
      </c>
      <c r="C173" t="inlineStr">
        <is>
          <t>Diablo DHS2312 2-5/16 in. Hole Saw</t>
        </is>
      </c>
      <c r="D173" t="inlineStr">
        <is>
          <t>FREUD AMERICA INC. 265-DHS16SEL 16pc Bi-Metal Hole Saw</t>
        </is>
      </c>
      <c r="E173" s="1">
        <f>HYPERLINK("https://www.amazon.com/Freud-DHS16SEL-Bi-Metal-Electrical-Piece/dp/B0778Y883Q/ref=sr_1_1?keywords=Diablo+DHS2312+2-5%2F16+in.+Hole+Saw&amp;qid=1695346981&amp;sr=8-1", "https://www.amazon.com/Freud-DHS16SEL-Bi-Metal-Electrical-Piece/dp/B0778Y883Q/ref=sr_1_1?keywords=Diablo+DHS2312+2-5%2F16+in.+Hole+Saw&amp;qid=1695346981&amp;sr=8-1")</f>
        <v/>
      </c>
      <c r="F173" t="inlineStr">
        <is>
          <t>B0778Y883Q</t>
        </is>
      </c>
      <c r="G173">
        <f>_xlfn.IMAGE("https://www.toolnut.com/media/catalog/product/d/i/diablo-dhs2312.jpg?quality=100&amp;bg-color=255,255,255&amp;fit=bounds&amp;height=700&amp;width=700&amp;canvas=700:700&amp;dpr=1 1x")</f>
        <v/>
      </c>
      <c r="H173">
        <f>_xlfn.IMAGE("https://m.media-amazon.com/images/I/61cIv0YQ9tL._AC_UL320_.jpg")</f>
        <v/>
      </c>
      <c r="K173" t="inlineStr">
        <is>
          <t>9.99</t>
        </is>
      </c>
      <c r="L173" t="n">
        <v>128.99</v>
      </c>
      <c r="M173" s="2" t="inlineStr">
        <is>
          <t>1191.19%</t>
        </is>
      </c>
      <c r="N173" t="n">
        <v>4.5</v>
      </c>
      <c r="O173" t="n">
        <v>111</v>
      </c>
      <c r="Q173" t="inlineStr">
        <is>
          <t>InStock</t>
        </is>
      </c>
      <c r="R173" t="inlineStr">
        <is>
          <t>undefined</t>
        </is>
      </c>
      <c r="S173" t="inlineStr">
        <is>
          <t>DHS2312</t>
        </is>
      </c>
    </row>
    <row r="174" ht="75" customHeight="1">
      <c r="A174" s="1">
        <f>HYPERLINK("https://www.toolnut.com/freud-dhs5500-5-1-2-in-hole-saw.html", "https://www.toolnut.com/freud-dhs5500-5-1-2-in-hole-saw.html")</f>
        <v/>
      </c>
      <c r="B174" s="1">
        <f>HYPERLINK("https://www.toolnut.com/freud-dhs5500-5-1-2-in-hole-saw.html", "https://www.toolnut.com/freud-dhs5500-5-1-2-in-hole-saw.html")</f>
        <v/>
      </c>
      <c r="C174" t="inlineStr">
        <is>
          <t>Diablo DHS5500 5-1/2 in. Hole Saw</t>
        </is>
      </c>
      <c r="D174" t="inlineStr">
        <is>
          <t>FREUD AMERICA INC. 265-DHS16SEL 16pc Bi-Metal Hole Saw</t>
        </is>
      </c>
      <c r="E174" s="1">
        <f>HYPERLINK("https://www.amazon.com/Freud-DHS16SEL-Bi-Metal-Electrical-Piece/dp/B0778Y883Q/ref=sr_1_9?keywords=Diablo+DHS5500+5-1%2F2+in.+Hole+Saw&amp;qid=1695346995&amp;sr=8-9", "https://www.amazon.com/Freud-DHS16SEL-Bi-Metal-Electrical-Piece/dp/B0778Y883Q/ref=sr_1_9?keywords=Diablo+DHS5500+5-1%2F2+in.+Hole+Saw&amp;qid=1695346995&amp;sr=8-9")</f>
        <v/>
      </c>
      <c r="F174" t="inlineStr">
        <is>
          <t>B0778Y883Q</t>
        </is>
      </c>
      <c r="G174">
        <f>_xlfn.IMAGE("https://www.toolnut.com/media/catalog/product/d/i/diablo-dhs5500.jpg?quality=100&amp;bg-color=255,255,255&amp;fit=bounds&amp;height=700&amp;width=700&amp;canvas=700:700&amp;dpr=1 1x")</f>
        <v/>
      </c>
      <c r="H174">
        <f>_xlfn.IMAGE("https://m.media-amazon.com/images/I/61cIv0YQ9tL._AC_UL320_.jpg")</f>
        <v/>
      </c>
      <c r="K174" t="inlineStr">
        <is>
          <t>24.99</t>
        </is>
      </c>
      <c r="L174" t="n">
        <v>128.99</v>
      </c>
      <c r="M174" s="2" t="inlineStr">
        <is>
          <t>416.17%</t>
        </is>
      </c>
      <c r="N174" t="n">
        <v>4.5</v>
      </c>
      <c r="O174" t="n">
        <v>111</v>
      </c>
      <c r="Q174" t="inlineStr">
        <is>
          <t>InStock</t>
        </is>
      </c>
      <c r="R174" t="inlineStr">
        <is>
          <t>undefined</t>
        </is>
      </c>
      <c r="S174" t="inlineStr">
        <is>
          <t>DHS5500</t>
        </is>
      </c>
    </row>
    <row r="175" ht="75" customHeight="1">
      <c r="A175" s="1">
        <f>HYPERLINK("https://www.toolnut.com/freud-dhs5500-5-1-2-in-hole-saw.html", "https://www.toolnut.com/freud-dhs5500-5-1-2-in-hole-saw.html")</f>
        <v/>
      </c>
      <c r="B175" s="1">
        <f>HYPERLINK("https://www.toolnut.com/freud-dhs5500-5-1-2-in-hole-saw.html", "https://www.toolnut.com/freud-dhs5500-5-1-2-in-hole-saw.html")</f>
        <v/>
      </c>
      <c r="C175" t="inlineStr">
        <is>
          <t>Diablo DHS5500 5-1/2 in. Hole Saw</t>
        </is>
      </c>
      <c r="D175" t="inlineStr">
        <is>
          <t>BOSCH HBT550 5-1/2 In. Bi-Metal T-Slot Hole Saw</t>
        </is>
      </c>
      <c r="E175" s="1">
        <f>HYPERLINK("https://www.amazon.com/BOSCH-HBT550-BIMETAL-Hole-Saw/dp/B09WYW3J5D/ref=sr_1_6?keywords=Diablo+DHS5500+5-1%2F2+in.+Hole+Saw&amp;qid=1695346995&amp;sr=8-6", "https://www.amazon.com/BOSCH-HBT550-BIMETAL-Hole-Saw/dp/B09WYW3J5D/ref=sr_1_6?keywords=Diablo+DHS5500+5-1%2F2+in.+Hole+Saw&amp;qid=1695346995&amp;sr=8-6")</f>
        <v/>
      </c>
      <c r="F175" t="inlineStr">
        <is>
          <t>B09WYW3J5D</t>
        </is>
      </c>
      <c r="G175">
        <f>_xlfn.IMAGE("https://www.toolnut.com/media/catalog/product/d/i/diablo-dhs5500.jpg?quality=100&amp;bg-color=255,255,255&amp;fit=bounds&amp;height=700&amp;width=700&amp;canvas=700:700&amp;dpr=1 1x")</f>
        <v/>
      </c>
      <c r="H175">
        <f>_xlfn.IMAGE("https://m.media-amazon.com/images/I/61aZyCpgYFL._AC_UL320_.jpg")</f>
        <v/>
      </c>
      <c r="K175" t="inlineStr">
        <is>
          <t>24.99</t>
        </is>
      </c>
      <c r="L175" t="n">
        <v>48.49</v>
      </c>
      <c r="M175" s="2" t="inlineStr">
        <is>
          <t>94.04%</t>
        </is>
      </c>
      <c r="N175" t="n">
        <v>4.6</v>
      </c>
      <c r="O175" t="n">
        <v>196</v>
      </c>
      <c r="Q175" t="inlineStr">
        <is>
          <t>InStock</t>
        </is>
      </c>
      <c r="R175" t="inlineStr">
        <is>
          <t>undefined</t>
        </is>
      </c>
      <c r="S175" t="inlineStr">
        <is>
          <t>DHS5500</t>
        </is>
      </c>
    </row>
    <row r="176" ht="75" customHeight="1">
      <c r="A176" s="1">
        <f>HYPERLINK("https://www.toolnut.com/freud-dhs5500-5-1-2-in-hole-saw.html", "https://www.toolnut.com/freud-dhs5500-5-1-2-in-hole-saw.html")</f>
        <v/>
      </c>
      <c r="B176" s="1">
        <f>HYPERLINK("https://www.toolnut.com/freud-dhs5500-5-1-2-in-hole-saw.html", "https://www.toolnut.com/freud-dhs5500-5-1-2-in-hole-saw.html")</f>
        <v/>
      </c>
      <c r="C176" t="inlineStr">
        <is>
          <t>Diablo DHS5500 5-1/2 in. Hole Saw</t>
        </is>
      </c>
      <c r="D176" t="inlineStr">
        <is>
          <t>BOSCH HBT550 5-1/2 In. Bi-Metal T-Slot Hole Saw</t>
        </is>
      </c>
      <c r="E176" s="1">
        <f>HYPERLINK("https://www.amazon.com/BOSCH-HBT550-BIMETAL-Hole-Saw/dp/B09WYW3J5D/ref=sr_1_6?keywords=Diablo+DHS5500+5-1%2F2+in.+Hole+Saw&amp;qid=1695346995&amp;sr=8-6", "https://www.amazon.com/BOSCH-HBT550-BIMETAL-Hole-Saw/dp/B09WYW3J5D/ref=sr_1_6?keywords=Diablo+DHS5500+5-1%2F2+in.+Hole+Saw&amp;qid=1695346995&amp;sr=8-6")</f>
        <v/>
      </c>
      <c r="F176" t="inlineStr">
        <is>
          <t>B09WYW3J5D</t>
        </is>
      </c>
      <c r="G176">
        <f>_xlfn.IMAGE("https://www.toolnut.com/media/catalog/product/d/i/diablo-dhs5500.jpg?quality=100&amp;bg-color=255,255,255&amp;fit=bounds&amp;height=700&amp;width=700&amp;canvas=700:700&amp;dpr=1 1x")</f>
        <v/>
      </c>
      <c r="H176">
        <f>_xlfn.IMAGE("https://m.media-amazon.com/images/I/61aZyCpgYFL._AC_UL320_.jpg")</f>
        <v/>
      </c>
      <c r="K176" t="inlineStr">
        <is>
          <t>24.99</t>
        </is>
      </c>
      <c r="L176" t="n">
        <v>48.49</v>
      </c>
      <c r="M176" s="2" t="inlineStr">
        <is>
          <t>94.04%</t>
        </is>
      </c>
      <c r="N176" t="n">
        <v>4.6</v>
      </c>
      <c r="O176" t="n">
        <v>196</v>
      </c>
      <c r="Q176" t="inlineStr">
        <is>
          <t>InStock</t>
        </is>
      </c>
      <c r="R176" t="inlineStr">
        <is>
          <t>undefined</t>
        </is>
      </c>
      <c r="S176" t="inlineStr">
        <is>
          <t>DHS5500</t>
        </is>
      </c>
    </row>
    <row r="177" ht="75" customHeight="1">
      <c r="A177" s="1">
        <f>HYPERLINK("https://www.toolnut.com/freud-lm74r010-10-x-30t-industrial-glue-line-ripping-blade.html", "https://www.toolnut.com/freud-lm74r010-10-x-30t-industrial-glue-line-ripping-blade.html")</f>
        <v/>
      </c>
      <c r="B177" s="1">
        <f>HYPERLINK("https://www.toolnut.com/freud-lm74r010-10-x-30t-industrial-glue-line-ripping-blade.html", "https://www.toolnut.com/freud-lm74r010-10-x-30t-industrial-glue-line-ripping-blade.html")</f>
        <v/>
      </c>
      <c r="C177" t="inlineStr">
        <is>
          <t>Freud LM74R010 10-Inch Industrial Glue Line Ripping Blade</t>
        </is>
      </c>
      <c r="D177" t="inlineStr">
        <is>
          <t>Freud LU80R010: 10" Ultimate Plywood &amp; Melamine Blade &amp; LM75R010: 10" Industrial Thin Kerf Glue Line Ripping Blade</t>
        </is>
      </c>
      <c r="E177" s="1">
        <f>HYPERLINK("https://www.amazon.com/Freud-LU80R010-Ultimate-Melamine-Industrial/dp/B0C3BB2LKJ/ref=sr_1_9?keywords=Freud+LM74R010+10-Inch+Industrial+Glue+Line+Ripping+Blade&amp;qid=1695346743&amp;sr=8-9", "https://www.amazon.com/Freud-LU80R010-Ultimate-Melamine-Industrial/dp/B0C3BB2LKJ/ref=sr_1_9?keywords=Freud+LM74R010+10-Inch+Industrial+Glue+Line+Ripping+Blade&amp;qid=1695346743&amp;sr=8-9")</f>
        <v/>
      </c>
      <c r="F177" t="inlineStr">
        <is>
          <t>B0C3BB2LKJ</t>
        </is>
      </c>
      <c r="G177">
        <f>_xlfn.IMAGE("https://www.toolnut.com/media/catalog/product/l/m/lm74r010_main-image.jpg?quality=100&amp;bg-color=255,255,255&amp;fit=bounds&amp;height=700&amp;width=700&amp;canvas=700:700&amp;dpr=1 1x")</f>
        <v/>
      </c>
      <c r="H177">
        <f>_xlfn.IMAGE("https://m.media-amazon.com/images/I/61L-eX3qB4L._AC_UL320_.jpg")</f>
        <v/>
      </c>
      <c r="K177" t="inlineStr">
        <is>
          <t>79.97</t>
        </is>
      </c>
      <c r="L177" t="n">
        <v>156.94</v>
      </c>
      <c r="M177" s="2" t="inlineStr">
        <is>
          <t>96.25%</t>
        </is>
      </c>
      <c r="N177" t="n">
        <v>4.7</v>
      </c>
      <c r="O177" t="n">
        <v>390</v>
      </c>
      <c r="Q177" t="inlineStr">
        <is>
          <t>InStock</t>
        </is>
      </c>
      <c r="R177" t="inlineStr">
        <is>
          <t>undefined</t>
        </is>
      </c>
      <c r="S177" t="inlineStr">
        <is>
          <t>LM74R010</t>
        </is>
      </c>
    </row>
    <row r="178" ht="75" customHeight="1">
      <c r="A178" s="1">
        <f>HYPERLINK("https://www.toolnut.com/freud-pb-0035-9-16-inch-forstner-bit.html", "https://www.toolnut.com/freud-pb-0035-9-16-inch-forstner-bit.html")</f>
        <v/>
      </c>
      <c r="B178" s="1">
        <f>HYPERLINK("https://www.toolnut.com/freud-pb-0035-9-16-inch-forstner-bit.html", "https://www.toolnut.com/freud-pb-0035-9-16-inch-forstner-bit.html")</f>
        <v/>
      </c>
      <c r="C178" t="inlineStr">
        <is>
          <t>Freud PB-0035 9/16-Inch Forstner Bit</t>
        </is>
      </c>
      <c r="D178" t="inlineStr">
        <is>
          <t>Freud PB-016: Precision Shear™ Serrated Edge Forstner Drill Bit 2-1/8-inch</t>
        </is>
      </c>
      <c r="E178" s="1">
        <f>HYPERLINK("https://www.amazon.com/Freud-PB-016-Precision-Serrated-Forstner/dp/B0000AV74R/ref=sr_1_8?keywords=Freud+PB-0035+9%2F16-Inch+Forstner+Bit&amp;qid=1695346874&amp;sr=8-8", "https://www.amazon.com/Freud-PB-016-Precision-Serrated-Forstner/dp/B0000AV74R/ref=sr_1_8?keywords=Freud+PB-0035+9%2F16-Inch+Forstner+Bit&amp;qid=1695346874&amp;sr=8-8")</f>
        <v/>
      </c>
      <c r="F178" t="inlineStr">
        <is>
          <t>B0000AV74R</t>
        </is>
      </c>
      <c r="G178">
        <f>_xlfn.IMAGE("https://www.toolnut.com/media/catalog/product/p/b/pb-0035_main-image.jpg?quality=100&amp;bg-color=255,255,255&amp;fit=bounds&amp;height=700&amp;width=700&amp;canvas=700:700&amp;dpr=1 1x")</f>
        <v/>
      </c>
      <c r="H178">
        <f>_xlfn.IMAGE("https://m.media-amazon.com/images/I/61bvRVAarFL._AC_UL320_.jpg")</f>
        <v/>
      </c>
      <c r="K178" t="inlineStr">
        <is>
          <t>13.99</t>
        </is>
      </c>
      <c r="L178" t="n">
        <v>32</v>
      </c>
      <c r="M178" s="2" t="inlineStr">
        <is>
          <t>128.73%</t>
        </is>
      </c>
      <c r="N178" t="n">
        <v>4.6</v>
      </c>
      <c r="O178" t="n">
        <v>130</v>
      </c>
      <c r="Q178" t="inlineStr">
        <is>
          <t>InStock</t>
        </is>
      </c>
      <c r="R178" t="inlineStr">
        <is>
          <t>undefined</t>
        </is>
      </c>
      <c r="S178" t="inlineStr">
        <is>
          <t>PB-0035</t>
        </is>
      </c>
    </row>
    <row r="179" ht="75" customHeight="1">
      <c r="A179" s="1">
        <f>HYPERLINK("https://www.toolnut.com/freud-pb-0035-9-16-inch-forstner-bit.html", "https://www.toolnut.com/freud-pb-0035-9-16-inch-forstner-bit.html")</f>
        <v/>
      </c>
      <c r="B179" s="1">
        <f>HYPERLINK("https://www.toolnut.com/freud-pb-0035-9-16-inch-forstner-bit.html", "https://www.toolnut.com/freud-pb-0035-9-16-inch-forstner-bit.html")</f>
        <v/>
      </c>
      <c r="C179" t="inlineStr">
        <is>
          <t>Freud PB-0035 9/16-Inch Forstner Bit</t>
        </is>
      </c>
      <c r="D179" t="inlineStr">
        <is>
          <t>Freud PB-016: Precision Shear™ Serrated Edge Forstner Drill Bit 2-1/8-inch</t>
        </is>
      </c>
      <c r="E179" s="1">
        <f>HYPERLINK("https://www.amazon.com/Freud-PB-016-Precision-Serrated-Forstner/dp/B0000AV74R/ref=sr_1_8?keywords=Freud+PB-0035+9%2F16-Inch+Forstner+Bit&amp;qid=1695346874&amp;sr=8-8", "https://www.amazon.com/Freud-PB-016-Precision-Serrated-Forstner/dp/B0000AV74R/ref=sr_1_8?keywords=Freud+PB-0035+9%2F16-Inch+Forstner+Bit&amp;qid=1695346874&amp;sr=8-8")</f>
        <v/>
      </c>
      <c r="F179" t="inlineStr">
        <is>
          <t>B0000AV74R</t>
        </is>
      </c>
      <c r="G179">
        <f>_xlfn.IMAGE("https://www.toolnut.com/media/catalog/product/p/b/pb-0035_main-image.jpg?quality=100&amp;bg-color=255,255,255&amp;fit=bounds&amp;height=700&amp;width=700&amp;canvas=700:700&amp;dpr=1 1x")</f>
        <v/>
      </c>
      <c r="H179">
        <f>_xlfn.IMAGE("https://m.media-amazon.com/images/I/61bvRVAarFL._AC_UL320_.jpg")</f>
        <v/>
      </c>
      <c r="K179" t="inlineStr">
        <is>
          <t>13.99</t>
        </is>
      </c>
      <c r="L179" t="n">
        <v>32</v>
      </c>
      <c r="M179" s="2" t="inlineStr">
        <is>
          <t>128.73%</t>
        </is>
      </c>
      <c r="N179" t="n">
        <v>4.6</v>
      </c>
      <c r="O179" t="n">
        <v>130</v>
      </c>
      <c r="Q179" t="inlineStr">
        <is>
          <t>InStock</t>
        </is>
      </c>
      <c r="R179" t="inlineStr">
        <is>
          <t>undefined</t>
        </is>
      </c>
      <c r="S179" t="inlineStr">
        <is>
          <t>PB-0035</t>
        </is>
      </c>
    </row>
    <row r="180" ht="75" customHeight="1">
      <c r="A180" s="1">
        <f>HYPERLINK("https://www.toolnut.com/irwin-10232cb-drill-bit.html", "https://www.toolnut.com/irwin-10232cb-drill-bit.html")</f>
        <v/>
      </c>
      <c r="B180" s="1">
        <f>HYPERLINK("https://www.toolnut.com/irwin-10232cb-drill-bit.html", "https://www.toolnut.com/irwin-10232cb-drill-bit.html")</f>
        <v/>
      </c>
      <c r="C180" t="inlineStr">
        <is>
          <t>Irwin 10232CB Unibit Cobalt Alloy Steel #2 6 Step Drill Bit 3/16-in. - 1/2-in.</t>
        </is>
      </c>
      <c r="D180" t="inlineStr">
        <is>
          <t>IRWIN Unibit #21 13/16-Inch to 1-3/8-Inch Step-Drill Bit, 1/2-Inch Shank (10221) , Black</t>
        </is>
      </c>
      <c r="E180" s="1">
        <f>HYPERLINK("https://www.amazon.com/Irwin-Tools-16-Inch-Step-Drill-10221/dp/B00075PU2G/ref=sr_1_9?keywords=Irwin+10232CB+Unibit+Cobalt+Alloy+Steel&amp;qid=1695347083&amp;sr=8-9", "https://www.amazon.com/Irwin-Tools-16-Inch-Step-Drill-10221/dp/B00075PU2G/ref=sr_1_9?keywords=Irwin+10232CB+Unibit+Cobalt+Alloy+Steel&amp;qid=1695347083&amp;sr=8-9")</f>
        <v/>
      </c>
      <c r="F180" t="inlineStr">
        <is>
          <t>B00075PU2G</t>
        </is>
      </c>
      <c r="G180">
        <f>_xlfn.IMAGE("https://www.toolnut.com/media/catalog/product/1/0/10232cb-irwin_1.jpg?quality=100&amp;bg-color=255,255,255&amp;fit=bounds&amp;height=700&amp;width=700&amp;canvas=700:700&amp;dpr=1 1x")</f>
        <v/>
      </c>
      <c r="H180">
        <f>_xlfn.IMAGE("https://m.media-amazon.com/images/I/71CkFt2FWCL._AC_UY218_.jpg")</f>
        <v/>
      </c>
      <c r="K180" t="inlineStr">
        <is>
          <t>26.99</t>
        </is>
      </c>
      <c r="L180" t="n">
        <v>101.67</v>
      </c>
      <c r="M180" s="2" t="inlineStr">
        <is>
          <t>276.70%</t>
        </is>
      </c>
      <c r="N180" t="n">
        <v>5</v>
      </c>
      <c r="O180" t="n">
        <v>4</v>
      </c>
      <c r="Q180" t="inlineStr">
        <is>
          <t>InStock</t>
        </is>
      </c>
      <c r="R180" t="inlineStr">
        <is>
          <t>undefined</t>
        </is>
      </c>
      <c r="S180" t="inlineStr">
        <is>
          <t>10232CB-IRWIN</t>
        </is>
      </c>
    </row>
    <row r="181" ht="75" customHeight="1">
      <c r="A181" s="1">
        <f>HYPERLINK("https://www.toolnut.com/irwin-10232cb-drill-bit.html", "https://www.toolnut.com/irwin-10232cb-drill-bit.html")</f>
        <v/>
      </c>
      <c r="B181" s="1">
        <f>HYPERLINK("https://www.toolnut.com/irwin-10232cb-drill-bit.html", "https://www.toolnut.com/irwin-10232cb-drill-bit.html")</f>
        <v/>
      </c>
      <c r="C181" t="inlineStr">
        <is>
          <t>Irwin 10232CB Unibit Cobalt Alloy Steel #2 6 Step Drill Bit 3/16-in. - 1/2-in.</t>
        </is>
      </c>
      <c r="D181" t="inlineStr">
        <is>
          <t>toolant Four Spiral Flute Cobalt Step Drill Bit(Pro Max), 3/16" - 1-3/8"(19 Step Size) Unibit Step Drill Bit, 3/8" Shank Step Bit for Metal, Stainless Steel, Aluminum, Wood, Plastic</t>
        </is>
      </c>
      <c r="E181" s="1">
        <f>HYPERLINK("https://www.amazon.com/AugTouf-M35-Unibit-Step-Drill/dp/B09SPZQ6LV/ref=sr_1_7?keywords=Irwin+10232CB+Unibit+Cobalt+Alloy+Steel&amp;qid=1695347083&amp;sr=8-7", "https://www.amazon.com/AugTouf-M35-Unibit-Step-Drill/dp/B09SPZQ6LV/ref=sr_1_7?keywords=Irwin+10232CB+Unibit+Cobalt+Alloy+Steel&amp;qid=1695347083&amp;sr=8-7")</f>
        <v/>
      </c>
      <c r="F181" t="inlineStr">
        <is>
          <t>B09SPZQ6LV</t>
        </is>
      </c>
      <c r="G181">
        <f>_xlfn.IMAGE("https://www.toolnut.com/media/catalog/product/1/0/10232cb-irwin_1.jpg?quality=100&amp;bg-color=255,255,255&amp;fit=bounds&amp;height=700&amp;width=700&amp;canvas=700:700&amp;dpr=1 1x")</f>
        <v/>
      </c>
      <c r="H181">
        <f>_xlfn.IMAGE("https://m.media-amazon.com/images/I/61B1j-YmCyL._AC_UY218_.jpg")</f>
        <v/>
      </c>
      <c r="K181" t="inlineStr">
        <is>
          <t>26.99</t>
        </is>
      </c>
      <c r="L181" t="n">
        <v>55.99</v>
      </c>
      <c r="M181" s="2" t="inlineStr">
        <is>
          <t>107.45%</t>
        </is>
      </c>
      <c r="N181" t="n">
        <v>4.5</v>
      </c>
      <c r="O181" t="n">
        <v>1188</v>
      </c>
      <c r="Q181" t="inlineStr">
        <is>
          <t>InStock</t>
        </is>
      </c>
      <c r="R181" t="inlineStr">
        <is>
          <t>undefined</t>
        </is>
      </c>
      <c r="S181" t="inlineStr">
        <is>
          <t>10232CB-IRWIN</t>
        </is>
      </c>
    </row>
    <row r="182" ht="75" customHeight="1">
      <c r="A182" s="1">
        <f>HYPERLINK("https://www.toolnut.com/irwin-10232cb-drill-bit.html", "https://www.toolnut.com/irwin-10232cb-drill-bit.html")</f>
        <v/>
      </c>
      <c r="B182" s="1">
        <f>HYPERLINK("https://www.toolnut.com/irwin-10232cb-drill-bit.html", "https://www.toolnut.com/irwin-10232cb-drill-bit.html")</f>
        <v/>
      </c>
      <c r="C182" t="inlineStr">
        <is>
          <t>Irwin 10232CB Unibit Cobalt Alloy Steel #2 6 Step Drill Bit 3/16-in. - 1/2-in.</t>
        </is>
      </c>
      <c r="D182" t="inlineStr">
        <is>
          <t>toolant Four Spiral Flute Cobalt Step Drill Bit(Pro Max), 3/16" - 1-3/8"(19 Step Size) Unibit Step Drill Bit, 3/8" Shank Step Bit for Metal, Stainless Steel, Aluminum, Wood, Plastic</t>
        </is>
      </c>
      <c r="E182" s="1">
        <f>HYPERLINK("https://www.amazon.com/AugTouf-M35-Unibit-Step-Drill/dp/B09SPZQ6LV/ref=sr_1_7?keywords=Irwin+10232CB+Unibit+Cobalt+Alloy+Steel&amp;qid=1695347083&amp;sr=8-7", "https://www.amazon.com/AugTouf-M35-Unibit-Step-Drill/dp/B09SPZQ6LV/ref=sr_1_7?keywords=Irwin+10232CB+Unibit+Cobalt+Alloy+Steel&amp;qid=1695347083&amp;sr=8-7")</f>
        <v/>
      </c>
      <c r="F182" t="inlineStr">
        <is>
          <t>B09SPZQ6LV</t>
        </is>
      </c>
      <c r="G182">
        <f>_xlfn.IMAGE("https://www.toolnut.com/media/catalog/product/1/0/10232cb-irwin_1.jpg?quality=100&amp;bg-color=255,255,255&amp;fit=bounds&amp;height=700&amp;width=700&amp;canvas=700:700&amp;dpr=1 1x")</f>
        <v/>
      </c>
      <c r="H182">
        <f>_xlfn.IMAGE("https://m.media-amazon.com/images/I/61B1j-YmCyL._AC_UY218_.jpg")</f>
        <v/>
      </c>
      <c r="K182" t="inlineStr">
        <is>
          <t>26.99</t>
        </is>
      </c>
      <c r="L182" t="n">
        <v>55.99</v>
      </c>
      <c r="M182" s="2" t="inlineStr">
        <is>
          <t>107.45%</t>
        </is>
      </c>
      <c r="N182" t="n">
        <v>4.5</v>
      </c>
      <c r="O182" t="n">
        <v>1188</v>
      </c>
      <c r="Q182" t="inlineStr">
        <is>
          <t>InStock</t>
        </is>
      </c>
      <c r="R182" t="inlineStr">
        <is>
          <t>undefined</t>
        </is>
      </c>
      <c r="S182" t="inlineStr">
        <is>
          <t>10232CB-IRWIN</t>
        </is>
      </c>
    </row>
    <row r="183" ht="75" customHeight="1">
      <c r="A183" s="1">
        <f>HYPERLINK("https://www.toolnut.com/irwin-10232-drill-bit.html", "https://www.toolnut.com/irwin-10232-drill-bit.html")</f>
        <v/>
      </c>
      <c r="B183" s="1">
        <f>HYPERLINK("https://www.toolnut.com/irwin-10232-drill-bit.html", "https://www.toolnut.com/irwin-10232-drill-bit.html")</f>
        <v/>
      </c>
      <c r="C183" t="inlineStr">
        <is>
          <t>Irwin 10232 UNIBIT HSS #2 6 Step Drill Bit 2 3/16-in. - 1/2-in.</t>
        </is>
      </c>
      <c r="D183" t="inlineStr">
        <is>
          <t>Irwin Tools Unibit #5 1/4-Inch to 1-3/8-Inch Step-Drill Bit, 1/2- by IRWIN 10235 ..#from-by#_partzforce_62231816880624</t>
        </is>
      </c>
      <c r="E183" s="1">
        <f>HYPERLINK("https://www.amazon.com/Unibit-4-Inch-8-Inch-Step-Drill-_partzforce_62231816880624/dp/B01M4FHOPN/ref=sr_1_3?keywords=Irwin+10232+UNIBIT+HSS&amp;qid=1695347143&amp;sr=8-3", "https://www.amazon.com/Unibit-4-Inch-8-Inch-Step-Drill-_partzforce_62231816880624/dp/B01M4FHOPN/ref=sr_1_3?keywords=Irwin+10232+UNIBIT+HSS&amp;qid=1695347143&amp;sr=8-3")</f>
        <v/>
      </c>
      <c r="F183" t="inlineStr">
        <is>
          <t>B01M4FHOPN</t>
        </is>
      </c>
      <c r="G183">
        <f>_xlfn.IMAGE("https://www.toolnut.com/media/catalog/product/1/0/10232-irwin_1.jpg?quality=100&amp;bg-color=255,255,255&amp;fit=bounds&amp;height=700&amp;width=700&amp;canvas=700:700&amp;dpr=1 1x")</f>
        <v/>
      </c>
      <c r="H183">
        <f>_xlfn.IMAGE("https://m.media-amazon.com/images/I/41M1mylkIIL._AC_UY218_.jpg")</f>
        <v/>
      </c>
      <c r="K183" t="inlineStr">
        <is>
          <t>21.99</t>
        </is>
      </c>
      <c r="L183" t="n">
        <v>109.96</v>
      </c>
      <c r="M183" s="2" t="inlineStr">
        <is>
          <t>400.05%</t>
        </is>
      </c>
      <c r="N183" t="n">
        <v>4.6</v>
      </c>
      <c r="O183" t="n">
        <v>3</v>
      </c>
      <c r="Q183" t="inlineStr">
        <is>
          <t>InStock</t>
        </is>
      </c>
      <c r="R183" t="inlineStr">
        <is>
          <t>undefined</t>
        </is>
      </c>
      <c r="S183" t="inlineStr">
        <is>
          <t>10232-IRWIN</t>
        </is>
      </c>
    </row>
    <row r="184" ht="75" customHeight="1">
      <c r="A184" s="1">
        <f>HYPERLINK("https://www.toolnut.com/irwin-10232-drill-bit.html", "https://www.toolnut.com/irwin-10232-drill-bit.html")</f>
        <v/>
      </c>
      <c r="B184" s="1">
        <f>HYPERLINK("https://www.toolnut.com/irwin-10232-drill-bit.html", "https://www.toolnut.com/irwin-10232-drill-bit.html")</f>
        <v/>
      </c>
      <c r="C184" t="inlineStr">
        <is>
          <t>Irwin 10232 UNIBIT HSS #2 6 Step Drill Bit 2 3/16-in. - 1/2-in.</t>
        </is>
      </c>
      <c r="D184" t="inlineStr">
        <is>
          <t>IRWIN Unibit #21 13/16-Inch to 1-3/8-Inch Step-Drill Bit, 1/2-Inch Shank (10221) , Black</t>
        </is>
      </c>
      <c r="E184" s="1">
        <f>HYPERLINK("https://www.amazon.com/Irwin-Tools-16-Inch-Step-Drill-10221/dp/B00075PU2G/ref=sr_1_7?keywords=Irwin+10232+UNIBIT+HSS&amp;qid=1695347143&amp;sr=8-7", "https://www.amazon.com/Irwin-Tools-16-Inch-Step-Drill-10221/dp/B00075PU2G/ref=sr_1_7?keywords=Irwin+10232+UNIBIT+HSS&amp;qid=1695347143&amp;sr=8-7")</f>
        <v/>
      </c>
      <c r="F184" t="inlineStr">
        <is>
          <t>B00075PU2G</t>
        </is>
      </c>
      <c r="G184">
        <f>_xlfn.IMAGE("https://www.toolnut.com/media/catalog/product/1/0/10232-irwin_1.jpg?quality=100&amp;bg-color=255,255,255&amp;fit=bounds&amp;height=700&amp;width=700&amp;canvas=700:700&amp;dpr=1 1x")</f>
        <v/>
      </c>
      <c r="H184">
        <f>_xlfn.IMAGE("https://m.media-amazon.com/images/I/71CkFt2FWCL._AC_UY218_.jpg")</f>
        <v/>
      </c>
      <c r="K184" t="inlineStr">
        <is>
          <t>21.99</t>
        </is>
      </c>
      <c r="L184" t="n">
        <v>101.67</v>
      </c>
      <c r="M184" s="2" t="inlineStr">
        <is>
          <t>362.35%</t>
        </is>
      </c>
      <c r="N184" t="n">
        <v>5</v>
      </c>
      <c r="O184" t="n">
        <v>4</v>
      </c>
      <c r="Q184" t="inlineStr">
        <is>
          <t>InStock</t>
        </is>
      </c>
      <c r="R184" t="inlineStr">
        <is>
          <t>undefined</t>
        </is>
      </c>
      <c r="S184" t="inlineStr">
        <is>
          <t>10232-IRWIN</t>
        </is>
      </c>
    </row>
    <row r="185" ht="75" customHeight="1">
      <c r="A185" s="1">
        <f>HYPERLINK("https://www.toolnut.com/irwin-10233-drill-bit.html", "https://www.toolnut.com/irwin-10233-drill-bit.html")</f>
        <v/>
      </c>
      <c r="B185" s="1">
        <f>HYPERLINK("https://www.toolnut.com/irwin-10233-drill-bit.html", "https://www.toolnut.com/irwin-10233-drill-bit.html")</f>
        <v/>
      </c>
      <c r="C185" t="inlineStr">
        <is>
          <t>Irwin 10233 UNIBIT HSS #3 9 Step Drill Bit 1/4-in. - 3/4-in.</t>
        </is>
      </c>
      <c r="D185" t="inlineStr">
        <is>
          <t>Cobalt Step Drill Bit Set for Metal, Three Spiral Flute, 1/8-1/2", 1/4-3/4", 3/16"-7/8", 3 pcs, Heavy Duty Unibit, 1/4" Hex Shank, HSS M35 Steel Step Bits for Sheet Metal, Stainless Steel, Aluminum</t>
        </is>
      </c>
      <c r="E185" s="1">
        <f>HYPERLINK("https://www.amazon.com/STEAD-FAST-Cobalt-Stainless-Aluminum/dp/B0BNTF799V/ref=sr_1_7?keywords=Irwin+10233+UNIBIT+HSS+%233+9+Step+Drill+Bit+1%2F4-in.+-+3%2F4-in.&amp;qid=1695347150&amp;sr=8-7", "https://www.amazon.com/STEAD-FAST-Cobalt-Stainless-Aluminum/dp/B0BNTF799V/ref=sr_1_7?keywords=Irwin+10233+UNIBIT+HSS+%233+9+Step+Drill+Bit+1%2F4-in.+-+3%2F4-in.&amp;qid=1695347150&amp;sr=8-7")</f>
        <v/>
      </c>
      <c r="F185" t="inlineStr">
        <is>
          <t>B0BNTF799V</t>
        </is>
      </c>
      <c r="G185">
        <f>_xlfn.IMAGE("https://www.toolnut.com/media/catalog/product/1/0/10233-irwin_1.jpg?quality=100&amp;bg-color=255,255,255&amp;fit=bounds&amp;height=700&amp;width=700&amp;canvas=700:700&amp;dpr=1 1x")</f>
        <v/>
      </c>
      <c r="H185">
        <f>_xlfn.IMAGE("https://m.media-amazon.com/images/I/61G76X15uiL._AC_UY218_.jpg")</f>
        <v/>
      </c>
      <c r="K185" t="inlineStr">
        <is>
          <t>35.99</t>
        </is>
      </c>
      <c r="L185" t="n">
        <v>62.99</v>
      </c>
      <c r="M185" s="2" t="inlineStr">
        <is>
          <t>75.02%</t>
        </is>
      </c>
      <c r="N185" t="n">
        <v>4.4</v>
      </c>
      <c r="O185" t="n">
        <v>25</v>
      </c>
      <c r="Q185" t="inlineStr">
        <is>
          <t>InStock</t>
        </is>
      </c>
      <c r="R185" t="inlineStr">
        <is>
          <t>undefined</t>
        </is>
      </c>
      <c r="S185" t="inlineStr">
        <is>
          <t>10233-IRWIN</t>
        </is>
      </c>
    </row>
    <row r="186" ht="75" customHeight="1">
      <c r="A186" s="1">
        <f>HYPERLINK("https://www.toolnut.com/irwin-10233-drill-bit.html", "https://www.toolnut.com/irwin-10233-drill-bit.html")</f>
        <v/>
      </c>
      <c r="B186" s="1">
        <f>HYPERLINK("https://www.toolnut.com/irwin-10233-drill-bit.html", "https://www.toolnut.com/irwin-10233-drill-bit.html")</f>
        <v/>
      </c>
      <c r="C186" t="inlineStr">
        <is>
          <t>Irwin 10233 UNIBIT HSS #3 9 Step Drill Bit 1/4-in. - 3/4-in.</t>
        </is>
      </c>
      <c r="D186" t="inlineStr">
        <is>
          <t>Cobalt Step Drill Bit Set for Metal, Three Spiral Flute, 1/8-1/2", 1/4-3/4", 3/16"-7/8", 3 pcs, Heavy Duty Unibit, 1/4" Hex Shank, HSS M35 Steel Step Bits for Sheet Metal, Stainless Steel, Aluminum</t>
        </is>
      </c>
      <c r="E186" s="1">
        <f>HYPERLINK("https://www.amazon.com/STEAD-FAST-Cobalt-Stainless-Aluminum/dp/B0BNTF799V/ref=sr_1_7?keywords=Irwin+10233+UNIBIT+HSS+%233+9+Step+Drill+Bit+1%2F4-in.+-+3%2F4-in.&amp;qid=1695347150&amp;sr=8-7", "https://www.amazon.com/STEAD-FAST-Cobalt-Stainless-Aluminum/dp/B0BNTF799V/ref=sr_1_7?keywords=Irwin+10233+UNIBIT+HSS+%233+9+Step+Drill+Bit+1%2F4-in.+-+3%2F4-in.&amp;qid=1695347150&amp;sr=8-7")</f>
        <v/>
      </c>
      <c r="F186" t="inlineStr">
        <is>
          <t>B0BNTF799V</t>
        </is>
      </c>
      <c r="G186">
        <f>_xlfn.IMAGE("https://www.toolnut.com/media/catalog/product/1/0/10233-irwin_1.jpg?quality=100&amp;bg-color=255,255,255&amp;fit=bounds&amp;height=700&amp;width=700&amp;canvas=700:700&amp;dpr=1 1x")</f>
        <v/>
      </c>
      <c r="H186">
        <f>_xlfn.IMAGE("https://m.media-amazon.com/images/I/61G76X15uiL._AC_UY218_.jpg")</f>
        <v/>
      </c>
      <c r="K186" t="inlineStr">
        <is>
          <t>35.99</t>
        </is>
      </c>
      <c r="L186" t="n">
        <v>62.99</v>
      </c>
      <c r="M186" s="2" t="inlineStr">
        <is>
          <t>75.02%</t>
        </is>
      </c>
      <c r="N186" t="n">
        <v>4.4</v>
      </c>
      <c r="O186" t="n">
        <v>25</v>
      </c>
      <c r="Q186" t="inlineStr">
        <is>
          <t>InStock</t>
        </is>
      </c>
      <c r="R186" t="inlineStr">
        <is>
          <t>undefined</t>
        </is>
      </c>
      <c r="S186" t="inlineStr">
        <is>
          <t>10233-IRWIN</t>
        </is>
      </c>
    </row>
    <row r="187" ht="75" customHeight="1">
      <c r="A187" s="1">
        <f>HYPERLINK("https://www.toolnut.com/irwin-12473-drill-bit.html", "https://www.toolnut.com/irwin-12473-drill-bit.html")</f>
        <v/>
      </c>
      <c r="B187" s="1">
        <f>HYPERLINK("https://www.toolnut.com/irwin-12473-drill-bit.html", "https://www.toolnut.com/irwin-12473-drill-bit.html")</f>
        <v/>
      </c>
      <c r="C187" t="inlineStr">
        <is>
          <t>Irwin 12473 HANSON TR-73 2-In-1 Tap Wrench</t>
        </is>
      </c>
      <c r="D187" t="inlineStr">
        <is>
          <t>Irwin 0 - 1/2" Hanson Adjustable Tap Wrench</t>
        </is>
      </c>
      <c r="E187" s="1">
        <f>HYPERLINK("https://www.amazon.com/Irwin-Hanson-Adjustable-Tap-Wrench/dp/B00062BNOO/ref=sr_1_8?keywords=Irwin+12473+HANSON+TR-73+2-In-1+Tap+Wrench&amp;qid=1695347082&amp;sr=8-8", "https://www.amazon.com/Irwin-Hanson-Adjustable-Tap-Wrench/dp/B00062BNOO/ref=sr_1_8?keywords=Irwin+12473+HANSON+TR-73+2-In-1+Tap+Wrench&amp;qid=1695347082&amp;sr=8-8")</f>
        <v/>
      </c>
      <c r="F187" t="inlineStr">
        <is>
          <t>B00062BNOO</t>
        </is>
      </c>
      <c r="G187">
        <f>_xlfn.IMAGE("https://www.toolnut.com/media/catalog/product/1/2/12473-irwin-hanson-taps-dies-and-sets-two-in-one-tap-wrenches-primary.jpg?quality=100&amp;bg-color=255,255,255&amp;fit=bounds&amp;height=700&amp;width=700&amp;canvas=700:700&amp;dpr=1 1x")</f>
        <v/>
      </c>
      <c r="H187">
        <f>_xlfn.IMAGE("https://m.media-amazon.com/images/I/51MYOhj5JIL._AC_UL320_.jpg")</f>
        <v/>
      </c>
      <c r="K187" t="inlineStr">
        <is>
          <t>5.29</t>
        </is>
      </c>
      <c r="L187" t="n">
        <v>16.99</v>
      </c>
      <c r="M187" s="2" t="inlineStr">
        <is>
          <t>221.17%</t>
        </is>
      </c>
      <c r="N187" t="n">
        <v>4.4</v>
      </c>
      <c r="O187" t="n">
        <v>585</v>
      </c>
      <c r="Q187" t="inlineStr">
        <is>
          <t>InStock</t>
        </is>
      </c>
      <c r="R187" t="inlineStr">
        <is>
          <t>undefined</t>
        </is>
      </c>
      <c r="S187" t="inlineStr">
        <is>
          <t>12473-IRWIN</t>
        </is>
      </c>
    </row>
    <row r="188" ht="75" customHeight="1">
      <c r="A188" s="1">
        <f>HYPERLINK("https://www.toolnut.com/irwin-12473-drill-bit.html", "https://www.toolnut.com/irwin-12473-drill-bit.html")</f>
        <v/>
      </c>
      <c r="B188" s="1">
        <f>HYPERLINK("https://www.toolnut.com/irwin-12473-drill-bit.html", "https://www.toolnut.com/irwin-12473-drill-bit.html")</f>
        <v/>
      </c>
      <c r="C188" t="inlineStr">
        <is>
          <t>Irwin 12473 HANSON TR-73 2-In-1 Tap Wrench</t>
        </is>
      </c>
      <c r="D188" t="inlineStr">
        <is>
          <t>Irwin Tools 12021 TR-21 Tap Wrench</t>
        </is>
      </c>
      <c r="E188" s="1">
        <f>HYPERLINK("https://www.amazon.com/Irwin-Tools-12021-TR-21-Wrench/dp/B00062BQJ6/ref=sr_1_9?keywords=Irwin+12473+HANSON+TR-73+2-In-1+Tap+Wrench&amp;qid=1695347082&amp;sr=8-9", "https://www.amazon.com/Irwin-Tools-12021-TR-21-Wrench/dp/B00062BQJ6/ref=sr_1_9?keywords=Irwin+12473+HANSON+TR-73+2-In-1+Tap+Wrench&amp;qid=1695347082&amp;sr=8-9")</f>
        <v/>
      </c>
      <c r="F188" t="inlineStr">
        <is>
          <t>B00062BQJ6</t>
        </is>
      </c>
      <c r="G188">
        <f>_xlfn.IMAGE("https://www.toolnut.com/media/catalog/product/1/2/12473-irwin-hanson-taps-dies-and-sets-two-in-one-tap-wrenches-primary.jpg?quality=100&amp;bg-color=255,255,255&amp;fit=bounds&amp;height=700&amp;width=700&amp;canvas=700:700&amp;dpr=1 1x")</f>
        <v/>
      </c>
      <c r="H188">
        <f>_xlfn.IMAGE("https://m.media-amazon.com/images/I/71HXfcqUmuL._AC_UL320_.jpg")</f>
        <v/>
      </c>
      <c r="K188" t="inlineStr">
        <is>
          <t>5.29</t>
        </is>
      </c>
      <c r="L188" t="n">
        <v>15.06</v>
      </c>
      <c r="M188" s="2" t="inlineStr">
        <is>
          <t>184.69%</t>
        </is>
      </c>
      <c r="N188" t="n">
        <v>4.5</v>
      </c>
      <c r="O188" t="n">
        <v>74</v>
      </c>
      <c r="Q188" t="inlineStr">
        <is>
          <t>InStock</t>
        </is>
      </c>
      <c r="R188" t="inlineStr">
        <is>
          <t>undefined</t>
        </is>
      </c>
      <c r="S188" t="inlineStr">
        <is>
          <t>12473-IRWIN</t>
        </is>
      </c>
    </row>
    <row r="189" ht="75" customHeight="1">
      <c r="A189" s="1">
        <f>HYPERLINK("https://www.toolnut.com/irwin-12473-drill-bit.html", "https://www.toolnut.com/irwin-12473-drill-bit.html")</f>
        <v/>
      </c>
      <c r="B189" s="1">
        <f>HYPERLINK("https://www.toolnut.com/irwin-12473-drill-bit.html", "https://www.toolnut.com/irwin-12473-drill-bit.html")</f>
        <v/>
      </c>
      <c r="C189" t="inlineStr">
        <is>
          <t>Irwin 12473 HANSON TR-73 2-In-1 Tap Wrench</t>
        </is>
      </c>
      <c r="D189" t="inlineStr">
        <is>
          <t>Irwin Tools 12021 TR-21 Tap Wrench</t>
        </is>
      </c>
      <c r="E189" s="1">
        <f>HYPERLINK("https://www.amazon.com/Irwin-Tools-12021-TR-21-Wrench/dp/B00062BQJ6/ref=sr_1_9?keywords=Irwin+12473+HANSON+TR-73+2-In-1+Tap+Wrench&amp;qid=1695347082&amp;sr=8-9", "https://www.amazon.com/Irwin-Tools-12021-TR-21-Wrench/dp/B00062BQJ6/ref=sr_1_9?keywords=Irwin+12473+HANSON+TR-73+2-In-1+Tap+Wrench&amp;qid=1695347082&amp;sr=8-9")</f>
        <v/>
      </c>
      <c r="F189" t="inlineStr">
        <is>
          <t>B00062BQJ6</t>
        </is>
      </c>
      <c r="G189">
        <f>_xlfn.IMAGE("https://www.toolnut.com/media/catalog/product/1/2/12473-irwin-hanson-taps-dies-and-sets-two-in-one-tap-wrenches-primary.jpg?quality=100&amp;bg-color=255,255,255&amp;fit=bounds&amp;height=700&amp;width=700&amp;canvas=700:700&amp;dpr=1 1x")</f>
        <v/>
      </c>
      <c r="H189">
        <f>_xlfn.IMAGE("https://m.media-amazon.com/images/I/71HXfcqUmuL._AC_UL320_.jpg")</f>
        <v/>
      </c>
      <c r="K189" t="inlineStr">
        <is>
          <t>5.29</t>
        </is>
      </c>
      <c r="L189" t="n">
        <v>15.06</v>
      </c>
      <c r="M189" s="2" t="inlineStr">
        <is>
          <t>184.69%</t>
        </is>
      </c>
      <c r="N189" t="n">
        <v>4.5</v>
      </c>
      <c r="O189" t="n">
        <v>74</v>
      </c>
      <c r="Q189" t="inlineStr">
        <is>
          <t>InStock</t>
        </is>
      </c>
      <c r="R189" t="inlineStr">
        <is>
          <t>undefined</t>
        </is>
      </c>
      <c r="S189" t="inlineStr">
        <is>
          <t>12473-IRWIN</t>
        </is>
      </c>
    </row>
    <row r="190" ht="75" customHeight="1">
      <c r="A190" s="1">
        <f>HYPERLINK("https://www.toolnut.com/irwin-1779135-drill-bit.html", "https://www.toolnut.com/irwin-1779135-drill-bit.html")</f>
        <v/>
      </c>
      <c r="B190" s="1">
        <f>HYPERLINK("https://www.toolnut.com/irwin-1779135-drill-bit.html", "https://www.toolnut.com/irwin-1779135-drill-bit.html")</f>
        <v/>
      </c>
      <c r="C190" t="inlineStr">
        <is>
          <t>Irwin 1779135 Auger Bit with WeldTec 7-1/2-in. x 3/8-in.</t>
        </is>
      </c>
      <c r="D190" t="inlineStr">
        <is>
          <t>IRWIN 1773958 1-3/4" X Ship Auger WeldTec Bit Silver</t>
        </is>
      </c>
      <c r="E190" s="1">
        <f>HYPERLINK("https://www.amazon.com/IRWIN-1773958-Ship-Auger-WeldTec/dp/B0040U1JQA/ref=sr_1_9?keywords=Irwin+1779135+Auger+Bit+with+WeldTec+7-1%2F2-in.+x+3%2F8-in.&amp;qid=1695347149&amp;sr=8-9", "https://www.amazon.com/IRWIN-1773958-Ship-Auger-WeldTec/dp/B0040U1JQA/ref=sr_1_9?keywords=Irwin+1779135+Auger+Bit+with+WeldTec+7-1%2F2-in.+x+3%2F8-in.&amp;qid=1695347149&amp;sr=8-9")</f>
        <v/>
      </c>
      <c r="F190" t="inlineStr">
        <is>
          <t>B0040U1JQA</t>
        </is>
      </c>
      <c r="G190">
        <f>_xlfn.IMAGE("https://www.toolnut.com/media/catalog/product/1/7/1779135-irwin-drill-bits-wood-drill-bits-auger-bit-with-weldtec-primary-01.jpg?quality=100&amp;bg-color=255,255,255&amp;fit=bounds&amp;height=700&amp;width=700&amp;canvas=700:700&amp;dpr=1 1x")</f>
        <v/>
      </c>
      <c r="H190">
        <f>_xlfn.IMAGE("https://m.media-amazon.com/images/I/312rBxfFyaL._AC_UL320_.jpg")</f>
        <v/>
      </c>
      <c r="K190" t="inlineStr">
        <is>
          <t>14.79</t>
        </is>
      </c>
      <c r="L190" t="n">
        <v>81.45</v>
      </c>
      <c r="M190" s="2" t="inlineStr">
        <is>
          <t>450.71%</t>
        </is>
      </c>
      <c r="N190" t="n">
        <v>4</v>
      </c>
      <c r="O190" t="n">
        <v>11</v>
      </c>
      <c r="Q190" t="inlineStr">
        <is>
          <t>InStock</t>
        </is>
      </c>
      <c r="R190" t="inlineStr">
        <is>
          <t>undefined</t>
        </is>
      </c>
      <c r="S190" t="inlineStr">
        <is>
          <t>1779135-IRWIN</t>
        </is>
      </c>
    </row>
    <row r="191" ht="75" customHeight="1">
      <c r="A191" s="1">
        <f>HYPERLINK("https://www.toolnut.com/irwin-1779135-drill-bit.html", "https://www.toolnut.com/irwin-1779135-drill-bit.html")</f>
        <v/>
      </c>
      <c r="B191" s="1">
        <f>HYPERLINK("https://www.toolnut.com/irwin-1779135-drill-bit.html", "https://www.toolnut.com/irwin-1779135-drill-bit.html")</f>
        <v/>
      </c>
      <c r="C191" t="inlineStr">
        <is>
          <t>Irwin 1779135 Auger Bit with WeldTec 7-1/2-in. x 3/8-in.</t>
        </is>
      </c>
      <c r="D191" t="inlineStr">
        <is>
          <t>IRWIN WeldTec Auger Wood Drill Bit 1" X 17" (3043013)</t>
        </is>
      </c>
      <c r="E191" s="1">
        <f>HYPERLINK("https://www.amazon.com/Irwin-Tools-3043013-WeldTec-Auger/dp/B002WJN5MC/ref=sr_1_10?keywords=Irwin+1779135+Auger+Bit+with+WeldTec+7-1%2F2-in.+x+3%2F8-in.&amp;qid=1695347149&amp;sr=8-10", "https://www.amazon.com/Irwin-Tools-3043013-WeldTec-Auger/dp/B002WJN5MC/ref=sr_1_10?keywords=Irwin+1779135+Auger+Bit+with+WeldTec+7-1%2F2-in.+x+3%2F8-in.&amp;qid=1695347149&amp;sr=8-10")</f>
        <v/>
      </c>
      <c r="F191" t="inlineStr">
        <is>
          <t>B002WJN5MC</t>
        </is>
      </c>
      <c r="G191">
        <f>_xlfn.IMAGE("https://www.toolnut.com/media/catalog/product/1/7/1779135-irwin-drill-bits-wood-drill-bits-auger-bit-with-weldtec-primary-01.jpg?quality=100&amp;bg-color=255,255,255&amp;fit=bounds&amp;height=700&amp;width=700&amp;canvas=700:700&amp;dpr=1 1x")</f>
        <v/>
      </c>
      <c r="H191">
        <f>_xlfn.IMAGE("https://m.media-amazon.com/images/I/61Tduk3BxPL._AC_UL320_.jpg")</f>
        <v/>
      </c>
      <c r="K191" t="inlineStr">
        <is>
          <t>14.79</t>
        </is>
      </c>
      <c r="L191" t="n">
        <v>26.99</v>
      </c>
      <c r="M191" s="2" t="inlineStr">
        <is>
          <t>82.49%</t>
        </is>
      </c>
      <c r="N191" t="n">
        <v>4.5</v>
      </c>
      <c r="O191" t="n">
        <v>153</v>
      </c>
      <c r="Q191" t="inlineStr">
        <is>
          <t>InStock</t>
        </is>
      </c>
      <c r="R191" t="inlineStr">
        <is>
          <t>undefined</t>
        </is>
      </c>
      <c r="S191" t="inlineStr">
        <is>
          <t>1779135-IRWIN</t>
        </is>
      </c>
    </row>
    <row r="192" ht="75" customHeight="1">
      <c r="A192" s="1">
        <f>HYPERLINK("https://www.toolnut.com/irwin-1779135-drill-bit.html", "https://www.toolnut.com/irwin-1779135-drill-bit.html")</f>
        <v/>
      </c>
      <c r="B192" s="1">
        <f>HYPERLINK("https://www.toolnut.com/irwin-1779135-drill-bit.html", "https://www.toolnut.com/irwin-1779135-drill-bit.html")</f>
        <v/>
      </c>
      <c r="C192" t="inlineStr">
        <is>
          <t>Irwin 1779135 Auger Bit with WeldTec 7-1/2-in. x 3/8-in.</t>
        </is>
      </c>
      <c r="D192" t="inlineStr">
        <is>
          <t>IRWIN WeldTec Auger Wood Drill Bit 7/8" X 17" (3043011)</t>
        </is>
      </c>
      <c r="E192" s="1">
        <f>HYPERLINK("https://www.amazon.com/Irwin-Tools-3043011-WeldTec-Auger/dp/B002WJL3SK/ref=sr_1_4?keywords=Irwin+1779135+Auger+Bit+with+WeldTec+7-1%2F2-in.+x+3%2F8-in.&amp;qid=1695347149&amp;sr=8-4", "https://www.amazon.com/Irwin-Tools-3043011-WeldTec-Auger/dp/B002WJL3SK/ref=sr_1_4?keywords=Irwin+1779135+Auger+Bit+with+WeldTec+7-1%2F2-in.+x+3%2F8-in.&amp;qid=1695347149&amp;sr=8-4")</f>
        <v/>
      </c>
      <c r="F192" t="inlineStr">
        <is>
          <t>B002WJL3SK</t>
        </is>
      </c>
      <c r="G192">
        <f>_xlfn.IMAGE("https://www.toolnut.com/media/catalog/product/1/7/1779135-irwin-drill-bits-wood-drill-bits-auger-bit-with-weldtec-primary-01.jpg?quality=100&amp;bg-color=255,255,255&amp;fit=bounds&amp;height=700&amp;width=700&amp;canvas=700:700&amp;dpr=1 1x")</f>
        <v/>
      </c>
      <c r="H192">
        <f>_xlfn.IMAGE("https://m.media-amazon.com/images/I/31uxDBQZyBL._AC_UL320_.jpg")</f>
        <v/>
      </c>
      <c r="K192" t="inlineStr">
        <is>
          <t>14.79</t>
        </is>
      </c>
      <c r="L192" t="n">
        <v>24.29</v>
      </c>
      <c r="M192" s="2" t="inlineStr">
        <is>
          <t>64.23%</t>
        </is>
      </c>
      <c r="N192" t="n">
        <v>4.5</v>
      </c>
      <c r="O192" t="n">
        <v>134</v>
      </c>
      <c r="Q192" t="inlineStr">
        <is>
          <t>InStock</t>
        </is>
      </c>
      <c r="R192" t="inlineStr">
        <is>
          <t>undefined</t>
        </is>
      </c>
      <c r="S192" t="inlineStr">
        <is>
          <t>1779135-IRWIN</t>
        </is>
      </c>
    </row>
    <row r="193" ht="75" customHeight="1">
      <c r="A193" s="1">
        <f>HYPERLINK("https://www.toolnut.com/irwin-1779135-drill-bit.html", "https://www.toolnut.com/irwin-1779135-drill-bit.html")</f>
        <v/>
      </c>
      <c r="B193" s="1">
        <f>HYPERLINK("https://www.toolnut.com/irwin-1779135-drill-bit.html", "https://www.toolnut.com/irwin-1779135-drill-bit.html")</f>
        <v/>
      </c>
      <c r="C193" t="inlineStr">
        <is>
          <t>Irwin 1779135 Auger Bit with WeldTec 7-1/2-in. x 3/8-in.</t>
        </is>
      </c>
      <c r="D193" t="inlineStr">
        <is>
          <t>IRWIN WeldTec Auger Wood Drill Bit 1" X 17" (3043013)</t>
        </is>
      </c>
      <c r="E193" s="1">
        <f>HYPERLINK("https://www.amazon.com/Irwin-Tools-3043013-WeldTec-Auger/dp/B002WJN5MC/ref=sr_1_10?keywords=Irwin+1779135+Auger+Bit+with+WeldTec+7-1%2F2-in.+x+3%2F8-in.&amp;qid=1695347149&amp;sr=8-10", "https://www.amazon.com/Irwin-Tools-3043013-WeldTec-Auger/dp/B002WJN5MC/ref=sr_1_10?keywords=Irwin+1779135+Auger+Bit+with+WeldTec+7-1%2F2-in.+x+3%2F8-in.&amp;qid=1695347149&amp;sr=8-10")</f>
        <v/>
      </c>
      <c r="F193" t="inlineStr">
        <is>
          <t>B002WJN5MC</t>
        </is>
      </c>
      <c r="G193">
        <f>_xlfn.IMAGE("https://www.toolnut.com/media/catalog/product/1/7/1779135-irwin-drill-bits-wood-drill-bits-auger-bit-with-weldtec-primary-01.jpg?quality=100&amp;bg-color=255,255,255&amp;fit=bounds&amp;height=700&amp;width=700&amp;canvas=700:700&amp;dpr=1 1x")</f>
        <v/>
      </c>
      <c r="H193">
        <f>_xlfn.IMAGE("https://m.media-amazon.com/images/I/61Tduk3BxPL._AC_UL320_.jpg")</f>
        <v/>
      </c>
      <c r="K193" t="inlineStr">
        <is>
          <t>14.79</t>
        </is>
      </c>
      <c r="L193" t="n">
        <v>26.99</v>
      </c>
      <c r="M193" s="2" t="inlineStr">
        <is>
          <t>82.49%</t>
        </is>
      </c>
      <c r="N193" t="n">
        <v>4.5</v>
      </c>
      <c r="O193" t="n">
        <v>153</v>
      </c>
      <c r="Q193" t="inlineStr">
        <is>
          <t>InStock</t>
        </is>
      </c>
      <c r="R193" t="inlineStr">
        <is>
          <t>undefined</t>
        </is>
      </c>
      <c r="S193" t="inlineStr">
        <is>
          <t>1779135-IRWIN</t>
        </is>
      </c>
    </row>
    <row r="194" ht="75" customHeight="1">
      <c r="A194" s="1">
        <f>HYPERLINK("https://www.toolnut.com/irwin-1779135-drill-bit.html", "https://www.toolnut.com/irwin-1779135-drill-bit.html")</f>
        <v/>
      </c>
      <c r="B194" s="1">
        <f>HYPERLINK("https://www.toolnut.com/irwin-1779135-drill-bit.html", "https://www.toolnut.com/irwin-1779135-drill-bit.html")</f>
        <v/>
      </c>
      <c r="C194" t="inlineStr">
        <is>
          <t>Irwin 1779135 Auger Bit with WeldTec 7-1/2-in. x 3/8-in.</t>
        </is>
      </c>
      <c r="D194" t="inlineStr">
        <is>
          <t>IRWIN WeldTec Auger Wood Drill Bit 7/8" X 17" (3043011)</t>
        </is>
      </c>
      <c r="E194" s="1">
        <f>HYPERLINK("https://www.amazon.com/Irwin-Tools-3043011-WeldTec-Auger/dp/B002WJL3SK/ref=sr_1_4?keywords=Irwin+1779135+Auger+Bit+with+WeldTec+7-1%2F2-in.+x+3%2F8-in.&amp;qid=1695347149&amp;sr=8-4", "https://www.amazon.com/Irwin-Tools-3043011-WeldTec-Auger/dp/B002WJL3SK/ref=sr_1_4?keywords=Irwin+1779135+Auger+Bit+with+WeldTec+7-1%2F2-in.+x+3%2F8-in.&amp;qid=1695347149&amp;sr=8-4")</f>
        <v/>
      </c>
      <c r="F194" t="inlineStr">
        <is>
          <t>B002WJL3SK</t>
        </is>
      </c>
      <c r="G194">
        <f>_xlfn.IMAGE("https://www.toolnut.com/media/catalog/product/1/7/1779135-irwin-drill-bits-wood-drill-bits-auger-bit-with-weldtec-primary-01.jpg?quality=100&amp;bg-color=255,255,255&amp;fit=bounds&amp;height=700&amp;width=700&amp;canvas=700:700&amp;dpr=1 1x")</f>
        <v/>
      </c>
      <c r="H194">
        <f>_xlfn.IMAGE("https://m.media-amazon.com/images/I/31uxDBQZyBL._AC_UL320_.jpg")</f>
        <v/>
      </c>
      <c r="K194" t="inlineStr">
        <is>
          <t>14.79</t>
        </is>
      </c>
      <c r="L194" t="n">
        <v>24.29</v>
      </c>
      <c r="M194" s="2" t="inlineStr">
        <is>
          <t>64.23%</t>
        </is>
      </c>
      <c r="N194" t="n">
        <v>4.5</v>
      </c>
      <c r="O194" t="n">
        <v>134</v>
      </c>
      <c r="Q194" t="inlineStr">
        <is>
          <t>InStock</t>
        </is>
      </c>
      <c r="R194" t="inlineStr">
        <is>
          <t>undefined</t>
        </is>
      </c>
      <c r="S194" t="inlineStr">
        <is>
          <t>1779135-IRWIN</t>
        </is>
      </c>
    </row>
    <row r="195" ht="75" customHeight="1">
      <c r="A195" s="1">
        <f>HYPERLINK("https://www.toolnut.com/irwin-1779136-drill-bit.html", "https://www.toolnut.com/irwin-1779136-drill-bit.html")</f>
        <v/>
      </c>
      <c r="B195" s="1">
        <f>HYPERLINK("https://www.toolnut.com/irwin-1779136-drill-bit.html", "https://www.toolnut.com/irwin-1779136-drill-bit.html")</f>
        <v/>
      </c>
      <c r="C195" t="inlineStr">
        <is>
          <t>Irwin 1779136 Auger Bit with WeldTec 7-1/2-in. x 7/16-in.</t>
        </is>
      </c>
      <c r="D195" t="inlineStr">
        <is>
          <t>IRWIN 1773958 1-3/4" X Ship Auger WeldTec Bit Silver</t>
        </is>
      </c>
      <c r="E195" s="1">
        <f>HYPERLINK("https://www.amazon.com/IRWIN-1773958-Ship-Auger-WeldTec/dp/B0040U1JQA/ref=sr_1_6?keywords=Irwin+1779136+Auger+Bit+with+WeldTec+7-1%2F2-in.+x+7%2F16-in.&amp;qid=1695347142&amp;sr=8-6", "https://www.amazon.com/IRWIN-1773958-Ship-Auger-WeldTec/dp/B0040U1JQA/ref=sr_1_6?keywords=Irwin+1779136+Auger+Bit+with+WeldTec+7-1%2F2-in.+x+7%2F16-in.&amp;qid=1695347142&amp;sr=8-6")</f>
        <v/>
      </c>
      <c r="F195" t="inlineStr">
        <is>
          <t>B0040U1JQA</t>
        </is>
      </c>
      <c r="G195">
        <f>_xlfn.IMAGE("https://www.toolnut.com/media/catalog/product/1/7/1779136-irwin-drill-bits-auger-bits-with-weldtec-primary.jpg?quality=100&amp;bg-color=255,255,255&amp;fit=bounds&amp;height=700&amp;width=700&amp;canvas=700:700&amp;dpr=1 1x")</f>
        <v/>
      </c>
      <c r="H195">
        <f>_xlfn.IMAGE("https://m.media-amazon.com/images/I/312rBxfFyaL._AC_UL320_.jpg")</f>
        <v/>
      </c>
      <c r="K195" t="inlineStr">
        <is>
          <t>14.59</t>
        </is>
      </c>
      <c r="L195" t="n">
        <v>81.45</v>
      </c>
      <c r="M195" s="2" t="inlineStr">
        <is>
          <t>458.26%</t>
        </is>
      </c>
      <c r="N195" t="n">
        <v>4</v>
      </c>
      <c r="O195" t="n">
        <v>11</v>
      </c>
      <c r="Q195" t="inlineStr">
        <is>
          <t>InStock</t>
        </is>
      </c>
      <c r="R195" t="inlineStr">
        <is>
          <t>undefined</t>
        </is>
      </c>
      <c r="S195" t="inlineStr">
        <is>
          <t>1779136-IRWIN</t>
        </is>
      </c>
    </row>
    <row r="196" ht="75" customHeight="1">
      <c r="A196" s="1">
        <f>HYPERLINK("https://www.toolnut.com/irwin-1779136-drill-bit.html", "https://www.toolnut.com/irwin-1779136-drill-bit.html")</f>
        <v/>
      </c>
      <c r="B196" s="1">
        <f>HYPERLINK("https://www.toolnut.com/irwin-1779136-drill-bit.html", "https://www.toolnut.com/irwin-1779136-drill-bit.html")</f>
        <v/>
      </c>
      <c r="C196" t="inlineStr">
        <is>
          <t>Irwin 1779136 Auger Bit with WeldTec 7-1/2-in. x 7/16-in.</t>
        </is>
      </c>
      <c r="D196" t="inlineStr">
        <is>
          <t>IRWIN WeldTec Auger Wood Drill Bit 1" X 17" (3043013)</t>
        </is>
      </c>
      <c r="E196" s="1">
        <f>HYPERLINK("https://www.amazon.com/Irwin-Tools-3043013-WeldTec-Auger/dp/B002WJN5MC/ref=sr_1_10?keywords=Irwin+1779136+Auger+Bit+with+WeldTec+7-1%2F2-in.+x+7%2F16-in.&amp;qid=1695347142&amp;sr=8-10", "https://www.amazon.com/Irwin-Tools-3043013-WeldTec-Auger/dp/B002WJN5MC/ref=sr_1_10?keywords=Irwin+1779136+Auger+Bit+with+WeldTec+7-1%2F2-in.+x+7%2F16-in.&amp;qid=1695347142&amp;sr=8-10")</f>
        <v/>
      </c>
      <c r="F196" t="inlineStr">
        <is>
          <t>B002WJN5MC</t>
        </is>
      </c>
      <c r="G196">
        <f>_xlfn.IMAGE("https://www.toolnut.com/media/catalog/product/1/7/1779136-irwin-drill-bits-auger-bits-with-weldtec-primary.jpg?quality=100&amp;bg-color=255,255,255&amp;fit=bounds&amp;height=700&amp;width=700&amp;canvas=700:700&amp;dpr=1 1x")</f>
        <v/>
      </c>
      <c r="H196">
        <f>_xlfn.IMAGE("https://m.media-amazon.com/images/I/61Tduk3BxPL._AC_UL320_.jpg")</f>
        <v/>
      </c>
      <c r="K196" t="inlineStr">
        <is>
          <t>14.59</t>
        </is>
      </c>
      <c r="L196" t="n">
        <v>26.99</v>
      </c>
      <c r="M196" s="2" t="inlineStr">
        <is>
          <t>84.99%</t>
        </is>
      </c>
      <c r="N196" t="n">
        <v>4.5</v>
      </c>
      <c r="O196" t="n">
        <v>153</v>
      </c>
      <c r="Q196" t="inlineStr">
        <is>
          <t>InStock</t>
        </is>
      </c>
      <c r="R196" t="inlineStr">
        <is>
          <t>undefined</t>
        </is>
      </c>
      <c r="S196" t="inlineStr">
        <is>
          <t>1779136-IRWIN</t>
        </is>
      </c>
    </row>
    <row r="197" ht="75" customHeight="1">
      <c r="A197" s="1">
        <f>HYPERLINK("https://www.toolnut.com/irwin-1779136-drill-bit.html", "https://www.toolnut.com/irwin-1779136-drill-bit.html")</f>
        <v/>
      </c>
      <c r="B197" s="1">
        <f>HYPERLINK("https://www.toolnut.com/irwin-1779136-drill-bit.html", "https://www.toolnut.com/irwin-1779136-drill-bit.html")</f>
        <v/>
      </c>
      <c r="C197" t="inlineStr">
        <is>
          <t>Irwin 1779136 Auger Bit with WeldTec 7-1/2-in. x 7/16-in.</t>
        </is>
      </c>
      <c r="D197" t="inlineStr">
        <is>
          <t>IRWIN WeldTec Auger Wood Drill Bit 7/8" X 17" (3043011)</t>
        </is>
      </c>
      <c r="E197" s="1">
        <f>HYPERLINK("https://www.amazon.com/Irwin-Tools-3043011-WeldTec-Auger/dp/B002WJL3SK/ref=sr_1_4?keywords=Irwin+1779136+Auger+Bit+with+WeldTec+7-1%2F2-in.+x+7%2F16-in.&amp;qid=1695347142&amp;sr=8-4", "https://www.amazon.com/Irwin-Tools-3043011-WeldTec-Auger/dp/B002WJL3SK/ref=sr_1_4?keywords=Irwin+1779136+Auger+Bit+with+WeldTec+7-1%2F2-in.+x+7%2F16-in.&amp;qid=1695347142&amp;sr=8-4")</f>
        <v/>
      </c>
      <c r="F197" t="inlineStr">
        <is>
          <t>B002WJL3SK</t>
        </is>
      </c>
      <c r="G197">
        <f>_xlfn.IMAGE("https://www.toolnut.com/media/catalog/product/1/7/1779136-irwin-drill-bits-auger-bits-with-weldtec-primary.jpg?quality=100&amp;bg-color=255,255,255&amp;fit=bounds&amp;height=700&amp;width=700&amp;canvas=700:700&amp;dpr=1 1x")</f>
        <v/>
      </c>
      <c r="H197">
        <f>_xlfn.IMAGE("https://m.media-amazon.com/images/I/31uxDBQZyBL._AC_UL320_.jpg")</f>
        <v/>
      </c>
      <c r="K197" t="inlineStr">
        <is>
          <t>14.59</t>
        </is>
      </c>
      <c r="L197" t="n">
        <v>24.29</v>
      </c>
      <c r="M197" s="2" t="inlineStr">
        <is>
          <t>66.48%</t>
        </is>
      </c>
      <c r="N197" t="n">
        <v>4.5</v>
      </c>
      <c r="O197" t="n">
        <v>134</v>
      </c>
      <c r="Q197" t="inlineStr">
        <is>
          <t>InStock</t>
        </is>
      </c>
      <c r="R197" t="inlineStr">
        <is>
          <t>undefined</t>
        </is>
      </c>
      <c r="S197" t="inlineStr">
        <is>
          <t>1779136-IRWIN</t>
        </is>
      </c>
    </row>
    <row r="198" ht="75" customHeight="1">
      <c r="A198" s="1">
        <f>HYPERLINK("https://www.toolnut.com/irwin-1779136-drill-bit.html", "https://www.toolnut.com/irwin-1779136-drill-bit.html")</f>
        <v/>
      </c>
      <c r="B198" s="1">
        <f>HYPERLINK("https://www.toolnut.com/irwin-1779136-drill-bit.html", "https://www.toolnut.com/irwin-1779136-drill-bit.html")</f>
        <v/>
      </c>
      <c r="C198" t="inlineStr">
        <is>
          <t>Irwin 1779136 Auger Bit with WeldTec 7-1/2-in. x 7/16-in.</t>
        </is>
      </c>
      <c r="D198" t="inlineStr">
        <is>
          <t>IRWIN WeldTec Auger Wood Drill Bit 1" X 17" (3043013)</t>
        </is>
      </c>
      <c r="E198" s="1">
        <f>HYPERLINK("https://www.amazon.com/Irwin-Tools-3043013-WeldTec-Auger/dp/B002WJN5MC/ref=sr_1_10?keywords=Irwin+1779136+Auger+Bit+with+WeldTec+7-1%2F2-in.+x+7%2F16-in.&amp;qid=1695347142&amp;sr=8-10", "https://www.amazon.com/Irwin-Tools-3043013-WeldTec-Auger/dp/B002WJN5MC/ref=sr_1_10?keywords=Irwin+1779136+Auger+Bit+with+WeldTec+7-1%2F2-in.+x+7%2F16-in.&amp;qid=1695347142&amp;sr=8-10")</f>
        <v/>
      </c>
      <c r="F198" t="inlineStr">
        <is>
          <t>B002WJN5MC</t>
        </is>
      </c>
      <c r="G198">
        <f>_xlfn.IMAGE("https://www.toolnut.com/media/catalog/product/1/7/1779136-irwin-drill-bits-auger-bits-with-weldtec-primary.jpg?quality=100&amp;bg-color=255,255,255&amp;fit=bounds&amp;height=700&amp;width=700&amp;canvas=700:700&amp;dpr=1 1x")</f>
        <v/>
      </c>
      <c r="H198">
        <f>_xlfn.IMAGE("https://m.media-amazon.com/images/I/61Tduk3BxPL._AC_UL320_.jpg")</f>
        <v/>
      </c>
      <c r="K198" t="inlineStr">
        <is>
          <t>14.59</t>
        </is>
      </c>
      <c r="L198" t="n">
        <v>26.99</v>
      </c>
      <c r="M198" s="2" t="inlineStr">
        <is>
          <t>84.99%</t>
        </is>
      </c>
      <c r="N198" t="n">
        <v>4.5</v>
      </c>
      <c r="O198" t="n">
        <v>153</v>
      </c>
      <c r="Q198" t="inlineStr">
        <is>
          <t>InStock</t>
        </is>
      </c>
      <c r="R198" t="inlineStr">
        <is>
          <t>undefined</t>
        </is>
      </c>
      <c r="S198" t="inlineStr">
        <is>
          <t>1779136-IRWIN</t>
        </is>
      </c>
    </row>
    <row r="199" ht="75" customHeight="1">
      <c r="A199" s="1">
        <f>HYPERLINK("https://www.toolnut.com/irwin-1779136-drill-bit.html", "https://www.toolnut.com/irwin-1779136-drill-bit.html")</f>
        <v/>
      </c>
      <c r="B199" s="1">
        <f>HYPERLINK("https://www.toolnut.com/irwin-1779136-drill-bit.html", "https://www.toolnut.com/irwin-1779136-drill-bit.html")</f>
        <v/>
      </c>
      <c r="C199" t="inlineStr">
        <is>
          <t>Irwin 1779136 Auger Bit with WeldTec 7-1/2-in. x 7/16-in.</t>
        </is>
      </c>
      <c r="D199" t="inlineStr">
        <is>
          <t>IRWIN WeldTec Auger Wood Drill Bit 7/8" X 17" (3043011)</t>
        </is>
      </c>
      <c r="E199" s="1">
        <f>HYPERLINK("https://www.amazon.com/Irwin-Tools-3043011-WeldTec-Auger/dp/B002WJL3SK/ref=sr_1_4?keywords=Irwin+1779136+Auger+Bit+with+WeldTec+7-1%2F2-in.+x+7%2F16-in.&amp;qid=1695347142&amp;sr=8-4", "https://www.amazon.com/Irwin-Tools-3043011-WeldTec-Auger/dp/B002WJL3SK/ref=sr_1_4?keywords=Irwin+1779136+Auger+Bit+with+WeldTec+7-1%2F2-in.+x+7%2F16-in.&amp;qid=1695347142&amp;sr=8-4")</f>
        <v/>
      </c>
      <c r="F199" t="inlineStr">
        <is>
          <t>B002WJL3SK</t>
        </is>
      </c>
      <c r="G199">
        <f>_xlfn.IMAGE("https://www.toolnut.com/media/catalog/product/1/7/1779136-irwin-drill-bits-auger-bits-with-weldtec-primary.jpg?quality=100&amp;bg-color=255,255,255&amp;fit=bounds&amp;height=700&amp;width=700&amp;canvas=700:700&amp;dpr=1 1x")</f>
        <v/>
      </c>
      <c r="H199">
        <f>_xlfn.IMAGE("https://m.media-amazon.com/images/I/31uxDBQZyBL._AC_UL320_.jpg")</f>
        <v/>
      </c>
      <c r="K199" t="inlineStr">
        <is>
          <t>14.59</t>
        </is>
      </c>
      <c r="L199" t="n">
        <v>24.29</v>
      </c>
      <c r="M199" s="2" t="inlineStr">
        <is>
          <t>66.48%</t>
        </is>
      </c>
      <c r="N199" t="n">
        <v>4.5</v>
      </c>
      <c r="O199" t="n">
        <v>134</v>
      </c>
      <c r="Q199" t="inlineStr">
        <is>
          <t>InStock</t>
        </is>
      </c>
      <c r="R199" t="inlineStr">
        <is>
          <t>undefined</t>
        </is>
      </c>
      <c r="S199" t="inlineStr">
        <is>
          <t>1779136-IRWIN</t>
        </is>
      </c>
    </row>
    <row r="200" ht="75" customHeight="1">
      <c r="A200" s="1">
        <f>HYPERLINK("https://www.toolnut.com/irwin-1779137-drill-bit.html", "https://www.toolnut.com/irwin-1779137-drill-bit.html")</f>
        <v/>
      </c>
      <c r="B200" s="1">
        <f>HYPERLINK("https://www.toolnut.com/irwin-1779137-drill-bit.html", "https://www.toolnut.com/irwin-1779137-drill-bit.html")</f>
        <v/>
      </c>
      <c r="C200" t="inlineStr">
        <is>
          <t>Irwin 1779137 Auger Bit with WeldTec 7-1/2-in. x 1/2-in.</t>
        </is>
      </c>
      <c r="D200" t="inlineStr">
        <is>
          <t>IRWIN WeldTec Auger Wood Drill Bit 1-1/2" X 17" (3043016)</t>
        </is>
      </c>
      <c r="E200" s="1">
        <f>HYPERLINK("https://www.amazon.com/Irwin-Tools-3043016-WeldTech-Auger/dp/B000GAS67S/ref=sr_1_8?keywords=Irwin+1779137+Auger+Bit+with+WeldTec+7-1%2F2-in.+x+1%2F2-in.&amp;qid=1695347137&amp;sr=8-8", "https://www.amazon.com/Irwin-Tools-3043016-WeldTech-Auger/dp/B000GAS67S/ref=sr_1_8?keywords=Irwin+1779137+Auger+Bit+with+WeldTec+7-1%2F2-in.+x+1%2F2-in.&amp;qid=1695347137&amp;sr=8-8")</f>
        <v/>
      </c>
      <c r="F200" t="inlineStr">
        <is>
          <t>B000GAS67S</t>
        </is>
      </c>
      <c r="G200">
        <f>_xlfn.IMAGE("https://www.toolnut.com/media/catalog/product/1/7/1779137-irwin-drill-bits-wood-drill-bits-auger-bit-with-weldtec-primary-01.jpg?quality=100&amp;bg-color=255,255,255&amp;fit=bounds&amp;height=700&amp;width=700&amp;canvas=700:700&amp;dpr=1 1x")</f>
        <v/>
      </c>
      <c r="H200">
        <f>_xlfn.IMAGE("https://m.media-amazon.com/images/I/41LuVMVsu0L._AC_UL320_.jpg")</f>
        <v/>
      </c>
      <c r="K200" t="inlineStr">
        <is>
          <t>15.49</t>
        </is>
      </c>
      <c r="L200" t="n">
        <v>59.68</v>
      </c>
      <c r="M200" s="2" t="inlineStr">
        <is>
          <t>285.28%</t>
        </is>
      </c>
      <c r="N200" t="n">
        <v>4.5</v>
      </c>
      <c r="O200" t="n">
        <v>23</v>
      </c>
      <c r="Q200" t="inlineStr">
        <is>
          <t>InStock</t>
        </is>
      </c>
      <c r="R200" t="inlineStr">
        <is>
          <t>undefined</t>
        </is>
      </c>
      <c r="S200" t="inlineStr">
        <is>
          <t>1779137-IRWIN</t>
        </is>
      </c>
    </row>
    <row r="201" ht="75" customHeight="1">
      <c r="A201" s="1">
        <f>HYPERLINK("https://www.toolnut.com/irwin-1779138-drill-bit.html", "https://www.toolnut.com/irwin-1779138-drill-bit.html")</f>
        <v/>
      </c>
      <c r="B201" s="1">
        <f>HYPERLINK("https://www.toolnut.com/irwin-1779138-drill-bit.html", "https://www.toolnut.com/irwin-1779138-drill-bit.html")</f>
        <v/>
      </c>
      <c r="C201" t="inlineStr">
        <is>
          <t>Irwin 1779138 Auger Bit with WeldTec 7-1/2-in. x 9/16-in.</t>
        </is>
      </c>
      <c r="D201" t="inlineStr">
        <is>
          <t>IRWIN 1773958 1-3/4" X Ship Auger WeldTec Bit Silver</t>
        </is>
      </c>
      <c r="E201" s="1">
        <f>HYPERLINK("https://www.amazon.com/IRWIN-1773958-Ship-Auger-WeldTec/dp/B0040U1JQA/ref=sr_1_6?keywords=Irwin+1779138+Auger+Bit+with+WeldTec+7-1%2F2-in.+x+9%2F16-in.&amp;qid=1695347140&amp;sr=8-6", "https://www.amazon.com/IRWIN-1773958-Ship-Auger-WeldTec/dp/B0040U1JQA/ref=sr_1_6?keywords=Irwin+1779138+Auger+Bit+with+WeldTec+7-1%2F2-in.+x+9%2F16-in.&amp;qid=1695347140&amp;sr=8-6")</f>
        <v/>
      </c>
      <c r="F201" t="inlineStr">
        <is>
          <t>B0040U1JQA</t>
        </is>
      </c>
      <c r="G201">
        <f>_xlfn.IMAGE("https://www.toolnut.com/media/catalog/product/1/7/1779138-irwin-drill-bits-wood-drill-bits-auger-bits-with-weldtec-primary.jpg?quality=100&amp;bg-color=255,255,255&amp;fit=bounds&amp;height=700&amp;width=700&amp;canvas=700:700&amp;dpr=1 1x")</f>
        <v/>
      </c>
      <c r="H201">
        <f>_xlfn.IMAGE("https://m.media-amazon.com/images/I/312rBxfFyaL._AC_UL320_.jpg")</f>
        <v/>
      </c>
      <c r="K201" t="inlineStr">
        <is>
          <t>16.59</t>
        </is>
      </c>
      <c r="L201" t="n">
        <v>81.45</v>
      </c>
      <c r="M201" s="2" t="inlineStr">
        <is>
          <t>390.96%</t>
        </is>
      </c>
      <c r="N201" t="n">
        <v>4</v>
      </c>
      <c r="O201" t="n">
        <v>11</v>
      </c>
      <c r="Q201" t="inlineStr">
        <is>
          <t>InStock</t>
        </is>
      </c>
      <c r="R201" t="inlineStr">
        <is>
          <t>undefined</t>
        </is>
      </c>
      <c r="S201" t="inlineStr">
        <is>
          <t>1779138-IRWIN</t>
        </is>
      </c>
    </row>
    <row r="202" ht="75" customHeight="1">
      <c r="A202" s="1">
        <f>HYPERLINK("https://www.toolnut.com/irwin-1779139-drill-bit.html", "https://www.toolnut.com/irwin-1779139-drill-bit.html")</f>
        <v/>
      </c>
      <c r="B202" s="1">
        <f>HYPERLINK("https://www.toolnut.com/irwin-1779139-drill-bit.html", "https://www.toolnut.com/irwin-1779139-drill-bit.html")</f>
        <v/>
      </c>
      <c r="C202" t="inlineStr">
        <is>
          <t>Irwin 1779139 Auger Bit with WeldTec 7-1/2-in. x 5/8-in.</t>
        </is>
      </c>
      <c r="D202" t="inlineStr">
        <is>
          <t>IRWIN 1773958 1-3/4" X Ship Auger WeldTec Bit Silver</t>
        </is>
      </c>
      <c r="E202" s="1">
        <f>HYPERLINK("https://www.amazon.com/IRWIN-1773958-Ship-Auger-WeldTec/dp/B0040U1JQA/ref=sr_1_4?keywords=Irwin+1779139+Auger+Bit+with+WeldTec+7-1%2F2-in.+x+5%2F8-in.&amp;qid=1695347135&amp;sr=8-4", "https://www.amazon.com/IRWIN-1773958-Ship-Auger-WeldTec/dp/B0040U1JQA/ref=sr_1_4?keywords=Irwin+1779139+Auger+Bit+with+WeldTec+7-1%2F2-in.+x+5%2F8-in.&amp;qid=1695347135&amp;sr=8-4")</f>
        <v/>
      </c>
      <c r="F202" t="inlineStr">
        <is>
          <t>B0040U1JQA</t>
        </is>
      </c>
      <c r="G202">
        <f>_xlfn.IMAGE("https://www.toolnut.com/media/catalog/product/1/7/1779139-irwin-drill-bits-wood-drill-bits-auger-bit-with-weldtec-primary-01.jpg?quality=100&amp;bg-color=255,255,255&amp;fit=bounds&amp;height=700&amp;width=700&amp;canvas=700:700&amp;dpr=1 1x")</f>
        <v/>
      </c>
      <c r="H202">
        <f>_xlfn.IMAGE("https://m.media-amazon.com/images/I/312rBxfFyaL._AC_UL320_.jpg")</f>
        <v/>
      </c>
      <c r="K202" t="inlineStr">
        <is>
          <t>16.99</t>
        </is>
      </c>
      <c r="L202" t="n">
        <v>81.45</v>
      </c>
      <c r="M202" s="2" t="inlineStr">
        <is>
          <t>379.40%</t>
        </is>
      </c>
      <c r="N202" t="n">
        <v>4</v>
      </c>
      <c r="O202" t="n">
        <v>11</v>
      </c>
      <c r="Q202" t="inlineStr">
        <is>
          <t>InStock</t>
        </is>
      </c>
      <c r="R202" t="inlineStr">
        <is>
          <t>undefined</t>
        </is>
      </c>
      <c r="S202" t="inlineStr">
        <is>
          <t>1779139-IRWIN</t>
        </is>
      </c>
    </row>
    <row r="203" ht="75" customHeight="1">
      <c r="A203" s="1">
        <f>HYPERLINK("https://www.toolnut.com/irwin-1779139-drill-bit.html", "https://www.toolnut.com/irwin-1779139-drill-bit.html")</f>
        <v/>
      </c>
      <c r="B203" s="1">
        <f>HYPERLINK("https://www.toolnut.com/irwin-1779139-drill-bit.html", "https://www.toolnut.com/irwin-1779139-drill-bit.html")</f>
        <v/>
      </c>
      <c r="C203" t="inlineStr">
        <is>
          <t>Irwin 1779139 Auger Bit with WeldTec 7-1/2-in. x 5/8-in.</t>
        </is>
      </c>
      <c r="D203" t="inlineStr">
        <is>
          <t>IRWIN Auger Drill Bit for Wood 5/8 in. x 18 in. (IWAX3007)</t>
        </is>
      </c>
      <c r="E203" s="1">
        <f>HYPERLINK("https://www.amazon.com/Irwin-Tools-IWAX3007-Speedbor-Supreme/dp/B09G8S4PZY/ref=sr_1_7?keywords=Irwin+1779139+Auger+Bit+with+WeldTec+7-1%2F2-in.+x+5%2F8-in.&amp;qid=1695347135&amp;sr=8-7", "https://www.amazon.com/Irwin-Tools-IWAX3007-Speedbor-Supreme/dp/B09G8S4PZY/ref=sr_1_7?keywords=Irwin+1779139+Auger+Bit+with+WeldTec+7-1%2F2-in.+x+5%2F8-in.&amp;qid=1695347135&amp;sr=8-7")</f>
        <v/>
      </c>
      <c r="F203" t="inlineStr">
        <is>
          <t>B09G8S4PZY</t>
        </is>
      </c>
      <c r="G203">
        <f>_xlfn.IMAGE("https://www.toolnut.com/media/catalog/product/1/7/1779139-irwin-drill-bits-wood-drill-bits-auger-bit-with-weldtec-primary-01.jpg?quality=100&amp;bg-color=255,255,255&amp;fit=bounds&amp;height=700&amp;width=700&amp;canvas=700:700&amp;dpr=1 1x")</f>
        <v/>
      </c>
      <c r="H203">
        <f>_xlfn.IMAGE("https://m.media-amazon.com/images/I/41SJvZ5zzdL._AC_UL320_.jpg")</f>
        <v/>
      </c>
      <c r="K203" t="inlineStr">
        <is>
          <t>16.99</t>
        </is>
      </c>
      <c r="L203" t="n">
        <v>32.98</v>
      </c>
      <c r="M203" s="2" t="inlineStr">
        <is>
          <t>94.11%</t>
        </is>
      </c>
      <c r="N203" t="n">
        <v>4.3</v>
      </c>
      <c r="O203" t="n">
        <v>5</v>
      </c>
      <c r="Q203" t="inlineStr">
        <is>
          <t>InStock</t>
        </is>
      </c>
      <c r="R203" t="inlineStr">
        <is>
          <t>undefined</t>
        </is>
      </c>
      <c r="S203" t="inlineStr">
        <is>
          <t>1779139-IRWIN</t>
        </is>
      </c>
    </row>
    <row r="204" ht="75" customHeight="1">
      <c r="A204" s="1">
        <f>HYPERLINK("https://www.toolnut.com/irwin-1779139-drill-bit.html", "https://www.toolnut.com/irwin-1779139-drill-bit.html")</f>
        <v/>
      </c>
      <c r="B204" s="1">
        <f>HYPERLINK("https://www.toolnut.com/irwin-1779139-drill-bit.html", "https://www.toolnut.com/irwin-1779139-drill-bit.html")</f>
        <v/>
      </c>
      <c r="C204" t="inlineStr">
        <is>
          <t>Irwin 1779139 Auger Bit with WeldTec 7-1/2-in. x 5/8-in.</t>
        </is>
      </c>
      <c r="D204" t="inlineStr">
        <is>
          <t>IRWIN Auger Drill Bit for Wood 5/8 in. x 18 in. (IWAX3007)</t>
        </is>
      </c>
      <c r="E204" s="1">
        <f>HYPERLINK("https://www.amazon.com/Irwin-Tools-IWAX3007-Speedbor-Supreme/dp/B09G8S4PZY/ref=sr_1_7?keywords=Irwin+1779139+Auger+Bit+with+WeldTec+7-1%2F2-in.+x+5%2F8-in.&amp;qid=1695347135&amp;sr=8-7", "https://www.amazon.com/Irwin-Tools-IWAX3007-Speedbor-Supreme/dp/B09G8S4PZY/ref=sr_1_7?keywords=Irwin+1779139+Auger+Bit+with+WeldTec+7-1%2F2-in.+x+5%2F8-in.&amp;qid=1695347135&amp;sr=8-7")</f>
        <v/>
      </c>
      <c r="F204" t="inlineStr">
        <is>
          <t>B09G8S4PZY</t>
        </is>
      </c>
      <c r="G204">
        <f>_xlfn.IMAGE("https://www.toolnut.com/media/catalog/product/1/7/1779139-irwin-drill-bits-wood-drill-bits-auger-bit-with-weldtec-primary-01.jpg?quality=100&amp;bg-color=255,255,255&amp;fit=bounds&amp;height=700&amp;width=700&amp;canvas=700:700&amp;dpr=1 1x")</f>
        <v/>
      </c>
      <c r="H204">
        <f>_xlfn.IMAGE("https://m.media-amazon.com/images/I/41SJvZ5zzdL._AC_UL320_.jpg")</f>
        <v/>
      </c>
      <c r="K204" t="inlineStr">
        <is>
          <t>16.99</t>
        </is>
      </c>
      <c r="L204" t="n">
        <v>32.98</v>
      </c>
      <c r="M204" s="2" t="inlineStr">
        <is>
          <t>94.11%</t>
        </is>
      </c>
      <c r="N204" t="n">
        <v>4.3</v>
      </c>
      <c r="O204" t="n">
        <v>5</v>
      </c>
      <c r="Q204" t="inlineStr">
        <is>
          <t>InStock</t>
        </is>
      </c>
      <c r="R204" t="inlineStr">
        <is>
          <t>undefined</t>
        </is>
      </c>
      <c r="S204" t="inlineStr">
        <is>
          <t>1779139-IRWIN</t>
        </is>
      </c>
    </row>
    <row r="205" ht="75" customHeight="1">
      <c r="A205" s="1">
        <f>HYPERLINK("https://www.toolnut.com/irwin-1779140-drill-bit.html", "https://www.toolnut.com/irwin-1779140-drill-bit.html")</f>
        <v/>
      </c>
      <c r="B205" s="1">
        <f>HYPERLINK("https://www.toolnut.com/irwin-1779140-drill-bit.html", "https://www.toolnut.com/irwin-1779140-drill-bit.html")</f>
        <v/>
      </c>
      <c r="C205" t="inlineStr">
        <is>
          <t>Irwin 1779140 Auger Bit with WeldTec 7-1/2-in. x 11/16-in.</t>
        </is>
      </c>
      <c r="D205" t="inlineStr">
        <is>
          <t>IRWIN WeldTec Auger Wood Drill Bit 11/16" X 17" (3043008)</t>
        </is>
      </c>
      <c r="E205" s="1">
        <f>HYPERLINK("https://www.amazon.com/Irwin-Tools-3043008-WeldTec-Auger/dp/B002WJTAAS/ref=sr_1_6?keywords=Irwin+1779140+Auger+Bit+with+WeldTec+7-1%2F2-in.+x+11%2F16-in.&amp;qid=1695347138&amp;sr=8-6", "https://www.amazon.com/Irwin-Tools-3043008-WeldTec-Auger/dp/B002WJTAAS/ref=sr_1_6?keywords=Irwin+1779140+Auger+Bit+with+WeldTec+7-1%2F2-in.+x+11%2F16-in.&amp;qid=1695347138&amp;sr=8-6")</f>
        <v/>
      </c>
      <c r="F205" t="inlineStr">
        <is>
          <t>B002WJTAAS</t>
        </is>
      </c>
      <c r="G205">
        <f>_xlfn.IMAGE("https://www.toolnut.com/media/catalog/product/1/7/1779140-irwin-drill-bits-wood-drill-bits-auger-bits-with-weldtec-primary.jpg?quality=100&amp;bg-color=255,255,255&amp;fit=bounds&amp;height=700&amp;width=700&amp;canvas=700:700&amp;dpr=1 1x")</f>
        <v/>
      </c>
      <c r="H205">
        <f>_xlfn.IMAGE("https://m.media-amazon.com/images/I/61bE+kmeDiL._AC_UL320_.jpg")</f>
        <v/>
      </c>
      <c r="K205" t="inlineStr">
        <is>
          <t>19.29</t>
        </is>
      </c>
      <c r="L205" t="n">
        <v>32.84</v>
      </c>
      <c r="M205" s="2" t="inlineStr">
        <is>
          <t>70.24%</t>
        </is>
      </c>
      <c r="N205" t="n">
        <v>4.3</v>
      </c>
      <c r="O205" t="n">
        <v>15</v>
      </c>
      <c r="Q205" t="inlineStr">
        <is>
          <t>InStock</t>
        </is>
      </c>
      <c r="R205" t="inlineStr">
        <is>
          <t>undefined</t>
        </is>
      </c>
      <c r="S205" t="inlineStr">
        <is>
          <t>1779140-IRWIN</t>
        </is>
      </c>
    </row>
    <row r="206" ht="75" customHeight="1">
      <c r="A206" s="1">
        <f>HYPERLINK("https://www.toolnut.com/irwin-1779140-drill-bit.html", "https://www.toolnut.com/irwin-1779140-drill-bit.html")</f>
        <v/>
      </c>
      <c r="B206" s="1">
        <f>HYPERLINK("https://www.toolnut.com/irwin-1779140-drill-bit.html", "https://www.toolnut.com/irwin-1779140-drill-bit.html")</f>
        <v/>
      </c>
      <c r="C206" t="inlineStr">
        <is>
          <t>Irwin 1779140 Auger Bit with WeldTec 7-1/2-in. x 11/16-in.</t>
        </is>
      </c>
      <c r="D206" t="inlineStr">
        <is>
          <t>IRWIN WeldTec Auger Wood Drill Bit 11/16" X 17" (3043008)</t>
        </is>
      </c>
      <c r="E206" s="1">
        <f>HYPERLINK("https://www.amazon.com/Irwin-Tools-3043008-WeldTec-Auger/dp/B002WJTAAS/ref=sr_1_6?keywords=Irwin+1779140+Auger+Bit+with+WeldTec+7-1%2F2-in.+x+11%2F16-in.&amp;qid=1695347138&amp;sr=8-6", "https://www.amazon.com/Irwin-Tools-3043008-WeldTec-Auger/dp/B002WJTAAS/ref=sr_1_6?keywords=Irwin+1779140+Auger+Bit+with+WeldTec+7-1%2F2-in.+x+11%2F16-in.&amp;qid=1695347138&amp;sr=8-6")</f>
        <v/>
      </c>
      <c r="F206" t="inlineStr">
        <is>
          <t>B002WJTAAS</t>
        </is>
      </c>
      <c r="G206">
        <f>_xlfn.IMAGE("https://www.toolnut.com/media/catalog/product/1/7/1779140-irwin-drill-bits-wood-drill-bits-auger-bits-with-weldtec-primary.jpg?quality=100&amp;bg-color=255,255,255&amp;fit=bounds&amp;height=700&amp;width=700&amp;canvas=700:700&amp;dpr=1 1x")</f>
        <v/>
      </c>
      <c r="H206">
        <f>_xlfn.IMAGE("https://m.media-amazon.com/images/I/61bE+kmeDiL._AC_UL320_.jpg")</f>
        <v/>
      </c>
      <c r="K206" t="inlineStr">
        <is>
          <t>19.29</t>
        </is>
      </c>
      <c r="L206" t="n">
        <v>32.84</v>
      </c>
      <c r="M206" s="2" t="inlineStr">
        <is>
          <t>70.24%</t>
        </is>
      </c>
      <c r="N206" t="n">
        <v>4.3</v>
      </c>
      <c r="O206" t="n">
        <v>15</v>
      </c>
      <c r="Q206" t="inlineStr">
        <is>
          <t>InStock</t>
        </is>
      </c>
      <c r="R206" t="inlineStr">
        <is>
          <t>undefined</t>
        </is>
      </c>
      <c r="S206" t="inlineStr">
        <is>
          <t>1779140-IRWIN</t>
        </is>
      </c>
    </row>
    <row r="207" ht="75" customHeight="1">
      <c r="A207" s="1">
        <f>HYPERLINK("https://www.toolnut.com/irwin-1779341-drill-bit.html", "https://www.toolnut.com/irwin-1779341-drill-bit.html")</f>
        <v/>
      </c>
      <c r="B207" s="1">
        <f>HYPERLINK("https://www.toolnut.com/irwin-1779341-drill-bit.html", "https://www.toolnut.com/irwin-1779341-drill-bit.html")</f>
        <v/>
      </c>
      <c r="C207" t="inlineStr">
        <is>
          <t>Irwin 1779341 Auger Bit with WeldTec 7-1/2-in. x 3/4-in.</t>
        </is>
      </c>
      <c r="D207" t="inlineStr">
        <is>
          <t>IRWIN 1773958 1-3/4" X Ship Auger WeldTec Bit Silver</t>
        </is>
      </c>
      <c r="E207" s="1">
        <f>HYPERLINK("https://www.amazon.com/IRWIN-1773958-Ship-Auger-WeldTec/dp/B0040U1JQA/ref=sr_1_5?keywords=Irwin+1779341+Auger+Bit+with+WeldTec+7-1%2F2-in.+x+3%2F4-in.&amp;qid=1695347138&amp;sr=8-5", "https://www.amazon.com/IRWIN-1773958-Ship-Auger-WeldTec/dp/B0040U1JQA/ref=sr_1_5?keywords=Irwin+1779341+Auger+Bit+with+WeldTec+7-1%2F2-in.+x+3%2F4-in.&amp;qid=1695347138&amp;sr=8-5")</f>
        <v/>
      </c>
      <c r="F207" t="inlineStr">
        <is>
          <t>B0040U1JQA</t>
        </is>
      </c>
      <c r="G207">
        <f>_xlfn.IMAGE("https://www.toolnut.com/media/catalog/product/1/7/1779341-irwin-drill-bits-wood-drill-bits-auger-bit-with-weldtec-primary.jpg?quality=100&amp;bg-color=255,255,255&amp;fit=bounds&amp;height=700&amp;width=700&amp;canvas=700:700&amp;dpr=1 1x")</f>
        <v/>
      </c>
      <c r="H207">
        <f>_xlfn.IMAGE("https://m.media-amazon.com/images/I/312rBxfFyaL._AC_UL320_.jpg")</f>
        <v/>
      </c>
      <c r="K207" t="inlineStr">
        <is>
          <t>19.89</t>
        </is>
      </c>
      <c r="L207" t="n">
        <v>81.45</v>
      </c>
      <c r="M207" s="2" t="inlineStr">
        <is>
          <t>309.50%</t>
        </is>
      </c>
      <c r="N207" t="n">
        <v>4</v>
      </c>
      <c r="O207" t="n">
        <v>11</v>
      </c>
      <c r="Q207" t="inlineStr">
        <is>
          <t>InStock</t>
        </is>
      </c>
      <c r="R207" t="inlineStr">
        <is>
          <t>undefined</t>
        </is>
      </c>
      <c r="S207" t="inlineStr">
        <is>
          <t>1779341-IRWIN</t>
        </is>
      </c>
    </row>
    <row r="208" ht="75" customHeight="1">
      <c r="A208" s="1">
        <f>HYPERLINK("https://www.toolnut.com/irwin-1779343-drill-bit.html", "https://www.toolnut.com/irwin-1779343-drill-bit.html")</f>
        <v/>
      </c>
      <c r="B208" s="1">
        <f>HYPERLINK("https://www.toolnut.com/irwin-1779343-drill-bit.html", "https://www.toolnut.com/irwin-1779343-drill-bit.html")</f>
        <v/>
      </c>
      <c r="C208" t="inlineStr">
        <is>
          <t>Irwin 1779343 Auger Bit with WeldTec 7-1/2-in. x 7/8-in.</t>
        </is>
      </c>
      <c r="D208" t="inlineStr">
        <is>
          <t>IRWIN 1773958 1-3/4" X Ship Auger WeldTec Bit Silver</t>
        </is>
      </c>
      <c r="E208" s="1">
        <f>HYPERLINK("https://www.amazon.com/IRWIN-1773958-Ship-Auger-WeldTec/dp/B0040U1JQA/ref=sr_1_10?keywords=Irwin+1779343+Auger+Bit+with+WeldTec+7-1%2F2-in.+x+7%2F8-in.&amp;qid=1695347143&amp;sr=8-10", "https://www.amazon.com/IRWIN-1773958-Ship-Auger-WeldTec/dp/B0040U1JQA/ref=sr_1_10?keywords=Irwin+1779343+Auger+Bit+with+WeldTec+7-1%2F2-in.+x+7%2F8-in.&amp;qid=1695347143&amp;sr=8-10")</f>
        <v/>
      </c>
      <c r="F208" t="inlineStr">
        <is>
          <t>B0040U1JQA</t>
        </is>
      </c>
      <c r="G208">
        <f>_xlfn.IMAGE("https://www.toolnut.com/media/catalog/product/1/7/1779343-irwin-drill-bits-wood-drill-bits-auger-bit-with-weldtec-primary-01.jpg?quality=100&amp;bg-color=255,255,255&amp;fit=bounds&amp;height=700&amp;width=700&amp;canvas=700:700&amp;dpr=1 1x")</f>
        <v/>
      </c>
      <c r="H208">
        <f>_xlfn.IMAGE("https://m.media-amazon.com/images/I/312rBxfFyaL._AC_UL320_.jpg")</f>
        <v/>
      </c>
      <c r="K208" t="inlineStr">
        <is>
          <t>21.99</t>
        </is>
      </c>
      <c r="L208" t="n">
        <v>81.45</v>
      </c>
      <c r="M208" s="2" t="inlineStr">
        <is>
          <t>270.40%</t>
        </is>
      </c>
      <c r="N208" t="n">
        <v>4</v>
      </c>
      <c r="O208" t="n">
        <v>11</v>
      </c>
      <c r="Q208" t="inlineStr">
        <is>
          <t>InStock</t>
        </is>
      </c>
      <c r="R208" t="inlineStr">
        <is>
          <t>undefined</t>
        </is>
      </c>
      <c r="S208" t="inlineStr">
        <is>
          <t>1779343-IRWIN</t>
        </is>
      </c>
    </row>
    <row r="209" ht="75" customHeight="1">
      <c r="A209" s="1">
        <f>HYPERLINK("https://www.toolnut.com/irwin-1779343-drill-bit.html", "https://www.toolnut.com/irwin-1779343-drill-bit.html")</f>
        <v/>
      </c>
      <c r="B209" s="1">
        <f>HYPERLINK("https://www.toolnut.com/irwin-1779343-drill-bit.html", "https://www.toolnut.com/irwin-1779343-drill-bit.html")</f>
        <v/>
      </c>
      <c r="C209" t="inlineStr">
        <is>
          <t>Irwin 1779343 Auger Bit with WeldTec 7-1/2-in. x 7/8-in.</t>
        </is>
      </c>
      <c r="D209" t="inlineStr">
        <is>
          <t>Irwin Tools IWAX3009 Auger Bit 7/8In X 18In Speedbor Supreme</t>
        </is>
      </c>
      <c r="E209" s="1">
        <f>HYPERLINK("https://www.amazon.com/Irwin-Tools-IWAX3009-Speedbor-Supreme/dp/B09G7FZ6DV/ref=sr_1_8?keywords=Irwin+1779343+Auger+Bit+with+WeldTec+7-1%2F2-in.+x+7%2F8-in.&amp;qid=1695347143&amp;sr=8-8", "https://www.amazon.com/Irwin-Tools-IWAX3009-Speedbor-Supreme/dp/B09G7FZ6DV/ref=sr_1_8?keywords=Irwin+1779343+Auger+Bit+with+WeldTec+7-1%2F2-in.+x+7%2F8-in.&amp;qid=1695347143&amp;sr=8-8")</f>
        <v/>
      </c>
      <c r="F209" t="inlineStr">
        <is>
          <t>B09G7FZ6DV</t>
        </is>
      </c>
      <c r="G209">
        <f>_xlfn.IMAGE("https://www.toolnut.com/media/catalog/product/1/7/1779343-irwin-drill-bits-wood-drill-bits-auger-bit-with-weldtec-primary-01.jpg?quality=100&amp;bg-color=255,255,255&amp;fit=bounds&amp;height=700&amp;width=700&amp;canvas=700:700&amp;dpr=1 1x")</f>
        <v/>
      </c>
      <c r="H209">
        <f>_xlfn.IMAGE("https://m.media-amazon.com/images/I/41anN8BT2mL._AC_UL320_.jpg")</f>
        <v/>
      </c>
      <c r="K209" t="inlineStr">
        <is>
          <t>21.99</t>
        </is>
      </c>
      <c r="L209" t="n">
        <v>36.98</v>
      </c>
      <c r="M209" s="2" t="inlineStr">
        <is>
          <t>68.17%</t>
        </is>
      </c>
      <c r="N209" t="n">
        <v>4.3</v>
      </c>
      <c r="O209" t="n">
        <v>5</v>
      </c>
      <c r="Q209" t="inlineStr">
        <is>
          <t>InStock</t>
        </is>
      </c>
      <c r="R209" t="inlineStr">
        <is>
          <t>undefined</t>
        </is>
      </c>
      <c r="S209" t="inlineStr">
        <is>
          <t>1779343-IRWIN</t>
        </is>
      </c>
    </row>
    <row r="210" ht="75" customHeight="1">
      <c r="A210" s="1">
        <f>HYPERLINK("https://www.toolnut.com/irwin-1779343-drill-bit.html", "https://www.toolnut.com/irwin-1779343-drill-bit.html")</f>
        <v/>
      </c>
      <c r="B210" s="1">
        <f>HYPERLINK("https://www.toolnut.com/irwin-1779343-drill-bit.html", "https://www.toolnut.com/irwin-1779343-drill-bit.html")</f>
        <v/>
      </c>
      <c r="C210" t="inlineStr">
        <is>
          <t>Irwin 1779343 Auger Bit with WeldTec 7-1/2-in. x 7/8-in.</t>
        </is>
      </c>
      <c r="D210" t="inlineStr">
        <is>
          <t>Irwin Tools IWAX3009 Auger Bit 7/8In X 18In Speedbor Supreme</t>
        </is>
      </c>
      <c r="E210" s="1">
        <f>HYPERLINK("https://www.amazon.com/Irwin-Tools-IWAX3009-Speedbor-Supreme/dp/B09G7FZ6DV/ref=sr_1_8?keywords=Irwin+1779343+Auger+Bit+with+WeldTec+7-1%2F2-in.+x+7%2F8-in.&amp;qid=1695347143&amp;sr=8-8", "https://www.amazon.com/Irwin-Tools-IWAX3009-Speedbor-Supreme/dp/B09G7FZ6DV/ref=sr_1_8?keywords=Irwin+1779343+Auger+Bit+with+WeldTec+7-1%2F2-in.+x+7%2F8-in.&amp;qid=1695347143&amp;sr=8-8")</f>
        <v/>
      </c>
      <c r="F210" t="inlineStr">
        <is>
          <t>B09G7FZ6DV</t>
        </is>
      </c>
      <c r="G210">
        <f>_xlfn.IMAGE("https://www.toolnut.com/media/catalog/product/1/7/1779343-irwin-drill-bits-wood-drill-bits-auger-bit-with-weldtec-primary-01.jpg?quality=100&amp;bg-color=255,255,255&amp;fit=bounds&amp;height=700&amp;width=700&amp;canvas=700:700&amp;dpr=1 1x")</f>
        <v/>
      </c>
      <c r="H210">
        <f>_xlfn.IMAGE("https://m.media-amazon.com/images/I/41anN8BT2mL._AC_UL320_.jpg")</f>
        <v/>
      </c>
      <c r="K210" t="inlineStr">
        <is>
          <t>21.99</t>
        </is>
      </c>
      <c r="L210" t="n">
        <v>36.98</v>
      </c>
      <c r="M210" s="2" t="inlineStr">
        <is>
          <t>68.17%</t>
        </is>
      </c>
      <c r="N210" t="n">
        <v>4.3</v>
      </c>
      <c r="O210" t="n">
        <v>5</v>
      </c>
      <c r="Q210" t="inlineStr">
        <is>
          <t>InStock</t>
        </is>
      </c>
      <c r="R210" t="inlineStr">
        <is>
          <t>undefined</t>
        </is>
      </c>
      <c r="S210" t="inlineStr">
        <is>
          <t>1779343-IRWIN</t>
        </is>
      </c>
    </row>
    <row r="211" ht="75" customHeight="1">
      <c r="A211" s="1">
        <f>HYPERLINK("https://www.toolnut.com/irwin-1779345-drill-bit.html", "https://www.toolnut.com/irwin-1779345-drill-bit.html")</f>
        <v/>
      </c>
      <c r="B211" s="1">
        <f>HYPERLINK("https://www.toolnut.com/irwin-1779345-drill-bit.html", "https://www.toolnut.com/irwin-1779345-drill-bit.html")</f>
        <v/>
      </c>
      <c r="C211" t="inlineStr">
        <is>
          <t>Irwin 1779345 Auger Bit with WeldTec 7-1/2-in. x 1-in.</t>
        </is>
      </c>
      <c r="D211" t="inlineStr">
        <is>
          <t>IRWIN 1773958 1-3/4" X Ship Auger WeldTec Bit Silver</t>
        </is>
      </c>
      <c r="E211" s="1">
        <f>HYPERLINK("https://www.amazon.com/IRWIN-1773958-Ship-Auger-WeldTec/dp/B0040U1JQA/ref=sr_1_8?keywords=Irwin+1779345+Auger+Bit+with+WeldTec+7-1%2F2-in.+x+1-in.&amp;qid=1695347131&amp;sr=8-8", "https://www.amazon.com/IRWIN-1773958-Ship-Auger-WeldTec/dp/B0040U1JQA/ref=sr_1_8?keywords=Irwin+1779345+Auger+Bit+with+WeldTec+7-1%2F2-in.+x+1-in.&amp;qid=1695347131&amp;sr=8-8")</f>
        <v/>
      </c>
      <c r="F211" t="inlineStr">
        <is>
          <t>B0040U1JQA</t>
        </is>
      </c>
      <c r="G211">
        <f>_xlfn.IMAGE("https://www.toolnut.com/media/catalog/product/1/7/1779345-irwin-drill-bits-wood-drill-bits-auger-bit-with-weldtec-primary-01.jpg?quality=100&amp;bg-color=255,255,255&amp;fit=bounds&amp;height=700&amp;width=700&amp;canvas=700:700&amp;dpr=1 1x")</f>
        <v/>
      </c>
      <c r="H211">
        <f>_xlfn.IMAGE("https://m.media-amazon.com/images/I/312rBxfFyaL._AC_UL320_.jpg")</f>
        <v/>
      </c>
      <c r="K211" t="inlineStr">
        <is>
          <t>23.99</t>
        </is>
      </c>
      <c r="L211" t="n">
        <v>81.45</v>
      </c>
      <c r="M211" s="2" t="inlineStr">
        <is>
          <t>239.52%</t>
        </is>
      </c>
      <c r="N211" t="n">
        <v>4</v>
      </c>
      <c r="O211" t="n">
        <v>11</v>
      </c>
      <c r="Q211" t="inlineStr">
        <is>
          <t>InStock</t>
        </is>
      </c>
      <c r="R211" t="inlineStr">
        <is>
          <t>undefined</t>
        </is>
      </c>
      <c r="S211" t="inlineStr">
        <is>
          <t>1779345-IRWIN</t>
        </is>
      </c>
    </row>
    <row r="212" ht="75" customHeight="1">
      <c r="A212" s="1">
        <f>HYPERLINK("https://www.toolnut.com/irwin-1779347-drill-bit.html", "https://www.toolnut.com/irwin-1779347-drill-bit.html")</f>
        <v/>
      </c>
      <c r="B212" s="1">
        <f>HYPERLINK("https://www.toolnut.com/irwin-1779347-drill-bit.html", "https://www.toolnut.com/irwin-1779347-drill-bit.html")</f>
        <v/>
      </c>
      <c r="C212" t="inlineStr">
        <is>
          <t>Irwin 1779347 Auger Bit with WeldTec 7-1/2-in. x 1-1/8-in.</t>
        </is>
      </c>
      <c r="D212" t="inlineStr">
        <is>
          <t>IRWIN 1773958 1-3/4" X Ship Auger WeldTec Bit Silver</t>
        </is>
      </c>
      <c r="E212" s="1">
        <f>HYPERLINK("https://www.amazon.com/IRWIN-1773958-Ship-Auger-WeldTec/dp/B0040U1JQA/ref=sr_1_8?keywords=Irwin+1779347+Auger+Bit+with+WeldTec+7-1%2F2-in.+x+1-1%2F8-in.&amp;qid=1695347143&amp;sr=8-8", "https://www.amazon.com/IRWIN-1773958-Ship-Auger-WeldTec/dp/B0040U1JQA/ref=sr_1_8?keywords=Irwin+1779347+Auger+Bit+with+WeldTec+7-1%2F2-in.+x+1-1%2F8-in.&amp;qid=1695347143&amp;sr=8-8")</f>
        <v/>
      </c>
      <c r="F212" t="inlineStr">
        <is>
          <t>B0040U1JQA</t>
        </is>
      </c>
      <c r="G212">
        <f>_xlfn.IMAGE("https://www.toolnut.com/media/catalog/product/1/7/1779347-irwin-drill-bits-wood-drill-bits-auger-bits-with-weldtec-primary.jpg?quality=100&amp;bg-color=255,255,255&amp;fit=bounds&amp;height=700&amp;width=700&amp;canvas=700:700&amp;dpr=1 1x")</f>
        <v/>
      </c>
      <c r="H212">
        <f>_xlfn.IMAGE("https://m.media-amazon.com/images/I/312rBxfFyaL._AC_UL320_.jpg")</f>
        <v/>
      </c>
      <c r="K212" t="inlineStr">
        <is>
          <t>25.99</t>
        </is>
      </c>
      <c r="L212" t="n">
        <v>81.45</v>
      </c>
      <c r="M212" s="2" t="inlineStr">
        <is>
          <t>213.39%</t>
        </is>
      </c>
      <c r="N212" t="n">
        <v>4</v>
      </c>
      <c r="O212" t="n">
        <v>11</v>
      </c>
      <c r="Q212" t="inlineStr">
        <is>
          <t>InStock</t>
        </is>
      </c>
      <c r="R212" t="inlineStr">
        <is>
          <t>undefined</t>
        </is>
      </c>
      <c r="S212" t="inlineStr">
        <is>
          <t>1779347-IRWIN</t>
        </is>
      </c>
    </row>
    <row r="213" ht="75" customHeight="1">
      <c r="A213" s="1">
        <f>HYPERLINK("https://www.toolnut.com/irwin-1835092-drill-bit.html", "https://www.toolnut.com/irwin-1835092-drill-bit.html")</f>
        <v/>
      </c>
      <c r="B213" s="1">
        <f>HYPERLINK("https://www.toolnut.com/irwin-1835092-drill-bit.html", "https://www.toolnut.com/irwin-1835092-drill-bit.html")</f>
        <v/>
      </c>
      <c r="C213" t="inlineStr">
        <is>
          <t>Irwin 1835092 HANSON Machine Screw And Metric Plug Tap And Die 40 Piece Set</t>
        </is>
      </c>
      <c r="D213" t="inlineStr">
        <is>
          <t>IRWIN Tap And Die Set with Drill Bits, Machine Screw/SAE/Metric, 117-Piece (26377)</t>
        </is>
      </c>
      <c r="E213" s="1">
        <f>HYPERLINK("https://www.amazon.com/Tools-Hanson-Machine-Fractional-26377/dp/B0000DD4KW/ref=sr_1_4?keywords=Irwin+1835092+HANSON+Machine+Screw+And+Metric+Plug+Tap+And+Die+40+Piece+Set&amp;qid=1695347050&amp;sr=8-4", "https://www.amazon.com/Tools-Hanson-Machine-Fractional-26377/dp/B0000DD4KW/ref=sr_1_4?keywords=Irwin+1835092+HANSON+Machine+Screw+And+Metric+Plug+Tap+And+Die+40+Piece+Set&amp;qid=1695347050&amp;sr=8-4")</f>
        <v/>
      </c>
      <c r="F213" t="inlineStr">
        <is>
          <t>B0000DD4KW</t>
        </is>
      </c>
      <c r="G213">
        <f>_xlfn.IMAGE("https://www.toolnut.com/media/catalog/product/1/8/1835092-irwin-hanson-taps-dies-and-sets-performance-threading-system-set-primary.jpg?quality=100&amp;bg-color=255,255,255&amp;fit=bounds&amp;height=700&amp;width=700&amp;canvas=700:700&amp;dpr=1 1x")</f>
        <v/>
      </c>
      <c r="H213">
        <f>_xlfn.IMAGE("https://m.media-amazon.com/images/I/91tOo3Io5HL._AC_UY218_.jpg")</f>
        <v/>
      </c>
      <c r="K213" t="inlineStr">
        <is>
          <t>159.99</t>
        </is>
      </c>
      <c r="L213" t="n">
        <v>309.99</v>
      </c>
      <c r="M213" s="2" t="inlineStr">
        <is>
          <t>93.76%</t>
        </is>
      </c>
      <c r="N213" t="n">
        <v>4.6</v>
      </c>
      <c r="O213" t="n">
        <v>599</v>
      </c>
      <c r="Q213" t="inlineStr">
        <is>
          <t>InStock</t>
        </is>
      </c>
      <c r="R213" t="inlineStr">
        <is>
          <t>undefined</t>
        </is>
      </c>
      <c r="S213" t="inlineStr">
        <is>
          <t>1835092-IRWIN</t>
        </is>
      </c>
    </row>
    <row r="214" ht="75" customHeight="1">
      <c r="A214" s="1">
        <f>HYPERLINK("https://www.toolnut.com/irwin-1835092-drill-bit.html", "https://www.toolnut.com/irwin-1835092-drill-bit.html")</f>
        <v/>
      </c>
      <c r="B214" s="1">
        <f>HYPERLINK("https://www.toolnut.com/irwin-1835092-drill-bit.html", "https://www.toolnut.com/irwin-1835092-drill-bit.html")</f>
        <v/>
      </c>
      <c r="C214" t="inlineStr">
        <is>
          <t>Irwin 1835092 HANSON Machine Screw And Metric Plug Tap And Die 40 Piece Set</t>
        </is>
      </c>
      <c r="D214" t="inlineStr">
        <is>
          <t>IRWIN Tap And Die Set with Drill Bits, Machine Screw/SAE/Metric, 117-Piece (26377)</t>
        </is>
      </c>
      <c r="E214" s="1">
        <f>HYPERLINK("https://www.amazon.com/Tools-Hanson-Machine-Fractional-26377/dp/B0000DD4KW/ref=sr_1_4?keywords=Irwin+1835092+HANSON+Machine+Screw+And+Metric+Plug+Tap+And+Die+40+Piece+Set&amp;qid=1695347050&amp;sr=8-4", "https://www.amazon.com/Tools-Hanson-Machine-Fractional-26377/dp/B0000DD4KW/ref=sr_1_4?keywords=Irwin+1835092+HANSON+Machine+Screw+And+Metric+Plug+Tap+And+Die+40+Piece+Set&amp;qid=1695347050&amp;sr=8-4")</f>
        <v/>
      </c>
      <c r="F214" t="inlineStr">
        <is>
          <t>B0000DD4KW</t>
        </is>
      </c>
      <c r="G214">
        <f>_xlfn.IMAGE("https://www.toolnut.com/media/catalog/product/1/8/1835092-irwin-hanson-taps-dies-and-sets-performance-threading-system-set-primary.jpg?quality=100&amp;bg-color=255,255,255&amp;fit=bounds&amp;height=700&amp;width=700&amp;canvas=700:700&amp;dpr=1 1x")</f>
        <v/>
      </c>
      <c r="H214">
        <f>_xlfn.IMAGE("https://m.media-amazon.com/images/I/91tOo3Io5HL._AC_UY218_.jpg")</f>
        <v/>
      </c>
      <c r="K214" t="inlineStr">
        <is>
          <t>159.99</t>
        </is>
      </c>
      <c r="L214" t="n">
        <v>309.99</v>
      </c>
      <c r="M214" s="2" t="inlineStr">
        <is>
          <t>93.76%</t>
        </is>
      </c>
      <c r="N214" t="n">
        <v>4.6</v>
      </c>
      <c r="O214" t="n">
        <v>599</v>
      </c>
      <c r="Q214" t="inlineStr">
        <is>
          <t>InStock</t>
        </is>
      </c>
      <c r="R214" t="inlineStr">
        <is>
          <t>undefined</t>
        </is>
      </c>
      <c r="S214" t="inlineStr">
        <is>
          <t>1835092-IRWIN</t>
        </is>
      </c>
    </row>
    <row r="215" ht="75" customHeight="1">
      <c r="A215" s="1">
        <f>HYPERLINK("https://www.toolnut.com/irwin-1840235-drill-bit.html", "https://www.toolnut.com/irwin-1840235-drill-bit.html")</f>
        <v/>
      </c>
      <c r="B215" s="1">
        <f>HYPERLINK("https://www.toolnut.com/irwin-1840235-drill-bit.html", "https://www.toolnut.com/irwin-1840235-drill-bit.html")</f>
        <v/>
      </c>
      <c r="C215" t="inlineStr">
        <is>
          <t>Irwin 1840235 HANSON Performance Threading System Drive Tool And Alignment Tap 41 Piece Set</t>
        </is>
      </c>
      <c r="D215" t="inlineStr">
        <is>
          <t>Irwin Tools 1840235 Performance Threading System Self-Aligning Tap Set-Machine Screw/Fractional/Metric, 41-Piece</t>
        </is>
      </c>
      <c r="E215" s="1">
        <f>HYPERLINK("https://www.amazon.com/Irwin-Tools-1840235-Performance-Self-Aligning/dp/B00D6FCVAI/ref=sr_1_1?keywords=Irwin+1840235+HANSON+Performance+Threading+System+Drive+Tool+And+Alignment+Tap+41+Piece+Set&amp;qid=1695346865&amp;sr=8-1", "https://www.amazon.com/Irwin-Tools-1840235-Performance-Self-Aligning/dp/B00D6FCVAI/ref=sr_1_1?keywords=Irwin+1840235+HANSON+Performance+Threading+System+Drive+Tool+And+Alignment+Tap+41+Piece+Set&amp;qid=1695346865&amp;sr=8-1")</f>
        <v/>
      </c>
      <c r="F215" t="inlineStr">
        <is>
          <t>B00D6FCVAI</t>
        </is>
      </c>
      <c r="G215">
        <f>_xlfn.IMAGE("https://www.toolnut.com/media/catalog/product/1/8/1840235-irwin-hanson-taps-dies-and-sets-performance-threading-system-set-primary.jpg?quality=100&amp;bg-color=255,255,255&amp;fit=bounds&amp;height=700&amp;width=700&amp;canvas=700:700&amp;dpr=1 1x")</f>
        <v/>
      </c>
      <c r="H215">
        <f>_xlfn.IMAGE("https://m.media-amazon.com/images/I/81d25Dc9rkL._AC_UL320_.jpg")</f>
        <v/>
      </c>
      <c r="K215" t="inlineStr">
        <is>
          <t>187.0</t>
        </is>
      </c>
      <c r="L215" t="n">
        <v>320.26</v>
      </c>
      <c r="M215" s="2" t="inlineStr">
        <is>
          <t>71.26%</t>
        </is>
      </c>
      <c r="N215" t="n">
        <v>4.1</v>
      </c>
      <c r="O215" t="n">
        <v>4</v>
      </c>
      <c r="Q215" t="inlineStr">
        <is>
          <t>InStock</t>
        </is>
      </c>
      <c r="R215" t="inlineStr">
        <is>
          <t>undefined</t>
        </is>
      </c>
      <c r="S215" t="inlineStr">
        <is>
          <t>1840235-IRWIN</t>
        </is>
      </c>
    </row>
    <row r="216" ht="75" customHeight="1">
      <c r="A216" s="1">
        <f>HYPERLINK("https://www.toolnut.com/irwin-1840235-drill-bit.html", "https://www.toolnut.com/irwin-1840235-drill-bit.html")</f>
        <v/>
      </c>
      <c r="B216" s="1">
        <f>HYPERLINK("https://www.toolnut.com/irwin-1840235-drill-bit.html", "https://www.toolnut.com/irwin-1840235-drill-bit.html")</f>
        <v/>
      </c>
      <c r="C216" t="inlineStr">
        <is>
          <t>Irwin 1840235 HANSON Performance Threading System Drive Tool And Alignment Tap 41 Piece Set</t>
        </is>
      </c>
      <c r="D216" t="inlineStr">
        <is>
          <t>Irwin Tools 1840235 Performance Threading System Self-Aligning Tap Set-Machine Screw/Fractional/Metric, 41-Piece</t>
        </is>
      </c>
      <c r="E216" s="1">
        <f>HYPERLINK("https://www.amazon.com/Irwin-Tools-1840235-Performance-Self-Aligning/dp/B00D6FCVAI/ref=sr_1_1?keywords=Irwin+1840235+HANSON+Performance+Threading+System+Drive+Tool+And+Alignment+Tap+41+Piece+Set&amp;qid=1695346865&amp;sr=8-1", "https://www.amazon.com/Irwin-Tools-1840235-Performance-Self-Aligning/dp/B00D6FCVAI/ref=sr_1_1?keywords=Irwin+1840235+HANSON+Performance+Threading+System+Drive+Tool+And+Alignment+Tap+41+Piece+Set&amp;qid=1695346865&amp;sr=8-1")</f>
        <v/>
      </c>
      <c r="F216" t="inlineStr">
        <is>
          <t>B00D6FCVAI</t>
        </is>
      </c>
      <c r="G216">
        <f>_xlfn.IMAGE("https://www.toolnut.com/media/catalog/product/1/8/1840235-irwin-hanson-taps-dies-and-sets-performance-threading-system-set-primary.jpg?quality=100&amp;bg-color=255,255,255&amp;fit=bounds&amp;height=700&amp;width=700&amp;canvas=700:700&amp;dpr=1 1x")</f>
        <v/>
      </c>
      <c r="H216">
        <f>_xlfn.IMAGE("https://m.media-amazon.com/images/I/81d25Dc9rkL._AC_UL320_.jpg")</f>
        <v/>
      </c>
      <c r="K216" t="inlineStr">
        <is>
          <t>187.0</t>
        </is>
      </c>
      <c r="L216" t="n">
        <v>320.26</v>
      </c>
      <c r="M216" s="2" t="inlineStr">
        <is>
          <t>71.26%</t>
        </is>
      </c>
      <c r="N216" t="n">
        <v>4.1</v>
      </c>
      <c r="O216" t="n">
        <v>4</v>
      </c>
      <c r="Q216" t="inlineStr">
        <is>
          <t>InStock</t>
        </is>
      </c>
      <c r="R216" t="inlineStr">
        <is>
          <t>undefined</t>
        </is>
      </c>
      <c r="S216" t="inlineStr">
        <is>
          <t>1840235-IRWIN</t>
        </is>
      </c>
    </row>
    <row r="217" ht="75" customHeight="1">
      <c r="A217" s="1">
        <f>HYPERLINK("https://www.toolnut.com/irwin-1840315-driver-bit.html", "https://www.toolnut.com/irwin-1840315-driver-bit.html")</f>
        <v/>
      </c>
      <c r="B217" s="1">
        <f>HYPERLINK("https://www.toolnut.com/irwin-1840315-driver-bit.html", "https://www.toolnut.com/irwin-1840315-driver-bit.html")</f>
        <v/>
      </c>
      <c r="C217" t="inlineStr">
        <is>
          <t>Irwin 1840315 Impact Fastener Drive Set 33 Piece Set</t>
        </is>
      </c>
      <c r="D217" t="inlineStr">
        <is>
          <t>Irwin Tools 1840320 16-Piece Impact Series Automotive Fastener Drive Set</t>
        </is>
      </c>
      <c r="E217" s="1">
        <f>HYPERLINK("https://www.amazon.com/Irwin-Tools-1840320-16-Piece-Automotive/dp/B009PJPKJS/ref=sr_1_2?keywords=Irwin+1840315+Impact+Fastener+Drive+Set+33+Piece+Set&amp;qid=1695347154&amp;sr=8-2", "https://www.amazon.com/Irwin-Tools-1840320-16-Piece-Automotive/dp/B009PJPKJS/ref=sr_1_2?keywords=Irwin+1840315+Impact+Fastener+Drive+Set+33+Piece+Set&amp;qid=1695347154&amp;sr=8-2")</f>
        <v/>
      </c>
      <c r="F217" t="inlineStr">
        <is>
          <t>B009PJPKJS</t>
        </is>
      </c>
      <c r="G217">
        <f>_xlfn.IMAGE("https://www.toolnut.com/media/catalog/product/1/8/1840315-irwin_001.jpg?quality=100&amp;bg-color=255,255,255&amp;fit=bounds&amp;height=700&amp;width=700&amp;canvas=700:700&amp;dpr=1 1x")</f>
        <v/>
      </c>
      <c r="H217">
        <f>_xlfn.IMAGE("https://m.media-amazon.com/images/I/81J7bkQ2sAL._AC_UL320_.jpg")</f>
        <v/>
      </c>
      <c r="K217" t="inlineStr">
        <is>
          <t>28.99</t>
        </is>
      </c>
      <c r="L217" t="n">
        <v>64.34999999999999</v>
      </c>
      <c r="M217" s="2" t="inlineStr">
        <is>
          <t>121.97%</t>
        </is>
      </c>
      <c r="N217" t="n">
        <v>4.5</v>
      </c>
      <c r="O217" t="n">
        <v>37</v>
      </c>
      <c r="Q217" t="inlineStr">
        <is>
          <t>InStock</t>
        </is>
      </c>
      <c r="R217" t="inlineStr">
        <is>
          <t>undefined</t>
        </is>
      </c>
      <c r="S217" t="inlineStr">
        <is>
          <t>1840315-IRWIN</t>
        </is>
      </c>
    </row>
    <row r="218" ht="75" customHeight="1">
      <c r="A218" s="1">
        <f>HYPERLINK("https://www.toolnut.com/irwin-1840315-driver-bit.html", "https://www.toolnut.com/irwin-1840315-driver-bit.html")</f>
        <v/>
      </c>
      <c r="B218" s="1">
        <f>HYPERLINK("https://www.toolnut.com/irwin-1840315-driver-bit.html", "https://www.toolnut.com/irwin-1840315-driver-bit.html")</f>
        <v/>
      </c>
      <c r="C218" t="inlineStr">
        <is>
          <t>Irwin 1840315 Impact Fastener Drive Set 33 Piece Set</t>
        </is>
      </c>
      <c r="D218" t="inlineStr">
        <is>
          <t>Irwin Tools 1840320 16-Piece Impact Series Automotive Fastener Drive Set</t>
        </is>
      </c>
      <c r="E218" s="1">
        <f>HYPERLINK("https://www.amazon.com/Irwin-Tools-1840320-16-Piece-Automotive/dp/B009PJPKJS/ref=sr_1_2?keywords=Irwin+1840315+Impact+Fastener+Drive+Set+33+Piece+Set&amp;qid=1695347154&amp;sr=8-2", "https://www.amazon.com/Irwin-Tools-1840320-16-Piece-Automotive/dp/B009PJPKJS/ref=sr_1_2?keywords=Irwin+1840315+Impact+Fastener+Drive+Set+33+Piece+Set&amp;qid=1695347154&amp;sr=8-2")</f>
        <v/>
      </c>
      <c r="F218" t="inlineStr">
        <is>
          <t>B009PJPKJS</t>
        </is>
      </c>
      <c r="G218">
        <f>_xlfn.IMAGE("https://www.toolnut.com/media/catalog/product/1/8/1840315-irwin_001.jpg?quality=100&amp;bg-color=255,255,255&amp;fit=bounds&amp;height=700&amp;width=700&amp;canvas=700:700&amp;dpr=1 1x")</f>
        <v/>
      </c>
      <c r="H218">
        <f>_xlfn.IMAGE("https://m.media-amazon.com/images/I/81J7bkQ2sAL._AC_UL320_.jpg")</f>
        <v/>
      </c>
      <c r="K218" t="inlineStr">
        <is>
          <t>28.99</t>
        </is>
      </c>
      <c r="L218" t="n">
        <v>64.34999999999999</v>
      </c>
      <c r="M218" s="2" t="inlineStr">
        <is>
          <t>121.97%</t>
        </is>
      </c>
      <c r="N218" t="n">
        <v>4.5</v>
      </c>
      <c r="O218" t="n">
        <v>37</v>
      </c>
      <c r="Q218" t="inlineStr">
        <is>
          <t>InStock</t>
        </is>
      </c>
      <c r="R218" t="inlineStr">
        <is>
          <t>undefined</t>
        </is>
      </c>
      <c r="S218" t="inlineStr">
        <is>
          <t>1840315-IRWIN</t>
        </is>
      </c>
    </row>
    <row r="219" ht="75" customHeight="1">
      <c r="A219" s="1">
        <f>HYPERLINK("https://www.toolnut.com/irwin-1841346-drill-bit.html", "https://www.toolnut.com/irwin-1841346-drill-bit.html")</f>
        <v/>
      </c>
      <c r="B219" s="1">
        <f>HYPERLINK("https://www.toolnut.com/irwin-1841346-drill-bit.html", "https://www.toolnut.com/irwin-1841346-drill-bit.html")</f>
        <v/>
      </c>
      <c r="C219" t="inlineStr">
        <is>
          <t>Irwin 1841346 HANSON Machine Screw And Fractional Alignment Tap And Die 40 Piece Set</t>
        </is>
      </c>
      <c r="D219" t="inlineStr">
        <is>
          <t>IRWIN HANSON Master Extraction Set and Machine Screw/Fractional/Metric Tap and Hex Die and Drill Bit Deluxe Set,c</t>
        </is>
      </c>
      <c r="E219" s="1">
        <f>HYPERLINK("https://www.amazon.com/HANSON-Master-Extraction-Machine-Fractional/dp/B076BVS117/ref=sr_1_7?keywords=Irwin+1841346+HANSON+Machine+Screw+And+Fractional+Alignment+Tap+And+Die+40+Piece+Set&amp;qid=1695347058&amp;sr=8-7", "https://www.amazon.com/HANSON-Master-Extraction-Machine-Fractional/dp/B076BVS117/ref=sr_1_7?keywords=Irwin+1841346+HANSON+Machine+Screw+And+Fractional+Alignment+Tap+And+Die+40+Piece+Set&amp;qid=1695347058&amp;sr=8-7")</f>
        <v/>
      </c>
      <c r="F219" t="inlineStr">
        <is>
          <t>B076BVS117</t>
        </is>
      </c>
      <c r="G219">
        <f>_xlfn.IMAGE("https://www.toolnut.com/media/catalog/product/1/8/1841346-irwin-hanson-taps-dies-and-sets-performance-threading-system-set-primary.jpg?quality=100&amp;bg-color=255,255,255&amp;fit=bounds&amp;height=700&amp;width=700&amp;canvas=700:700&amp;dpr=1 1x")</f>
        <v/>
      </c>
      <c r="H219">
        <f>_xlfn.IMAGE("https://m.media-amazon.com/images/I/61yFBFBeKzL._AC_UY218_.jpg")</f>
        <v/>
      </c>
      <c r="K219" t="inlineStr">
        <is>
          <t>174.99</t>
        </is>
      </c>
      <c r="L219" t="n">
        <v>589.99</v>
      </c>
      <c r="M219" s="2" t="inlineStr">
        <is>
          <t>237.16%</t>
        </is>
      </c>
      <c r="N219" t="n">
        <v>4.5</v>
      </c>
      <c r="O219" t="n">
        <v>55</v>
      </c>
      <c r="Q219" t="inlineStr">
        <is>
          <t>InStock</t>
        </is>
      </c>
      <c r="R219" t="inlineStr">
        <is>
          <t>undefined</t>
        </is>
      </c>
      <c r="S219" t="inlineStr">
        <is>
          <t>1841346-IRWIN</t>
        </is>
      </c>
    </row>
    <row r="220" ht="75" customHeight="1">
      <c r="A220" s="1">
        <f>HYPERLINK("https://www.toolnut.com/irwin-1859113-drill-bit.html", "https://www.toolnut.com/irwin-1859113-drill-bit.html")</f>
        <v/>
      </c>
      <c r="B220" s="1">
        <f>HYPERLINK("https://www.toolnut.com/irwin-1859113-drill-bit.html", "https://www.toolnut.com/irwin-1859113-drill-bit.html")</f>
        <v/>
      </c>
      <c r="C220" t="inlineStr">
        <is>
          <t>Irwin 1859113 Impact BOLT-GRIP Extractors</t>
        </is>
      </c>
      <c r="D220" t="inlineStr">
        <is>
          <t>IRWIN Tools IMPACT Performance Series BOLT GRIP Bolt Extractors, 6-Piece Set, Rail Expansion (1881175)</t>
        </is>
      </c>
      <c r="E220" s="1">
        <f>HYPERLINK("https://www.amazon.com/Tools-Performance-Extractors-Expansion-1881175/dp/B00LMDWG2Y/ref=sr_1_2?keywords=Irwin+1859113+Impact+BOLT-GRIP+Extractors&amp;qid=1695347127&amp;sr=8-2", "https://www.amazon.com/Tools-Performance-Extractors-Expansion-1881175/dp/B00LMDWG2Y/ref=sr_1_2?keywords=Irwin+1859113+Impact+BOLT-GRIP+Extractors&amp;qid=1695347127&amp;sr=8-2")</f>
        <v/>
      </c>
      <c r="F220" t="inlineStr">
        <is>
          <t>B00LMDWG2Y</t>
        </is>
      </c>
      <c r="G220">
        <f>_xlfn.IMAGE("https://www.toolnut.com/media/catalog/product/1/8/1859113-irwin_001.jpg?quality=100&amp;bg-color=255,255,255&amp;fit=bounds&amp;height=700&amp;width=700&amp;canvas=700:700&amp;dpr=1 1x")</f>
        <v/>
      </c>
      <c r="H220">
        <f>_xlfn.IMAGE("https://m.media-amazon.com/images/I/71uqXD4AvxL._AC_UL320_.jpg")</f>
        <v/>
      </c>
      <c r="K220" t="inlineStr">
        <is>
          <t>21.99</t>
        </is>
      </c>
      <c r="L220" t="n">
        <v>113.56</v>
      </c>
      <c r="M220" s="2" t="inlineStr">
        <is>
          <t>416.42%</t>
        </is>
      </c>
      <c r="N220" t="n">
        <v>4.6</v>
      </c>
      <c r="O220" t="n">
        <v>168</v>
      </c>
      <c r="Q220" t="inlineStr">
        <is>
          <t>InStock</t>
        </is>
      </c>
      <c r="R220" t="inlineStr">
        <is>
          <t>undefined</t>
        </is>
      </c>
      <c r="S220" t="inlineStr">
        <is>
          <t>1859113-IRWIN</t>
        </is>
      </c>
    </row>
    <row r="221" ht="75" customHeight="1">
      <c r="A221" s="1">
        <f>HYPERLINK("https://www.toolnut.com/irwin-1859134-drill-bit.html", "https://www.toolnut.com/irwin-1859134-drill-bit.html")</f>
        <v/>
      </c>
      <c r="B221" s="1">
        <f>HYPERLINK("https://www.toolnut.com/irwin-1859134-drill-bit.html", "https://www.toolnut.com/irwin-1859134-drill-bit.html")</f>
        <v/>
      </c>
      <c r="C221" t="inlineStr">
        <is>
          <t>Irwin 1859134 BOLT-GRIP Deep Well Bolt Extractors</t>
        </is>
      </c>
      <c r="D221" t="inlineStr">
        <is>
          <t>Bolt-Grip 1859147 Irwin Tools Impact Performance Series Bolt Grip Deep Well Bolt Extractor with 3/8-Inch Square Drive Set, 4-Piece</t>
        </is>
      </c>
      <c r="E221" s="1">
        <f>HYPERLINK("https://www.amazon.com/Bolt-Grip-1859147-Irwin-Tools-Performance/dp/B00LFRS0DG/ref=sr_1_3?keywords=Irwin+1859134+BOLT-GRIP+Deep+Well+Bolt+Extractors&amp;qid=1695347128&amp;sr=8-3", "https://www.amazon.com/Bolt-Grip-1859147-Irwin-Tools-Performance/dp/B00LFRS0DG/ref=sr_1_3?keywords=Irwin+1859134+BOLT-GRIP+Deep+Well+Bolt+Extractors&amp;qid=1695347128&amp;sr=8-3")</f>
        <v/>
      </c>
      <c r="F221" t="inlineStr">
        <is>
          <t>B00LFRS0DG</t>
        </is>
      </c>
      <c r="G221">
        <f>_xlfn.IMAGE("https://www.toolnut.com/media/catalog/product/1/8/1859134-irwin_001.jpg?quality=100&amp;bg-color=255,255,255&amp;fit=bounds&amp;height=700&amp;width=700&amp;canvas=700:700&amp;dpr=1 1x")</f>
        <v/>
      </c>
      <c r="H221">
        <f>_xlfn.IMAGE("https://m.media-amazon.com/images/I/71H9txFNT6L._AC_UL320_.jpg")</f>
        <v/>
      </c>
      <c r="K221" t="inlineStr">
        <is>
          <t>29.99</t>
        </is>
      </c>
      <c r="L221" t="n">
        <v>49.95</v>
      </c>
      <c r="M221" s="2" t="inlineStr">
        <is>
          <t>66.56%</t>
        </is>
      </c>
      <c r="N221" t="n">
        <v>4.3</v>
      </c>
      <c r="O221" t="n">
        <v>62</v>
      </c>
      <c r="Q221" t="inlineStr">
        <is>
          <t>InStock</t>
        </is>
      </c>
      <c r="R221" t="inlineStr">
        <is>
          <t>undefined</t>
        </is>
      </c>
      <c r="S221" t="inlineStr">
        <is>
          <t>1859134-IRWIN</t>
        </is>
      </c>
    </row>
    <row r="222" ht="75" customHeight="1">
      <c r="A222" s="1">
        <f>HYPERLINK("https://www.toolnut.com/irwin-1859134-drill-bit.html", "https://www.toolnut.com/irwin-1859134-drill-bit.html")</f>
        <v/>
      </c>
      <c r="B222" s="1">
        <f>HYPERLINK("https://www.toolnut.com/irwin-1859134-drill-bit.html", "https://www.toolnut.com/irwin-1859134-drill-bit.html")</f>
        <v/>
      </c>
      <c r="C222" t="inlineStr">
        <is>
          <t>Irwin 1859134 BOLT-GRIP Deep Well Bolt Extractors</t>
        </is>
      </c>
      <c r="D222" t="inlineStr">
        <is>
          <t>Bolt-Grip 1859147 Irwin Tools Impact Performance Series Bolt Grip Deep Well Bolt Extractor with 3/8-Inch Square Drive Set, 4-Piece</t>
        </is>
      </c>
      <c r="E222" s="1">
        <f>HYPERLINK("https://www.amazon.com/Bolt-Grip-1859147-Irwin-Tools-Performance/dp/B00LFRS0DG/ref=sr_1_3?keywords=Irwin+1859134+BOLT-GRIP+Deep+Well+Bolt+Extractors&amp;qid=1695347128&amp;sr=8-3", "https://www.amazon.com/Bolt-Grip-1859147-Irwin-Tools-Performance/dp/B00LFRS0DG/ref=sr_1_3?keywords=Irwin+1859134+BOLT-GRIP+Deep+Well+Bolt+Extractors&amp;qid=1695347128&amp;sr=8-3")</f>
        <v/>
      </c>
      <c r="F222" t="inlineStr">
        <is>
          <t>B00LFRS0DG</t>
        </is>
      </c>
      <c r="G222">
        <f>_xlfn.IMAGE("https://www.toolnut.com/media/catalog/product/1/8/1859134-irwin_001.jpg?quality=100&amp;bg-color=255,255,255&amp;fit=bounds&amp;height=700&amp;width=700&amp;canvas=700:700&amp;dpr=1 1x")</f>
        <v/>
      </c>
      <c r="H222">
        <f>_xlfn.IMAGE("https://m.media-amazon.com/images/I/71H9txFNT6L._AC_UL320_.jpg")</f>
        <v/>
      </c>
      <c r="K222" t="inlineStr">
        <is>
          <t>29.99</t>
        </is>
      </c>
      <c r="L222" t="n">
        <v>49.95</v>
      </c>
      <c r="M222" s="2" t="inlineStr">
        <is>
          <t>66.56%</t>
        </is>
      </c>
      <c r="N222" t="n">
        <v>4.3</v>
      </c>
      <c r="O222" t="n">
        <v>62</v>
      </c>
      <c r="Q222" t="inlineStr">
        <is>
          <t>InStock</t>
        </is>
      </c>
      <c r="R222" t="inlineStr">
        <is>
          <t>undefined</t>
        </is>
      </c>
      <c r="S222" t="inlineStr">
        <is>
          <t>1859134-IRWIN</t>
        </is>
      </c>
    </row>
    <row r="223" ht="75" customHeight="1">
      <c r="A223" s="1">
        <f>HYPERLINK("https://www.toolnut.com/irwin-1866034-drill-bit.html", "https://www.toolnut.com/irwin-1866034-drill-bit.html")</f>
        <v/>
      </c>
      <c r="B223" s="1">
        <f>HYPERLINK("https://www.toolnut.com/irwin-1866034-drill-bit.html", "https://www.toolnut.com/irwin-1866034-drill-bit.html")</f>
        <v/>
      </c>
      <c r="C223" t="inlineStr">
        <is>
          <t>Irwin 1866034 Speedbor MAX Speed Bits 4-in. Short Length Bits 5/8-in.</t>
        </is>
      </c>
      <c r="D223" t="inlineStr">
        <is>
          <t>Speedbor 1877241 Irwin Tools Max Wood Drilling Bits, 4-Inch, 3-Piece</t>
        </is>
      </c>
      <c r="E223" s="1">
        <f>HYPERLINK("https://www.amazon.com/Speedbor-1877241-Irwin-Tools-Drilling/dp/B00LLIOPYC/ref=sr_1_6?keywords=Irwin+1866034+Speedbor+MAX+Speed+Bits+4-in.+Short+Length+Bits+5%2F8-in.&amp;qid=1695347096&amp;sr=8-6", "https://www.amazon.com/Speedbor-1877241-Irwin-Tools-Drilling/dp/B00LLIOPYC/ref=sr_1_6?keywords=Irwin+1866034+Speedbor+MAX+Speed+Bits+4-in.+Short+Length+Bits+5%2F8-in.&amp;qid=1695347096&amp;sr=8-6")</f>
        <v/>
      </c>
      <c r="F223" t="inlineStr">
        <is>
          <t>B00LLIOPYC</t>
        </is>
      </c>
      <c r="G223">
        <f>_xlfn.IMAGE("https://www.toolnut.com/media/catalog/product/1/8/1866034-irwin_001.jpg?quality=100&amp;bg-color=255,255,255&amp;fit=bounds&amp;height=700&amp;width=700&amp;canvas=700:700&amp;dpr=1 1x")</f>
        <v/>
      </c>
      <c r="H223">
        <f>_xlfn.IMAGE("https://m.media-amazon.com/images/I/61X4-9ISc2L._AC_UL320_.jpg")</f>
        <v/>
      </c>
      <c r="K223" t="inlineStr">
        <is>
          <t>7.99</t>
        </is>
      </c>
      <c r="L223" t="n">
        <v>41.35</v>
      </c>
      <c r="M223" s="2" t="inlineStr">
        <is>
          <t>417.52%</t>
        </is>
      </c>
      <c r="N223" t="n">
        <v>4.8</v>
      </c>
      <c r="O223" t="n">
        <v>7</v>
      </c>
      <c r="Q223" t="inlineStr">
        <is>
          <t>InStock</t>
        </is>
      </c>
      <c r="R223" t="inlineStr">
        <is>
          <t>undefined</t>
        </is>
      </c>
      <c r="S223" t="inlineStr">
        <is>
          <t>1866034-IRWIN</t>
        </is>
      </c>
    </row>
    <row r="224" ht="75" customHeight="1">
      <c r="A224" s="1">
        <f>HYPERLINK("https://www.toolnut.com/irwin-1866034-drill-bit.html", "https://www.toolnut.com/irwin-1866034-drill-bit.html")</f>
        <v/>
      </c>
      <c r="B224" s="1">
        <f>HYPERLINK("https://www.toolnut.com/irwin-1866034-drill-bit.html", "https://www.toolnut.com/irwin-1866034-drill-bit.html")</f>
        <v/>
      </c>
      <c r="C224" t="inlineStr">
        <is>
          <t>Irwin 1866034 Speedbor MAX Speed Bits 4-in. Short Length Bits 5/8-in.</t>
        </is>
      </c>
      <c r="D224" t="inlineStr">
        <is>
          <t>Speedbor 1877240 Irwin Tools Max Wood Drilling Bits, 4-Inch, 5-Piece</t>
        </is>
      </c>
      <c r="E224" s="1">
        <f>HYPERLINK("https://www.amazon.com/Speedbor-1877240-Irwin-Tools-Drilling/dp/B00LLIOTAW/ref=sr_1_2?keywords=Irwin+1866034+Speedbor+MAX+Speed+Bits+4-in.+Short+Length+Bits+5%2F8-in.&amp;qid=1695347096&amp;sr=8-2", "https://www.amazon.com/Speedbor-1877240-Irwin-Tools-Drilling/dp/B00LLIOTAW/ref=sr_1_2?keywords=Irwin+1866034+Speedbor+MAX+Speed+Bits+4-in.+Short+Length+Bits+5%2F8-in.&amp;qid=1695347096&amp;sr=8-2")</f>
        <v/>
      </c>
      <c r="F224" t="inlineStr">
        <is>
          <t>B00LLIOTAW</t>
        </is>
      </c>
      <c r="G224">
        <f>_xlfn.IMAGE("https://www.toolnut.com/media/catalog/product/1/8/1866034-irwin_001.jpg?quality=100&amp;bg-color=255,255,255&amp;fit=bounds&amp;height=700&amp;width=700&amp;canvas=700:700&amp;dpr=1 1x")</f>
        <v/>
      </c>
      <c r="H224">
        <f>_xlfn.IMAGE("https://m.media-amazon.com/images/I/71mwqPpGBHL._AC_UL320_.jpg")</f>
        <v/>
      </c>
      <c r="K224" t="inlineStr">
        <is>
          <t>7.99</t>
        </is>
      </c>
      <c r="L224" t="n">
        <v>28.38</v>
      </c>
      <c r="M224" s="2" t="inlineStr">
        <is>
          <t>255.19%</t>
        </is>
      </c>
      <c r="N224" t="n">
        <v>4.3</v>
      </c>
      <c r="O224" t="n">
        <v>54</v>
      </c>
      <c r="Q224" t="inlineStr">
        <is>
          <t>InStock</t>
        </is>
      </c>
      <c r="R224" t="inlineStr">
        <is>
          <t>undefined</t>
        </is>
      </c>
      <c r="S224" t="inlineStr">
        <is>
          <t>1866034-IRWIN</t>
        </is>
      </c>
    </row>
    <row r="225" ht="75" customHeight="1">
      <c r="A225" s="1">
        <f>HYPERLINK("https://www.toolnut.com/irwin-1866035-drill-bit.html", "https://www.toolnut.com/irwin-1866035-drill-bit.html")</f>
        <v/>
      </c>
      <c r="B225" s="1">
        <f>HYPERLINK("https://www.toolnut.com/irwin-1866035-drill-bit.html", "https://www.toolnut.com/irwin-1866035-drill-bit.html")</f>
        <v/>
      </c>
      <c r="C225" t="inlineStr">
        <is>
          <t>Irwin 1866035 Speedbor MAX Speed Bits 4-in. Short Length Bits 3/4-in.</t>
        </is>
      </c>
      <c r="D225" t="inlineStr">
        <is>
          <t>Speedbor 1877241 Irwin Tools Max Wood Drilling Bits, 4-Inch, 3-Piece</t>
        </is>
      </c>
      <c r="E225" s="1">
        <f>HYPERLINK("https://www.amazon.com/Speedbor-1877241-Irwin-Tools-Drilling/dp/B00LLIOPYC/ref=sr_1_7?keywords=Irwin+1866035+Speedbor+MAX+Speed+Bits+4-in.+Short+Length+Bits+3%2F4-in.&amp;qid=1695347101&amp;sr=8-7", "https://www.amazon.com/Speedbor-1877241-Irwin-Tools-Drilling/dp/B00LLIOPYC/ref=sr_1_7?keywords=Irwin+1866035+Speedbor+MAX+Speed+Bits+4-in.+Short+Length+Bits+3%2F4-in.&amp;qid=1695347101&amp;sr=8-7")</f>
        <v/>
      </c>
      <c r="F225" t="inlineStr">
        <is>
          <t>B00LLIOPYC</t>
        </is>
      </c>
      <c r="G225">
        <f>_xlfn.IMAGE("https://www.toolnut.com/media/catalog/product/1/8/1866035-irwin-drill-bits-wood-drill-bits-speedbor-max-speed-drill-bits-primary.jpg?quality=100&amp;bg-color=255,255,255&amp;fit=bounds&amp;height=700&amp;width=700&amp;canvas=700:700")</f>
        <v/>
      </c>
      <c r="H225">
        <f>_xlfn.IMAGE("https://m.media-amazon.com/images/I/61X4-9ISc2L._AC_UL320_.jpg")</f>
        <v/>
      </c>
      <c r="K225" t="inlineStr">
        <is>
          <t>8.49</t>
        </is>
      </c>
      <c r="L225" t="n">
        <v>41.35</v>
      </c>
      <c r="M225" s="2" t="inlineStr">
        <is>
          <t>387.04%</t>
        </is>
      </c>
      <c r="N225" t="n">
        <v>4.8</v>
      </c>
      <c r="O225" t="n">
        <v>7</v>
      </c>
      <c r="Q225" t="inlineStr">
        <is>
          <t>InStock</t>
        </is>
      </c>
      <c r="R225" t="inlineStr">
        <is>
          <t>undefined</t>
        </is>
      </c>
      <c r="S225" t="inlineStr">
        <is>
          <t>1866035-IRWIN</t>
        </is>
      </c>
    </row>
    <row r="226" ht="75" customHeight="1">
      <c r="A226" s="1">
        <f>HYPERLINK("https://www.toolnut.com/irwin-1866035-drill-bit.html", "https://www.toolnut.com/irwin-1866035-drill-bit.html")</f>
        <v/>
      </c>
      <c r="B226" s="1">
        <f>HYPERLINK("https://www.toolnut.com/irwin-1866035-drill-bit.html", "https://www.toolnut.com/irwin-1866035-drill-bit.html")</f>
        <v/>
      </c>
      <c r="C226" t="inlineStr">
        <is>
          <t>Irwin 1866035 Speedbor MAX Speed Bits 4-in. Short Length Bits 3/4-in.</t>
        </is>
      </c>
      <c r="D226" t="inlineStr">
        <is>
          <t>Speedbor 1877240 Irwin Tools Max Wood Drilling Bits, 4-Inch, 5-Piece</t>
        </is>
      </c>
      <c r="E226" s="1">
        <f>HYPERLINK("https://www.amazon.com/Speedbor-1877240-Irwin-Tools-Drilling/dp/B00LLIOTAW/ref=sr_1_3?keywords=Irwin+1866035+Speedbor+MAX+Speed+Bits+4-in.+Short+Length+Bits+3%2F4-in.&amp;qid=1695347101&amp;sr=8-3", "https://www.amazon.com/Speedbor-1877240-Irwin-Tools-Drilling/dp/B00LLIOTAW/ref=sr_1_3?keywords=Irwin+1866035+Speedbor+MAX+Speed+Bits+4-in.+Short+Length+Bits+3%2F4-in.&amp;qid=1695347101&amp;sr=8-3")</f>
        <v/>
      </c>
      <c r="F226" t="inlineStr">
        <is>
          <t>B00LLIOTAW</t>
        </is>
      </c>
      <c r="G226">
        <f>_xlfn.IMAGE("https://www.toolnut.com/media/catalog/product/1/8/1866035-irwin-drill-bits-wood-drill-bits-speedbor-max-speed-drill-bits-primary.jpg?quality=100&amp;bg-color=255,255,255&amp;fit=bounds&amp;height=700&amp;width=700&amp;canvas=700:700")</f>
        <v/>
      </c>
      <c r="H226">
        <f>_xlfn.IMAGE("https://m.media-amazon.com/images/I/71mwqPpGBHL._AC_UL320_.jpg")</f>
        <v/>
      </c>
      <c r="K226" t="inlineStr">
        <is>
          <t>8.49</t>
        </is>
      </c>
      <c r="L226" t="n">
        <v>28.38</v>
      </c>
      <c r="M226" s="2" t="inlineStr">
        <is>
          <t>234.28%</t>
        </is>
      </c>
      <c r="N226" t="n">
        <v>4.3</v>
      </c>
      <c r="O226" t="n">
        <v>54</v>
      </c>
      <c r="Q226" t="inlineStr">
        <is>
          <t>InStock</t>
        </is>
      </c>
      <c r="R226" t="inlineStr">
        <is>
          <t>undefined</t>
        </is>
      </c>
      <c r="S226" t="inlineStr">
        <is>
          <t>1866035-IRWIN</t>
        </is>
      </c>
    </row>
    <row r="227" ht="75" customHeight="1">
      <c r="A227" s="1">
        <f>HYPERLINK("https://www.toolnut.com/irwin-1866036-drill-bit.html", "https://www.toolnut.com/irwin-1866036-drill-bit.html")</f>
        <v/>
      </c>
      <c r="B227" s="1">
        <f>HYPERLINK("https://www.toolnut.com/irwin-1866036-drill-bit.html", "https://www.toolnut.com/irwin-1866036-drill-bit.html")</f>
        <v/>
      </c>
      <c r="C227" t="inlineStr">
        <is>
          <t>Irwin 1866036 Speedbor MAX Speed Bits 4-in. Short Length Bits 7/8-in.</t>
        </is>
      </c>
      <c r="D227" t="inlineStr">
        <is>
          <t>Speedbor 1877241 Irwin Tools Max Wood Drilling Bits, 4-Inch, 3-Piece</t>
        </is>
      </c>
      <c r="E227" s="1">
        <f>HYPERLINK("https://www.amazon.com/Speedbor-1877241-Irwin-Tools-Drilling/dp/B00LLIOPYC/ref=sr_1_7?keywords=Irwin+1866036+Speedbor+MAX+Speed+Bits+4-in.+Short+Length+Bits+7%2F8-in.&amp;qid=1695347098&amp;sr=8-7", "https://www.amazon.com/Speedbor-1877241-Irwin-Tools-Drilling/dp/B00LLIOPYC/ref=sr_1_7?keywords=Irwin+1866036+Speedbor+MAX+Speed+Bits+4-in.+Short+Length+Bits+7%2F8-in.&amp;qid=1695347098&amp;sr=8-7")</f>
        <v/>
      </c>
      <c r="F227" t="inlineStr">
        <is>
          <t>B00LLIOPYC</t>
        </is>
      </c>
      <c r="G227">
        <f>_xlfn.IMAGE("https://www.toolnut.com/media/catalog/product/1/8/1866036-irwin_001_1.jpg?quality=100&amp;bg-color=255,255,255&amp;fit=bounds&amp;height=700&amp;width=700&amp;canvas=700:700&amp;dpr=1 1x")</f>
        <v/>
      </c>
      <c r="H227">
        <f>_xlfn.IMAGE("https://m.media-amazon.com/images/I/61X4-9ISc2L._AC_UL320_.jpg")</f>
        <v/>
      </c>
      <c r="K227" t="inlineStr">
        <is>
          <t>8.99</t>
        </is>
      </c>
      <c r="L227" t="n">
        <v>41.35</v>
      </c>
      <c r="M227" s="2" t="inlineStr">
        <is>
          <t>359.96%</t>
        </is>
      </c>
      <c r="N227" t="n">
        <v>4.8</v>
      </c>
      <c r="O227" t="n">
        <v>7</v>
      </c>
      <c r="Q227" t="inlineStr">
        <is>
          <t>InStock</t>
        </is>
      </c>
      <c r="R227" t="inlineStr">
        <is>
          <t>undefined</t>
        </is>
      </c>
      <c r="S227" t="inlineStr">
        <is>
          <t>1866036-IRWIN</t>
        </is>
      </c>
    </row>
    <row r="228" ht="75" customHeight="1">
      <c r="A228" s="1">
        <f>HYPERLINK("https://www.toolnut.com/irwin-1866036-drill-bit.html", "https://www.toolnut.com/irwin-1866036-drill-bit.html")</f>
        <v/>
      </c>
      <c r="B228" s="1">
        <f>HYPERLINK("https://www.toolnut.com/irwin-1866036-drill-bit.html", "https://www.toolnut.com/irwin-1866036-drill-bit.html")</f>
        <v/>
      </c>
      <c r="C228" t="inlineStr">
        <is>
          <t>Irwin 1866036 Speedbor MAX Speed Bits 4-in. Short Length Bits 7/8-in.</t>
        </is>
      </c>
      <c r="D228" t="inlineStr">
        <is>
          <t>Speedbor 1877240 Irwin Tools Max Wood Drilling Bits, 4-Inch, 5-Piece</t>
        </is>
      </c>
      <c r="E228" s="1">
        <f>HYPERLINK("https://www.amazon.com/Speedbor-1877240-Irwin-Tools-Drilling/dp/B00LLIOTAW/ref=sr_1_1?keywords=Irwin+1866036+Speedbor+MAX+Speed+Bits+4-in.+Short+Length+Bits+7%2F8-in.&amp;qid=1695347098&amp;sr=8-1", "https://www.amazon.com/Speedbor-1877240-Irwin-Tools-Drilling/dp/B00LLIOTAW/ref=sr_1_1?keywords=Irwin+1866036+Speedbor+MAX+Speed+Bits+4-in.+Short+Length+Bits+7%2F8-in.&amp;qid=1695347098&amp;sr=8-1")</f>
        <v/>
      </c>
      <c r="F228" t="inlineStr">
        <is>
          <t>B00LLIOTAW</t>
        </is>
      </c>
      <c r="G228">
        <f>_xlfn.IMAGE("https://www.toolnut.com/media/catalog/product/1/8/1866036-irwin_001_1.jpg?quality=100&amp;bg-color=255,255,255&amp;fit=bounds&amp;height=700&amp;width=700&amp;canvas=700:700&amp;dpr=1 1x")</f>
        <v/>
      </c>
      <c r="H228">
        <f>_xlfn.IMAGE("https://m.media-amazon.com/images/I/71mwqPpGBHL._AC_UL320_.jpg")</f>
        <v/>
      </c>
      <c r="K228" t="inlineStr">
        <is>
          <t>8.99</t>
        </is>
      </c>
      <c r="L228" t="n">
        <v>28.9</v>
      </c>
      <c r="M228" s="2" t="inlineStr">
        <is>
          <t>221.47%</t>
        </is>
      </c>
      <c r="N228" t="n">
        <v>4.3</v>
      </c>
      <c r="O228" t="n">
        <v>54</v>
      </c>
      <c r="Q228" t="inlineStr">
        <is>
          <t>InStock</t>
        </is>
      </c>
      <c r="R228" t="inlineStr">
        <is>
          <t>undefined</t>
        </is>
      </c>
      <c r="S228" t="inlineStr">
        <is>
          <t>1866036-IRWIN</t>
        </is>
      </c>
    </row>
    <row r="229" ht="75" customHeight="1">
      <c r="A229" s="1">
        <f>HYPERLINK("https://www.toolnut.com/irwin-1866037-drill-bit.html", "https://www.toolnut.com/irwin-1866037-drill-bit.html")</f>
        <v/>
      </c>
      <c r="B229" s="1">
        <f>HYPERLINK("https://www.toolnut.com/irwin-1866037-drill-bit.html", "https://www.toolnut.com/irwin-1866037-drill-bit.html")</f>
        <v/>
      </c>
      <c r="C229" t="inlineStr">
        <is>
          <t>Irwin 1866037 Speedbor MAX Speed Bits 4-in. Short Length Bits 1-in.</t>
        </is>
      </c>
      <c r="D229" t="inlineStr">
        <is>
          <t>Speedbor 1877241 Irwin Tools Max Wood Drilling Bits, 4-Inch, 3-Piece</t>
        </is>
      </c>
      <c r="E229" s="1">
        <f>HYPERLINK("https://www.amazon.com/Speedbor-1877241-Irwin-Tools-Drilling/dp/B00LLIOPYC/ref=sr_1_5?keywords=Irwin+1866037+Speedbor+MAX+Speed+Bits+4-in.+Short+Length+Bits+1-in.&amp;qid=1695347107&amp;sr=8-5", "https://www.amazon.com/Speedbor-1877241-Irwin-Tools-Drilling/dp/B00LLIOPYC/ref=sr_1_5?keywords=Irwin+1866037+Speedbor+MAX+Speed+Bits+4-in.+Short+Length+Bits+1-in.&amp;qid=1695347107&amp;sr=8-5")</f>
        <v/>
      </c>
      <c r="F229" t="inlineStr">
        <is>
          <t>B00LLIOPYC</t>
        </is>
      </c>
      <c r="G229">
        <f>_xlfn.IMAGE("https://www.toolnut.com/media/catalog/product/a/6/a6f1bc33-be72-4afd-b4c7-0d6b200bade6_1.jpeg?quality=100&amp;bg-color=255,255,255&amp;fit=bounds&amp;height=700&amp;width=700&amp;canvas=700:700&amp;dpr=1 1x")</f>
        <v/>
      </c>
      <c r="H229">
        <f>_xlfn.IMAGE("https://m.media-amazon.com/images/I/61X4-9ISc2L._AC_UL320_.jpg")</f>
        <v/>
      </c>
      <c r="K229" t="inlineStr">
        <is>
          <t>9.74</t>
        </is>
      </c>
      <c r="L229" t="n">
        <v>41.35</v>
      </c>
      <c r="M229" s="2" t="inlineStr">
        <is>
          <t>324.54%</t>
        </is>
      </c>
      <c r="N229" t="n">
        <v>4.8</v>
      </c>
      <c r="O229" t="n">
        <v>7</v>
      </c>
      <c r="Q229" t="inlineStr">
        <is>
          <t>InStock</t>
        </is>
      </c>
      <c r="R229" t="inlineStr">
        <is>
          <t>undefined</t>
        </is>
      </c>
      <c r="S229" t="inlineStr">
        <is>
          <t>1866037-IRWIN</t>
        </is>
      </c>
    </row>
    <row r="230" ht="75" customHeight="1">
      <c r="A230" s="1">
        <f>HYPERLINK("https://www.toolnut.com/irwin-1866037-drill-bit.html", "https://www.toolnut.com/irwin-1866037-drill-bit.html")</f>
        <v/>
      </c>
      <c r="B230" s="1">
        <f>HYPERLINK("https://www.toolnut.com/irwin-1866037-drill-bit.html", "https://www.toolnut.com/irwin-1866037-drill-bit.html")</f>
        <v/>
      </c>
      <c r="C230" t="inlineStr">
        <is>
          <t>Irwin 1866037 Speedbor MAX Speed Bits 4-in. Short Length Bits 1-in.</t>
        </is>
      </c>
      <c r="D230" t="inlineStr">
        <is>
          <t>Speedbor 1877240 Irwin Tools Max Wood Drilling Bits, 4-Inch, 5-Piece</t>
        </is>
      </c>
      <c r="E230" s="1">
        <f>HYPERLINK("https://www.amazon.com/Speedbor-1877240-Irwin-Tools-Drilling/dp/B00LLIOTAW/ref=sr_1_3?keywords=Irwin+1866037+Speedbor+MAX+Speed+Bits+4-in.+Short+Length+Bits+1-in.&amp;qid=1695347107&amp;sr=8-3", "https://www.amazon.com/Speedbor-1877240-Irwin-Tools-Drilling/dp/B00LLIOTAW/ref=sr_1_3?keywords=Irwin+1866037+Speedbor+MAX+Speed+Bits+4-in.+Short+Length+Bits+1-in.&amp;qid=1695347107&amp;sr=8-3")</f>
        <v/>
      </c>
      <c r="F230" t="inlineStr">
        <is>
          <t>B00LLIOTAW</t>
        </is>
      </c>
      <c r="G230">
        <f>_xlfn.IMAGE("https://www.toolnut.com/media/catalog/product/a/6/a6f1bc33-be72-4afd-b4c7-0d6b200bade6_1.jpeg?quality=100&amp;bg-color=255,255,255&amp;fit=bounds&amp;height=700&amp;width=700&amp;canvas=700:700&amp;dpr=1 1x")</f>
        <v/>
      </c>
      <c r="H230">
        <f>_xlfn.IMAGE("https://m.media-amazon.com/images/I/71mwqPpGBHL._AC_UL320_.jpg")</f>
        <v/>
      </c>
      <c r="K230" t="inlineStr">
        <is>
          <t>9.74</t>
        </is>
      </c>
      <c r="L230" t="n">
        <v>28.9</v>
      </c>
      <c r="M230" s="2" t="inlineStr">
        <is>
          <t>196.71%</t>
        </is>
      </c>
      <c r="N230" t="n">
        <v>4.3</v>
      </c>
      <c r="O230" t="n">
        <v>54</v>
      </c>
      <c r="Q230" t="inlineStr">
        <is>
          <t>InStock</t>
        </is>
      </c>
      <c r="R230" t="inlineStr">
        <is>
          <t>undefined</t>
        </is>
      </c>
      <c r="S230" t="inlineStr">
        <is>
          <t>1866037-IRWIN</t>
        </is>
      </c>
    </row>
    <row r="231" ht="75" customHeight="1">
      <c r="A231" s="1">
        <f>HYPERLINK("https://www.toolnut.com/irwin-1869385-drill-bit.html", "https://www.toolnut.com/irwin-1869385-drill-bit.html")</f>
        <v/>
      </c>
      <c r="B231" s="1">
        <f>HYPERLINK("https://www.toolnut.com/irwin-1869385-drill-bit.html", "https://www.toolnut.com/irwin-1869385-drill-bit.html")</f>
        <v/>
      </c>
      <c r="C231" t="inlineStr">
        <is>
          <t>Irwin 1869385 WELDTEC Self-Feed Bit 1-3/8-in.</t>
        </is>
      </c>
      <c r="D231" t="inlineStr">
        <is>
          <t>IRWIN Tools 1869387 WeldTec Self-Feed Wood Drilling Bit, 1 3/4-Inch</t>
        </is>
      </c>
      <c r="E231" s="1">
        <f>HYPERLINK("https://www.amazon.com/Tools-1869387-WeldTec-Self-Feed-Drilling/dp/B00LLGSB44/ref=sr_1_6?keywords=Irwin+1869385+WELDTEC+Self-Feed+Bit+1-3%2F8-in.&amp;qid=1695347070&amp;sr=8-6", "https://www.amazon.com/Tools-1869387-WeldTec-Self-Feed-Drilling/dp/B00LLGSB44/ref=sr_1_6?keywords=Irwin+1869385+WELDTEC+Self-Feed+Bit+1-3%2F8-in.&amp;qid=1695347070&amp;sr=8-6")</f>
        <v/>
      </c>
      <c r="F231" t="inlineStr">
        <is>
          <t>B00LLGSB44</t>
        </is>
      </c>
      <c r="G231">
        <f>_xlfn.IMAGE("https://www.toolnut.com/media/catalog/product/1/8/1869385-irwin-drilling-1.375in-weldtec-self-feed-bit-primary.jpg?quality=100&amp;bg-color=255,255,255&amp;fit=bounds&amp;height=700&amp;width=700&amp;canvas=700:700&amp;dpr=1 1x")</f>
        <v/>
      </c>
      <c r="H231">
        <f>_xlfn.IMAGE("https://m.media-amazon.com/images/I/71bGUDbUoDL._AC_UL320_.jpg")</f>
        <v/>
      </c>
      <c r="K231" t="inlineStr">
        <is>
          <t>28.99</t>
        </is>
      </c>
      <c r="L231" t="n">
        <v>50.86</v>
      </c>
      <c r="M231" s="2" t="inlineStr">
        <is>
          <t>75.44%</t>
        </is>
      </c>
      <c r="N231" t="n">
        <v>4.1</v>
      </c>
      <c r="O231" t="n">
        <v>2</v>
      </c>
      <c r="Q231" t="inlineStr">
        <is>
          <t>InStock</t>
        </is>
      </c>
      <c r="R231" t="inlineStr">
        <is>
          <t>undefined</t>
        </is>
      </c>
      <c r="S231" t="inlineStr">
        <is>
          <t>1869385-IRWIN</t>
        </is>
      </c>
    </row>
    <row r="232" ht="75" customHeight="1">
      <c r="A232" s="1">
        <f>HYPERLINK("https://www.toolnut.com/irwin-1869385-drill-bit.html", "https://www.toolnut.com/irwin-1869385-drill-bit.html")</f>
        <v/>
      </c>
      <c r="B232" s="1">
        <f>HYPERLINK("https://www.toolnut.com/irwin-1869385-drill-bit.html", "https://www.toolnut.com/irwin-1869385-drill-bit.html")</f>
        <v/>
      </c>
      <c r="C232" t="inlineStr">
        <is>
          <t>Irwin 1869385 WELDTEC Self-Feed Bit 1-3/8-in.</t>
        </is>
      </c>
      <c r="D232" t="inlineStr">
        <is>
          <t>IRWIN 1869385 WeldTec Self-Feed Wood Drilling Bit, 1 3/8-Inch</t>
        </is>
      </c>
      <c r="E232" s="1">
        <f>HYPERLINK("https://www.amazon.com/1869385-WeldTec-Self-Feed-Drilling-8-Inch/dp/B00LLGS8TM/ref=sr_1_1?keywords=Irwin+1869385+WELDTEC+Self-Feed+Bit+1-3%2F8-in.&amp;qid=1695347070&amp;sr=8-1", "https://www.amazon.com/1869385-WeldTec-Self-Feed-Drilling-8-Inch/dp/B00LLGS8TM/ref=sr_1_1?keywords=Irwin+1869385+WELDTEC+Self-Feed+Bit+1-3%2F8-in.&amp;qid=1695347070&amp;sr=8-1")</f>
        <v/>
      </c>
      <c r="F232" t="inlineStr">
        <is>
          <t>B00LLGS8TM</t>
        </is>
      </c>
      <c r="G232">
        <f>_xlfn.IMAGE("https://www.toolnut.com/media/catalog/product/1/8/1869385-irwin-drilling-1.375in-weldtec-self-feed-bit-primary.jpg?quality=100&amp;bg-color=255,255,255&amp;fit=bounds&amp;height=700&amp;width=700&amp;canvas=700:700&amp;dpr=1 1x")</f>
        <v/>
      </c>
      <c r="H232">
        <f>_xlfn.IMAGE("https://m.media-amazon.com/images/I/71fjgyWUV-L._AC_UL320_.jpg")</f>
        <v/>
      </c>
      <c r="K232" t="inlineStr">
        <is>
          <t>28.99</t>
        </is>
      </c>
      <c r="L232" t="n">
        <v>49.95</v>
      </c>
      <c r="M232" s="2" t="inlineStr">
        <is>
          <t>72.30%</t>
        </is>
      </c>
      <c r="N232" t="n">
        <v>4.6</v>
      </c>
      <c r="O232" t="n">
        <v>56</v>
      </c>
      <c r="Q232" t="inlineStr">
        <is>
          <t>InStock</t>
        </is>
      </c>
      <c r="R232" t="inlineStr">
        <is>
          <t>undefined</t>
        </is>
      </c>
      <c r="S232" t="inlineStr">
        <is>
          <t>1869385-IRWIN</t>
        </is>
      </c>
    </row>
    <row r="233" ht="75" customHeight="1">
      <c r="A233" s="1">
        <f>HYPERLINK("https://www.toolnut.com/irwin-1869385-drill-bit.html", "https://www.toolnut.com/irwin-1869385-drill-bit.html")</f>
        <v/>
      </c>
      <c r="B233" s="1">
        <f>HYPERLINK("https://www.toolnut.com/irwin-1869385-drill-bit.html", "https://www.toolnut.com/irwin-1869385-drill-bit.html")</f>
        <v/>
      </c>
      <c r="C233" t="inlineStr">
        <is>
          <t>Irwin 1869385 WELDTEC Self-Feed Bit 1-3/8-in.</t>
        </is>
      </c>
      <c r="D233" t="inlineStr">
        <is>
          <t>IRWIN Tools 1869387 WeldTec Self-Feed Wood Drilling Bit, 1 3/4-Inch</t>
        </is>
      </c>
      <c r="E233" s="1">
        <f>HYPERLINK("https://www.amazon.com/Tools-1869387-WeldTec-Self-Feed-Drilling/dp/B00LLGSB44/ref=sr_1_6?keywords=Irwin+1869385+WELDTEC+Self-Feed+Bit+1-3%2F8-in.&amp;qid=1695347070&amp;sr=8-6", "https://www.amazon.com/Tools-1869387-WeldTec-Self-Feed-Drilling/dp/B00LLGSB44/ref=sr_1_6?keywords=Irwin+1869385+WELDTEC+Self-Feed+Bit+1-3%2F8-in.&amp;qid=1695347070&amp;sr=8-6")</f>
        <v/>
      </c>
      <c r="F233" t="inlineStr">
        <is>
          <t>B00LLGSB44</t>
        </is>
      </c>
      <c r="G233">
        <f>_xlfn.IMAGE("https://www.toolnut.com/media/catalog/product/1/8/1869385-irwin-drilling-1.375in-weldtec-self-feed-bit-primary.jpg?quality=100&amp;bg-color=255,255,255&amp;fit=bounds&amp;height=700&amp;width=700&amp;canvas=700:700&amp;dpr=1 1x")</f>
        <v/>
      </c>
      <c r="H233">
        <f>_xlfn.IMAGE("https://m.media-amazon.com/images/I/71bGUDbUoDL._AC_UL320_.jpg")</f>
        <v/>
      </c>
      <c r="K233" t="inlineStr">
        <is>
          <t>28.99</t>
        </is>
      </c>
      <c r="L233" t="n">
        <v>50.86</v>
      </c>
      <c r="M233" s="2" t="inlineStr">
        <is>
          <t>75.44%</t>
        </is>
      </c>
      <c r="N233" t="n">
        <v>4.1</v>
      </c>
      <c r="O233" t="n">
        <v>2</v>
      </c>
      <c r="Q233" t="inlineStr">
        <is>
          <t>InStock</t>
        </is>
      </c>
      <c r="R233" t="inlineStr">
        <is>
          <t>undefined</t>
        </is>
      </c>
      <c r="S233" t="inlineStr">
        <is>
          <t>1869385-IRWIN</t>
        </is>
      </c>
    </row>
    <row r="234" ht="75" customHeight="1">
      <c r="A234" s="1">
        <f>HYPERLINK("https://www.toolnut.com/irwin-1869385-drill-bit.html", "https://www.toolnut.com/irwin-1869385-drill-bit.html")</f>
        <v/>
      </c>
      <c r="B234" s="1">
        <f>HYPERLINK("https://www.toolnut.com/irwin-1869385-drill-bit.html", "https://www.toolnut.com/irwin-1869385-drill-bit.html")</f>
        <v/>
      </c>
      <c r="C234" t="inlineStr">
        <is>
          <t>Irwin 1869385 WELDTEC Self-Feed Bit 1-3/8-in.</t>
        </is>
      </c>
      <c r="D234" t="inlineStr">
        <is>
          <t>IRWIN 1869385 WeldTec Self-Feed Wood Drilling Bit, 1 3/8-Inch</t>
        </is>
      </c>
      <c r="E234" s="1">
        <f>HYPERLINK("https://www.amazon.com/1869385-WeldTec-Self-Feed-Drilling-8-Inch/dp/B00LLGS8TM/ref=sr_1_1?keywords=Irwin+1869385+WELDTEC+Self-Feed+Bit+1-3%2F8-in.&amp;qid=1695347070&amp;sr=8-1", "https://www.amazon.com/1869385-WeldTec-Self-Feed-Drilling-8-Inch/dp/B00LLGS8TM/ref=sr_1_1?keywords=Irwin+1869385+WELDTEC+Self-Feed+Bit+1-3%2F8-in.&amp;qid=1695347070&amp;sr=8-1")</f>
        <v/>
      </c>
      <c r="F234" t="inlineStr">
        <is>
          <t>B00LLGS8TM</t>
        </is>
      </c>
      <c r="G234">
        <f>_xlfn.IMAGE("https://www.toolnut.com/media/catalog/product/1/8/1869385-irwin-drilling-1.375in-weldtec-self-feed-bit-primary.jpg?quality=100&amp;bg-color=255,255,255&amp;fit=bounds&amp;height=700&amp;width=700&amp;canvas=700:700&amp;dpr=1 1x")</f>
        <v/>
      </c>
      <c r="H234">
        <f>_xlfn.IMAGE("https://m.media-amazon.com/images/I/71fjgyWUV-L._AC_UL320_.jpg")</f>
        <v/>
      </c>
      <c r="K234" t="inlineStr">
        <is>
          <t>28.99</t>
        </is>
      </c>
      <c r="L234" t="n">
        <v>49.95</v>
      </c>
      <c r="M234" s="2" t="inlineStr">
        <is>
          <t>72.30%</t>
        </is>
      </c>
      <c r="N234" t="n">
        <v>4.6</v>
      </c>
      <c r="O234" t="n">
        <v>56</v>
      </c>
      <c r="Q234" t="inlineStr">
        <is>
          <t>InStock</t>
        </is>
      </c>
      <c r="R234" t="inlineStr">
        <is>
          <t>undefined</t>
        </is>
      </c>
      <c r="S234" t="inlineStr">
        <is>
          <t>1869385-IRWIN</t>
        </is>
      </c>
    </row>
    <row r="235" ht="75" customHeight="1">
      <c r="A235" s="1">
        <f>HYPERLINK("https://www.toolnut.com/irwin-1869387-drill-bit.html", "https://www.toolnut.com/irwin-1869387-drill-bit.html")</f>
        <v/>
      </c>
      <c r="B235" s="1">
        <f>HYPERLINK("https://www.toolnut.com/irwin-1869387-drill-bit.html", "https://www.toolnut.com/irwin-1869387-drill-bit.html")</f>
        <v/>
      </c>
      <c r="C235" t="inlineStr">
        <is>
          <t>Irwin 1869387 WeldTec Self-Feed Bit 1-3/4-in.</t>
        </is>
      </c>
      <c r="D235" t="inlineStr">
        <is>
          <t>IRWIN 1773958 1-3/4" X Ship Auger WeldTec Bit Silver</t>
        </is>
      </c>
      <c r="E235" s="1">
        <f>HYPERLINK("https://www.amazon.com/IRWIN-1773958-Ship-Auger-WeldTec/dp/B0040U1JQA/ref=sr_1_8?keywords=Irwin+1869387+WeldTec+Self-Feed+Bit+1-3%2F4-in.&amp;qid=1695347082&amp;sr=8-8", "https://www.amazon.com/IRWIN-1773958-Ship-Auger-WeldTec/dp/B0040U1JQA/ref=sr_1_8?keywords=Irwin+1869387+WeldTec+Self-Feed+Bit+1-3%2F4-in.&amp;qid=1695347082&amp;sr=8-8")</f>
        <v/>
      </c>
      <c r="F235" t="inlineStr">
        <is>
          <t>B0040U1JQA</t>
        </is>
      </c>
      <c r="G235">
        <f>_xlfn.IMAGE("https://www.toolnut.com/media/catalog/product/1/8/1869387-irwin-drilling-1.75in-weldtec-self-feed-bit-primary.jpg?quality=100&amp;bg-color=255,255,255&amp;fit=bounds&amp;height=700&amp;width=700&amp;canvas=700:700&amp;dpr=1 1x")</f>
        <v/>
      </c>
      <c r="H235">
        <f>_xlfn.IMAGE("https://m.media-amazon.com/images/I/312rBxfFyaL._AC_UL320_.jpg")</f>
        <v/>
      </c>
      <c r="K235" t="inlineStr">
        <is>
          <t>30.99</t>
        </is>
      </c>
      <c r="L235" t="n">
        <v>81.45</v>
      </c>
      <c r="M235" s="2" t="inlineStr">
        <is>
          <t>162.83%</t>
        </is>
      </c>
      <c r="N235" t="n">
        <v>4</v>
      </c>
      <c r="O235" t="n">
        <v>11</v>
      </c>
      <c r="Q235" t="inlineStr">
        <is>
          <t>InStock</t>
        </is>
      </c>
      <c r="R235" t="inlineStr">
        <is>
          <t>undefined</t>
        </is>
      </c>
      <c r="S235" t="inlineStr">
        <is>
          <t>1869387-IRWIN</t>
        </is>
      </c>
    </row>
    <row r="236" ht="75" customHeight="1">
      <c r="A236" s="1">
        <f>HYPERLINK("https://www.toolnut.com/irwin-1869387-drill-bit.html", "https://www.toolnut.com/irwin-1869387-drill-bit.html")</f>
        <v/>
      </c>
      <c r="B236" s="1">
        <f>HYPERLINK("https://www.toolnut.com/irwin-1869387-drill-bit.html", "https://www.toolnut.com/irwin-1869387-drill-bit.html")</f>
        <v/>
      </c>
      <c r="C236" t="inlineStr">
        <is>
          <t>Irwin 1869387 WeldTec Self-Feed Bit 1-3/4-in.</t>
        </is>
      </c>
      <c r="D236" t="inlineStr">
        <is>
          <t>IRWIN Tools 1869387 WeldTec Self-Feed Wood Drilling Bit, 1 3/4-Inch</t>
        </is>
      </c>
      <c r="E236" s="1">
        <f>HYPERLINK("https://www.amazon.com/Tools-1869387-WeldTec-Self-Feed-Drilling/dp/B00LLGSB44/ref=sr_1_2?keywords=Irwin+1869387+WeldTec+Self-Feed+Bit+1-3%2F4-in.&amp;qid=1695347082&amp;sr=8-2", "https://www.amazon.com/Tools-1869387-WeldTec-Self-Feed-Drilling/dp/B00LLGSB44/ref=sr_1_2?keywords=Irwin+1869387+WeldTec+Self-Feed+Bit+1-3%2F4-in.&amp;qid=1695347082&amp;sr=8-2")</f>
        <v/>
      </c>
      <c r="F236" t="inlineStr">
        <is>
          <t>B00LLGSB44</t>
        </is>
      </c>
      <c r="G236">
        <f>_xlfn.IMAGE("https://www.toolnut.com/media/catalog/product/1/8/1869387-irwin-drilling-1.75in-weldtec-self-feed-bit-primary.jpg?quality=100&amp;bg-color=255,255,255&amp;fit=bounds&amp;height=700&amp;width=700&amp;canvas=700:700&amp;dpr=1 1x")</f>
        <v/>
      </c>
      <c r="H236">
        <f>_xlfn.IMAGE("https://m.media-amazon.com/images/I/71bGUDbUoDL._AC_UL320_.jpg")</f>
        <v/>
      </c>
      <c r="K236" t="inlineStr">
        <is>
          <t>30.99</t>
        </is>
      </c>
      <c r="L236" t="n">
        <v>50.86</v>
      </c>
      <c r="M236" s="2" t="inlineStr">
        <is>
          <t>64.12%</t>
        </is>
      </c>
      <c r="N236" t="n">
        <v>4.1</v>
      </c>
      <c r="O236" t="n">
        <v>2</v>
      </c>
      <c r="Q236" t="inlineStr">
        <is>
          <t>InStock</t>
        </is>
      </c>
      <c r="R236" t="inlineStr">
        <is>
          <t>undefined</t>
        </is>
      </c>
      <c r="S236" t="inlineStr">
        <is>
          <t>1869387-IRWIN</t>
        </is>
      </c>
    </row>
    <row r="237" ht="75" customHeight="1">
      <c r="A237" s="1">
        <f>HYPERLINK("https://www.toolnut.com/irwin-1869387-drill-bit.html", "https://www.toolnut.com/irwin-1869387-drill-bit.html")</f>
        <v/>
      </c>
      <c r="B237" s="1">
        <f>HYPERLINK("https://www.toolnut.com/irwin-1869387-drill-bit.html", "https://www.toolnut.com/irwin-1869387-drill-bit.html")</f>
        <v/>
      </c>
      <c r="C237" t="inlineStr">
        <is>
          <t>Irwin 1869387 WeldTec Self-Feed Bit 1-3/4-in.</t>
        </is>
      </c>
      <c r="D237" t="inlineStr">
        <is>
          <t>IRWIN 1773958 1-3/4" X Ship Auger WeldTec Bit Silver</t>
        </is>
      </c>
      <c r="E237" s="1">
        <f>HYPERLINK("https://www.amazon.com/IRWIN-1773958-Ship-Auger-WeldTec/dp/B0040U1JQA/ref=sr_1_8?keywords=Irwin+1869387+WeldTec+Self-Feed+Bit+1-3%2F4-in.&amp;qid=1695347082&amp;sr=8-8", "https://www.amazon.com/IRWIN-1773958-Ship-Auger-WeldTec/dp/B0040U1JQA/ref=sr_1_8?keywords=Irwin+1869387+WeldTec+Self-Feed+Bit+1-3%2F4-in.&amp;qid=1695347082&amp;sr=8-8")</f>
        <v/>
      </c>
      <c r="F237" t="inlineStr">
        <is>
          <t>B0040U1JQA</t>
        </is>
      </c>
      <c r="G237">
        <f>_xlfn.IMAGE("https://www.toolnut.com/media/catalog/product/1/8/1869387-irwin-drilling-1.75in-weldtec-self-feed-bit-primary.jpg?quality=100&amp;bg-color=255,255,255&amp;fit=bounds&amp;height=700&amp;width=700&amp;canvas=700:700&amp;dpr=1 1x")</f>
        <v/>
      </c>
      <c r="H237">
        <f>_xlfn.IMAGE("https://m.media-amazon.com/images/I/312rBxfFyaL._AC_UL320_.jpg")</f>
        <v/>
      </c>
      <c r="K237" t="inlineStr">
        <is>
          <t>30.99</t>
        </is>
      </c>
      <c r="L237" t="n">
        <v>81.45</v>
      </c>
      <c r="M237" s="2" t="inlineStr">
        <is>
          <t>162.83%</t>
        </is>
      </c>
      <c r="N237" t="n">
        <v>4</v>
      </c>
      <c r="O237" t="n">
        <v>11</v>
      </c>
      <c r="Q237" t="inlineStr">
        <is>
          <t>InStock</t>
        </is>
      </c>
      <c r="R237" t="inlineStr">
        <is>
          <t>undefined</t>
        </is>
      </c>
      <c r="S237" t="inlineStr">
        <is>
          <t>1869387-IRWIN</t>
        </is>
      </c>
    </row>
    <row r="238" ht="75" customHeight="1">
      <c r="A238" s="1">
        <f>HYPERLINK("https://www.toolnut.com/irwin-1869387-drill-bit.html", "https://www.toolnut.com/irwin-1869387-drill-bit.html")</f>
        <v/>
      </c>
      <c r="B238" s="1">
        <f>HYPERLINK("https://www.toolnut.com/irwin-1869387-drill-bit.html", "https://www.toolnut.com/irwin-1869387-drill-bit.html")</f>
        <v/>
      </c>
      <c r="C238" t="inlineStr">
        <is>
          <t>Irwin 1869387 WeldTec Self-Feed Bit 1-3/4-in.</t>
        </is>
      </c>
      <c r="D238" t="inlineStr">
        <is>
          <t>IRWIN Tools 1869387 WeldTec Self-Feed Wood Drilling Bit, 1 3/4-Inch</t>
        </is>
      </c>
      <c r="E238" s="1">
        <f>HYPERLINK("https://www.amazon.com/Tools-1869387-WeldTec-Self-Feed-Drilling/dp/B00LLGSB44/ref=sr_1_2?keywords=Irwin+1869387+WeldTec+Self-Feed+Bit+1-3%2F4-in.&amp;qid=1695347082&amp;sr=8-2", "https://www.amazon.com/Tools-1869387-WeldTec-Self-Feed-Drilling/dp/B00LLGSB44/ref=sr_1_2?keywords=Irwin+1869387+WeldTec+Self-Feed+Bit+1-3%2F4-in.&amp;qid=1695347082&amp;sr=8-2")</f>
        <v/>
      </c>
      <c r="F238" t="inlineStr">
        <is>
          <t>B00LLGSB44</t>
        </is>
      </c>
      <c r="G238">
        <f>_xlfn.IMAGE("https://www.toolnut.com/media/catalog/product/1/8/1869387-irwin-drilling-1.75in-weldtec-self-feed-bit-primary.jpg?quality=100&amp;bg-color=255,255,255&amp;fit=bounds&amp;height=700&amp;width=700&amp;canvas=700:700&amp;dpr=1 1x")</f>
        <v/>
      </c>
      <c r="H238">
        <f>_xlfn.IMAGE("https://m.media-amazon.com/images/I/71bGUDbUoDL._AC_UL320_.jpg")</f>
        <v/>
      </c>
      <c r="K238" t="inlineStr">
        <is>
          <t>30.99</t>
        </is>
      </c>
      <c r="L238" t="n">
        <v>50.86</v>
      </c>
      <c r="M238" s="2" t="inlineStr">
        <is>
          <t>64.12%</t>
        </is>
      </c>
      <c r="N238" t="n">
        <v>4.1</v>
      </c>
      <c r="O238" t="n">
        <v>2</v>
      </c>
      <c r="Q238" t="inlineStr">
        <is>
          <t>InStock</t>
        </is>
      </c>
      <c r="R238" t="inlineStr">
        <is>
          <t>undefined</t>
        </is>
      </c>
      <c r="S238" t="inlineStr">
        <is>
          <t>1869387-IRWIN</t>
        </is>
      </c>
    </row>
    <row r="239" ht="75" customHeight="1">
      <c r="A239" s="1">
        <f>HYPERLINK("https://www.toolnut.com/irwin-1869516-driver-bit.html", "https://www.toolnut.com/irwin-1869516-driver-bit.html")</f>
        <v/>
      </c>
      <c r="B239" s="1">
        <f>HYPERLINK("https://www.toolnut.com/irwin-1869516-driver-bit.html", "https://www.toolnut.com/irwin-1869516-driver-bit.html")</f>
        <v/>
      </c>
      <c r="C239" t="inlineStr">
        <is>
          <t>Irwin 1869516 Impact Quick-Change Bit Extension</t>
        </is>
      </c>
      <c r="D239" t="inlineStr">
        <is>
          <t>Irwin 10508171 Lock-n-Load Quick Change Extension Bit Holder, 300 mm x 3/8"</t>
        </is>
      </c>
      <c r="E239" s="1">
        <f>HYPERLINK("https://www.amazon.com/Irwin-Lock-n-Load-Change-Extension-Holder/dp/B00AO4C3AM/ref=sr_1_2?keywords=Irwin+1869516+Impact+Quick-Change+Bit+Extension&amp;qid=1695347154&amp;sr=8-2", "https://www.amazon.com/Irwin-Lock-n-Load-Change-Extension-Holder/dp/B00AO4C3AM/ref=sr_1_2?keywords=Irwin+1869516+Impact+Quick-Change+Bit+Extension&amp;qid=1695347154&amp;sr=8-2")</f>
        <v/>
      </c>
      <c r="F239" t="inlineStr">
        <is>
          <t>B00AO4C3AM</t>
        </is>
      </c>
      <c r="G239">
        <f>_xlfn.IMAGE("https://www.toolnut.com/media/catalog/product/1/8/1869516-irwin_1.jpg?quality=100&amp;bg-color=255,255,255&amp;fit=bounds&amp;height=700&amp;width=700&amp;canvas=700:700&amp;dpr=1 1x")</f>
        <v/>
      </c>
      <c r="H239">
        <f>_xlfn.IMAGE("https://m.media-amazon.com/images/I/612cXtGWMUL._AC_UL320_.jpg")</f>
        <v/>
      </c>
      <c r="K239" t="inlineStr">
        <is>
          <t>11.99</t>
        </is>
      </c>
      <c r="L239" t="n">
        <v>29.25</v>
      </c>
      <c r="M239" s="2" t="inlineStr">
        <is>
          <t>143.95%</t>
        </is>
      </c>
      <c r="N239" t="n">
        <v>4.2</v>
      </c>
      <c r="O239" t="n">
        <v>122</v>
      </c>
      <c r="Q239" t="inlineStr">
        <is>
          <t>InStock</t>
        </is>
      </c>
      <c r="R239" t="inlineStr">
        <is>
          <t>undefined</t>
        </is>
      </c>
      <c r="S239" t="inlineStr">
        <is>
          <t>1869516-IRWIN</t>
        </is>
      </c>
    </row>
    <row r="240" ht="75" customHeight="1">
      <c r="A240" s="1">
        <f>HYPERLINK("https://www.toolnut.com/irwin-1869516-driver-bit.html", "https://www.toolnut.com/irwin-1869516-driver-bit.html")</f>
        <v/>
      </c>
      <c r="B240" s="1">
        <f>HYPERLINK("https://www.toolnut.com/irwin-1869516-driver-bit.html", "https://www.toolnut.com/irwin-1869516-driver-bit.html")</f>
        <v/>
      </c>
      <c r="C240" t="inlineStr">
        <is>
          <t>Irwin 1869516 Impact Quick-Change Bit Extension</t>
        </is>
      </c>
      <c r="D240" t="inlineStr">
        <is>
          <t>Irwin 10508171 Lock-n-Load Quick Change Extension Bit Holder, 300 mm x 3/8"</t>
        </is>
      </c>
      <c r="E240" s="1">
        <f>HYPERLINK("https://www.amazon.com/Irwin-Lock-n-Load-Change-Extension-Holder/dp/B00AO4C3AM/ref=sr_1_2?keywords=Irwin+1869516+Impact+Quick-Change+Bit+Extension&amp;qid=1695347154&amp;sr=8-2", "https://www.amazon.com/Irwin-Lock-n-Load-Change-Extension-Holder/dp/B00AO4C3AM/ref=sr_1_2?keywords=Irwin+1869516+Impact+Quick-Change+Bit+Extension&amp;qid=1695347154&amp;sr=8-2")</f>
        <v/>
      </c>
      <c r="F240" t="inlineStr">
        <is>
          <t>B00AO4C3AM</t>
        </is>
      </c>
      <c r="G240">
        <f>_xlfn.IMAGE("https://www.toolnut.com/media/catalog/product/1/8/1869516-irwin_1.jpg?quality=100&amp;bg-color=255,255,255&amp;fit=bounds&amp;height=700&amp;width=700&amp;canvas=700:700&amp;dpr=1 1x")</f>
        <v/>
      </c>
      <c r="H240">
        <f>_xlfn.IMAGE("https://m.media-amazon.com/images/I/612cXtGWMUL._AC_UL320_.jpg")</f>
        <v/>
      </c>
      <c r="K240" t="inlineStr">
        <is>
          <t>11.99</t>
        </is>
      </c>
      <c r="L240" t="n">
        <v>29.25</v>
      </c>
      <c r="M240" s="2" t="inlineStr">
        <is>
          <t>143.95%</t>
        </is>
      </c>
      <c r="N240" t="n">
        <v>4.2</v>
      </c>
      <c r="O240" t="n">
        <v>122</v>
      </c>
      <c r="Q240" t="inlineStr">
        <is>
          <t>InStock</t>
        </is>
      </c>
      <c r="R240" t="inlineStr">
        <is>
          <t>undefined</t>
        </is>
      </c>
      <c r="S240" t="inlineStr">
        <is>
          <t>1869516-IRWIN</t>
        </is>
      </c>
    </row>
    <row r="241" ht="75" customHeight="1">
      <c r="A241" s="1">
        <f>HYPERLINK("https://www.toolnut.com/irwin-1890702-drill-bit.html", "https://www.toolnut.com/irwin-1890702-drill-bit.html")</f>
        <v/>
      </c>
      <c r="B241" s="1">
        <f>HYPERLINK("https://www.toolnut.com/irwin-1890702-drill-bit.html", "https://www.toolnut.com/irwin-1890702-drill-bit.html")</f>
        <v/>
      </c>
      <c r="C241" t="inlineStr">
        <is>
          <t>Irwin 1890702 Straight Shank Wood Installer Bit 12-in. x 1/2-in.</t>
        </is>
      </c>
      <c r="D241" t="inlineStr">
        <is>
          <t>IRWIN 1890721 Straight Shank Installer Drill Bit for Wood, 36-Inch by 3/8-Inch</t>
        </is>
      </c>
      <c r="E241" s="1">
        <f>HYPERLINK("https://www.amazon.com/1890721-Straight-Installer-36-Inch-8-Inch/dp/B00LLHES90/ref=sr_1_3?keywords=Irwin+1890702+Straight+Shank+Wood+Installer+Bit+12-in.+x+1%2F2-in.&amp;qid=1695347115&amp;sr=8-3", "https://www.amazon.com/1890721-Straight-Installer-36-Inch-8-Inch/dp/B00LLHES90/ref=sr_1_3?keywords=Irwin+1890702+Straight+Shank+Wood+Installer+Bit+12-in.+x+1%2F2-in.&amp;qid=1695347115&amp;sr=8-3")</f>
        <v/>
      </c>
      <c r="F241" t="inlineStr">
        <is>
          <t>B00LLHES90</t>
        </is>
      </c>
      <c r="G241">
        <f>_xlfn.IMAGE("https://www.toolnut.com/media/catalog/product/1/8/1890702-irwin_001.jpg?quality=100&amp;bg-color=255,255,255&amp;fit=bounds&amp;height=700&amp;width=700&amp;canvas=700:700&amp;dpr=1 1x")</f>
        <v/>
      </c>
      <c r="H241">
        <f>_xlfn.IMAGE("https://m.media-amazon.com/images/I/61d0H3unoqL._AC_UL320_.jpg")</f>
        <v/>
      </c>
      <c r="K241" t="inlineStr">
        <is>
          <t>13.89</t>
        </is>
      </c>
      <c r="L241" t="n">
        <v>37.04</v>
      </c>
      <c r="M241" s="2" t="inlineStr">
        <is>
          <t>166.67%</t>
        </is>
      </c>
      <c r="N241" t="n">
        <v>4.6</v>
      </c>
      <c r="O241" t="n">
        <v>96</v>
      </c>
      <c r="Q241" t="inlineStr">
        <is>
          <t>InStock</t>
        </is>
      </c>
      <c r="R241" t="inlineStr">
        <is>
          <t>undefined</t>
        </is>
      </c>
      <c r="S241" t="inlineStr">
        <is>
          <t>1890702-IRWIN</t>
        </is>
      </c>
    </row>
    <row r="242" ht="75" customHeight="1">
      <c r="A242" s="1">
        <f>HYPERLINK("https://www.toolnut.com/irwin-1890702-drill-bit.html", "https://www.toolnut.com/irwin-1890702-drill-bit.html")</f>
        <v/>
      </c>
      <c r="B242" s="1">
        <f>HYPERLINK("https://www.toolnut.com/irwin-1890702-drill-bit.html", "https://www.toolnut.com/irwin-1890702-drill-bit.html")</f>
        <v/>
      </c>
      <c r="C242" t="inlineStr">
        <is>
          <t>Irwin 1890702 Straight Shank Wood Installer Bit 12-in. x 1/2-in.</t>
        </is>
      </c>
      <c r="D242" t="inlineStr">
        <is>
          <t>IRWIN 1890721 Straight Shank Installer Drill Bit for Wood, 36-Inch by 3/8-Inch</t>
        </is>
      </c>
      <c r="E242" s="1">
        <f>HYPERLINK("https://www.amazon.com/1890721-Straight-Installer-36-Inch-8-Inch/dp/B00LLHES90/ref=sr_1_3?keywords=Irwin+1890702+Straight+Shank+Wood+Installer+Bit+12-in.+x+1%2F2-in.&amp;qid=1695347115&amp;sr=8-3", "https://www.amazon.com/1890721-Straight-Installer-36-Inch-8-Inch/dp/B00LLHES90/ref=sr_1_3?keywords=Irwin+1890702+Straight+Shank+Wood+Installer+Bit+12-in.+x+1%2F2-in.&amp;qid=1695347115&amp;sr=8-3")</f>
        <v/>
      </c>
      <c r="F242" t="inlineStr">
        <is>
          <t>B00LLHES90</t>
        </is>
      </c>
      <c r="G242">
        <f>_xlfn.IMAGE("https://www.toolnut.com/media/catalog/product/1/8/1890702-irwin_001.jpg?quality=100&amp;bg-color=255,255,255&amp;fit=bounds&amp;height=700&amp;width=700&amp;canvas=700:700&amp;dpr=1 1x")</f>
        <v/>
      </c>
      <c r="H242">
        <f>_xlfn.IMAGE("https://m.media-amazon.com/images/I/61d0H3unoqL._AC_UL320_.jpg")</f>
        <v/>
      </c>
      <c r="K242" t="inlineStr">
        <is>
          <t>13.89</t>
        </is>
      </c>
      <c r="L242" t="n">
        <v>37.04</v>
      </c>
      <c r="M242" s="2" t="inlineStr">
        <is>
          <t>166.67%</t>
        </is>
      </c>
      <c r="N242" t="n">
        <v>4.6</v>
      </c>
      <c r="O242" t="n">
        <v>96</v>
      </c>
      <c r="Q242" t="inlineStr">
        <is>
          <t>InStock</t>
        </is>
      </c>
      <c r="R242" t="inlineStr">
        <is>
          <t>undefined</t>
        </is>
      </c>
      <c r="S242" t="inlineStr">
        <is>
          <t>1890702-IRWIN</t>
        </is>
      </c>
    </row>
    <row r="243" ht="75" customHeight="1">
      <c r="A243" s="1">
        <f>HYPERLINK("https://www.toolnut.com/irwin-1890708-drill-bit.html", "https://www.toolnut.com/irwin-1890708-drill-bit.html")</f>
        <v/>
      </c>
      <c r="B243" s="1">
        <f>HYPERLINK("https://www.toolnut.com/irwin-1890708-drill-bit.html", "https://www.toolnut.com/irwin-1890708-drill-bit.html")</f>
        <v/>
      </c>
      <c r="C243" t="inlineStr">
        <is>
          <t>Irwin 1890708 Straight Shank Wood Installer Bit 18-in. x 5/16-in.</t>
        </is>
      </c>
      <c r="D243" t="inlineStr">
        <is>
          <t>IRWIN 39105 5/16" x 18" Power Drill Wood Boring Installer Bit</t>
        </is>
      </c>
      <c r="E243" s="1">
        <f>HYPERLINK("https://www.amazon.com/IRWIN-39105-Power-Boring-Installer/dp/B000683FJO/ref=sr_1_2?keywords=Irwin+1890708+Straight+Shank+Wood+Installer+Bit+18-in.+x+5%2F16-in.&amp;qid=1695347094&amp;sr=8-2", "https://www.amazon.com/IRWIN-39105-Power-Boring-Installer/dp/B000683FJO/ref=sr_1_2?keywords=Irwin+1890708+Straight+Shank+Wood+Installer+Bit+18-in.+x+5%2F16-in.&amp;qid=1695347094&amp;sr=8-2")</f>
        <v/>
      </c>
      <c r="F243" t="inlineStr">
        <is>
          <t>B000683FJO</t>
        </is>
      </c>
      <c r="G243">
        <f>_xlfn.IMAGE("https://www.toolnut.com/media/catalog/product/1/8/1890708-irwin_001.jpg?quality=100&amp;bg-color=255,255,255&amp;fit=bounds&amp;height=700&amp;width=700&amp;canvas=700:700&amp;dpr=1 1x")</f>
        <v/>
      </c>
      <c r="H243">
        <f>_xlfn.IMAGE("https://m.media-amazon.com/images/I/51tjOuSUebL._AC_UL320_.jpg")</f>
        <v/>
      </c>
      <c r="K243" t="inlineStr">
        <is>
          <t>10.79</t>
        </is>
      </c>
      <c r="L243" t="n">
        <v>49</v>
      </c>
      <c r="M243" s="2" t="inlineStr">
        <is>
          <t>354.12%</t>
        </is>
      </c>
      <c r="N243" t="n">
        <v>5</v>
      </c>
      <c r="O243" t="n">
        <v>2</v>
      </c>
      <c r="Q243" t="inlineStr">
        <is>
          <t>InStock</t>
        </is>
      </c>
      <c r="R243" t="inlineStr">
        <is>
          <t>undefined</t>
        </is>
      </c>
      <c r="S243" t="inlineStr">
        <is>
          <t>1890708-IRWIN</t>
        </is>
      </c>
    </row>
    <row r="244" ht="75" customHeight="1">
      <c r="A244" s="1">
        <f>HYPERLINK("https://www.toolnut.com/irwin-1890709-drill-bit.html", "https://www.toolnut.com/irwin-1890709-drill-bit.html")</f>
        <v/>
      </c>
      <c r="B244" s="1">
        <f>HYPERLINK("https://www.toolnut.com/irwin-1890709-drill-bit.html", "https://www.toolnut.com/irwin-1890709-drill-bit.html")</f>
        <v/>
      </c>
      <c r="C244" t="inlineStr">
        <is>
          <t>Irwin 1890709 Straight Shank Wood Installer Bit 18-in. x 3/8-in.</t>
        </is>
      </c>
      <c r="D244" t="inlineStr">
        <is>
          <t>IRWIN 1890721 Straight Shank Installer Drill Bit for Wood, 36-Inch by 3/8-Inch</t>
        </is>
      </c>
      <c r="E244" s="1">
        <f>HYPERLINK("https://www.amazon.com/1890721-Straight-Installer-36-Inch-8-Inch/dp/B00LLHES90/ref=sr_1_2?keywords=Irwin+1890709+Straight+Shank+Wood+Installer+Bit+18-in.+x+3%2F8-in.&amp;qid=1695346872&amp;sr=8-2", "https://www.amazon.com/1890721-Straight-Installer-36-Inch-8-Inch/dp/B00LLHES90/ref=sr_1_2?keywords=Irwin+1890709+Straight+Shank+Wood+Installer+Bit+18-in.+x+3%2F8-in.&amp;qid=1695346872&amp;sr=8-2")</f>
        <v/>
      </c>
      <c r="F244" t="inlineStr">
        <is>
          <t>B00LLHES90</t>
        </is>
      </c>
      <c r="G244">
        <f>_xlfn.IMAGE("https://www.toolnut.com/media/catalog/product/1/8/1890709-irwin-drilling-.375in-18in-wood-primary.jpg?quality=100&amp;bg-color=255,255,255&amp;fit=bounds&amp;height=700&amp;width=700&amp;canvas=700:700&amp;dpr=1 1x")</f>
        <v/>
      </c>
      <c r="H244">
        <f>_xlfn.IMAGE("https://m.media-amazon.com/images/I/61d0H3unoqL._AC_UL320_.jpg")</f>
        <v/>
      </c>
      <c r="K244" t="inlineStr">
        <is>
          <t>11.19</t>
        </is>
      </c>
      <c r="L244" t="n">
        <v>37.04</v>
      </c>
      <c r="M244" s="2" t="inlineStr">
        <is>
          <t>231.01%</t>
        </is>
      </c>
      <c r="N244" t="n">
        <v>4.6</v>
      </c>
      <c r="O244" t="n">
        <v>96</v>
      </c>
      <c r="Q244" t="inlineStr">
        <is>
          <t>InStock</t>
        </is>
      </c>
      <c r="R244" t="inlineStr">
        <is>
          <t>undefined</t>
        </is>
      </c>
      <c r="S244" t="inlineStr">
        <is>
          <t>1890709-IRWIN</t>
        </is>
      </c>
    </row>
    <row r="245" ht="75" customHeight="1">
      <c r="A245" s="1">
        <f>HYPERLINK("https://www.toolnut.com/irwin-1890709-drill-bit.html", "https://www.toolnut.com/irwin-1890709-drill-bit.html")</f>
        <v/>
      </c>
      <c r="B245" s="1">
        <f>HYPERLINK("https://www.toolnut.com/irwin-1890709-drill-bit.html", "https://www.toolnut.com/irwin-1890709-drill-bit.html")</f>
        <v/>
      </c>
      <c r="C245" t="inlineStr">
        <is>
          <t>Irwin 1890709 Straight Shank Wood Installer Bit 18-in. x 3/8-in.</t>
        </is>
      </c>
      <c r="D245" t="inlineStr">
        <is>
          <t>Irwin 1890709 3/8" X 18" Installer Drill Bits</t>
        </is>
      </c>
      <c r="E245" s="1">
        <f>HYPERLINK("https://www.amazon.com/Irwin-1890709-Installer-Drill-Bits/dp/B00S04RUVU/ref=sr_1_3?keywords=Irwin+1890709+Straight+Shank+Wood+Installer+Bit+18-in.+x+3%2F8-in.&amp;qid=1695346872&amp;sr=8-3", "https://www.amazon.com/Irwin-1890709-Installer-Drill-Bits/dp/B00S04RUVU/ref=sr_1_3?keywords=Irwin+1890709+Straight+Shank+Wood+Installer+Bit+18-in.+x+3%2F8-in.&amp;qid=1695346872&amp;sr=8-3")</f>
        <v/>
      </c>
      <c r="F245" t="inlineStr">
        <is>
          <t>B00S04RUVU</t>
        </is>
      </c>
      <c r="G245">
        <f>_xlfn.IMAGE("https://www.toolnut.com/media/catalog/product/1/8/1890709-irwin-drilling-.375in-18in-wood-primary.jpg?quality=100&amp;bg-color=255,255,255&amp;fit=bounds&amp;height=700&amp;width=700&amp;canvas=700:700&amp;dpr=1 1x")</f>
        <v/>
      </c>
      <c r="H245">
        <f>_xlfn.IMAGE("https://m.media-amazon.com/images/I/51xhGd4WfuL._AC_UL320_.jpg")</f>
        <v/>
      </c>
      <c r="K245" t="inlineStr">
        <is>
          <t>11.19</t>
        </is>
      </c>
      <c r="L245" t="n">
        <v>27.12</v>
      </c>
      <c r="M245" s="2" t="inlineStr">
        <is>
          <t>142.36%</t>
        </is>
      </c>
      <c r="N245" t="n">
        <v>5</v>
      </c>
      <c r="O245" t="n">
        <v>1</v>
      </c>
      <c r="Q245" t="inlineStr">
        <is>
          <t>InStock</t>
        </is>
      </c>
      <c r="R245" t="inlineStr">
        <is>
          <t>undefined</t>
        </is>
      </c>
      <c r="S245" t="inlineStr">
        <is>
          <t>1890709-IRWIN</t>
        </is>
      </c>
    </row>
    <row r="246" ht="75" customHeight="1">
      <c r="A246" s="1">
        <f>HYPERLINK("https://www.toolnut.com/irwin-1890709-drill-bit.html", "https://www.toolnut.com/irwin-1890709-drill-bit.html")</f>
        <v/>
      </c>
      <c r="B246" s="1">
        <f>HYPERLINK("https://www.toolnut.com/irwin-1890709-drill-bit.html", "https://www.toolnut.com/irwin-1890709-drill-bit.html")</f>
        <v/>
      </c>
      <c r="C246" t="inlineStr">
        <is>
          <t>Irwin 1890709 Straight Shank Wood Installer Bit 18-in. x 3/8-in.</t>
        </is>
      </c>
      <c r="D246" t="inlineStr">
        <is>
          <t>Irwin 1890709 3/8" X 18" Installer Drill Bits</t>
        </is>
      </c>
      <c r="E246" s="1">
        <f>HYPERLINK("https://www.amazon.com/Irwin-1890709-Installer-Drill-Bits/dp/B00S04RUVU/ref=sr_1_3?keywords=Irwin+1890709+Straight+Shank+Wood+Installer+Bit+18-in.+x+3%2F8-in.&amp;qid=1695346872&amp;sr=8-3", "https://www.amazon.com/Irwin-1890709-Installer-Drill-Bits/dp/B00S04RUVU/ref=sr_1_3?keywords=Irwin+1890709+Straight+Shank+Wood+Installer+Bit+18-in.+x+3%2F8-in.&amp;qid=1695346872&amp;sr=8-3")</f>
        <v/>
      </c>
      <c r="F246" t="inlineStr">
        <is>
          <t>B00S04RUVU</t>
        </is>
      </c>
      <c r="G246">
        <f>_xlfn.IMAGE("https://www.toolnut.com/media/catalog/product/1/8/1890709-irwin-drilling-.375in-18in-wood-primary.jpg?quality=100&amp;bg-color=255,255,255&amp;fit=bounds&amp;height=700&amp;width=700&amp;canvas=700:700&amp;dpr=1 1x")</f>
        <v/>
      </c>
      <c r="H246">
        <f>_xlfn.IMAGE("https://m.media-amazon.com/images/I/51xhGd4WfuL._AC_UL320_.jpg")</f>
        <v/>
      </c>
      <c r="K246" t="inlineStr">
        <is>
          <t>11.19</t>
        </is>
      </c>
      <c r="L246" t="n">
        <v>27.12</v>
      </c>
      <c r="M246" s="2" t="inlineStr">
        <is>
          <t>142.36%</t>
        </is>
      </c>
      <c r="N246" t="n">
        <v>5</v>
      </c>
      <c r="O246" t="n">
        <v>1</v>
      </c>
      <c r="Q246" t="inlineStr">
        <is>
          <t>InStock</t>
        </is>
      </c>
      <c r="R246" t="inlineStr">
        <is>
          <t>undefined</t>
        </is>
      </c>
      <c r="S246" t="inlineStr">
        <is>
          <t>1890709-IRWIN</t>
        </is>
      </c>
    </row>
    <row r="247" ht="75" customHeight="1">
      <c r="A247" s="1">
        <f>HYPERLINK("https://www.toolnut.com/irwin-1890710-drill-bit.html", "https://www.toolnut.com/irwin-1890710-drill-bit.html")</f>
        <v/>
      </c>
      <c r="B247" s="1">
        <f>HYPERLINK("https://www.toolnut.com/irwin-1890710-drill-bit.html", "https://www.toolnut.com/irwin-1890710-drill-bit.html")</f>
        <v/>
      </c>
      <c r="C247" t="inlineStr">
        <is>
          <t>Irwin 1890710 Straight Shank Wood Installer Bit 18-in. x 7/16-in.</t>
        </is>
      </c>
      <c r="D247" t="inlineStr">
        <is>
          <t>SnakeBit Drill 7/16" x 18" Wood Cable Installer Drill Bit - Hollow Shank - Made in USA</t>
        </is>
      </c>
      <c r="E247" s="1">
        <f>HYPERLINK("https://www.amazon.com/SnakeBit-Drill-Wood-Cable-Installer/dp/B0843GPR49/ref=sr_1_2?keywords=Irwin+1890710+Straight+Shank+Wood+Installer+Bit+18-in.+x+7%2F16-in.&amp;qid=1695347086&amp;sr=8-2", "https://www.amazon.com/SnakeBit-Drill-Wood-Cable-Installer/dp/B0843GPR49/ref=sr_1_2?keywords=Irwin+1890710+Straight+Shank+Wood+Installer+Bit+18-in.+x+7%2F16-in.&amp;qid=1695347086&amp;sr=8-2")</f>
        <v/>
      </c>
      <c r="F247" t="inlineStr">
        <is>
          <t>B0843GPR49</t>
        </is>
      </c>
      <c r="G247">
        <f>_xlfn.IMAGE("https://www.toolnut.com/media/catalog/product/1/8/1890710-irwin_001.jpg?quality=100&amp;bg-color=255,255,255&amp;fit=bounds&amp;height=700&amp;width=700&amp;canvas=700:700&amp;dpr=1 1x")</f>
        <v/>
      </c>
      <c r="H247">
        <f>_xlfn.IMAGE("https://m.media-amazon.com/images/I/41bLUjdaa6L._AC_UL320_.jpg")</f>
        <v/>
      </c>
      <c r="K247" t="inlineStr">
        <is>
          <t>12.19</t>
        </is>
      </c>
      <c r="L247" t="n">
        <v>29.99</v>
      </c>
      <c r="M247" s="2" t="inlineStr">
        <is>
          <t>146.02%</t>
        </is>
      </c>
      <c r="N247" t="n">
        <v>5</v>
      </c>
      <c r="O247" t="n">
        <v>1</v>
      </c>
      <c r="Q247" t="inlineStr">
        <is>
          <t>InStock</t>
        </is>
      </c>
      <c r="R247" t="inlineStr">
        <is>
          <t>undefined</t>
        </is>
      </c>
      <c r="S247" t="inlineStr">
        <is>
          <t>1890710-IRWIN</t>
        </is>
      </c>
    </row>
    <row r="248" ht="75" customHeight="1">
      <c r="A248" s="1">
        <f>HYPERLINK("https://www.toolnut.com/irwin-1890710-drill-bit.html", "https://www.toolnut.com/irwin-1890710-drill-bit.html")</f>
        <v/>
      </c>
      <c r="B248" s="1">
        <f>HYPERLINK("https://www.toolnut.com/irwin-1890710-drill-bit.html", "https://www.toolnut.com/irwin-1890710-drill-bit.html")</f>
        <v/>
      </c>
      <c r="C248" t="inlineStr">
        <is>
          <t>Irwin 1890710 Straight Shank Wood Installer Bit 18-in. x 7/16-in.</t>
        </is>
      </c>
      <c r="D248" t="inlineStr">
        <is>
          <t>SnakeBit Drill 7/16" x 18" Wood Cable Installer Drill Bit - Hollow Shank - Made in USA</t>
        </is>
      </c>
      <c r="E248" s="1">
        <f>HYPERLINK("https://www.amazon.com/SnakeBit-Drill-Wood-Cable-Installer/dp/B0843GPR49/ref=sr_1_2?keywords=Irwin+1890710+Straight+Shank+Wood+Installer+Bit+18-in.+x+7%2F16-in.&amp;qid=1695347086&amp;sr=8-2", "https://www.amazon.com/SnakeBit-Drill-Wood-Cable-Installer/dp/B0843GPR49/ref=sr_1_2?keywords=Irwin+1890710+Straight+Shank+Wood+Installer+Bit+18-in.+x+7%2F16-in.&amp;qid=1695347086&amp;sr=8-2")</f>
        <v/>
      </c>
      <c r="F248" t="inlineStr">
        <is>
          <t>B0843GPR49</t>
        </is>
      </c>
      <c r="G248">
        <f>_xlfn.IMAGE("https://www.toolnut.com/media/catalog/product/1/8/1890710-irwin_001.jpg?quality=100&amp;bg-color=255,255,255&amp;fit=bounds&amp;height=700&amp;width=700&amp;canvas=700:700&amp;dpr=1 1x")</f>
        <v/>
      </c>
      <c r="H248">
        <f>_xlfn.IMAGE("https://m.media-amazon.com/images/I/41bLUjdaa6L._AC_UL320_.jpg")</f>
        <v/>
      </c>
      <c r="K248" t="inlineStr">
        <is>
          <t>12.19</t>
        </is>
      </c>
      <c r="L248" t="n">
        <v>29.99</v>
      </c>
      <c r="M248" s="2" t="inlineStr">
        <is>
          <t>146.02%</t>
        </is>
      </c>
      <c r="N248" t="n">
        <v>5</v>
      </c>
      <c r="O248" t="n">
        <v>1</v>
      </c>
      <c r="Q248" t="inlineStr">
        <is>
          <t>InStock</t>
        </is>
      </c>
      <c r="R248" t="inlineStr">
        <is>
          <t>undefined</t>
        </is>
      </c>
      <c r="S248" t="inlineStr">
        <is>
          <t>1890710-IRWIN</t>
        </is>
      </c>
    </row>
    <row r="249" ht="75" customHeight="1">
      <c r="A249" s="1">
        <f>HYPERLINK("https://www.toolnut.com/irwin-1890711-drill-bit.html", "https://www.toolnut.com/irwin-1890711-drill-bit.html")</f>
        <v/>
      </c>
      <c r="B249" s="1">
        <f>HYPERLINK("https://www.toolnut.com/irwin-1890711-drill-bit.html", "https://www.toolnut.com/irwin-1890711-drill-bit.html")</f>
        <v/>
      </c>
      <c r="C249" t="inlineStr">
        <is>
          <t>Irwin 1890711 Straight Shank Wood Installer Bit 18-in. x 1/2-in.</t>
        </is>
      </c>
      <c r="D249" t="inlineStr">
        <is>
          <t>IRWIN 1890728 Carbide Tip Straight Shank Installer Drill Bit for Masonry, 18-Inch by 1/2-Inch</t>
        </is>
      </c>
      <c r="E249" s="1">
        <f>HYPERLINK("https://www.amazon.com/1890728-Carbide-Straight-Installer-Masonry/dp/B00LLHDFBW/ref=sr_1_2?keywords=Irwin+1890711+Straight+Shank+Wood+Installer+Bit+18-in.+x+1%2F2-in.&amp;qid=1695347093&amp;sr=8-2", "https://www.amazon.com/1890728-Carbide-Straight-Installer-Masonry/dp/B00LLHDFBW/ref=sr_1_2?keywords=Irwin+1890711+Straight+Shank+Wood+Installer+Bit+18-in.+x+1%2F2-in.&amp;qid=1695347093&amp;sr=8-2")</f>
        <v/>
      </c>
      <c r="F249" t="inlineStr">
        <is>
          <t>B00LLHDFBW</t>
        </is>
      </c>
      <c r="G249">
        <f>_xlfn.IMAGE("https://www.toolnut.com/media/catalog/product/1/8/1890711-irwin_001.jpg?quality=100&amp;bg-color=255,255,255&amp;fit=bounds&amp;height=700&amp;width=700&amp;canvas=700:700&amp;dpr=1 1x")</f>
        <v/>
      </c>
      <c r="H249">
        <f>_xlfn.IMAGE("https://m.media-amazon.com/images/I/418E1xG3UNL._AC_UL320_.jpg")</f>
        <v/>
      </c>
      <c r="K249" t="inlineStr">
        <is>
          <t>12.79</t>
        </is>
      </c>
      <c r="L249" t="n">
        <v>43.04</v>
      </c>
      <c r="M249" s="2" t="inlineStr">
        <is>
          <t>236.51%</t>
        </is>
      </c>
      <c r="N249" t="n">
        <v>4.6</v>
      </c>
      <c r="O249" t="n">
        <v>3</v>
      </c>
      <c r="Q249" t="inlineStr">
        <is>
          <t>InStock</t>
        </is>
      </c>
      <c r="R249" t="inlineStr">
        <is>
          <t>undefined</t>
        </is>
      </c>
      <c r="S249" t="inlineStr">
        <is>
          <t>1890711-IRWIN</t>
        </is>
      </c>
    </row>
    <row r="250" ht="75" customHeight="1">
      <c r="A250" s="1">
        <f>HYPERLINK("https://www.toolnut.com/irwin-1890711-drill-bit.html", "https://www.toolnut.com/irwin-1890711-drill-bit.html")</f>
        <v/>
      </c>
      <c r="B250" s="1">
        <f>HYPERLINK("https://www.toolnut.com/irwin-1890711-drill-bit.html", "https://www.toolnut.com/irwin-1890711-drill-bit.html")</f>
        <v/>
      </c>
      <c r="C250" t="inlineStr">
        <is>
          <t>Irwin 1890711 Straight Shank Wood Installer Bit 18-in. x 1/2-in.</t>
        </is>
      </c>
      <c r="D250" t="inlineStr">
        <is>
          <t>IRWIN 1890729 Carbide Tip Straight Shank Installer Drill Bit for Masonry, 18-Inch by 5/8-Inch</t>
        </is>
      </c>
      <c r="E250" s="1">
        <f>HYPERLINK("https://www.amazon.com/1890729-Carbide-Straight-Installer-Masonry/dp/B00LLHD62K/ref=sr_1_6?keywords=Irwin+1890711+Straight+Shank+Wood+Installer+Bit+18-in.+x+1%2F2-in.&amp;qid=1695347093&amp;sr=8-6", "https://www.amazon.com/1890729-Carbide-Straight-Installer-Masonry/dp/B00LLHD62K/ref=sr_1_6?keywords=Irwin+1890711+Straight+Shank+Wood+Installer+Bit+18-in.+x+1%2F2-in.&amp;qid=1695347093&amp;sr=8-6")</f>
        <v/>
      </c>
      <c r="F250" t="inlineStr">
        <is>
          <t>B00LLHD62K</t>
        </is>
      </c>
      <c r="G250">
        <f>_xlfn.IMAGE("https://www.toolnut.com/media/catalog/product/1/8/1890711-irwin_001.jpg?quality=100&amp;bg-color=255,255,255&amp;fit=bounds&amp;height=700&amp;width=700&amp;canvas=700:700&amp;dpr=1 1x")</f>
        <v/>
      </c>
      <c r="H250">
        <f>_xlfn.IMAGE("https://m.media-amazon.com/images/I/410TNjJWZ4L._AC_UL320_.jpg")</f>
        <v/>
      </c>
      <c r="K250" t="inlineStr">
        <is>
          <t>12.79</t>
        </is>
      </c>
      <c r="L250" t="n">
        <v>24.99</v>
      </c>
      <c r="M250" s="2" t="inlineStr">
        <is>
          <t>95.39%</t>
        </is>
      </c>
      <c r="N250" t="n">
        <v>5</v>
      </c>
      <c r="O250" t="n">
        <v>1</v>
      </c>
      <c r="Q250" t="inlineStr">
        <is>
          <t>InStock</t>
        </is>
      </c>
      <c r="R250" t="inlineStr">
        <is>
          <t>undefined</t>
        </is>
      </c>
      <c r="S250" t="inlineStr">
        <is>
          <t>1890711-IRWIN</t>
        </is>
      </c>
    </row>
    <row r="251" ht="75" customHeight="1">
      <c r="A251" s="1">
        <f>HYPERLINK("https://www.toolnut.com/irwin-1890711-drill-bit.html", "https://www.toolnut.com/irwin-1890711-drill-bit.html")</f>
        <v/>
      </c>
      <c r="B251" s="1">
        <f>HYPERLINK("https://www.toolnut.com/irwin-1890711-drill-bit.html", "https://www.toolnut.com/irwin-1890711-drill-bit.html")</f>
        <v/>
      </c>
      <c r="C251" t="inlineStr">
        <is>
          <t>Irwin 1890711 Straight Shank Wood Installer Bit 18-in. x 1/2-in.</t>
        </is>
      </c>
      <c r="D251" t="inlineStr">
        <is>
          <t>IRWIN 1890729 Carbide Tip Straight Shank Installer Drill Bit for Masonry, 18-Inch by 5/8-Inch</t>
        </is>
      </c>
      <c r="E251" s="1">
        <f>HYPERLINK("https://www.amazon.com/1890729-Carbide-Straight-Installer-Masonry/dp/B00LLHD62K/ref=sr_1_6?keywords=Irwin+1890711+Straight+Shank+Wood+Installer+Bit+18-in.+x+1%2F2-in.&amp;qid=1695347093&amp;sr=8-6", "https://www.amazon.com/1890729-Carbide-Straight-Installer-Masonry/dp/B00LLHD62K/ref=sr_1_6?keywords=Irwin+1890711+Straight+Shank+Wood+Installer+Bit+18-in.+x+1%2F2-in.&amp;qid=1695347093&amp;sr=8-6")</f>
        <v/>
      </c>
      <c r="F251" t="inlineStr">
        <is>
          <t>B00LLHD62K</t>
        </is>
      </c>
      <c r="G251">
        <f>_xlfn.IMAGE("https://www.toolnut.com/media/catalog/product/1/8/1890711-irwin_001.jpg?quality=100&amp;bg-color=255,255,255&amp;fit=bounds&amp;height=700&amp;width=700&amp;canvas=700:700&amp;dpr=1 1x")</f>
        <v/>
      </c>
      <c r="H251">
        <f>_xlfn.IMAGE("https://m.media-amazon.com/images/I/410TNjJWZ4L._AC_UL320_.jpg")</f>
        <v/>
      </c>
      <c r="K251" t="inlineStr">
        <is>
          <t>12.79</t>
        </is>
      </c>
      <c r="L251" t="n">
        <v>24.99</v>
      </c>
      <c r="M251" s="2" t="inlineStr">
        <is>
          <t>95.39%</t>
        </is>
      </c>
      <c r="N251" t="n">
        <v>5</v>
      </c>
      <c r="O251" t="n">
        <v>1</v>
      </c>
      <c r="Q251" t="inlineStr">
        <is>
          <t>InStock</t>
        </is>
      </c>
      <c r="R251" t="inlineStr">
        <is>
          <t>undefined</t>
        </is>
      </c>
      <c r="S251" t="inlineStr">
        <is>
          <t>1890711-IRWIN</t>
        </is>
      </c>
    </row>
    <row r="252" ht="75" customHeight="1">
      <c r="A252" s="1">
        <f>HYPERLINK("https://www.toolnut.com/irwin-1890725-drill-bit.html", "https://www.toolnut.com/irwin-1890725-drill-bit.html")</f>
        <v/>
      </c>
      <c r="B252" s="1">
        <f>HYPERLINK("https://www.toolnut.com/irwin-1890725-drill-bit.html", "https://www.toolnut.com/irwin-1890725-drill-bit.html")</f>
        <v/>
      </c>
      <c r="C252" t="inlineStr">
        <is>
          <t>Irwin 1890725 Straight Shank Masonry Installer Bit 18-in. x 1/4-in.</t>
        </is>
      </c>
      <c r="D252" t="inlineStr">
        <is>
          <t>IRWIN 1890728 Carbide Tip Straight Shank Installer Drill Bit for Masonry, 18-Inch by 1/2-Inch</t>
        </is>
      </c>
      <c r="E252" s="1">
        <f>HYPERLINK("https://www.amazon.com/1890728-Carbide-Straight-Installer-Masonry/dp/B00LLHDFBW/ref=sr_1_3?keywords=Irwin+1890725+Straight+Shank+Masonry+Installer+Bit+18-in.+x+1%2F4-in.&amp;qid=1695347092&amp;sr=8-3", "https://www.amazon.com/1890728-Carbide-Straight-Installer-Masonry/dp/B00LLHDFBW/ref=sr_1_3?keywords=Irwin+1890725+Straight+Shank+Masonry+Installer+Bit+18-in.+x+1%2F4-in.&amp;qid=1695347092&amp;sr=8-3")</f>
        <v/>
      </c>
      <c r="F252" t="inlineStr">
        <is>
          <t>B00LLHDFBW</t>
        </is>
      </c>
      <c r="G252">
        <f>_xlfn.IMAGE("https://www.toolnut.com/media/catalog/product/1/8/1890725-irwin_001.jpg?quality=100&amp;bg-color=255,255,255&amp;fit=bounds&amp;height=700&amp;width=700&amp;canvas=700:700&amp;dpr=1 1x")</f>
        <v/>
      </c>
      <c r="H252">
        <f>_xlfn.IMAGE("https://m.media-amazon.com/images/I/418E1xG3UNL._AC_UL320_.jpg")</f>
        <v/>
      </c>
      <c r="K252" t="inlineStr">
        <is>
          <t>19.99</t>
        </is>
      </c>
      <c r="L252" t="n">
        <v>43.04</v>
      </c>
      <c r="M252" s="2" t="inlineStr">
        <is>
          <t>115.31%</t>
        </is>
      </c>
      <c r="N252" t="n">
        <v>4.6</v>
      </c>
      <c r="O252" t="n">
        <v>3</v>
      </c>
      <c r="Q252" t="inlineStr">
        <is>
          <t>InStock</t>
        </is>
      </c>
      <c r="R252" t="inlineStr">
        <is>
          <t>undefined</t>
        </is>
      </c>
      <c r="S252" t="inlineStr">
        <is>
          <t>1890725-IRWIN</t>
        </is>
      </c>
    </row>
    <row r="253" ht="75" customHeight="1">
      <c r="A253" s="1">
        <f>HYPERLINK("https://www.toolnut.com/irwin-1890725-drill-bit.html", "https://www.toolnut.com/irwin-1890725-drill-bit.html")</f>
        <v/>
      </c>
      <c r="B253" s="1">
        <f>HYPERLINK("https://www.toolnut.com/irwin-1890725-drill-bit.html", "https://www.toolnut.com/irwin-1890725-drill-bit.html")</f>
        <v/>
      </c>
      <c r="C253" t="inlineStr">
        <is>
          <t>Irwin 1890725 Straight Shank Masonry Installer Bit 18-in. x 1/4-in.</t>
        </is>
      </c>
      <c r="D253" t="inlineStr">
        <is>
          <t>IRWIN 1890728 Carbide Tip Straight Shank Installer Drill Bit for Masonry, 18-Inch by 1/2-Inch</t>
        </is>
      </c>
      <c r="E253" s="1">
        <f>HYPERLINK("https://www.amazon.com/1890728-Carbide-Straight-Installer-Masonry/dp/B00LLHDFBW/ref=sr_1_3?keywords=Irwin+1890725+Straight+Shank+Masonry+Installer+Bit+18-in.+x+1%2F4-in.&amp;qid=1695347092&amp;sr=8-3", "https://www.amazon.com/1890728-Carbide-Straight-Installer-Masonry/dp/B00LLHDFBW/ref=sr_1_3?keywords=Irwin+1890725+Straight+Shank+Masonry+Installer+Bit+18-in.+x+1%2F4-in.&amp;qid=1695347092&amp;sr=8-3")</f>
        <v/>
      </c>
      <c r="F253" t="inlineStr">
        <is>
          <t>B00LLHDFBW</t>
        </is>
      </c>
      <c r="G253">
        <f>_xlfn.IMAGE("https://www.toolnut.com/media/catalog/product/1/8/1890725-irwin_001.jpg?quality=100&amp;bg-color=255,255,255&amp;fit=bounds&amp;height=700&amp;width=700&amp;canvas=700:700&amp;dpr=1 1x")</f>
        <v/>
      </c>
      <c r="H253">
        <f>_xlfn.IMAGE("https://m.media-amazon.com/images/I/418E1xG3UNL._AC_UL320_.jpg")</f>
        <v/>
      </c>
      <c r="K253" t="inlineStr">
        <is>
          <t>19.99</t>
        </is>
      </c>
      <c r="L253" t="n">
        <v>43.04</v>
      </c>
      <c r="M253" s="2" t="inlineStr">
        <is>
          <t>115.31%</t>
        </is>
      </c>
      <c r="N253" t="n">
        <v>4.6</v>
      </c>
      <c r="O253" t="n">
        <v>3</v>
      </c>
      <c r="Q253" t="inlineStr">
        <is>
          <t>InStock</t>
        </is>
      </c>
      <c r="R253" t="inlineStr">
        <is>
          <t>undefined</t>
        </is>
      </c>
      <c r="S253" t="inlineStr">
        <is>
          <t>1890725-IRWIN</t>
        </is>
      </c>
    </row>
    <row r="254" ht="75" customHeight="1">
      <c r="A254" s="1">
        <f>HYPERLINK("https://www.toolnut.com/irwin-1890728-drill-bit.html", "https://www.toolnut.com/irwin-1890728-drill-bit.html")</f>
        <v/>
      </c>
      <c r="B254" s="1">
        <f>HYPERLINK("https://www.toolnut.com/irwin-1890728-drill-bit.html", "https://www.toolnut.com/irwin-1890728-drill-bit.html")</f>
        <v/>
      </c>
      <c r="C254" t="inlineStr">
        <is>
          <t>Irwin 1890728 Straight Shank Masonry Installer Bit 18-in. x 1/2-in.</t>
        </is>
      </c>
      <c r="D254" t="inlineStr">
        <is>
          <t>IRWIN 1890728 Carbide Tip Straight Shank Installer Drill Bit for Masonry, 18-Inch by 1/2-Inch</t>
        </is>
      </c>
      <c r="E254" s="1">
        <f>HYPERLINK("https://www.amazon.com/1890728-Carbide-Straight-Installer-Masonry/dp/B00LLHDFBW/ref=sr_1_1?keywords=Irwin+1890728+Straight+Shank+Masonry+Installer+Bit+18-in.+x+1%2F2-in.&amp;qid=1695347084&amp;sr=8-1", "https://www.amazon.com/1890728-Carbide-Straight-Installer-Masonry/dp/B00LLHDFBW/ref=sr_1_1?keywords=Irwin+1890728+Straight+Shank+Masonry+Installer+Bit+18-in.+x+1%2F2-in.&amp;qid=1695347084&amp;sr=8-1")</f>
        <v/>
      </c>
      <c r="F254" t="inlineStr">
        <is>
          <t>B00LLHDFBW</t>
        </is>
      </c>
      <c r="G254">
        <f>_xlfn.IMAGE("https://www.toolnut.com/media/catalog/product/1/8/1890728-irwin_001.jpg?quality=100&amp;bg-color=255,255,255&amp;fit=bounds&amp;height=700&amp;width=700&amp;canvas=700:700&amp;dpr=1 1x")</f>
        <v/>
      </c>
      <c r="H254">
        <f>_xlfn.IMAGE("https://m.media-amazon.com/images/I/418E1xG3UNL._AC_UL320_.jpg")</f>
        <v/>
      </c>
      <c r="K254" t="inlineStr">
        <is>
          <t>25.99</t>
        </is>
      </c>
      <c r="L254" t="n">
        <v>43.04</v>
      </c>
      <c r="M254" s="2" t="inlineStr">
        <is>
          <t>65.60%</t>
        </is>
      </c>
      <c r="N254" t="n">
        <v>4.6</v>
      </c>
      <c r="O254" t="n">
        <v>3</v>
      </c>
      <c r="Q254" t="inlineStr">
        <is>
          <t>InStock</t>
        </is>
      </c>
      <c r="R254" t="inlineStr">
        <is>
          <t>undefined</t>
        </is>
      </c>
      <c r="S254" t="inlineStr">
        <is>
          <t>1890728-IRWIN</t>
        </is>
      </c>
    </row>
    <row r="255" ht="75" customHeight="1">
      <c r="A255" s="1">
        <f>HYPERLINK("https://www.toolnut.com/irwin-1890728-drill-bit.html", "https://www.toolnut.com/irwin-1890728-drill-bit.html")</f>
        <v/>
      </c>
      <c r="B255" s="1">
        <f>HYPERLINK("https://www.toolnut.com/irwin-1890728-drill-bit.html", "https://www.toolnut.com/irwin-1890728-drill-bit.html")</f>
        <v/>
      </c>
      <c r="C255" t="inlineStr">
        <is>
          <t>Irwin 1890728 Straight Shank Masonry Installer Bit 18-in. x 1/2-in.</t>
        </is>
      </c>
      <c r="D255" t="inlineStr">
        <is>
          <t>IRWIN 1890728 Carbide Tip Straight Shank Installer Drill Bit for Masonry, 18-Inch by 1/2-Inch</t>
        </is>
      </c>
      <c r="E255" s="1">
        <f>HYPERLINK("https://www.amazon.com/1890728-Carbide-Straight-Installer-Masonry/dp/B00LLHDFBW/ref=sr_1_1?keywords=Irwin+1890728+Straight+Shank+Masonry+Installer+Bit+18-in.+x+1%2F2-in.&amp;qid=1695347084&amp;sr=8-1", "https://www.amazon.com/1890728-Carbide-Straight-Installer-Masonry/dp/B00LLHDFBW/ref=sr_1_1?keywords=Irwin+1890728+Straight+Shank+Masonry+Installer+Bit+18-in.+x+1%2F2-in.&amp;qid=1695347084&amp;sr=8-1")</f>
        <v/>
      </c>
      <c r="F255" t="inlineStr">
        <is>
          <t>B00LLHDFBW</t>
        </is>
      </c>
      <c r="G255">
        <f>_xlfn.IMAGE("https://www.toolnut.com/media/catalog/product/1/8/1890728-irwin_001.jpg?quality=100&amp;bg-color=255,255,255&amp;fit=bounds&amp;height=700&amp;width=700&amp;canvas=700:700&amp;dpr=1 1x")</f>
        <v/>
      </c>
      <c r="H255">
        <f>_xlfn.IMAGE("https://m.media-amazon.com/images/I/418E1xG3UNL._AC_UL320_.jpg")</f>
        <v/>
      </c>
      <c r="K255" t="inlineStr">
        <is>
          <t>25.99</t>
        </is>
      </c>
      <c r="L255" t="n">
        <v>43.04</v>
      </c>
      <c r="M255" s="2" t="inlineStr">
        <is>
          <t>65.60%</t>
        </is>
      </c>
      <c r="N255" t="n">
        <v>4.6</v>
      </c>
      <c r="O255" t="n">
        <v>3</v>
      </c>
      <c r="Q255" t="inlineStr">
        <is>
          <t>InStock</t>
        </is>
      </c>
      <c r="R255" t="inlineStr">
        <is>
          <t>undefined</t>
        </is>
      </c>
      <c r="S255" t="inlineStr">
        <is>
          <t>1890728-IRWIN</t>
        </is>
      </c>
    </row>
    <row r="256" ht="75" customHeight="1">
      <c r="A256" s="1">
        <f>HYPERLINK("https://www.toolnut.com/irwin-1892842-drill-bit.html", "https://www.toolnut.com/irwin-1892842-drill-bit.html")</f>
        <v/>
      </c>
      <c r="B256" s="1">
        <f>HYPERLINK("https://www.toolnut.com/irwin-1892842-drill-bit.html", "https://www.toolnut.com/irwin-1892842-drill-bit.html")</f>
        <v/>
      </c>
      <c r="C256" t="inlineStr">
        <is>
          <t>Irwin 1892842 Impact TURBOMAX Bit 11/32-in. x 4-3/4-in.</t>
        </is>
      </c>
      <c r="D256" t="inlineStr">
        <is>
          <t>IRWIN Tools 1881324 Impact Performance Series Turbomax Black and Gold Drill Bit Pro Set Case, 10-Piece</t>
        </is>
      </c>
      <c r="E256" s="1">
        <f>HYPERLINK("https://www.amazon.com/Tools-1881324-Performance-Turbomax-10-Piece/dp/B00LAEPCZS/ref=sr_1_4?keywords=Irwin+1892842+Impact+TURBOMAX+Bit+11%2F32-in.+x+4-3%2F4-in.&amp;qid=1695347118&amp;sr=8-4", "https://www.amazon.com/Tools-1881324-Performance-Turbomax-10-Piece/dp/B00LAEPCZS/ref=sr_1_4?keywords=Irwin+1892842+Impact+TURBOMAX+Bit+11%2F32-in.+x+4-3%2F4-in.&amp;qid=1695347118&amp;sr=8-4")</f>
        <v/>
      </c>
      <c r="F256" t="inlineStr">
        <is>
          <t>B00LAEPCZS</t>
        </is>
      </c>
      <c r="G256">
        <f>_xlfn.IMAGE("https://www.toolnut.com/media/catalog/product/1/8/1892842-irwin_1.jpg?quality=100&amp;bg-color=255,255,255&amp;fit=bounds&amp;height=700&amp;width=700&amp;canvas=700:700&amp;dpr=1 1x")</f>
        <v/>
      </c>
      <c r="H256">
        <f>_xlfn.IMAGE("https://m.media-amazon.com/images/I/715WDZuO1iL._AC_UL320_.jpg")</f>
        <v/>
      </c>
      <c r="K256" t="inlineStr">
        <is>
          <t>9.74</t>
        </is>
      </c>
      <c r="L256" t="n">
        <v>32.98</v>
      </c>
      <c r="M256" s="2" t="inlineStr">
        <is>
          <t>238.60%</t>
        </is>
      </c>
      <c r="N256" t="n">
        <v>4.4</v>
      </c>
      <c r="O256" t="n">
        <v>34</v>
      </c>
      <c r="Q256" t="inlineStr">
        <is>
          <t>OutOfStock</t>
        </is>
      </c>
      <c r="R256" t="inlineStr">
        <is>
          <t>undefined</t>
        </is>
      </c>
      <c r="S256" t="inlineStr">
        <is>
          <t>1892842-IRWIN</t>
        </is>
      </c>
    </row>
    <row r="257" ht="75" customHeight="1">
      <c r="A257" s="1">
        <f>HYPERLINK("https://www.toolnut.com/irwin-1900533-drill-bit.html", "https://www.toolnut.com/irwin-1900533-drill-bit.html")</f>
        <v/>
      </c>
      <c r="B257" s="1">
        <f>HYPERLINK("https://www.toolnut.com/irwin-1900533-drill-bit.html", "https://www.toolnut.com/irwin-1900533-drill-bit.html")</f>
        <v/>
      </c>
      <c r="C257" t="inlineStr">
        <is>
          <t>Irwin 1900533 BOLT-GRIP Deep Well Bolt Extractors 10mm</t>
        </is>
      </c>
      <c r="D257" t="inlineStr">
        <is>
          <t>IRWIN Tools IMPACT Performance Series BOLT GRIP Deep Well Bolt Extractors, 3/8-inch Square Drive, 6-Piece Set with 1/4-inch Hex Drive to 3/8-inch Square Socket Adapter (1859143)</t>
        </is>
      </c>
      <c r="E257" s="1">
        <f>HYPERLINK("https://www.amazon.com/Performance-Extractors-6-Piece-Adapter-1859143/dp/B00LFUTXPM/ref=sr_1_2?keywords=Irwin+1900533+BOLT-GRIP+Deep+Well+Bolt+Extractors+10mm&amp;qid=1695347050&amp;sr=8-2", "https://www.amazon.com/Performance-Extractors-6-Piece-Adapter-1859143/dp/B00LFUTXPM/ref=sr_1_2?keywords=Irwin+1900533+BOLT-GRIP+Deep+Well+Bolt+Extractors+10mm&amp;qid=1695347050&amp;sr=8-2")</f>
        <v/>
      </c>
      <c r="F257" t="inlineStr">
        <is>
          <t>B00LFUTXPM</t>
        </is>
      </c>
      <c r="G257">
        <f>_xlfn.IMAGE("https://www.toolnut.com/media/catalog/product/1/9/1900533-irwin_001.jpg?quality=100&amp;bg-color=255,255,255&amp;fit=bounds&amp;height=700&amp;width=700&amp;canvas=700:700&amp;dpr=1 1x")</f>
        <v/>
      </c>
      <c r="H257">
        <f>_xlfn.IMAGE("https://m.media-amazon.com/images/I/61OalwnSGYL._AC_UL320_.jpg")</f>
        <v/>
      </c>
      <c r="K257" t="inlineStr">
        <is>
          <t>11.59</t>
        </is>
      </c>
      <c r="L257" t="n">
        <v>23.99</v>
      </c>
      <c r="M257" s="2" t="inlineStr">
        <is>
          <t>106.99%</t>
        </is>
      </c>
      <c r="N257" t="n">
        <v>4.6</v>
      </c>
      <c r="O257" t="n">
        <v>168</v>
      </c>
      <c r="Q257" t="inlineStr">
        <is>
          <t>InStock</t>
        </is>
      </c>
      <c r="R257" t="inlineStr">
        <is>
          <t>undefined</t>
        </is>
      </c>
      <c r="S257" t="inlineStr">
        <is>
          <t>1900533-IRWIN</t>
        </is>
      </c>
    </row>
    <row r="258" ht="75" customHeight="1">
      <c r="A258" s="1">
        <f>HYPERLINK("https://www.toolnut.com/irwin-1900533-drill-bit.html", "https://www.toolnut.com/irwin-1900533-drill-bit.html")</f>
        <v/>
      </c>
      <c r="B258" s="1">
        <f>HYPERLINK("https://www.toolnut.com/irwin-1900533-drill-bit.html", "https://www.toolnut.com/irwin-1900533-drill-bit.html")</f>
        <v/>
      </c>
      <c r="C258" t="inlineStr">
        <is>
          <t>Irwin 1900533 BOLT-GRIP Deep Well Bolt Extractors 10mm</t>
        </is>
      </c>
      <c r="D258" t="inlineStr">
        <is>
          <t>IRWIN Tools IMPACT Performance Series BOLT GRIP Deep Well Bolt Extractors, 3/8-inch Square Drive, 6-Piece Set with 1/4-inch Hex Drive to 3/8-inch Square Socket Adapter (1859143)</t>
        </is>
      </c>
      <c r="E258" s="1">
        <f>HYPERLINK("https://www.amazon.com/Performance-Extractors-6-Piece-Adapter-1859143/dp/B00LFUTXPM/ref=sr_1_2?keywords=Irwin+1900533+BOLT-GRIP+Deep+Well+Bolt+Extractors+10mm&amp;qid=1695347050&amp;sr=8-2", "https://www.amazon.com/Performance-Extractors-6-Piece-Adapter-1859143/dp/B00LFUTXPM/ref=sr_1_2?keywords=Irwin+1900533+BOLT-GRIP+Deep+Well+Bolt+Extractors+10mm&amp;qid=1695347050&amp;sr=8-2")</f>
        <v/>
      </c>
      <c r="F258" t="inlineStr">
        <is>
          <t>B00LFUTXPM</t>
        </is>
      </c>
      <c r="G258">
        <f>_xlfn.IMAGE("https://www.toolnut.com/media/catalog/product/1/9/1900533-irwin_001.jpg?quality=100&amp;bg-color=255,255,255&amp;fit=bounds&amp;height=700&amp;width=700&amp;canvas=700:700&amp;dpr=1 1x")</f>
        <v/>
      </c>
      <c r="H258">
        <f>_xlfn.IMAGE("https://m.media-amazon.com/images/I/61OalwnSGYL._AC_UL320_.jpg")</f>
        <v/>
      </c>
      <c r="K258" t="inlineStr">
        <is>
          <t>11.59</t>
        </is>
      </c>
      <c r="L258" t="n">
        <v>23.99</v>
      </c>
      <c r="M258" s="2" t="inlineStr">
        <is>
          <t>106.99%</t>
        </is>
      </c>
      <c r="N258" t="n">
        <v>4.6</v>
      </c>
      <c r="O258" t="n">
        <v>168</v>
      </c>
      <c r="Q258" t="inlineStr">
        <is>
          <t>InStock</t>
        </is>
      </c>
      <c r="R258" t="inlineStr">
        <is>
          <t>undefined</t>
        </is>
      </c>
      <c r="S258" t="inlineStr">
        <is>
          <t>1900533-IRWIN</t>
        </is>
      </c>
    </row>
    <row r="259" ht="75" customHeight="1">
      <c r="A259" s="1">
        <f>HYPERLINK("https://www.toolnut.com/irwin-1903620-driver-bit.html", "https://www.toolnut.com/irwin-1903620-driver-bit.html")</f>
        <v/>
      </c>
      <c r="B259" s="1">
        <f>HYPERLINK("https://www.toolnut.com/irwin-1903620-driver-bit.html", "https://www.toolnut.com/irwin-1903620-driver-bit.html")</f>
        <v/>
      </c>
      <c r="C259" t="inlineStr">
        <is>
          <t>Irwin 1903620 Magnetic Screw-Hold Attachment 5 Piece Set</t>
        </is>
      </c>
      <c r="D259" t="inlineStr">
        <is>
          <t>IRWIN Square Drive Bit Set with Magnetic Screw Setter, Impact Performance Series, Assorted, 2-Inch, 5-Piece (1903620)</t>
        </is>
      </c>
      <c r="E259" s="1">
        <f>HYPERLINK("https://www.amazon.com/Tools-Performance-Screwdriver-Attachment-1903620/dp/B00LAZ0RL6/ref=sr_1_1?keywords=Irwin+1903620+Magnetic+Screw-Hold+Attachment+5+Piece+Set&amp;qid=1695347118&amp;sr=8-1", "https://www.amazon.com/Tools-Performance-Screwdriver-Attachment-1903620/dp/B00LAZ0RL6/ref=sr_1_1?keywords=Irwin+1903620+Magnetic+Screw-Hold+Attachment+5+Piece+Set&amp;qid=1695347118&amp;sr=8-1")</f>
        <v/>
      </c>
      <c r="F259" t="inlineStr">
        <is>
          <t>B00LAZ0RL6</t>
        </is>
      </c>
      <c r="G259">
        <f>_xlfn.IMAGE("https://www.toolnut.com/media/catalog/product/1/9/1903620-irwin-drill-bits-impact-accessories-power-bit-sets-primary.jpg?quality=100&amp;bg-color=255,255,255&amp;fit=bounds&amp;height=700&amp;width=700&amp;canvas=700:700&amp;dpr=1 1x")</f>
        <v/>
      </c>
      <c r="H259">
        <f>_xlfn.IMAGE("https://m.media-amazon.com/images/I/71EO9CC+BqL._AC_UL320_.jpg")</f>
        <v/>
      </c>
      <c r="K259" t="inlineStr">
        <is>
          <t>6.59</t>
        </is>
      </c>
      <c r="L259" t="n">
        <v>19.92</v>
      </c>
      <c r="M259" s="2" t="inlineStr">
        <is>
          <t>202.28%</t>
        </is>
      </c>
      <c r="N259" t="n">
        <v>4.5</v>
      </c>
      <c r="O259" t="n">
        <v>288</v>
      </c>
      <c r="Q259" t="inlineStr">
        <is>
          <t>InStock</t>
        </is>
      </c>
      <c r="R259" t="inlineStr">
        <is>
          <t>undefined</t>
        </is>
      </c>
      <c r="S259" t="inlineStr">
        <is>
          <t>1903620-IRWIN</t>
        </is>
      </c>
    </row>
    <row r="260" ht="75" customHeight="1">
      <c r="A260" s="1">
        <f>HYPERLINK("https://www.toolnut.com/irwin-1966894-drill-bit.html", "https://www.toolnut.com/irwin-1966894-drill-bit.html")</f>
        <v/>
      </c>
      <c r="B260" s="1">
        <f>HYPERLINK("https://www.toolnut.com/irwin-1966894-drill-bit.html", "https://www.toolnut.com/irwin-1966894-drill-bit.html")</f>
        <v/>
      </c>
      <c r="C260" t="inlineStr">
        <is>
          <t>Irwin 1966894 Marples Wood Drilling Forstner Bit 1/4-in.</t>
        </is>
      </c>
      <c r="D260" t="inlineStr">
        <is>
          <t>IRWIN Marples Forstner Bit Set, Wood Drill Bits, Made of Carbon Steel, Ideal for Fine Woodworking, Cabinet-making and more, 14 Pieces (1966893)</t>
        </is>
      </c>
      <c r="E260" s="1">
        <f>HYPERLINK("https://www.amazon.com/Irwin-Tools-1966893-Drilling-Forstner/dp/B071S1BGXV/ref=sr_1_4?keywords=Irwin+1966894+Marples+Wood+Drilling+Forstner+Bit+1%2F4-in.&amp;qid=1695347152&amp;sr=8-4", "https://www.amazon.com/Irwin-Tools-1966893-Drilling-Forstner/dp/B071S1BGXV/ref=sr_1_4?keywords=Irwin+1966894+Marples+Wood+Drilling+Forstner+Bit+1%2F4-in.&amp;qid=1695347152&amp;sr=8-4")</f>
        <v/>
      </c>
      <c r="F260" t="inlineStr">
        <is>
          <t>B071S1BGXV</t>
        </is>
      </c>
      <c r="G260">
        <f>_xlfn.IMAGE("https://www.toolnut.com/media/catalog/product/1/9/1966894-irwin-marples-drill-bits-wood-boring-forstner-.25in-primary.jpg?quality=100&amp;bg-color=255,255,255&amp;fit=bounds&amp;height=700&amp;width=700&amp;canvas=700:700&amp;dpr=1 1x")</f>
        <v/>
      </c>
      <c r="H260">
        <f>_xlfn.IMAGE("https://m.media-amazon.com/images/I/71sWaJmpIOS._AC_UL320_.jpg")</f>
        <v/>
      </c>
      <c r="K260" t="inlineStr">
        <is>
          <t>5.49</t>
        </is>
      </c>
      <c r="L260" t="n">
        <v>54.98</v>
      </c>
      <c r="M260" s="2" t="inlineStr">
        <is>
          <t>901.46%</t>
        </is>
      </c>
      <c r="N260" t="n">
        <v>4.6</v>
      </c>
      <c r="O260" t="n">
        <v>2139</v>
      </c>
      <c r="Q260" t="inlineStr">
        <is>
          <t>InStock</t>
        </is>
      </c>
      <c r="R260" t="inlineStr">
        <is>
          <t>undefined</t>
        </is>
      </c>
      <c r="S260" t="inlineStr">
        <is>
          <t>1966894-IRWIN</t>
        </is>
      </c>
    </row>
    <row r="261" ht="75" customHeight="1">
      <c r="A261" s="1">
        <f>HYPERLINK("https://www.toolnut.com/irwin-1966894-drill-bit.html", "https://www.toolnut.com/irwin-1966894-drill-bit.html")</f>
        <v/>
      </c>
      <c r="B261" s="1">
        <f>HYPERLINK("https://www.toolnut.com/irwin-1966894-drill-bit.html", "https://www.toolnut.com/irwin-1966894-drill-bit.html")</f>
        <v/>
      </c>
      <c r="C261" t="inlineStr">
        <is>
          <t>Irwin 1966894 Marples Wood Drilling Forstner Bit 1/4-in.</t>
        </is>
      </c>
      <c r="D261" t="inlineStr">
        <is>
          <t>IRWIN Marples Forstner Bit Set, Wood Drilling, 8 Piece (1966892)</t>
        </is>
      </c>
      <c r="E261" s="1">
        <f>HYPERLINK("https://www.amazon.com/Irwin-Tools-1966892-Drilling-Forstner/dp/B07145HBPL/ref=sr_1_3?keywords=Irwin+1966894+Marples+Wood+Drilling+Forstner+Bit+1%2F4-in.&amp;qid=1695347152&amp;sr=8-3", "https://www.amazon.com/Irwin-Tools-1966892-Drilling-Forstner/dp/B07145HBPL/ref=sr_1_3?keywords=Irwin+1966894+Marples+Wood+Drilling+Forstner+Bit+1%2F4-in.&amp;qid=1695347152&amp;sr=8-3")</f>
        <v/>
      </c>
      <c r="F261" t="inlineStr">
        <is>
          <t>B07145HBPL</t>
        </is>
      </c>
      <c r="G261">
        <f>_xlfn.IMAGE("https://www.toolnut.com/media/catalog/product/1/9/1966894-irwin-marples-drill-bits-wood-boring-forstner-.25in-primary.jpg?quality=100&amp;bg-color=255,255,255&amp;fit=bounds&amp;height=700&amp;width=700&amp;canvas=700:700&amp;dpr=1 1x")</f>
        <v/>
      </c>
      <c r="H261">
        <f>_xlfn.IMAGE("https://m.media-amazon.com/images/I/918HiQFbc-L._AC_UL320_.jpg")</f>
        <v/>
      </c>
      <c r="K261" t="inlineStr">
        <is>
          <t>5.49</t>
        </is>
      </c>
      <c r="L261" t="n">
        <v>34.98</v>
      </c>
      <c r="M261" s="2" t="inlineStr">
        <is>
          <t>537.16%</t>
        </is>
      </c>
      <c r="N261" t="n">
        <v>4.7</v>
      </c>
      <c r="O261" t="n">
        <v>1535</v>
      </c>
      <c r="Q261" t="inlineStr">
        <is>
          <t>InStock</t>
        </is>
      </c>
      <c r="R261" t="inlineStr">
        <is>
          <t>undefined</t>
        </is>
      </c>
      <c r="S261" t="inlineStr">
        <is>
          <t>1966894-IRWIN</t>
        </is>
      </c>
    </row>
    <row r="262" ht="75" customHeight="1">
      <c r="A262" s="1">
        <f>HYPERLINK("https://www.toolnut.com/irwin-1966894-drill-bit.html", "https://www.toolnut.com/irwin-1966894-drill-bit.html")</f>
        <v/>
      </c>
      <c r="B262" s="1">
        <f>HYPERLINK("https://www.toolnut.com/irwin-1966894-drill-bit.html", "https://www.toolnut.com/irwin-1966894-drill-bit.html")</f>
        <v/>
      </c>
      <c r="C262" t="inlineStr">
        <is>
          <t>Irwin 1966894 Marples Wood Drilling Forstner Bit 1/4-in.</t>
        </is>
      </c>
      <c r="D262" t="inlineStr">
        <is>
          <t>Forstner Bit Set, Forstner Drill Bits for Wood, 6 pcs Sizes 3/4" - 1-1/2" Wood Drilling Cabinet Hinge Hole Saw Cutter Tool Kits, Ideal for Fine Woodworking on Hard Woods Plywood and Plastic</t>
        </is>
      </c>
      <c r="E262" s="1">
        <f>HYPERLINK("https://www.amazon.com/Forstner-Drill-Bits-Wood-Sizes/dp/B0C2D1G15Q/ref=sr_1_10?keywords=Irwin+1966894+Marples+Wood+Drilling+Forstner+Bit+1%2F4-in.&amp;qid=1695347152&amp;sr=8-10", "https://www.amazon.com/Forstner-Drill-Bits-Wood-Sizes/dp/B0C2D1G15Q/ref=sr_1_10?keywords=Irwin+1966894+Marples+Wood+Drilling+Forstner+Bit+1%2F4-in.&amp;qid=1695347152&amp;sr=8-10")</f>
        <v/>
      </c>
      <c r="F262" t="inlineStr">
        <is>
          <t>B0C2D1G15Q</t>
        </is>
      </c>
      <c r="G262">
        <f>_xlfn.IMAGE("https://www.toolnut.com/media/catalog/product/1/9/1966894-irwin-marples-drill-bits-wood-boring-forstner-.25in-primary.jpg?quality=100&amp;bg-color=255,255,255&amp;fit=bounds&amp;height=700&amp;width=700&amp;canvas=700:700&amp;dpr=1 1x")</f>
        <v/>
      </c>
      <c r="H262">
        <f>_xlfn.IMAGE("https://m.media-amazon.com/images/I/61jhH2-hH7L._AC_UL320_.jpg")</f>
        <v/>
      </c>
      <c r="K262" t="inlineStr">
        <is>
          <t>5.49</t>
        </is>
      </c>
      <c r="L262" t="n">
        <v>29.99</v>
      </c>
      <c r="M262" s="2" t="inlineStr">
        <is>
          <t>446.27%</t>
        </is>
      </c>
      <c r="N262" t="n">
        <v>3.9</v>
      </c>
      <c r="O262" t="n">
        <v>24</v>
      </c>
      <c r="Q262" t="inlineStr">
        <is>
          <t>InStock</t>
        </is>
      </c>
      <c r="R262" t="inlineStr">
        <is>
          <t>undefined</t>
        </is>
      </c>
      <c r="S262" t="inlineStr">
        <is>
          <t>1966894-IRWIN</t>
        </is>
      </c>
    </row>
    <row r="263" ht="75" customHeight="1">
      <c r="A263" s="1">
        <f>HYPERLINK("https://www.toolnut.com/irwin-1966895-drill-bit.html", "https://www.toolnut.com/irwin-1966895-drill-bit.html")</f>
        <v/>
      </c>
      <c r="B263" s="1">
        <f>HYPERLINK("https://www.toolnut.com/irwin-1966895-drill-bit.html", "https://www.toolnut.com/irwin-1966895-drill-bit.html")</f>
        <v/>
      </c>
      <c r="C263" t="inlineStr">
        <is>
          <t>Irwin 1966895 Marples Wood Drilling Forstner Bit 3/8-in.</t>
        </is>
      </c>
      <c r="D263" t="inlineStr">
        <is>
          <t>IRWIN Marples Forstner Bit Set, Wood Drill Bits, Made of Carbon Steel, Ideal for Fine Woodworking, Cabinet-making and more, 14 Pieces (1966893)</t>
        </is>
      </c>
      <c r="E263" s="1">
        <f>HYPERLINK("https://www.amazon.com/Irwin-Tools-1966893-Drilling-Forstner/dp/B071S1BGXV/ref=sr_1_8?keywords=Irwin+1966895+Marples+Wood+Drilling+Forstner+Bit+3%2F8-in.&amp;qid=1695347146&amp;sr=8-8", "https://www.amazon.com/Irwin-Tools-1966893-Drilling-Forstner/dp/B071S1BGXV/ref=sr_1_8?keywords=Irwin+1966895+Marples+Wood+Drilling+Forstner+Bit+3%2F8-in.&amp;qid=1695347146&amp;sr=8-8")</f>
        <v/>
      </c>
      <c r="F263" t="inlineStr">
        <is>
          <t>B071S1BGXV</t>
        </is>
      </c>
      <c r="G263">
        <f>_xlfn.IMAGE("https://www.toolnut.com/media/catalog/product/1/9/1966895-irwin-marples-drill-bits-wood-boring-forstner-.375in-primary.jpg?quality=100&amp;bg-color=255,255,255&amp;fit=bounds&amp;height=700&amp;width=700&amp;canvas=700:700&amp;dpr=1 1x")</f>
        <v/>
      </c>
      <c r="H263">
        <f>_xlfn.IMAGE("https://m.media-amazon.com/images/I/71sWaJmpIOS._AC_UL320_.jpg")</f>
        <v/>
      </c>
      <c r="K263" t="inlineStr">
        <is>
          <t>5.49</t>
        </is>
      </c>
      <c r="L263" t="n">
        <v>54.98</v>
      </c>
      <c r="M263" s="2" t="inlineStr">
        <is>
          <t>901.46%</t>
        </is>
      </c>
      <c r="N263" t="n">
        <v>4.6</v>
      </c>
      <c r="O263" t="n">
        <v>2139</v>
      </c>
      <c r="Q263" t="inlineStr">
        <is>
          <t>InStock</t>
        </is>
      </c>
      <c r="R263" t="inlineStr">
        <is>
          <t>undefined</t>
        </is>
      </c>
      <c r="S263" t="inlineStr">
        <is>
          <t>1966895-IRWIN</t>
        </is>
      </c>
    </row>
    <row r="264" ht="75" customHeight="1">
      <c r="A264" s="1">
        <f>HYPERLINK("https://www.toolnut.com/irwin-1966895-drill-bit.html", "https://www.toolnut.com/irwin-1966895-drill-bit.html")</f>
        <v/>
      </c>
      <c r="B264" s="1">
        <f>HYPERLINK("https://www.toolnut.com/irwin-1966895-drill-bit.html", "https://www.toolnut.com/irwin-1966895-drill-bit.html")</f>
        <v/>
      </c>
      <c r="C264" t="inlineStr">
        <is>
          <t>Irwin 1966895 Marples Wood Drilling Forstner Bit 3/8-in.</t>
        </is>
      </c>
      <c r="D264" t="inlineStr">
        <is>
          <t>IRWIN Marples Forstner Bit Set, Wood Drilling, 8 Piece (1966892)</t>
        </is>
      </c>
      <c r="E264" s="1">
        <f>HYPERLINK("https://www.amazon.com/Irwin-Tools-1966892-Drilling-Forstner/dp/B07145HBPL/ref=sr_1_3?keywords=Irwin+1966895+Marples+Wood+Drilling+Forstner+Bit+3%2F8-in.&amp;qid=1695347146&amp;sr=8-3", "https://www.amazon.com/Irwin-Tools-1966892-Drilling-Forstner/dp/B07145HBPL/ref=sr_1_3?keywords=Irwin+1966895+Marples+Wood+Drilling+Forstner+Bit+3%2F8-in.&amp;qid=1695347146&amp;sr=8-3")</f>
        <v/>
      </c>
      <c r="F264" t="inlineStr">
        <is>
          <t>B07145HBPL</t>
        </is>
      </c>
      <c r="G264">
        <f>_xlfn.IMAGE("https://www.toolnut.com/media/catalog/product/1/9/1966895-irwin-marples-drill-bits-wood-boring-forstner-.375in-primary.jpg?quality=100&amp;bg-color=255,255,255&amp;fit=bounds&amp;height=700&amp;width=700&amp;canvas=700:700&amp;dpr=1 1x")</f>
        <v/>
      </c>
      <c r="H264">
        <f>_xlfn.IMAGE("https://m.media-amazon.com/images/I/918HiQFbc-L._AC_UL320_.jpg")</f>
        <v/>
      </c>
      <c r="K264" t="inlineStr">
        <is>
          <t>5.49</t>
        </is>
      </c>
      <c r="L264" t="n">
        <v>34.98</v>
      </c>
      <c r="M264" s="2" t="inlineStr">
        <is>
          <t>537.16%</t>
        </is>
      </c>
      <c r="N264" t="n">
        <v>4.7</v>
      </c>
      <c r="O264" t="n">
        <v>1535</v>
      </c>
      <c r="Q264" t="inlineStr">
        <is>
          <t>InStock</t>
        </is>
      </c>
      <c r="R264" t="inlineStr">
        <is>
          <t>undefined</t>
        </is>
      </c>
      <c r="S264" t="inlineStr">
        <is>
          <t>1966895-IRWIN</t>
        </is>
      </c>
    </row>
    <row r="265" ht="75" customHeight="1">
      <c r="A265" s="1">
        <f>HYPERLINK("https://www.toolnut.com/irwin-1966896-drill-bit.html", "https://www.toolnut.com/irwin-1966896-drill-bit.html")</f>
        <v/>
      </c>
      <c r="B265" s="1">
        <f>HYPERLINK("https://www.toolnut.com/irwin-1966896-drill-bit.html", "https://www.toolnut.com/irwin-1966896-drill-bit.html")</f>
        <v/>
      </c>
      <c r="C265" t="inlineStr">
        <is>
          <t>Irwin 1966896 Marples Wood Drilling Forstner Bit 1/2-in.</t>
        </is>
      </c>
      <c r="D265" t="inlineStr">
        <is>
          <t>IRWIN Marples Forstner Bit Set, Wood Drill Bits, Made of Carbon Steel, Ideal for Fine Woodworking, Cabinet-making and more, 14 Pieces (1966893)</t>
        </is>
      </c>
      <c r="E265" s="1">
        <f>HYPERLINK("https://www.amazon.com/Irwin-Tools-1966893-Drilling-Forstner/dp/B071S1BGXV/ref=sr_1_7?keywords=Irwin+1966896+Marples+Wood+Drilling+Forstner+Bit+1%2F2-in.&amp;qid=1695347153&amp;sr=8-7", "https://www.amazon.com/Irwin-Tools-1966893-Drilling-Forstner/dp/B071S1BGXV/ref=sr_1_7?keywords=Irwin+1966896+Marples+Wood+Drilling+Forstner+Bit+1%2F2-in.&amp;qid=1695347153&amp;sr=8-7")</f>
        <v/>
      </c>
      <c r="F265" t="inlineStr">
        <is>
          <t>B071S1BGXV</t>
        </is>
      </c>
      <c r="G265">
        <f>_xlfn.IMAGE("https://www.toolnut.com/media/catalog/product/1/9/1966896-irwin_1.jpg?quality=100&amp;bg-color=255,255,255&amp;fit=bounds&amp;height=700&amp;width=700&amp;canvas=700:700&amp;dpr=1 1x")</f>
        <v/>
      </c>
      <c r="H265">
        <f>_xlfn.IMAGE("https://m.media-amazon.com/images/I/71sWaJmpIOS._AC_UL320_.jpg")</f>
        <v/>
      </c>
      <c r="K265" t="inlineStr">
        <is>
          <t>5.99</t>
        </is>
      </c>
      <c r="L265" t="n">
        <v>54.98</v>
      </c>
      <c r="M265" s="2" t="inlineStr">
        <is>
          <t>817.86%</t>
        </is>
      </c>
      <c r="N265" t="n">
        <v>4.6</v>
      </c>
      <c r="O265" t="n">
        <v>2139</v>
      </c>
      <c r="Q265" t="inlineStr">
        <is>
          <t>InStock</t>
        </is>
      </c>
      <c r="R265" t="inlineStr">
        <is>
          <t>undefined</t>
        </is>
      </c>
      <c r="S265" t="inlineStr">
        <is>
          <t>1966896-IRWIN</t>
        </is>
      </c>
    </row>
    <row r="266" ht="75" customHeight="1">
      <c r="A266" s="1">
        <f>HYPERLINK("https://www.toolnut.com/irwin-1966896-drill-bit.html", "https://www.toolnut.com/irwin-1966896-drill-bit.html")</f>
        <v/>
      </c>
      <c r="B266" s="1">
        <f>HYPERLINK("https://www.toolnut.com/irwin-1966896-drill-bit.html", "https://www.toolnut.com/irwin-1966896-drill-bit.html")</f>
        <v/>
      </c>
      <c r="C266" t="inlineStr">
        <is>
          <t>Irwin 1966896 Marples Wood Drilling Forstner Bit 1/2-in.</t>
        </is>
      </c>
      <c r="D266" t="inlineStr">
        <is>
          <t>IRWIN Marples Forstner Bit Set, Wood Drilling, 8 Piece (1966892)</t>
        </is>
      </c>
      <c r="E266" s="1">
        <f>HYPERLINK("https://www.amazon.com/Irwin-Tools-1966892-Drilling-Forstner/dp/B07145HBPL/ref=sr_1_3?keywords=Irwin+1966896+Marples+Wood+Drilling+Forstner+Bit+1%2F2-in.&amp;qid=1695347153&amp;sr=8-3", "https://www.amazon.com/Irwin-Tools-1966892-Drilling-Forstner/dp/B07145HBPL/ref=sr_1_3?keywords=Irwin+1966896+Marples+Wood+Drilling+Forstner+Bit+1%2F2-in.&amp;qid=1695347153&amp;sr=8-3")</f>
        <v/>
      </c>
      <c r="F266" t="inlineStr">
        <is>
          <t>B07145HBPL</t>
        </is>
      </c>
      <c r="G266">
        <f>_xlfn.IMAGE("https://www.toolnut.com/media/catalog/product/1/9/1966896-irwin_1.jpg?quality=100&amp;bg-color=255,255,255&amp;fit=bounds&amp;height=700&amp;width=700&amp;canvas=700:700&amp;dpr=1 1x")</f>
        <v/>
      </c>
      <c r="H266">
        <f>_xlfn.IMAGE("https://m.media-amazon.com/images/I/918HiQFbc-L._AC_UL320_.jpg")</f>
        <v/>
      </c>
      <c r="K266" t="inlineStr">
        <is>
          <t>5.99</t>
        </is>
      </c>
      <c r="L266" t="n">
        <v>34.98</v>
      </c>
      <c r="M266" s="2" t="inlineStr">
        <is>
          <t>483.97%</t>
        </is>
      </c>
      <c r="N266" t="n">
        <v>4.7</v>
      </c>
      <c r="O266" t="n">
        <v>1535</v>
      </c>
      <c r="Q266" t="inlineStr">
        <is>
          <t>InStock</t>
        </is>
      </c>
      <c r="R266" t="inlineStr">
        <is>
          <t>undefined</t>
        </is>
      </c>
      <c r="S266" t="inlineStr">
        <is>
          <t>1966896-IRWIN</t>
        </is>
      </c>
    </row>
    <row r="267" ht="75" customHeight="1">
      <c r="A267" s="1">
        <f>HYPERLINK("https://www.toolnut.com/irwin-1966897-drill-bit.html", "https://www.toolnut.com/irwin-1966897-drill-bit.html")</f>
        <v/>
      </c>
      <c r="B267" s="1">
        <f>HYPERLINK("https://www.toolnut.com/irwin-1966897-drill-bit.html", "https://www.toolnut.com/irwin-1966897-drill-bit.html")</f>
        <v/>
      </c>
      <c r="C267" t="inlineStr">
        <is>
          <t>Irwin 1966897 Marples Wood Drilling Forstner Bit 5/8-in.</t>
        </is>
      </c>
      <c r="D267" t="inlineStr">
        <is>
          <t>IRWIN Marples Forstner Bit Set, Wood Drilling, 8 Piece (1966892)</t>
        </is>
      </c>
      <c r="E267" s="1">
        <f>HYPERLINK("https://www.amazon.com/Irwin-Tools-1966892-Drilling-Forstner/dp/B07145HBPL/ref=sr_1_4?keywords=Irwin+1966897+Marples+Wood+Drilling+Forstner+Bit+5%2F8-in.&amp;qid=1695347144&amp;sr=8-4", "https://www.amazon.com/Irwin-Tools-1966892-Drilling-Forstner/dp/B07145HBPL/ref=sr_1_4?keywords=Irwin+1966897+Marples+Wood+Drilling+Forstner+Bit+5%2F8-in.&amp;qid=1695347144&amp;sr=8-4")</f>
        <v/>
      </c>
      <c r="F267" t="inlineStr">
        <is>
          <t>B07145HBPL</t>
        </is>
      </c>
      <c r="G267">
        <f>_xlfn.IMAGE("https://www.toolnut.com/media/catalog/product/1/9/1966897-irwin-marples-drill-bits-wood-boring-forstner-.625in-primary.jpg?quality=100&amp;bg-color=255,255,255&amp;fit=bounds&amp;height=700&amp;width=700&amp;canvas=700:700&amp;dpr=1 1x")</f>
        <v/>
      </c>
      <c r="H267">
        <f>_xlfn.IMAGE("https://m.media-amazon.com/images/I/918HiQFbc-L._AC_UL320_.jpg")</f>
        <v/>
      </c>
      <c r="K267" t="inlineStr">
        <is>
          <t>6.79</t>
        </is>
      </c>
      <c r="L267" t="n">
        <v>34.98</v>
      </c>
      <c r="M267" s="2" t="inlineStr">
        <is>
          <t>415.17%</t>
        </is>
      </c>
      <c r="N267" t="n">
        <v>4.7</v>
      </c>
      <c r="O267" t="n">
        <v>1535</v>
      </c>
      <c r="Q267" t="inlineStr">
        <is>
          <t>InStock</t>
        </is>
      </c>
      <c r="R267" t="inlineStr">
        <is>
          <t>undefined</t>
        </is>
      </c>
      <c r="S267" t="inlineStr">
        <is>
          <t>1966897-IRWIN</t>
        </is>
      </c>
    </row>
    <row r="268" ht="75" customHeight="1">
      <c r="A268" s="1">
        <f>HYPERLINK("https://www.toolnut.com/irwin-1966898-drill-bit.html", "https://www.toolnut.com/irwin-1966898-drill-bit.html")</f>
        <v/>
      </c>
      <c r="B268" s="1">
        <f>HYPERLINK("https://www.toolnut.com/irwin-1966898-drill-bit.html", "https://www.toolnut.com/irwin-1966898-drill-bit.html")</f>
        <v/>
      </c>
      <c r="C268" t="inlineStr">
        <is>
          <t>Irwin 1966898 Marples Wood Drilling Forstner Bit 3/4-in.</t>
        </is>
      </c>
      <c r="D268" t="inlineStr">
        <is>
          <t>IRWIN Marples Forstner Bit Set, Wood Drilling, 8 Piece (1966892)</t>
        </is>
      </c>
      <c r="E268" s="1">
        <f>HYPERLINK("https://www.amazon.com/Irwin-Tools-1966892-Drilling-Forstner/dp/B07145HBPL/ref=sr_1_6?keywords=Irwin+1966898+Marples+Wood+Drilling+Forstner+Bit+3%2F4-in.&amp;qid=1695347144&amp;sr=8-6", "https://www.amazon.com/Irwin-Tools-1966892-Drilling-Forstner/dp/B07145HBPL/ref=sr_1_6?keywords=Irwin+1966898+Marples+Wood+Drilling+Forstner+Bit+3%2F4-in.&amp;qid=1695347144&amp;sr=8-6")</f>
        <v/>
      </c>
      <c r="F268" t="inlineStr">
        <is>
          <t>B07145HBPL</t>
        </is>
      </c>
      <c r="G268">
        <f>_xlfn.IMAGE("https://www.toolnut.com/media/catalog/product/1/9/1966898-irwin_1.jpg?quality=100&amp;bg-color=255,255,255&amp;fit=bounds&amp;height=700&amp;width=700&amp;canvas=700:700&amp;dpr=1 1x")</f>
        <v/>
      </c>
      <c r="H268">
        <f>_xlfn.IMAGE("https://m.media-amazon.com/images/I/918HiQFbc-L._AC_UL320_.jpg")</f>
        <v/>
      </c>
      <c r="K268" t="inlineStr">
        <is>
          <t>7.74</t>
        </is>
      </c>
      <c r="L268" t="n">
        <v>34.98</v>
      </c>
      <c r="M268" s="2" t="inlineStr">
        <is>
          <t>351.94%</t>
        </is>
      </c>
      <c r="N268" t="n">
        <v>4.7</v>
      </c>
      <c r="O268" t="n">
        <v>1535</v>
      </c>
      <c r="Q268" t="inlineStr">
        <is>
          <t>InStock</t>
        </is>
      </c>
      <c r="R268" t="inlineStr">
        <is>
          <t>undefined</t>
        </is>
      </c>
      <c r="S268" t="inlineStr">
        <is>
          <t>1966898-IRWIN</t>
        </is>
      </c>
    </row>
    <row r="269" ht="75" customHeight="1">
      <c r="A269" s="1">
        <f>HYPERLINK("https://www.toolnut.com/irwin-1966899-drill-bit.html", "https://www.toolnut.com/irwin-1966899-drill-bit.html")</f>
        <v/>
      </c>
      <c r="B269" s="1">
        <f>HYPERLINK("https://www.toolnut.com/irwin-1966899-drill-bit.html", "https://www.toolnut.com/irwin-1966899-drill-bit.html")</f>
        <v/>
      </c>
      <c r="C269" t="inlineStr">
        <is>
          <t>Irwin 1966899 Marples Wood Drilling Forstner Bit 7/8-in.</t>
        </is>
      </c>
      <c r="D269" t="inlineStr">
        <is>
          <t>IRWIN Marples Forstner Bit Set, Wood Drill Bits, Made of Carbon Steel, Ideal for Fine Woodworking, Cabinet-making and more, 14 Pieces (1966893)</t>
        </is>
      </c>
      <c r="E269" s="1">
        <f>HYPERLINK("https://www.amazon.com/Irwin-Tools-1966893-Drilling-Forstner/dp/B071S1BGXV/ref=sr_1_10?keywords=Irwin+1966899+Marples+Wood+Drilling+Forstner+Bit+7%2F8-in.&amp;qid=1695347148&amp;sr=8-10", "https://www.amazon.com/Irwin-Tools-1966893-Drilling-Forstner/dp/B071S1BGXV/ref=sr_1_10?keywords=Irwin+1966899+Marples+Wood+Drilling+Forstner+Bit+7%2F8-in.&amp;qid=1695347148&amp;sr=8-10")</f>
        <v/>
      </c>
      <c r="F269" t="inlineStr">
        <is>
          <t>B071S1BGXV</t>
        </is>
      </c>
      <c r="G269">
        <f>_xlfn.IMAGE("https://www.toolnut.com/media/catalog/product/1/9/1966899-irwin-marples-drill-bits-wood-boring-forstner-.875in-primary.jpg?quality=100&amp;bg-color=255,255,255&amp;fit=bounds&amp;height=700&amp;width=700&amp;canvas=700:700&amp;dpr=1 1x")</f>
        <v/>
      </c>
      <c r="H269">
        <f>_xlfn.IMAGE("https://m.media-amazon.com/images/I/71sWaJmpIOS._AC_UL320_.jpg")</f>
        <v/>
      </c>
      <c r="K269" t="inlineStr">
        <is>
          <t>8.19</t>
        </is>
      </c>
      <c r="L269" t="n">
        <v>54.98</v>
      </c>
      <c r="M269" s="2" t="inlineStr">
        <is>
          <t>571.31%</t>
        </is>
      </c>
      <c r="N269" t="n">
        <v>4.6</v>
      </c>
      <c r="O269" t="n">
        <v>2139</v>
      </c>
      <c r="Q269" t="inlineStr">
        <is>
          <t>InStock</t>
        </is>
      </c>
      <c r="R269" t="inlineStr">
        <is>
          <t>undefined</t>
        </is>
      </c>
      <c r="S269" t="inlineStr">
        <is>
          <t>1966899-IRWIN</t>
        </is>
      </c>
    </row>
    <row r="270" ht="75" customHeight="1">
      <c r="A270" s="1">
        <f>HYPERLINK("https://www.toolnut.com/irwin-1966899-drill-bit.html", "https://www.toolnut.com/irwin-1966899-drill-bit.html")</f>
        <v/>
      </c>
      <c r="B270" s="1">
        <f>HYPERLINK("https://www.toolnut.com/irwin-1966899-drill-bit.html", "https://www.toolnut.com/irwin-1966899-drill-bit.html")</f>
        <v/>
      </c>
      <c r="C270" t="inlineStr">
        <is>
          <t>Irwin 1966899 Marples Wood Drilling Forstner Bit 7/8-in.</t>
        </is>
      </c>
      <c r="D270" t="inlineStr">
        <is>
          <t>IRWIN Marples Forstner Bit Set, Wood Drilling, 8 Piece (1966892)</t>
        </is>
      </c>
      <c r="E270" s="1">
        <f>HYPERLINK("https://www.amazon.com/Irwin-Tools-1966892-Drilling-Forstner/dp/B07145HBPL/ref=sr_1_4?keywords=Irwin+1966899+Marples+Wood+Drilling+Forstner+Bit+7%2F8-in.&amp;qid=1695347148&amp;sr=8-4", "https://www.amazon.com/Irwin-Tools-1966892-Drilling-Forstner/dp/B07145HBPL/ref=sr_1_4?keywords=Irwin+1966899+Marples+Wood+Drilling+Forstner+Bit+7%2F8-in.&amp;qid=1695347148&amp;sr=8-4")</f>
        <v/>
      </c>
      <c r="F270" t="inlineStr">
        <is>
          <t>B07145HBPL</t>
        </is>
      </c>
      <c r="G270">
        <f>_xlfn.IMAGE("https://www.toolnut.com/media/catalog/product/1/9/1966899-irwin-marples-drill-bits-wood-boring-forstner-.875in-primary.jpg?quality=100&amp;bg-color=255,255,255&amp;fit=bounds&amp;height=700&amp;width=700&amp;canvas=700:700&amp;dpr=1 1x")</f>
        <v/>
      </c>
      <c r="H270">
        <f>_xlfn.IMAGE("https://m.media-amazon.com/images/I/918HiQFbc-L._AC_UL320_.jpg")</f>
        <v/>
      </c>
      <c r="K270" t="inlineStr">
        <is>
          <t>8.19</t>
        </is>
      </c>
      <c r="L270" t="n">
        <v>34.98</v>
      </c>
      <c r="M270" s="2" t="inlineStr">
        <is>
          <t>327.11%</t>
        </is>
      </c>
      <c r="N270" t="n">
        <v>4.7</v>
      </c>
      <c r="O270" t="n">
        <v>1535</v>
      </c>
      <c r="Q270" t="inlineStr">
        <is>
          <t>InStock</t>
        </is>
      </c>
      <c r="R270" t="inlineStr">
        <is>
          <t>undefined</t>
        </is>
      </c>
      <c r="S270" t="inlineStr">
        <is>
          <t>1966899-IRWIN</t>
        </is>
      </c>
    </row>
    <row r="271" ht="75" customHeight="1">
      <c r="A271" s="1">
        <f>HYPERLINK("https://www.toolnut.com/irwin-1966900-drill-bit.html", "https://www.toolnut.com/irwin-1966900-drill-bit.html")</f>
        <v/>
      </c>
      <c r="B271" s="1">
        <f>HYPERLINK("https://www.toolnut.com/irwin-1966900-drill-bit.html", "https://www.toolnut.com/irwin-1966900-drill-bit.html")</f>
        <v/>
      </c>
      <c r="C271" t="inlineStr">
        <is>
          <t>Irwin 1966900 Marples Wood Drilling Forstner Bit 1-in.</t>
        </is>
      </c>
      <c r="D271" t="inlineStr">
        <is>
          <t>IRWIN Marples Forstner Bit Set, Wood Drill Bits, Made of Carbon Steel, Ideal for Fine Woodworking, Cabinet-making and more, 14 Pieces (1966893)</t>
        </is>
      </c>
      <c r="E271" s="1">
        <f>HYPERLINK("https://www.amazon.com/Irwin-Tools-1966893-Drilling-Forstner/dp/B071S1BGXV/ref=sr_1_4?keywords=Irwin+1966900+Marples+Wood+Drilling+Forstner+Bit+1-in.&amp;qid=1695347159&amp;sr=8-4", "https://www.amazon.com/Irwin-Tools-1966893-Drilling-Forstner/dp/B071S1BGXV/ref=sr_1_4?keywords=Irwin+1966900+Marples+Wood+Drilling+Forstner+Bit+1-in.&amp;qid=1695347159&amp;sr=8-4")</f>
        <v/>
      </c>
      <c r="F271" t="inlineStr">
        <is>
          <t>B071S1BGXV</t>
        </is>
      </c>
      <c r="G271">
        <f>_xlfn.IMAGE("https://www.toolnut.com/media/catalog/product/1/9/1966900-irwin-marples-drill-bits-wood-boring-forstner-1in-primary.jpg?quality=100&amp;bg-color=255,255,255&amp;fit=bounds&amp;height=700&amp;width=700&amp;canvas=700:700&amp;dpr=1 1x")</f>
        <v/>
      </c>
      <c r="H271">
        <f>_xlfn.IMAGE("https://m.media-amazon.com/images/I/71sWaJmpIOS._AC_UL320_.jpg")</f>
        <v/>
      </c>
      <c r="K271" t="inlineStr">
        <is>
          <t>9.74</t>
        </is>
      </c>
      <c r="L271" t="n">
        <v>54.98</v>
      </c>
      <c r="M271" s="2" t="inlineStr">
        <is>
          <t>464.48%</t>
        </is>
      </c>
      <c r="N271" t="n">
        <v>4.6</v>
      </c>
      <c r="O271" t="n">
        <v>2139</v>
      </c>
      <c r="Q271" t="inlineStr">
        <is>
          <t>InStock</t>
        </is>
      </c>
      <c r="R271" t="inlineStr">
        <is>
          <t>undefined</t>
        </is>
      </c>
      <c r="S271" t="inlineStr">
        <is>
          <t>1966900-IRWIN</t>
        </is>
      </c>
    </row>
    <row r="272" ht="75" customHeight="1">
      <c r="A272" s="1">
        <f>HYPERLINK("https://www.toolnut.com/irwin-1966900-drill-bit.html", "https://www.toolnut.com/irwin-1966900-drill-bit.html")</f>
        <v/>
      </c>
      <c r="B272" s="1">
        <f>HYPERLINK("https://www.toolnut.com/irwin-1966900-drill-bit.html", "https://www.toolnut.com/irwin-1966900-drill-bit.html")</f>
        <v/>
      </c>
      <c r="C272" t="inlineStr">
        <is>
          <t>Irwin 1966900 Marples Wood Drilling Forstner Bit 1-in.</t>
        </is>
      </c>
      <c r="D272" t="inlineStr">
        <is>
          <t>IRWIN Marples Forstner Bit Set, Wood Drilling, 8 Piece (1966892)</t>
        </is>
      </c>
      <c r="E272" s="1">
        <f>HYPERLINK("https://www.amazon.com/Irwin-Tools-1966892-Drilling-Forstner/dp/B07145HBPL/ref=sr_1_2?keywords=Irwin+1966900+Marples+Wood+Drilling+Forstner+Bit+1-in.&amp;qid=1695347159&amp;sr=8-2", "https://www.amazon.com/Irwin-Tools-1966892-Drilling-Forstner/dp/B07145HBPL/ref=sr_1_2?keywords=Irwin+1966900+Marples+Wood+Drilling+Forstner+Bit+1-in.&amp;qid=1695347159&amp;sr=8-2")</f>
        <v/>
      </c>
      <c r="F272" t="inlineStr">
        <is>
          <t>B07145HBPL</t>
        </is>
      </c>
      <c r="G272">
        <f>_xlfn.IMAGE("https://www.toolnut.com/media/catalog/product/1/9/1966900-irwin-marples-drill-bits-wood-boring-forstner-1in-primary.jpg?quality=100&amp;bg-color=255,255,255&amp;fit=bounds&amp;height=700&amp;width=700&amp;canvas=700:700&amp;dpr=1 1x")</f>
        <v/>
      </c>
      <c r="H272">
        <f>_xlfn.IMAGE("https://m.media-amazon.com/images/I/918HiQFbc-L._AC_UL320_.jpg")</f>
        <v/>
      </c>
      <c r="K272" t="inlineStr">
        <is>
          <t>9.74</t>
        </is>
      </c>
      <c r="L272" t="n">
        <v>34.98</v>
      </c>
      <c r="M272" s="2" t="inlineStr">
        <is>
          <t>259.14%</t>
        </is>
      </c>
      <c r="N272" t="n">
        <v>4.7</v>
      </c>
      <c r="O272" t="n">
        <v>1535</v>
      </c>
      <c r="Q272" t="inlineStr">
        <is>
          <t>InStock</t>
        </is>
      </c>
      <c r="R272" t="inlineStr">
        <is>
          <t>undefined</t>
        </is>
      </c>
      <c r="S272" t="inlineStr">
        <is>
          <t>1966900-IRWIN</t>
        </is>
      </c>
    </row>
    <row r="273" ht="75" customHeight="1">
      <c r="A273" s="1">
        <f>HYPERLINK("https://www.toolnut.com/irwin-1966931-drill-bit.html", "https://www.toolnut.com/irwin-1966931-drill-bit.html")</f>
        <v/>
      </c>
      <c r="B273" s="1">
        <f>HYPERLINK("https://www.toolnut.com/irwin-1966931-drill-bit.html", "https://www.toolnut.com/irwin-1966931-drill-bit.html")</f>
        <v/>
      </c>
      <c r="C273" t="inlineStr">
        <is>
          <t>Irwin 1966931 Marples Wood Drilling Forstner Bit 1-1/8-in.</t>
        </is>
      </c>
      <c r="D273" t="inlineStr">
        <is>
          <t>IRWIN Marples Forstner Bit Set, Wood Drill Bits, Made of Carbon Steel, Ideal for Fine Woodworking, Cabinet-making and more, 14 Pieces (1966893)</t>
        </is>
      </c>
      <c r="E273" s="1">
        <f>HYPERLINK("https://www.amazon.com/Irwin-Tools-1966893-Drilling-Forstner/dp/B071S1BGXV/ref=sr_1_5?keywords=Irwin+1966931+Marples+Wood+Drilling+Forstner+Bit+1-1%2F8-in.&amp;qid=1695347147&amp;sr=8-5", "https://www.amazon.com/Irwin-Tools-1966893-Drilling-Forstner/dp/B071S1BGXV/ref=sr_1_5?keywords=Irwin+1966931+Marples+Wood+Drilling+Forstner+Bit+1-1%2F8-in.&amp;qid=1695347147&amp;sr=8-5")</f>
        <v/>
      </c>
      <c r="F273" t="inlineStr">
        <is>
          <t>B071S1BGXV</t>
        </is>
      </c>
      <c r="G273">
        <f>_xlfn.IMAGE("https://www.toolnut.com/media/catalog/product/1/9/1966931-irwin-marples-drill-bits-wood-boring-forstner-1.125in-primary.jpg?quality=100&amp;bg-color=255,255,255&amp;fit=bounds&amp;height=700&amp;width=700&amp;canvas=700:700&amp;dpr=1 1x")</f>
        <v/>
      </c>
      <c r="H273">
        <f>_xlfn.IMAGE("https://m.media-amazon.com/images/I/71sWaJmpIOS._AC_UL320_.jpg")</f>
        <v/>
      </c>
      <c r="K273" t="inlineStr">
        <is>
          <t>10.49</t>
        </is>
      </c>
      <c r="L273" t="n">
        <v>54.98</v>
      </c>
      <c r="M273" s="2" t="inlineStr">
        <is>
          <t>424.12%</t>
        </is>
      </c>
      <c r="N273" t="n">
        <v>4.6</v>
      </c>
      <c r="O273" t="n">
        <v>2139</v>
      </c>
      <c r="Q273" t="inlineStr">
        <is>
          <t>InStock</t>
        </is>
      </c>
      <c r="R273" t="inlineStr">
        <is>
          <t>undefined</t>
        </is>
      </c>
      <c r="S273" t="inlineStr">
        <is>
          <t>1966931-IRWIN</t>
        </is>
      </c>
    </row>
    <row r="274" ht="75" customHeight="1">
      <c r="A274" s="1">
        <f>HYPERLINK("https://www.toolnut.com/irwin-1966931-drill-bit.html", "https://www.toolnut.com/irwin-1966931-drill-bit.html")</f>
        <v/>
      </c>
      <c r="B274" s="1">
        <f>HYPERLINK("https://www.toolnut.com/irwin-1966931-drill-bit.html", "https://www.toolnut.com/irwin-1966931-drill-bit.html")</f>
        <v/>
      </c>
      <c r="C274" t="inlineStr">
        <is>
          <t>Irwin 1966931 Marples Wood Drilling Forstner Bit 1-1/8-in.</t>
        </is>
      </c>
      <c r="D274" t="inlineStr">
        <is>
          <t>IRWIN Marples Forstner Bit Set, Wood Drilling, 8 Piece (1966892)</t>
        </is>
      </c>
      <c r="E274" s="1">
        <f>HYPERLINK("https://www.amazon.com/Irwin-Tools-1966892-Drilling-Forstner/dp/B07145HBPL/ref=sr_1_2?keywords=Irwin+1966931+Marples+Wood+Drilling+Forstner+Bit+1-1%2F8-in.&amp;qid=1695347147&amp;sr=8-2", "https://www.amazon.com/Irwin-Tools-1966892-Drilling-Forstner/dp/B07145HBPL/ref=sr_1_2?keywords=Irwin+1966931+Marples+Wood+Drilling+Forstner+Bit+1-1%2F8-in.&amp;qid=1695347147&amp;sr=8-2")</f>
        <v/>
      </c>
      <c r="F274" t="inlineStr">
        <is>
          <t>B07145HBPL</t>
        </is>
      </c>
      <c r="G274">
        <f>_xlfn.IMAGE("https://www.toolnut.com/media/catalog/product/1/9/1966931-irwin-marples-drill-bits-wood-boring-forstner-1.125in-primary.jpg?quality=100&amp;bg-color=255,255,255&amp;fit=bounds&amp;height=700&amp;width=700&amp;canvas=700:700&amp;dpr=1 1x")</f>
        <v/>
      </c>
      <c r="H274">
        <f>_xlfn.IMAGE("https://m.media-amazon.com/images/I/918HiQFbc-L._AC_UL320_.jpg")</f>
        <v/>
      </c>
      <c r="K274" t="inlineStr">
        <is>
          <t>10.49</t>
        </is>
      </c>
      <c r="L274" t="n">
        <v>34.98</v>
      </c>
      <c r="M274" s="2" t="inlineStr">
        <is>
          <t>233.46%</t>
        </is>
      </c>
      <c r="N274" t="n">
        <v>4.7</v>
      </c>
      <c r="O274" t="n">
        <v>1535</v>
      </c>
      <c r="Q274" t="inlineStr">
        <is>
          <t>InStock</t>
        </is>
      </c>
      <c r="R274" t="inlineStr">
        <is>
          <t>undefined</t>
        </is>
      </c>
      <c r="S274" t="inlineStr">
        <is>
          <t>1966931-IRWIN</t>
        </is>
      </c>
    </row>
    <row r="275" ht="75" customHeight="1">
      <c r="A275" s="1">
        <f>HYPERLINK("https://www.toolnut.com/irwin-1966931-drill-bit.html", "https://www.toolnut.com/irwin-1966931-drill-bit.html")</f>
        <v/>
      </c>
      <c r="B275" s="1">
        <f>HYPERLINK("https://www.toolnut.com/irwin-1966931-drill-bit.html", "https://www.toolnut.com/irwin-1966931-drill-bit.html")</f>
        <v/>
      </c>
      <c r="C275" t="inlineStr">
        <is>
          <t>Irwin 1966931 Marples Wood Drilling Forstner Bit 1-1/8-in.</t>
        </is>
      </c>
      <c r="D275" t="inlineStr">
        <is>
          <t>Forstner Bit Set, 8-pc Wood Drilling Bits for Smooth Flat-Bottomed Pocket Holes in Hard and Soft Wood, 3/8" Round Shank, for Holes Size 5/8" 3/4" 1" 1-1/8" 1-1/4" 1-3/8" 1-1/2" 1-5/8" (16~40mm)</t>
        </is>
      </c>
      <c r="E275" s="1">
        <f>HYPERLINK("https://www.amazon.com/Forstner-Drilling-Smooth-Flat-Bottomed-16-40mm/dp/B0C4JT4LR3/ref=sr_1_6?keywords=Irwin+1966931+Marples+Wood+Drilling+Forstner+Bit+1-1%2F8-in.&amp;qid=1695347147&amp;sr=8-6", "https://www.amazon.com/Forstner-Drilling-Smooth-Flat-Bottomed-16-40mm/dp/B0C4JT4LR3/ref=sr_1_6?keywords=Irwin+1966931+Marples+Wood+Drilling+Forstner+Bit+1-1%2F8-in.&amp;qid=1695347147&amp;sr=8-6")</f>
        <v/>
      </c>
      <c r="F275" t="inlineStr">
        <is>
          <t>B0C4JT4LR3</t>
        </is>
      </c>
      <c r="G275">
        <f>_xlfn.IMAGE("https://www.toolnut.com/media/catalog/product/1/9/1966931-irwin-marples-drill-bits-wood-boring-forstner-1.125in-primary.jpg?quality=100&amp;bg-color=255,255,255&amp;fit=bounds&amp;height=700&amp;width=700&amp;canvas=700:700&amp;dpr=1 1x")</f>
        <v/>
      </c>
      <c r="H275">
        <f>_xlfn.IMAGE("https://m.media-amazon.com/images/I/61Xfj+7bwBL._AC_UL320_.jpg")</f>
        <v/>
      </c>
      <c r="K275" t="inlineStr">
        <is>
          <t>10.49</t>
        </is>
      </c>
      <c r="L275" t="n">
        <v>26.99</v>
      </c>
      <c r="M275" s="2" t="inlineStr">
        <is>
          <t>157.29%</t>
        </is>
      </c>
      <c r="N275" t="n">
        <v>4.6</v>
      </c>
      <c r="O275" t="n">
        <v>6</v>
      </c>
      <c r="Q275" t="inlineStr">
        <is>
          <t>InStock</t>
        </is>
      </c>
      <c r="R275" t="inlineStr">
        <is>
          <t>undefined</t>
        </is>
      </c>
      <c r="S275" t="inlineStr">
        <is>
          <t>1966931-IRWIN</t>
        </is>
      </c>
    </row>
    <row r="276" ht="75" customHeight="1">
      <c r="A276" s="1">
        <f>HYPERLINK("https://www.toolnut.com/irwin-1966931-drill-bit.html", "https://www.toolnut.com/irwin-1966931-drill-bit.html")</f>
        <v/>
      </c>
      <c r="B276" s="1">
        <f>HYPERLINK("https://www.toolnut.com/irwin-1966931-drill-bit.html", "https://www.toolnut.com/irwin-1966931-drill-bit.html")</f>
        <v/>
      </c>
      <c r="C276" t="inlineStr">
        <is>
          <t>Irwin 1966931 Marples Wood Drilling Forstner Bit 1-1/8-in.</t>
        </is>
      </c>
      <c r="D276" t="inlineStr">
        <is>
          <t>Forstner Bit Set, 8-pc Wood Drilling Bits for Smooth Flat-Bottomed Pocket Holes in Hard and Soft Wood, 3/8" Round Shank, for Holes Size 5/8" 3/4" 1" 1-1/8" 1-1/4" 1-3/8" 1-1/2" 1-5/8" (16~40mm)</t>
        </is>
      </c>
      <c r="E276" s="1">
        <f>HYPERLINK("https://www.amazon.com/Forstner-Drilling-Smooth-Flat-Bottomed-16-40mm/dp/B0C4JT4LR3/ref=sr_1_6?keywords=Irwin+1966931+Marples+Wood+Drilling+Forstner+Bit+1-1%2F8-in.&amp;qid=1695347147&amp;sr=8-6", "https://www.amazon.com/Forstner-Drilling-Smooth-Flat-Bottomed-16-40mm/dp/B0C4JT4LR3/ref=sr_1_6?keywords=Irwin+1966931+Marples+Wood+Drilling+Forstner+Bit+1-1%2F8-in.&amp;qid=1695347147&amp;sr=8-6")</f>
        <v/>
      </c>
      <c r="F276" t="inlineStr">
        <is>
          <t>B0C4JT4LR3</t>
        </is>
      </c>
      <c r="G276">
        <f>_xlfn.IMAGE("https://www.toolnut.com/media/catalog/product/1/9/1966931-irwin-marples-drill-bits-wood-boring-forstner-1.125in-primary.jpg?quality=100&amp;bg-color=255,255,255&amp;fit=bounds&amp;height=700&amp;width=700&amp;canvas=700:700&amp;dpr=1 1x")</f>
        <v/>
      </c>
      <c r="H276">
        <f>_xlfn.IMAGE("https://m.media-amazon.com/images/I/61Xfj+7bwBL._AC_UL320_.jpg")</f>
        <v/>
      </c>
      <c r="K276" t="inlineStr">
        <is>
          <t>10.49</t>
        </is>
      </c>
      <c r="L276" t="n">
        <v>26.99</v>
      </c>
      <c r="M276" s="2" t="inlineStr">
        <is>
          <t>157.29%</t>
        </is>
      </c>
      <c r="N276" t="n">
        <v>4.6</v>
      </c>
      <c r="O276" t="n">
        <v>6</v>
      </c>
      <c r="Q276" t="inlineStr">
        <is>
          <t>InStock</t>
        </is>
      </c>
      <c r="R276" t="inlineStr">
        <is>
          <t>undefined</t>
        </is>
      </c>
      <c r="S276" t="inlineStr">
        <is>
          <t>1966931-IRWIN</t>
        </is>
      </c>
    </row>
    <row r="277" ht="75" customHeight="1">
      <c r="A277" s="1">
        <f>HYPERLINK("https://www.toolnut.com/irwin-1966932-drill-bit.html", "https://www.toolnut.com/irwin-1966932-drill-bit.html")</f>
        <v/>
      </c>
      <c r="B277" s="1">
        <f>HYPERLINK("https://www.toolnut.com/irwin-1966932-drill-bit.html", "https://www.toolnut.com/irwin-1966932-drill-bit.html")</f>
        <v/>
      </c>
      <c r="C277" t="inlineStr">
        <is>
          <t>Irwin 1966932 Marples Wood Drilling Forstner Bit 1-1/4-in.</t>
        </is>
      </c>
      <c r="D277" t="inlineStr">
        <is>
          <t>IRWIN Marples Forstner Bit Set, Wood Drill Bits, Made of Carbon Steel, Ideal for Fine Woodworking, Cabinet-making and more, 14 Pieces (1966893)</t>
        </is>
      </c>
      <c r="E277" s="1">
        <f>HYPERLINK("https://www.amazon.com/Irwin-Tools-1966893-Drilling-Forstner/dp/B071S1BGXV/ref=sr_1_10?keywords=Irwin+1966932+Marples+Wood+Drilling+Forstner+Bit+1-1%2F4-in.&amp;qid=1695347152&amp;sr=8-10", "https://www.amazon.com/Irwin-Tools-1966893-Drilling-Forstner/dp/B071S1BGXV/ref=sr_1_10?keywords=Irwin+1966932+Marples+Wood+Drilling+Forstner+Bit+1-1%2F4-in.&amp;qid=1695347152&amp;sr=8-10")</f>
        <v/>
      </c>
      <c r="F277" t="inlineStr">
        <is>
          <t>B071S1BGXV</t>
        </is>
      </c>
      <c r="G277">
        <f>_xlfn.IMAGE("https://www.toolnut.com/media/catalog/product/1/9/1966932-irwin-marples-drill-bits-wood-boring-forstner-1.25in-primary.jpg?quality=100&amp;bg-color=255,255,255&amp;fit=bounds&amp;height=700&amp;width=700&amp;canvas=700:700&amp;dpr=1 1x")</f>
        <v/>
      </c>
      <c r="H277">
        <f>_xlfn.IMAGE("https://m.media-amazon.com/images/I/71sWaJmpIOS._AC_UL320_.jpg")</f>
        <v/>
      </c>
      <c r="K277" t="inlineStr">
        <is>
          <t>10.99</t>
        </is>
      </c>
      <c r="L277" t="n">
        <v>54.98</v>
      </c>
      <c r="M277" s="2" t="inlineStr">
        <is>
          <t>400.27%</t>
        </is>
      </c>
      <c r="N277" t="n">
        <v>4.6</v>
      </c>
      <c r="O277" t="n">
        <v>2139</v>
      </c>
      <c r="Q277" t="inlineStr">
        <is>
          <t>InStock</t>
        </is>
      </c>
      <c r="R277" t="inlineStr">
        <is>
          <t>undefined</t>
        </is>
      </c>
      <c r="S277" t="inlineStr">
        <is>
          <t>1966932-IRWIN</t>
        </is>
      </c>
    </row>
    <row r="278" ht="75" customHeight="1">
      <c r="A278" s="1">
        <f>HYPERLINK("https://www.toolnut.com/irwin-1966932-drill-bit.html", "https://www.toolnut.com/irwin-1966932-drill-bit.html")</f>
        <v/>
      </c>
      <c r="B278" s="1">
        <f>HYPERLINK("https://www.toolnut.com/irwin-1966932-drill-bit.html", "https://www.toolnut.com/irwin-1966932-drill-bit.html")</f>
        <v/>
      </c>
      <c r="C278" t="inlineStr">
        <is>
          <t>Irwin 1966932 Marples Wood Drilling Forstner Bit 1-1/4-in.</t>
        </is>
      </c>
      <c r="D278" t="inlineStr">
        <is>
          <t>IRWIN Marples Forstner Bit Set, Wood Drilling, 8 Piece (1966892)</t>
        </is>
      </c>
      <c r="E278" s="1">
        <f>HYPERLINK("https://www.amazon.com/Irwin-Tools-1966892-Drilling-Forstner/dp/B07145HBPL/ref=sr_1_3?keywords=Irwin+1966932+Marples+Wood+Drilling+Forstner+Bit+1-1%2F4-in.&amp;qid=1695347152&amp;sr=8-3", "https://www.amazon.com/Irwin-Tools-1966892-Drilling-Forstner/dp/B07145HBPL/ref=sr_1_3?keywords=Irwin+1966932+Marples+Wood+Drilling+Forstner+Bit+1-1%2F4-in.&amp;qid=1695347152&amp;sr=8-3")</f>
        <v/>
      </c>
      <c r="F278" t="inlineStr">
        <is>
          <t>B07145HBPL</t>
        </is>
      </c>
      <c r="G278">
        <f>_xlfn.IMAGE("https://www.toolnut.com/media/catalog/product/1/9/1966932-irwin-marples-drill-bits-wood-boring-forstner-1.25in-primary.jpg?quality=100&amp;bg-color=255,255,255&amp;fit=bounds&amp;height=700&amp;width=700&amp;canvas=700:700&amp;dpr=1 1x")</f>
        <v/>
      </c>
      <c r="H278">
        <f>_xlfn.IMAGE("https://m.media-amazon.com/images/I/918HiQFbc-L._AC_UL320_.jpg")</f>
        <v/>
      </c>
      <c r="K278" t="inlineStr">
        <is>
          <t>10.99</t>
        </is>
      </c>
      <c r="L278" t="n">
        <v>34.98</v>
      </c>
      <c r="M278" s="2" t="inlineStr">
        <is>
          <t>218.29%</t>
        </is>
      </c>
      <c r="N278" t="n">
        <v>4.7</v>
      </c>
      <c r="O278" t="n">
        <v>1535</v>
      </c>
      <c r="Q278" t="inlineStr">
        <is>
          <t>InStock</t>
        </is>
      </c>
      <c r="R278" t="inlineStr">
        <is>
          <t>undefined</t>
        </is>
      </c>
      <c r="S278" t="inlineStr">
        <is>
          <t>1966932-IRWIN</t>
        </is>
      </c>
    </row>
    <row r="279" ht="75" customHeight="1">
      <c r="A279" s="1">
        <f>HYPERLINK("https://www.toolnut.com/irwin-1966933-drill-bit.html", "https://www.toolnut.com/irwin-1966933-drill-bit.html")</f>
        <v/>
      </c>
      <c r="B279" s="1">
        <f>HYPERLINK("https://www.toolnut.com/irwin-1966933-drill-bit.html", "https://www.toolnut.com/irwin-1966933-drill-bit.html")</f>
        <v/>
      </c>
      <c r="C279" t="inlineStr">
        <is>
          <t>Irwin 1966933 Marples Wood Drilling Forstner Bit 1-3/8-in.</t>
        </is>
      </c>
      <c r="D279" t="inlineStr">
        <is>
          <t>IRWIN Marples Forstner Bit Set, Wood Drilling, 8 Piece (1966892)</t>
        </is>
      </c>
      <c r="E279" s="1">
        <f>HYPERLINK("https://www.amazon.com/Irwin-Tools-1966892-Drilling-Forstner/dp/B07145HBPL/ref=sr_1_3?keywords=Irwin+1966933+Marples+Wood+Drilling+Forstner+Bit+1-3%2F8-in.&amp;qid=1695347155&amp;sr=8-3", "https://www.amazon.com/Irwin-Tools-1966892-Drilling-Forstner/dp/B07145HBPL/ref=sr_1_3?keywords=Irwin+1966933+Marples+Wood+Drilling+Forstner+Bit+1-3%2F8-in.&amp;qid=1695347155&amp;sr=8-3")</f>
        <v/>
      </c>
      <c r="F279" t="inlineStr">
        <is>
          <t>B07145HBPL</t>
        </is>
      </c>
      <c r="G279">
        <f>_xlfn.IMAGE("https://www.toolnut.com/media/catalog/product/1/9/1966933-irwin-marples-drill-bits-wood-boring-forstner-1.375in-primary.jpg?quality=100&amp;bg-color=255,255,255&amp;fit=bounds&amp;height=700&amp;width=700&amp;canvas=700:700&amp;dpr=1 1x")</f>
        <v/>
      </c>
      <c r="H279">
        <f>_xlfn.IMAGE("https://m.media-amazon.com/images/I/918HiQFbc-L._AC_UL320_.jpg")</f>
        <v/>
      </c>
      <c r="K279" t="inlineStr">
        <is>
          <t>13.59</t>
        </is>
      </c>
      <c r="L279" t="n">
        <v>34.98</v>
      </c>
      <c r="M279" s="2" t="inlineStr">
        <is>
          <t>157.40%</t>
        </is>
      </c>
      <c r="N279" t="n">
        <v>4.7</v>
      </c>
      <c r="O279" t="n">
        <v>1535</v>
      </c>
      <c r="Q279" t="inlineStr">
        <is>
          <t>InStock</t>
        </is>
      </c>
      <c r="R279" t="inlineStr">
        <is>
          <t>undefined</t>
        </is>
      </c>
      <c r="S279" t="inlineStr">
        <is>
          <t>1966933-IRWIN</t>
        </is>
      </c>
    </row>
    <row r="280" ht="75" customHeight="1">
      <c r="A280" s="1">
        <f>HYPERLINK("https://www.toolnut.com/irwin-1966933-drill-bit.html", "https://www.toolnut.com/irwin-1966933-drill-bit.html")</f>
        <v/>
      </c>
      <c r="B280" s="1">
        <f>HYPERLINK("https://www.toolnut.com/irwin-1966933-drill-bit.html", "https://www.toolnut.com/irwin-1966933-drill-bit.html")</f>
        <v/>
      </c>
      <c r="C280" t="inlineStr">
        <is>
          <t>Irwin 1966933 Marples Wood Drilling Forstner Bit 1-3/8-in.</t>
        </is>
      </c>
      <c r="D280" t="inlineStr">
        <is>
          <t>IRWIN Marples Forstner Bit Set, Wood Drilling, 8 Piece (1966892)</t>
        </is>
      </c>
      <c r="E280" s="1">
        <f>HYPERLINK("https://www.amazon.com/Irwin-Tools-1966892-Drilling-Forstner/dp/B07145HBPL/ref=sr_1_3?keywords=Irwin+1966933+Marples+Wood+Drilling+Forstner+Bit+1-3%2F8-in.&amp;qid=1695347155&amp;sr=8-3", "https://www.amazon.com/Irwin-Tools-1966892-Drilling-Forstner/dp/B07145HBPL/ref=sr_1_3?keywords=Irwin+1966933+Marples+Wood+Drilling+Forstner+Bit+1-3%2F8-in.&amp;qid=1695347155&amp;sr=8-3")</f>
        <v/>
      </c>
      <c r="F280" t="inlineStr">
        <is>
          <t>B07145HBPL</t>
        </is>
      </c>
      <c r="G280">
        <f>_xlfn.IMAGE("https://www.toolnut.com/media/catalog/product/1/9/1966933-irwin-marples-drill-bits-wood-boring-forstner-1.375in-primary.jpg?quality=100&amp;bg-color=255,255,255&amp;fit=bounds&amp;height=700&amp;width=700&amp;canvas=700:700&amp;dpr=1 1x")</f>
        <v/>
      </c>
      <c r="H280">
        <f>_xlfn.IMAGE("https://m.media-amazon.com/images/I/918HiQFbc-L._AC_UL320_.jpg")</f>
        <v/>
      </c>
      <c r="K280" t="inlineStr">
        <is>
          <t>13.59</t>
        </is>
      </c>
      <c r="L280" t="n">
        <v>34.98</v>
      </c>
      <c r="M280" s="2" t="inlineStr">
        <is>
          <t>157.40%</t>
        </is>
      </c>
      <c r="N280" t="n">
        <v>4.7</v>
      </c>
      <c r="O280" t="n">
        <v>1535</v>
      </c>
      <c r="Q280" t="inlineStr">
        <is>
          <t>InStock</t>
        </is>
      </c>
      <c r="R280" t="inlineStr">
        <is>
          <t>undefined</t>
        </is>
      </c>
      <c r="S280" t="inlineStr">
        <is>
          <t>1966933-IRWIN</t>
        </is>
      </c>
    </row>
    <row r="281" ht="75" customHeight="1">
      <c r="A281" s="1">
        <f>HYPERLINK("https://www.toolnut.com/irwin-1966934-drill-bit.html", "https://www.toolnut.com/irwin-1966934-drill-bit.html")</f>
        <v/>
      </c>
      <c r="B281" s="1">
        <f>HYPERLINK("https://www.toolnut.com/irwin-1966934-drill-bit.html", "https://www.toolnut.com/irwin-1966934-drill-bit.html")</f>
        <v/>
      </c>
      <c r="C281" t="inlineStr">
        <is>
          <t>Irwin 1966934 Marples Wood Drilling Forstner Bit 1-1/2-in.</t>
        </is>
      </c>
      <c r="D281" t="inlineStr">
        <is>
          <t>IRWIN Marples Forstner Bit Set, Wood Drill Bits, Made of Carbon Steel, Ideal for Fine Woodworking, Cabinet-making and more, 14 Pieces (1966893)</t>
        </is>
      </c>
      <c r="E281" s="1">
        <f>HYPERLINK("https://www.amazon.com/Irwin-Tools-1966893-Drilling-Forstner/dp/B071S1BGXV/ref=sr_1_4?keywords=Irwin+1966934+Marples+Wood+Drilling+Forstner+Bit+1-1%2F2-in.&amp;qid=1695347157&amp;sr=8-4", "https://www.amazon.com/Irwin-Tools-1966893-Drilling-Forstner/dp/B071S1BGXV/ref=sr_1_4?keywords=Irwin+1966934+Marples+Wood+Drilling+Forstner+Bit+1-1%2F2-in.&amp;qid=1695347157&amp;sr=8-4")</f>
        <v/>
      </c>
      <c r="F281" t="inlineStr">
        <is>
          <t>B071S1BGXV</t>
        </is>
      </c>
      <c r="G281">
        <f>_xlfn.IMAGE("https://www.toolnut.com/media/catalog/product/1/9/1966934-irwin-marples-drill-bits-wood-boring-forstner-1.5in-primary.jpg?quality=100&amp;bg-color=255,255,255&amp;fit=bounds&amp;height=700&amp;width=700&amp;canvas=700:700&amp;dpr=1 1x")</f>
        <v/>
      </c>
      <c r="H281">
        <f>_xlfn.IMAGE("https://m.media-amazon.com/images/I/71sWaJmpIOS._AC_UL320_.jpg")</f>
        <v/>
      </c>
      <c r="K281" t="inlineStr">
        <is>
          <t>16.79</t>
        </is>
      </c>
      <c r="L281" t="n">
        <v>54.98</v>
      </c>
      <c r="M281" s="2" t="inlineStr">
        <is>
          <t>227.46%</t>
        </is>
      </c>
      <c r="N281" t="n">
        <v>4.6</v>
      </c>
      <c r="O281" t="n">
        <v>2139</v>
      </c>
      <c r="Q281" t="inlineStr">
        <is>
          <t>InStock</t>
        </is>
      </c>
      <c r="R281" t="inlineStr">
        <is>
          <t>undefined</t>
        </is>
      </c>
      <c r="S281" t="inlineStr">
        <is>
          <t>1966934-IRWIN</t>
        </is>
      </c>
    </row>
    <row r="282" ht="75" customHeight="1">
      <c r="A282" s="1">
        <f>HYPERLINK("https://www.toolnut.com/irwin-1966934-drill-bit.html", "https://www.toolnut.com/irwin-1966934-drill-bit.html")</f>
        <v/>
      </c>
      <c r="B282" s="1">
        <f>HYPERLINK("https://www.toolnut.com/irwin-1966934-drill-bit.html", "https://www.toolnut.com/irwin-1966934-drill-bit.html")</f>
        <v/>
      </c>
      <c r="C282" t="inlineStr">
        <is>
          <t>Irwin 1966934 Marples Wood Drilling Forstner Bit 1-1/2-in.</t>
        </is>
      </c>
      <c r="D282" t="inlineStr">
        <is>
          <t>IRWIN Marples Forstner Bit Set, Wood Drilling, 8 Piece (1966892)</t>
        </is>
      </c>
      <c r="E282" s="1">
        <f>HYPERLINK("https://www.amazon.com/Irwin-Tools-1966892-Drilling-Forstner/dp/B07145HBPL/ref=sr_1_3?keywords=Irwin+1966934+Marples+Wood+Drilling+Forstner+Bit+1-1%2F2-in.&amp;qid=1695347157&amp;sr=8-3", "https://www.amazon.com/Irwin-Tools-1966892-Drilling-Forstner/dp/B07145HBPL/ref=sr_1_3?keywords=Irwin+1966934+Marples+Wood+Drilling+Forstner+Bit+1-1%2F2-in.&amp;qid=1695347157&amp;sr=8-3")</f>
        <v/>
      </c>
      <c r="F282" t="inlineStr">
        <is>
          <t>B07145HBPL</t>
        </is>
      </c>
      <c r="G282">
        <f>_xlfn.IMAGE("https://www.toolnut.com/media/catalog/product/1/9/1966934-irwin-marples-drill-bits-wood-boring-forstner-1.5in-primary.jpg?quality=100&amp;bg-color=255,255,255&amp;fit=bounds&amp;height=700&amp;width=700&amp;canvas=700:700&amp;dpr=1 1x")</f>
        <v/>
      </c>
      <c r="H282">
        <f>_xlfn.IMAGE("https://m.media-amazon.com/images/I/918HiQFbc-L._AC_UL320_.jpg")</f>
        <v/>
      </c>
      <c r="K282" t="inlineStr">
        <is>
          <t>16.79</t>
        </is>
      </c>
      <c r="L282" t="n">
        <v>34.98</v>
      </c>
      <c r="M282" s="2" t="inlineStr">
        <is>
          <t>108.34%</t>
        </is>
      </c>
      <c r="N282" t="n">
        <v>4.7</v>
      </c>
      <c r="O282" t="n">
        <v>1535</v>
      </c>
      <c r="Q282" t="inlineStr">
        <is>
          <t>InStock</t>
        </is>
      </c>
      <c r="R282" t="inlineStr">
        <is>
          <t>undefined</t>
        </is>
      </c>
      <c r="S282" t="inlineStr">
        <is>
          <t>1966934-IRWIN</t>
        </is>
      </c>
    </row>
    <row r="283" ht="75" customHeight="1">
      <c r="A283" s="1">
        <f>HYPERLINK("https://www.toolnut.com/irwin-1966934-drill-bit.html", "https://www.toolnut.com/irwin-1966934-drill-bit.html")</f>
        <v/>
      </c>
      <c r="B283" s="1">
        <f>HYPERLINK("https://www.toolnut.com/irwin-1966934-drill-bit.html", "https://www.toolnut.com/irwin-1966934-drill-bit.html")</f>
        <v/>
      </c>
      <c r="C283" t="inlineStr">
        <is>
          <t>Irwin 1966934 Marples Wood Drilling Forstner Bit 1-1/2-in.</t>
        </is>
      </c>
      <c r="D283" t="inlineStr">
        <is>
          <t>Forstner Bit Set, Forstner Drill Bits for Wood, 6 pcs Sizes 3/4" - 1-1/2" Wood Drilling Cabinet Hinge Hole Saw Cutter Tool Kits, Ideal for Fine Woodworking on Hard Woods Plywood and Plastic</t>
        </is>
      </c>
      <c r="E283" s="1">
        <f>HYPERLINK("https://www.amazon.com/Forstner-Drill-Bits-Wood-Sizes/dp/B0C2D1G15Q/ref=sr_1_7?keywords=Irwin+1966934+Marples+Wood+Drilling+Forstner+Bit+1-1%2F2-in.&amp;qid=1695347157&amp;sr=8-7", "https://www.amazon.com/Forstner-Drill-Bits-Wood-Sizes/dp/B0C2D1G15Q/ref=sr_1_7?keywords=Irwin+1966934+Marples+Wood+Drilling+Forstner+Bit+1-1%2F2-in.&amp;qid=1695347157&amp;sr=8-7")</f>
        <v/>
      </c>
      <c r="F283" t="inlineStr">
        <is>
          <t>B0C2D1G15Q</t>
        </is>
      </c>
      <c r="G283">
        <f>_xlfn.IMAGE("https://www.toolnut.com/media/catalog/product/1/9/1966934-irwin-marples-drill-bits-wood-boring-forstner-1.5in-primary.jpg?quality=100&amp;bg-color=255,255,255&amp;fit=bounds&amp;height=700&amp;width=700&amp;canvas=700:700&amp;dpr=1 1x")</f>
        <v/>
      </c>
      <c r="H283">
        <f>_xlfn.IMAGE("https://m.media-amazon.com/images/I/61jhH2-hH7L._AC_UL320_.jpg")</f>
        <v/>
      </c>
      <c r="K283" t="inlineStr">
        <is>
          <t>16.79</t>
        </is>
      </c>
      <c r="L283" t="n">
        <v>29.99</v>
      </c>
      <c r="M283" s="2" t="inlineStr">
        <is>
          <t>78.62%</t>
        </is>
      </c>
      <c r="N283" t="n">
        <v>3.9</v>
      </c>
      <c r="O283" t="n">
        <v>24</v>
      </c>
      <c r="Q283" t="inlineStr">
        <is>
          <t>InStock</t>
        </is>
      </c>
      <c r="R283" t="inlineStr">
        <is>
          <t>undefined</t>
        </is>
      </c>
      <c r="S283" t="inlineStr">
        <is>
          <t>1966934-IRWIN</t>
        </is>
      </c>
    </row>
    <row r="284" ht="75" customHeight="1">
      <c r="A284" s="1">
        <f>HYPERLINK("https://www.toolnut.com/irwin-1966934-drill-bit.html", "https://www.toolnut.com/irwin-1966934-drill-bit.html")</f>
        <v/>
      </c>
      <c r="B284" s="1">
        <f>HYPERLINK("https://www.toolnut.com/irwin-1966934-drill-bit.html", "https://www.toolnut.com/irwin-1966934-drill-bit.html")</f>
        <v/>
      </c>
      <c r="C284" t="inlineStr">
        <is>
          <t>Irwin 1966934 Marples Wood Drilling Forstner Bit 1-1/2-in.</t>
        </is>
      </c>
      <c r="D284" t="inlineStr">
        <is>
          <t>IRWIN Marples Forstner Bit Set, Wood Drilling, 8 Piece (1966892)</t>
        </is>
      </c>
      <c r="E284" s="1">
        <f>HYPERLINK("https://www.amazon.com/Irwin-Tools-1966892-Drilling-Forstner/dp/B07145HBPL/ref=sr_1_3?keywords=Irwin+1966934+Marples+Wood+Drilling+Forstner+Bit+1-1%2F2-in.&amp;qid=1695347157&amp;sr=8-3", "https://www.amazon.com/Irwin-Tools-1966892-Drilling-Forstner/dp/B07145HBPL/ref=sr_1_3?keywords=Irwin+1966934+Marples+Wood+Drilling+Forstner+Bit+1-1%2F2-in.&amp;qid=1695347157&amp;sr=8-3")</f>
        <v/>
      </c>
      <c r="F284" t="inlineStr">
        <is>
          <t>B07145HBPL</t>
        </is>
      </c>
      <c r="G284">
        <f>_xlfn.IMAGE("https://www.toolnut.com/media/catalog/product/1/9/1966934-irwin-marples-drill-bits-wood-boring-forstner-1.5in-primary.jpg?quality=100&amp;bg-color=255,255,255&amp;fit=bounds&amp;height=700&amp;width=700&amp;canvas=700:700&amp;dpr=1 1x")</f>
        <v/>
      </c>
      <c r="H284">
        <f>_xlfn.IMAGE("https://m.media-amazon.com/images/I/918HiQFbc-L._AC_UL320_.jpg")</f>
        <v/>
      </c>
      <c r="K284" t="inlineStr">
        <is>
          <t>16.79</t>
        </is>
      </c>
      <c r="L284" t="n">
        <v>34.98</v>
      </c>
      <c r="M284" s="2" t="inlineStr">
        <is>
          <t>108.34%</t>
        </is>
      </c>
      <c r="N284" t="n">
        <v>4.7</v>
      </c>
      <c r="O284" t="n">
        <v>1535</v>
      </c>
      <c r="Q284" t="inlineStr">
        <is>
          <t>InStock</t>
        </is>
      </c>
      <c r="R284" t="inlineStr">
        <is>
          <t>undefined</t>
        </is>
      </c>
      <c r="S284" t="inlineStr">
        <is>
          <t>1966934-IRWIN</t>
        </is>
      </c>
    </row>
    <row r="285" ht="75" customHeight="1">
      <c r="A285" s="1">
        <f>HYPERLINK("https://www.toolnut.com/irwin-1966934-drill-bit.html", "https://www.toolnut.com/irwin-1966934-drill-bit.html")</f>
        <v/>
      </c>
      <c r="B285" s="1">
        <f>HYPERLINK("https://www.toolnut.com/irwin-1966934-drill-bit.html", "https://www.toolnut.com/irwin-1966934-drill-bit.html")</f>
        <v/>
      </c>
      <c r="C285" t="inlineStr">
        <is>
          <t>Irwin 1966934 Marples Wood Drilling Forstner Bit 1-1/2-in.</t>
        </is>
      </c>
      <c r="D285" t="inlineStr">
        <is>
          <t>Forstner Bit Set, Forstner Drill Bits for Wood, 6 pcs Sizes 3/4" - 1-1/2" Wood Drilling Cabinet Hinge Hole Saw Cutter Tool Kits, Ideal for Fine Woodworking on Hard Woods Plywood and Plastic</t>
        </is>
      </c>
      <c r="E285" s="1">
        <f>HYPERLINK("https://www.amazon.com/Forstner-Drill-Bits-Wood-Sizes/dp/B0C2D1G15Q/ref=sr_1_7?keywords=Irwin+1966934+Marples+Wood+Drilling+Forstner+Bit+1-1%2F2-in.&amp;qid=1695347157&amp;sr=8-7", "https://www.amazon.com/Forstner-Drill-Bits-Wood-Sizes/dp/B0C2D1G15Q/ref=sr_1_7?keywords=Irwin+1966934+Marples+Wood+Drilling+Forstner+Bit+1-1%2F2-in.&amp;qid=1695347157&amp;sr=8-7")</f>
        <v/>
      </c>
      <c r="F285" t="inlineStr">
        <is>
          <t>B0C2D1G15Q</t>
        </is>
      </c>
      <c r="G285">
        <f>_xlfn.IMAGE("https://www.toolnut.com/media/catalog/product/1/9/1966934-irwin-marples-drill-bits-wood-boring-forstner-1.5in-primary.jpg?quality=100&amp;bg-color=255,255,255&amp;fit=bounds&amp;height=700&amp;width=700&amp;canvas=700:700&amp;dpr=1 1x")</f>
        <v/>
      </c>
      <c r="H285">
        <f>_xlfn.IMAGE("https://m.media-amazon.com/images/I/61jhH2-hH7L._AC_UL320_.jpg")</f>
        <v/>
      </c>
      <c r="K285" t="inlineStr">
        <is>
          <t>16.79</t>
        </is>
      </c>
      <c r="L285" t="n">
        <v>29.99</v>
      </c>
      <c r="M285" s="2" t="inlineStr">
        <is>
          <t>78.62%</t>
        </is>
      </c>
      <c r="N285" t="n">
        <v>3.9</v>
      </c>
      <c r="O285" t="n">
        <v>24</v>
      </c>
      <c r="Q285" t="inlineStr">
        <is>
          <t>InStock</t>
        </is>
      </c>
      <c r="R285" t="inlineStr">
        <is>
          <t>undefined</t>
        </is>
      </c>
      <c r="S285" t="inlineStr">
        <is>
          <t>1966934-IRWIN</t>
        </is>
      </c>
    </row>
    <row r="286" ht="75" customHeight="1">
      <c r="A286" s="1">
        <f>HYPERLINK("https://www.toolnut.com/irwin-1966935-drill-bit.html", "https://www.toolnut.com/irwin-1966935-drill-bit.html")</f>
        <v/>
      </c>
      <c r="B286" s="1">
        <f>HYPERLINK("https://www.toolnut.com/irwin-1966935-drill-bit.html", "https://www.toolnut.com/irwin-1966935-drill-bit.html")</f>
        <v/>
      </c>
      <c r="C286" t="inlineStr">
        <is>
          <t>Irwin 1966935 Marples Wood Drilling Forstner Bit 1-5/8-in.</t>
        </is>
      </c>
      <c r="D286" t="inlineStr">
        <is>
          <t>IRWIN Marples Forstner Bit Set, Wood Drill Bits, Made of Carbon Steel, Ideal for Fine Woodworking, Cabinet-making and more, 14 Pieces (1966893)</t>
        </is>
      </c>
      <c r="E286" s="1">
        <f>HYPERLINK("https://www.amazon.com/Irwin-Tools-1966893-Drilling-Forstner/dp/B071S1BGXV/ref=sr_1_9?keywords=Irwin+1966935+Marples+Wood+Drilling+Forstner+Bit+1-5%2F8-in.&amp;qid=1695347147&amp;sr=8-9", "https://www.amazon.com/Irwin-Tools-1966893-Drilling-Forstner/dp/B071S1BGXV/ref=sr_1_9?keywords=Irwin+1966935+Marples+Wood+Drilling+Forstner+Bit+1-5%2F8-in.&amp;qid=1695347147&amp;sr=8-9")</f>
        <v/>
      </c>
      <c r="F286" t="inlineStr">
        <is>
          <t>B071S1BGXV</t>
        </is>
      </c>
      <c r="G286">
        <f>_xlfn.IMAGE("https://www.toolnut.com/media/catalog/product/1/9/1966935-irwin-marples-drill-bits-wood-boring-forstner-1.625in-primary.jpg?quality=100&amp;bg-color=255,255,255&amp;fit=bounds&amp;height=700&amp;width=700&amp;canvas=700:700&amp;dpr=1 1x")</f>
        <v/>
      </c>
      <c r="H286">
        <f>_xlfn.IMAGE("https://m.media-amazon.com/images/I/71sWaJmpIOS._AC_UL320_.jpg")</f>
        <v/>
      </c>
      <c r="K286" t="inlineStr">
        <is>
          <t>17.24</t>
        </is>
      </c>
      <c r="L286" t="n">
        <v>54.98</v>
      </c>
      <c r="M286" s="2" t="inlineStr">
        <is>
          <t>218.91%</t>
        </is>
      </c>
      <c r="N286" t="n">
        <v>4.6</v>
      </c>
      <c r="O286" t="n">
        <v>2139</v>
      </c>
      <c r="Q286" t="inlineStr">
        <is>
          <t>InStock</t>
        </is>
      </c>
      <c r="R286" t="inlineStr">
        <is>
          <t>undefined</t>
        </is>
      </c>
      <c r="S286" t="inlineStr">
        <is>
          <t>1966935-IRWIN</t>
        </is>
      </c>
    </row>
    <row r="287" ht="75" customHeight="1">
      <c r="A287" s="1">
        <f>HYPERLINK("https://www.toolnut.com/irwin-1966935-drill-bit.html", "https://www.toolnut.com/irwin-1966935-drill-bit.html")</f>
        <v/>
      </c>
      <c r="B287" s="1">
        <f>HYPERLINK("https://www.toolnut.com/irwin-1966935-drill-bit.html", "https://www.toolnut.com/irwin-1966935-drill-bit.html")</f>
        <v/>
      </c>
      <c r="C287" t="inlineStr">
        <is>
          <t>Irwin 1966935 Marples Wood Drilling Forstner Bit 1-5/8-in.</t>
        </is>
      </c>
      <c r="D287" t="inlineStr">
        <is>
          <t>IRWIN Marples Forstner Bit Set, Wood Drilling, 8 Piece (1966892)</t>
        </is>
      </c>
      <c r="E287" s="1">
        <f>HYPERLINK("https://www.amazon.com/Irwin-Tools-1966892-Drilling-Forstner/dp/B07145HBPL/ref=sr_1_4?keywords=Irwin+1966935+Marples+Wood+Drilling+Forstner+Bit+1-5%2F8-in.&amp;qid=1695347147&amp;sr=8-4", "https://www.amazon.com/Irwin-Tools-1966892-Drilling-Forstner/dp/B07145HBPL/ref=sr_1_4?keywords=Irwin+1966935+Marples+Wood+Drilling+Forstner+Bit+1-5%2F8-in.&amp;qid=1695347147&amp;sr=8-4")</f>
        <v/>
      </c>
      <c r="F287" t="inlineStr">
        <is>
          <t>B07145HBPL</t>
        </is>
      </c>
      <c r="G287">
        <f>_xlfn.IMAGE("https://www.toolnut.com/media/catalog/product/1/9/1966935-irwin-marples-drill-bits-wood-boring-forstner-1.625in-primary.jpg?quality=100&amp;bg-color=255,255,255&amp;fit=bounds&amp;height=700&amp;width=700&amp;canvas=700:700&amp;dpr=1 1x")</f>
        <v/>
      </c>
      <c r="H287">
        <f>_xlfn.IMAGE("https://m.media-amazon.com/images/I/918HiQFbc-L._AC_UL320_.jpg")</f>
        <v/>
      </c>
      <c r="K287" t="inlineStr">
        <is>
          <t>17.24</t>
        </is>
      </c>
      <c r="L287" t="n">
        <v>34.98</v>
      </c>
      <c r="M287" s="2" t="inlineStr">
        <is>
          <t>102.90%</t>
        </is>
      </c>
      <c r="N287" t="n">
        <v>4.7</v>
      </c>
      <c r="O287" t="n">
        <v>1535</v>
      </c>
      <c r="Q287" t="inlineStr">
        <is>
          <t>InStock</t>
        </is>
      </c>
      <c r="R287" t="inlineStr">
        <is>
          <t>undefined</t>
        </is>
      </c>
      <c r="S287" t="inlineStr">
        <is>
          <t>1966935-IRWIN</t>
        </is>
      </c>
    </row>
    <row r="288" ht="75" customHeight="1">
      <c r="A288" s="1">
        <f>HYPERLINK("https://www.toolnut.com/irwin-1966935-drill-bit.html", "https://www.toolnut.com/irwin-1966935-drill-bit.html")</f>
        <v/>
      </c>
      <c r="B288" s="1">
        <f>HYPERLINK("https://www.toolnut.com/irwin-1966935-drill-bit.html", "https://www.toolnut.com/irwin-1966935-drill-bit.html")</f>
        <v/>
      </c>
      <c r="C288" t="inlineStr">
        <is>
          <t>Irwin 1966935 Marples Wood Drilling Forstner Bit 1-5/8-in.</t>
        </is>
      </c>
      <c r="D288" t="inlineStr">
        <is>
          <t>IRWIN Marples Forstner Bit Set, Wood Drilling, 8 Piece (1966892)</t>
        </is>
      </c>
      <c r="E288" s="1">
        <f>HYPERLINK("https://www.amazon.com/Irwin-Tools-1966892-Drilling-Forstner/dp/B07145HBPL/ref=sr_1_4?keywords=Irwin+1966935+Marples+Wood+Drilling+Forstner+Bit+1-5%2F8-in.&amp;qid=1695347147&amp;sr=8-4", "https://www.amazon.com/Irwin-Tools-1966892-Drilling-Forstner/dp/B07145HBPL/ref=sr_1_4?keywords=Irwin+1966935+Marples+Wood+Drilling+Forstner+Bit+1-5%2F8-in.&amp;qid=1695347147&amp;sr=8-4")</f>
        <v/>
      </c>
      <c r="F288" t="inlineStr">
        <is>
          <t>B07145HBPL</t>
        </is>
      </c>
      <c r="G288">
        <f>_xlfn.IMAGE("https://www.toolnut.com/media/catalog/product/1/9/1966935-irwin-marples-drill-bits-wood-boring-forstner-1.625in-primary.jpg?quality=100&amp;bg-color=255,255,255&amp;fit=bounds&amp;height=700&amp;width=700&amp;canvas=700:700&amp;dpr=1 1x")</f>
        <v/>
      </c>
      <c r="H288">
        <f>_xlfn.IMAGE("https://m.media-amazon.com/images/I/918HiQFbc-L._AC_UL320_.jpg")</f>
        <v/>
      </c>
      <c r="K288" t="inlineStr">
        <is>
          <t>17.24</t>
        </is>
      </c>
      <c r="L288" t="n">
        <v>34.98</v>
      </c>
      <c r="M288" s="2" t="inlineStr">
        <is>
          <t>102.90%</t>
        </is>
      </c>
      <c r="N288" t="n">
        <v>4.7</v>
      </c>
      <c r="O288" t="n">
        <v>1535</v>
      </c>
      <c r="Q288" t="inlineStr">
        <is>
          <t>InStock</t>
        </is>
      </c>
      <c r="R288" t="inlineStr">
        <is>
          <t>undefined</t>
        </is>
      </c>
      <c r="S288" t="inlineStr">
        <is>
          <t>1966935-IRWIN</t>
        </is>
      </c>
    </row>
    <row r="289" ht="75" customHeight="1">
      <c r="A289" s="1">
        <f>HYPERLINK("https://www.toolnut.com/irwin-1966936-drill-bit.html", "https://www.toolnut.com/irwin-1966936-drill-bit.html")</f>
        <v/>
      </c>
      <c r="B289" s="1">
        <f>HYPERLINK("https://www.toolnut.com/irwin-1966936-drill-bit.html", "https://www.toolnut.com/irwin-1966936-drill-bit.html")</f>
        <v/>
      </c>
      <c r="C289" t="inlineStr">
        <is>
          <t>Irwin 1966936 Marples Wood Drilling Forstner Bit 1-3/4-in.</t>
        </is>
      </c>
      <c r="D289" t="inlineStr">
        <is>
          <t>IRWIN Marples Forstner Bit Set, Wood Drill Bits, Made of Carbon Steel, Ideal for Fine Woodworking, Cabinet-making and more, 14 Pieces (1966893)</t>
        </is>
      </c>
      <c r="E289" s="1">
        <f>HYPERLINK("https://www.amazon.com/Irwin-Tools-1966893-Drilling-Forstner/dp/B071S1BGXV/ref=sr_1_6?keywords=Irwin+1966936+Marples+Wood+Drilling+Forstner+Bit+1-3%2F4-in.&amp;qid=1695347155&amp;sr=8-6", "https://www.amazon.com/Irwin-Tools-1966893-Drilling-Forstner/dp/B071S1BGXV/ref=sr_1_6?keywords=Irwin+1966936+Marples+Wood+Drilling+Forstner+Bit+1-3%2F4-in.&amp;qid=1695347155&amp;sr=8-6")</f>
        <v/>
      </c>
      <c r="F289" t="inlineStr">
        <is>
          <t>B071S1BGXV</t>
        </is>
      </c>
      <c r="G289">
        <f>_xlfn.IMAGE("https://www.toolnut.com/media/catalog/product/1/9/1966936-irwin-speedbor-forstner-drill-bit-1.75in-silo-primary.jpg?quality=100&amp;bg-color=255,255,255&amp;fit=bounds&amp;height=700&amp;width=700&amp;canvas=700:700&amp;dpr=1 1x")</f>
        <v/>
      </c>
      <c r="H289">
        <f>_xlfn.IMAGE("https://m.media-amazon.com/images/I/71sWaJmpIOS._AC_UL320_.jpg")</f>
        <v/>
      </c>
      <c r="K289" t="inlineStr">
        <is>
          <t>18.79</t>
        </is>
      </c>
      <c r="L289" t="n">
        <v>54.98</v>
      </c>
      <c r="M289" s="2" t="inlineStr">
        <is>
          <t>192.60%</t>
        </is>
      </c>
      <c r="N289" t="n">
        <v>4.6</v>
      </c>
      <c r="O289" t="n">
        <v>2139</v>
      </c>
      <c r="Q289" t="inlineStr">
        <is>
          <t>InStock</t>
        </is>
      </c>
      <c r="R289" t="inlineStr">
        <is>
          <t>undefined</t>
        </is>
      </c>
      <c r="S289" t="inlineStr">
        <is>
          <t>1966936-IRWIN</t>
        </is>
      </c>
    </row>
    <row r="290" ht="75" customHeight="1">
      <c r="A290" s="1">
        <f>HYPERLINK("https://www.toolnut.com/irwin-1966936-drill-bit.html", "https://www.toolnut.com/irwin-1966936-drill-bit.html")</f>
        <v/>
      </c>
      <c r="B290" s="1">
        <f>HYPERLINK("https://www.toolnut.com/irwin-1966936-drill-bit.html", "https://www.toolnut.com/irwin-1966936-drill-bit.html")</f>
        <v/>
      </c>
      <c r="C290" t="inlineStr">
        <is>
          <t>Irwin 1966936 Marples Wood Drilling Forstner Bit 1-3/4-in.</t>
        </is>
      </c>
      <c r="D290" t="inlineStr">
        <is>
          <t>IRWIN Marples Forstner Bit Set, Wood Drilling, 8 Piece (1966892)</t>
        </is>
      </c>
      <c r="E290" s="1">
        <f>HYPERLINK("https://www.amazon.com/Irwin-Tools-1966892-Drilling-Forstner/dp/B07145HBPL/ref=sr_1_2?keywords=Irwin+1966936+Marples+Wood+Drilling+Forstner+Bit+1-3%2F4-in.&amp;qid=1695347155&amp;sr=8-2", "https://www.amazon.com/Irwin-Tools-1966892-Drilling-Forstner/dp/B07145HBPL/ref=sr_1_2?keywords=Irwin+1966936+Marples+Wood+Drilling+Forstner+Bit+1-3%2F4-in.&amp;qid=1695347155&amp;sr=8-2")</f>
        <v/>
      </c>
      <c r="F290" t="inlineStr">
        <is>
          <t>B07145HBPL</t>
        </is>
      </c>
      <c r="G290">
        <f>_xlfn.IMAGE("https://www.toolnut.com/media/catalog/product/1/9/1966936-irwin-speedbor-forstner-drill-bit-1.75in-silo-primary.jpg?quality=100&amp;bg-color=255,255,255&amp;fit=bounds&amp;height=700&amp;width=700&amp;canvas=700:700&amp;dpr=1 1x")</f>
        <v/>
      </c>
      <c r="H290">
        <f>_xlfn.IMAGE("https://m.media-amazon.com/images/I/918HiQFbc-L._AC_UL320_.jpg")</f>
        <v/>
      </c>
      <c r="K290" t="inlineStr">
        <is>
          <t>18.79</t>
        </is>
      </c>
      <c r="L290" t="n">
        <v>34.98</v>
      </c>
      <c r="M290" s="2" t="inlineStr">
        <is>
          <t>86.16%</t>
        </is>
      </c>
      <c r="N290" t="n">
        <v>4.7</v>
      </c>
      <c r="O290" t="n">
        <v>1535</v>
      </c>
      <c r="Q290" t="inlineStr">
        <is>
          <t>InStock</t>
        </is>
      </c>
      <c r="R290" t="inlineStr">
        <is>
          <t>undefined</t>
        </is>
      </c>
      <c r="S290" t="inlineStr">
        <is>
          <t>1966936-IRWIN</t>
        </is>
      </c>
    </row>
    <row r="291" ht="75" customHeight="1">
      <c r="A291" s="1">
        <f>HYPERLINK("https://www.toolnut.com/irwin-1966936-drill-bit.html", "https://www.toolnut.com/irwin-1966936-drill-bit.html")</f>
        <v/>
      </c>
      <c r="B291" s="1">
        <f>HYPERLINK("https://www.toolnut.com/irwin-1966936-drill-bit.html", "https://www.toolnut.com/irwin-1966936-drill-bit.html")</f>
        <v/>
      </c>
      <c r="C291" t="inlineStr">
        <is>
          <t>Irwin 1966936 Marples Wood Drilling Forstner Bit 1-3/4-in.</t>
        </is>
      </c>
      <c r="D291" t="inlineStr">
        <is>
          <t>IRWIN Marples Forstner Bit Set, Wood Drilling, 8 Piece (1966892)</t>
        </is>
      </c>
      <c r="E291" s="1">
        <f>HYPERLINK("https://www.amazon.com/Irwin-Tools-1966892-Drilling-Forstner/dp/B07145HBPL/ref=sr_1_2?keywords=Irwin+1966936+Marples+Wood+Drilling+Forstner+Bit+1-3%2F4-in.&amp;qid=1695347155&amp;sr=8-2", "https://www.amazon.com/Irwin-Tools-1966892-Drilling-Forstner/dp/B07145HBPL/ref=sr_1_2?keywords=Irwin+1966936+Marples+Wood+Drilling+Forstner+Bit+1-3%2F4-in.&amp;qid=1695347155&amp;sr=8-2")</f>
        <v/>
      </c>
      <c r="F291" t="inlineStr">
        <is>
          <t>B07145HBPL</t>
        </is>
      </c>
      <c r="G291">
        <f>_xlfn.IMAGE("https://www.toolnut.com/media/catalog/product/1/9/1966936-irwin-speedbor-forstner-drill-bit-1.75in-silo-primary.jpg?quality=100&amp;bg-color=255,255,255&amp;fit=bounds&amp;height=700&amp;width=700&amp;canvas=700:700&amp;dpr=1 1x")</f>
        <v/>
      </c>
      <c r="H291">
        <f>_xlfn.IMAGE("https://m.media-amazon.com/images/I/918HiQFbc-L._AC_UL320_.jpg")</f>
        <v/>
      </c>
      <c r="K291" t="inlineStr">
        <is>
          <t>18.79</t>
        </is>
      </c>
      <c r="L291" t="n">
        <v>34.98</v>
      </c>
      <c r="M291" s="2" t="inlineStr">
        <is>
          <t>86.16%</t>
        </is>
      </c>
      <c r="N291" t="n">
        <v>4.7</v>
      </c>
      <c r="O291" t="n">
        <v>1535</v>
      </c>
      <c r="Q291" t="inlineStr">
        <is>
          <t>InStock</t>
        </is>
      </c>
      <c r="R291" t="inlineStr">
        <is>
          <t>undefined</t>
        </is>
      </c>
      <c r="S291" t="inlineStr">
        <is>
          <t>1966936-IRWIN</t>
        </is>
      </c>
    </row>
    <row r="292" ht="75" customHeight="1">
      <c r="A292" s="1">
        <f>HYPERLINK("https://www.toolnut.com/irwin-1966937-drill-bit.html", "https://www.toolnut.com/irwin-1966937-drill-bit.html")</f>
        <v/>
      </c>
      <c r="B292" s="1">
        <f>HYPERLINK("https://www.toolnut.com/irwin-1966937-drill-bit.html", "https://www.toolnut.com/irwin-1966937-drill-bit.html")</f>
        <v/>
      </c>
      <c r="C292" t="inlineStr">
        <is>
          <t>Irwin 1966937 Marples Wood Drilling Forstner Bit 1-7/8-in.</t>
        </is>
      </c>
      <c r="D292" t="inlineStr">
        <is>
          <t>IRWIN Marples Forstner Bit Set, Wood Drill Bits, Made of Carbon Steel, Ideal for Fine Woodworking, Cabinet-making and more, 14 Pieces (1966893)</t>
        </is>
      </c>
      <c r="E292" s="1">
        <f>HYPERLINK("https://www.amazon.com/Irwin-Tools-1966893-Drilling-Forstner/dp/B071S1BGXV/ref=sr_1_6?keywords=Irwin+1966937+Marples+Wood+Drilling+Forstner+Bit+1-7%2F8-in.&amp;qid=1695347146&amp;sr=8-6", "https://www.amazon.com/Irwin-Tools-1966893-Drilling-Forstner/dp/B071S1BGXV/ref=sr_1_6?keywords=Irwin+1966937+Marples+Wood+Drilling+Forstner+Bit+1-7%2F8-in.&amp;qid=1695347146&amp;sr=8-6")</f>
        <v/>
      </c>
      <c r="F292" t="inlineStr">
        <is>
          <t>B071S1BGXV</t>
        </is>
      </c>
      <c r="G292">
        <f>_xlfn.IMAGE("https://www.toolnut.com/media/catalog/product/1/9/1966937-irwin-speedbor-forstner-drill-bit-1.875in-silo-primary.jpg?quality=100&amp;bg-color=255,255,255&amp;fit=bounds&amp;height=700&amp;width=700&amp;canvas=700:700&amp;dpr=1 1x")</f>
        <v/>
      </c>
      <c r="H292">
        <f>_xlfn.IMAGE("https://m.media-amazon.com/images/I/71sWaJmpIOS._AC_UL320_.jpg")</f>
        <v/>
      </c>
      <c r="K292" t="inlineStr">
        <is>
          <t>18.99</t>
        </is>
      </c>
      <c r="L292" t="n">
        <v>54.98</v>
      </c>
      <c r="M292" s="2" t="inlineStr">
        <is>
          <t>189.52%</t>
        </is>
      </c>
      <c r="N292" t="n">
        <v>4.6</v>
      </c>
      <c r="O292" t="n">
        <v>2139</v>
      </c>
      <c r="Q292" t="inlineStr">
        <is>
          <t>InStock</t>
        </is>
      </c>
      <c r="R292" t="inlineStr">
        <is>
          <t>undefined</t>
        </is>
      </c>
      <c r="S292" t="inlineStr">
        <is>
          <t>1966937-IRWIN</t>
        </is>
      </c>
    </row>
    <row r="293" ht="75" customHeight="1">
      <c r="A293" s="1">
        <f>HYPERLINK("https://www.toolnut.com/irwin-1966937-drill-bit.html", "https://www.toolnut.com/irwin-1966937-drill-bit.html")</f>
        <v/>
      </c>
      <c r="B293" s="1">
        <f>HYPERLINK("https://www.toolnut.com/irwin-1966937-drill-bit.html", "https://www.toolnut.com/irwin-1966937-drill-bit.html")</f>
        <v/>
      </c>
      <c r="C293" t="inlineStr">
        <is>
          <t>Irwin 1966937 Marples Wood Drilling Forstner Bit 1-7/8-in.</t>
        </is>
      </c>
      <c r="D293" t="inlineStr">
        <is>
          <t>IRWIN Marples Forstner Bit Set, Wood Drilling, 8 Piece (1966892)</t>
        </is>
      </c>
      <c r="E293" s="1">
        <f>HYPERLINK("https://www.amazon.com/Irwin-Tools-1966892-Drilling-Forstner/dp/B07145HBPL/ref=sr_1_2?keywords=Irwin+1966937+Marples+Wood+Drilling+Forstner+Bit+1-7%2F8-in.&amp;qid=1695347146&amp;sr=8-2", "https://www.amazon.com/Irwin-Tools-1966892-Drilling-Forstner/dp/B07145HBPL/ref=sr_1_2?keywords=Irwin+1966937+Marples+Wood+Drilling+Forstner+Bit+1-7%2F8-in.&amp;qid=1695347146&amp;sr=8-2")</f>
        <v/>
      </c>
      <c r="F293" t="inlineStr">
        <is>
          <t>B07145HBPL</t>
        </is>
      </c>
      <c r="G293">
        <f>_xlfn.IMAGE("https://www.toolnut.com/media/catalog/product/1/9/1966937-irwin-speedbor-forstner-drill-bit-1.875in-silo-primary.jpg?quality=100&amp;bg-color=255,255,255&amp;fit=bounds&amp;height=700&amp;width=700&amp;canvas=700:700&amp;dpr=1 1x")</f>
        <v/>
      </c>
      <c r="H293">
        <f>_xlfn.IMAGE("https://m.media-amazon.com/images/I/918HiQFbc-L._AC_UL320_.jpg")</f>
        <v/>
      </c>
      <c r="K293" t="inlineStr">
        <is>
          <t>18.99</t>
        </is>
      </c>
      <c r="L293" t="n">
        <v>34.98</v>
      </c>
      <c r="M293" s="2" t="inlineStr">
        <is>
          <t>84.20%</t>
        </is>
      </c>
      <c r="N293" t="n">
        <v>4.7</v>
      </c>
      <c r="O293" t="n">
        <v>1535</v>
      </c>
      <c r="Q293" t="inlineStr">
        <is>
          <t>InStock</t>
        </is>
      </c>
      <c r="R293" t="inlineStr">
        <is>
          <t>undefined</t>
        </is>
      </c>
      <c r="S293" t="inlineStr">
        <is>
          <t>1966937-IRWIN</t>
        </is>
      </c>
    </row>
    <row r="294" ht="75" customHeight="1">
      <c r="A294" s="1">
        <f>HYPERLINK("https://www.toolnut.com/irwin-1966937-drill-bit.html", "https://www.toolnut.com/irwin-1966937-drill-bit.html")</f>
        <v/>
      </c>
      <c r="B294" s="1">
        <f>HYPERLINK("https://www.toolnut.com/irwin-1966937-drill-bit.html", "https://www.toolnut.com/irwin-1966937-drill-bit.html")</f>
        <v/>
      </c>
      <c r="C294" t="inlineStr">
        <is>
          <t>Irwin 1966937 Marples Wood Drilling Forstner Bit 1-7/8-in.</t>
        </is>
      </c>
      <c r="D294" t="inlineStr">
        <is>
          <t>IRWIN Marples Forstner Bit Set, Wood Drill Bits, Made of Carbon Steel, Ideal for Fine Woodworking, Cabinet-making and more, 14 Pieces (1966893)</t>
        </is>
      </c>
      <c r="E294" s="1">
        <f>HYPERLINK("https://www.amazon.com/Irwin-Tools-1966893-Drilling-Forstner/dp/B071S1BGXV/ref=sr_1_6?keywords=Irwin+1966937+Marples+Wood+Drilling+Forstner+Bit+1-7%2F8-in.&amp;qid=1695347146&amp;sr=8-6", "https://www.amazon.com/Irwin-Tools-1966893-Drilling-Forstner/dp/B071S1BGXV/ref=sr_1_6?keywords=Irwin+1966937+Marples+Wood+Drilling+Forstner+Bit+1-7%2F8-in.&amp;qid=1695347146&amp;sr=8-6")</f>
        <v/>
      </c>
      <c r="F294" t="inlineStr">
        <is>
          <t>B071S1BGXV</t>
        </is>
      </c>
      <c r="G294">
        <f>_xlfn.IMAGE("https://www.toolnut.com/media/catalog/product/1/9/1966937-irwin-speedbor-forstner-drill-bit-1.875in-silo-primary.jpg?quality=100&amp;bg-color=255,255,255&amp;fit=bounds&amp;height=700&amp;width=700&amp;canvas=700:700&amp;dpr=1 1x")</f>
        <v/>
      </c>
      <c r="H294">
        <f>_xlfn.IMAGE("https://m.media-amazon.com/images/I/71sWaJmpIOS._AC_UL320_.jpg")</f>
        <v/>
      </c>
      <c r="K294" t="inlineStr">
        <is>
          <t>18.99</t>
        </is>
      </c>
      <c r="L294" t="n">
        <v>54.98</v>
      </c>
      <c r="M294" s="2" t="inlineStr">
        <is>
          <t>189.52%</t>
        </is>
      </c>
      <c r="N294" t="n">
        <v>4.6</v>
      </c>
      <c r="O294" t="n">
        <v>2139</v>
      </c>
      <c r="Q294" t="inlineStr">
        <is>
          <t>InStock</t>
        </is>
      </c>
      <c r="R294" t="inlineStr">
        <is>
          <t>undefined</t>
        </is>
      </c>
      <c r="S294" t="inlineStr">
        <is>
          <t>1966937-IRWIN</t>
        </is>
      </c>
    </row>
    <row r="295" ht="75" customHeight="1">
      <c r="A295" s="1">
        <f>HYPERLINK("https://www.toolnut.com/irwin-1966937-drill-bit.html", "https://www.toolnut.com/irwin-1966937-drill-bit.html")</f>
        <v/>
      </c>
      <c r="B295" s="1">
        <f>HYPERLINK("https://www.toolnut.com/irwin-1966937-drill-bit.html", "https://www.toolnut.com/irwin-1966937-drill-bit.html")</f>
        <v/>
      </c>
      <c r="C295" t="inlineStr">
        <is>
          <t>Irwin 1966937 Marples Wood Drilling Forstner Bit 1-7/8-in.</t>
        </is>
      </c>
      <c r="D295" t="inlineStr">
        <is>
          <t>IRWIN Marples Forstner Bit Set, Wood Drilling, 8 Piece (1966892)</t>
        </is>
      </c>
      <c r="E295" s="1">
        <f>HYPERLINK("https://www.amazon.com/Irwin-Tools-1966892-Drilling-Forstner/dp/B07145HBPL/ref=sr_1_2?keywords=Irwin+1966937+Marples+Wood+Drilling+Forstner+Bit+1-7%2F8-in.&amp;qid=1695347146&amp;sr=8-2", "https://www.amazon.com/Irwin-Tools-1966892-Drilling-Forstner/dp/B07145HBPL/ref=sr_1_2?keywords=Irwin+1966937+Marples+Wood+Drilling+Forstner+Bit+1-7%2F8-in.&amp;qid=1695347146&amp;sr=8-2")</f>
        <v/>
      </c>
      <c r="F295" t="inlineStr">
        <is>
          <t>B07145HBPL</t>
        </is>
      </c>
      <c r="G295">
        <f>_xlfn.IMAGE("https://www.toolnut.com/media/catalog/product/1/9/1966937-irwin-speedbor-forstner-drill-bit-1.875in-silo-primary.jpg?quality=100&amp;bg-color=255,255,255&amp;fit=bounds&amp;height=700&amp;width=700&amp;canvas=700:700&amp;dpr=1 1x")</f>
        <v/>
      </c>
      <c r="H295">
        <f>_xlfn.IMAGE("https://m.media-amazon.com/images/I/918HiQFbc-L._AC_UL320_.jpg")</f>
        <v/>
      </c>
      <c r="K295" t="inlineStr">
        <is>
          <t>18.99</t>
        </is>
      </c>
      <c r="L295" t="n">
        <v>34.98</v>
      </c>
      <c r="M295" s="2" t="inlineStr">
        <is>
          <t>84.20%</t>
        </is>
      </c>
      <c r="N295" t="n">
        <v>4.7</v>
      </c>
      <c r="O295" t="n">
        <v>1535</v>
      </c>
      <c r="Q295" t="inlineStr">
        <is>
          <t>InStock</t>
        </is>
      </c>
      <c r="R295" t="inlineStr">
        <is>
          <t>undefined</t>
        </is>
      </c>
      <c r="S295" t="inlineStr">
        <is>
          <t>1966937-IRWIN</t>
        </is>
      </c>
    </row>
    <row r="296" ht="75" customHeight="1">
      <c r="A296" s="1">
        <f>HYPERLINK("https://www.toolnut.com/irwin-1966938-drill-bit.html", "https://www.toolnut.com/irwin-1966938-drill-bit.html")</f>
        <v/>
      </c>
      <c r="B296" s="1">
        <f>HYPERLINK("https://www.toolnut.com/irwin-1966938-drill-bit.html", "https://www.toolnut.com/irwin-1966938-drill-bit.html")</f>
        <v/>
      </c>
      <c r="C296" t="inlineStr">
        <is>
          <t>Irwin 1966938 Marples Wood Drilling Forstner Bit 2-in.</t>
        </is>
      </c>
      <c r="D296" t="inlineStr">
        <is>
          <t>IRWIN Marples Forstner Bit Set, Wood Drilling, 8 Piece (1966892)</t>
        </is>
      </c>
      <c r="E296" s="1">
        <f>HYPERLINK("https://www.amazon.com/Irwin-Tools-1966892-Drilling-Forstner/dp/B07145HBPL/ref=sr_1_2?keywords=Irwin+1966938+Marples+Wood+Drilling+Forstner+Bit+2-in.&amp;qid=1695347150&amp;sr=8-2", "https://www.amazon.com/Irwin-Tools-1966892-Drilling-Forstner/dp/B07145HBPL/ref=sr_1_2?keywords=Irwin+1966938+Marples+Wood+Drilling+Forstner+Bit+2-in.&amp;qid=1695347150&amp;sr=8-2")</f>
        <v/>
      </c>
      <c r="F296" t="inlineStr">
        <is>
          <t>B07145HBPL</t>
        </is>
      </c>
      <c r="G296">
        <f>_xlfn.IMAGE("https://www.toolnut.com/media/catalog/product/1/9/1966938-irwin-marples-drill-bits-wood-boring-forstner-2in-primary.jpg?quality=100&amp;bg-color=255,255,255&amp;fit=bounds&amp;height=700&amp;width=700&amp;canvas=700:700&amp;dpr=1 1x")</f>
        <v/>
      </c>
      <c r="H296">
        <f>_xlfn.IMAGE("https://m.media-amazon.com/images/I/918HiQFbc-L._AC_UL320_.jpg")</f>
        <v/>
      </c>
      <c r="K296" t="inlineStr">
        <is>
          <t>20.49</t>
        </is>
      </c>
      <c r="L296" t="n">
        <v>34.98</v>
      </c>
      <c r="M296" s="2" t="inlineStr">
        <is>
          <t>70.72%</t>
        </is>
      </c>
      <c r="N296" t="n">
        <v>4.7</v>
      </c>
      <c r="O296" t="n">
        <v>1535</v>
      </c>
      <c r="Q296" t="inlineStr">
        <is>
          <t>InStock</t>
        </is>
      </c>
      <c r="R296" t="inlineStr">
        <is>
          <t>undefined</t>
        </is>
      </c>
      <c r="S296" t="inlineStr">
        <is>
          <t>1966938-IRWIN</t>
        </is>
      </c>
    </row>
    <row r="297" ht="75" customHeight="1">
      <c r="A297" s="1">
        <f>HYPERLINK("https://www.toolnut.com/irwin-1966938-drill-bit.html", "https://www.toolnut.com/irwin-1966938-drill-bit.html")</f>
        <v/>
      </c>
      <c r="B297" s="1">
        <f>HYPERLINK("https://www.toolnut.com/irwin-1966938-drill-bit.html", "https://www.toolnut.com/irwin-1966938-drill-bit.html")</f>
        <v/>
      </c>
      <c r="C297" t="inlineStr">
        <is>
          <t>Irwin 1966938 Marples Wood Drilling Forstner Bit 2-in.</t>
        </is>
      </c>
      <c r="D297" t="inlineStr">
        <is>
          <t>IRWIN Marples Forstner Bit Set, Wood Drilling, 8 Piece (1966892)</t>
        </is>
      </c>
      <c r="E297" s="1">
        <f>HYPERLINK("https://www.amazon.com/Irwin-Tools-1966892-Drilling-Forstner/dp/B07145HBPL/ref=sr_1_2?keywords=Irwin+1966938+Marples+Wood+Drilling+Forstner+Bit+2-in.&amp;qid=1695347150&amp;sr=8-2", "https://www.amazon.com/Irwin-Tools-1966892-Drilling-Forstner/dp/B07145HBPL/ref=sr_1_2?keywords=Irwin+1966938+Marples+Wood+Drilling+Forstner+Bit+2-in.&amp;qid=1695347150&amp;sr=8-2")</f>
        <v/>
      </c>
      <c r="F297" t="inlineStr">
        <is>
          <t>B07145HBPL</t>
        </is>
      </c>
      <c r="G297">
        <f>_xlfn.IMAGE("https://www.toolnut.com/media/catalog/product/1/9/1966938-irwin-marples-drill-bits-wood-boring-forstner-2in-primary.jpg?quality=100&amp;bg-color=255,255,255&amp;fit=bounds&amp;height=700&amp;width=700&amp;canvas=700:700&amp;dpr=1 1x")</f>
        <v/>
      </c>
      <c r="H297">
        <f>_xlfn.IMAGE("https://m.media-amazon.com/images/I/918HiQFbc-L._AC_UL320_.jpg")</f>
        <v/>
      </c>
      <c r="K297" t="inlineStr">
        <is>
          <t>20.49</t>
        </is>
      </c>
      <c r="L297" t="n">
        <v>34.98</v>
      </c>
      <c r="M297" s="2" t="inlineStr">
        <is>
          <t>70.72%</t>
        </is>
      </c>
      <c r="N297" t="n">
        <v>4.7</v>
      </c>
      <c r="O297" t="n">
        <v>1535</v>
      </c>
      <c r="Q297" t="inlineStr">
        <is>
          <t>InStock</t>
        </is>
      </c>
      <c r="R297" t="inlineStr">
        <is>
          <t>undefined</t>
        </is>
      </c>
      <c r="S297" t="inlineStr">
        <is>
          <t>1966938-IRWIN</t>
        </is>
      </c>
    </row>
    <row r="298" ht="75" customHeight="1">
      <c r="A298" s="1">
        <f>HYPERLINK("https://www.toolnut.com/irwin-1966939-drill-bit.html", "https://www.toolnut.com/irwin-1966939-drill-bit.html")</f>
        <v/>
      </c>
      <c r="B298" s="1">
        <f>HYPERLINK("https://www.toolnut.com/irwin-1966939-drill-bit.html", "https://www.toolnut.com/irwin-1966939-drill-bit.html")</f>
        <v/>
      </c>
      <c r="C298" t="inlineStr">
        <is>
          <t>Irwin 1966939 Marples Wood Drilling Forstner Bit 2-1/8-in.</t>
        </is>
      </c>
      <c r="D298" t="inlineStr">
        <is>
          <t>IRWIN Marples Forstner Bit Set, Wood Drill Bits, Made of Carbon Steel, Ideal for Fine Woodworking, Cabinet-making and more, 14 Pieces (1966893)</t>
        </is>
      </c>
      <c r="E298" s="1">
        <f>HYPERLINK("https://www.amazon.com/Irwin-Tools-1966893-Drilling-Forstner/dp/B071S1BGXV/ref=sr_1_6?keywords=Irwin+1966939+Marples+Wood+Drilling+Forstner+Bit+2-1%2F8-in.&amp;qid=1695347144&amp;sr=8-6", "https://www.amazon.com/Irwin-Tools-1966893-Drilling-Forstner/dp/B071S1BGXV/ref=sr_1_6?keywords=Irwin+1966939+Marples+Wood+Drilling+Forstner+Bit+2-1%2F8-in.&amp;qid=1695347144&amp;sr=8-6")</f>
        <v/>
      </c>
      <c r="F298" t="inlineStr">
        <is>
          <t>B071S1BGXV</t>
        </is>
      </c>
      <c r="G298">
        <f>_xlfn.IMAGE("https://www.toolnut.com/media/catalog/product/1/9/1966939-irwin-marples-drill-bits-wood-boring-forstner-2.125in-primary.jpg?quality=100&amp;bg-color=255,255,255&amp;fit=bounds&amp;height=700&amp;width=700&amp;canvas=700:700&amp;dpr=1 1x")</f>
        <v/>
      </c>
      <c r="H298">
        <f>_xlfn.IMAGE("https://m.media-amazon.com/images/I/71sWaJmpIOS._AC_UL320_.jpg")</f>
        <v/>
      </c>
      <c r="K298" t="inlineStr">
        <is>
          <t>23.99</t>
        </is>
      </c>
      <c r="L298" t="n">
        <v>54.98</v>
      </c>
      <c r="M298" s="2" t="inlineStr">
        <is>
          <t>129.18%</t>
        </is>
      </c>
      <c r="N298" t="n">
        <v>4.6</v>
      </c>
      <c r="O298" t="n">
        <v>2139</v>
      </c>
      <c r="Q298" t="inlineStr">
        <is>
          <t>InStock</t>
        </is>
      </c>
      <c r="R298" t="inlineStr">
        <is>
          <t>undefined</t>
        </is>
      </c>
      <c r="S298" t="inlineStr">
        <is>
          <t>1966939-IRWIN</t>
        </is>
      </c>
    </row>
    <row r="299" ht="75" customHeight="1">
      <c r="A299" s="1">
        <f>HYPERLINK("https://www.toolnut.com/irwin-1966939-drill-bit.html", "https://www.toolnut.com/irwin-1966939-drill-bit.html")</f>
        <v/>
      </c>
      <c r="B299" s="1">
        <f>HYPERLINK("https://www.toolnut.com/irwin-1966939-drill-bit.html", "https://www.toolnut.com/irwin-1966939-drill-bit.html")</f>
        <v/>
      </c>
      <c r="C299" t="inlineStr">
        <is>
          <t>Irwin 1966939 Marples Wood Drilling Forstner Bit 2-1/8-in.</t>
        </is>
      </c>
      <c r="D299" t="inlineStr">
        <is>
          <t>IRWIN Marples Forstner Bit Set, Wood Drill Bits, Made of Carbon Steel, Ideal for Fine Woodworking, Cabinet-making and more, 14 Pieces (1966893)</t>
        </is>
      </c>
      <c r="E299" s="1">
        <f>HYPERLINK("https://www.amazon.com/Irwin-Tools-1966893-Drilling-Forstner/dp/B071S1BGXV/ref=sr_1_6?keywords=Irwin+1966939+Marples+Wood+Drilling+Forstner+Bit+2-1%2F8-in.&amp;qid=1695347144&amp;sr=8-6", "https://www.amazon.com/Irwin-Tools-1966893-Drilling-Forstner/dp/B071S1BGXV/ref=sr_1_6?keywords=Irwin+1966939+Marples+Wood+Drilling+Forstner+Bit+2-1%2F8-in.&amp;qid=1695347144&amp;sr=8-6")</f>
        <v/>
      </c>
      <c r="F299" t="inlineStr">
        <is>
          <t>B071S1BGXV</t>
        </is>
      </c>
      <c r="G299">
        <f>_xlfn.IMAGE("https://www.toolnut.com/media/catalog/product/1/9/1966939-irwin-marples-drill-bits-wood-boring-forstner-2.125in-primary.jpg?quality=100&amp;bg-color=255,255,255&amp;fit=bounds&amp;height=700&amp;width=700&amp;canvas=700:700&amp;dpr=1 1x")</f>
        <v/>
      </c>
      <c r="H299">
        <f>_xlfn.IMAGE("https://m.media-amazon.com/images/I/71sWaJmpIOS._AC_UL320_.jpg")</f>
        <v/>
      </c>
      <c r="K299" t="inlineStr">
        <is>
          <t>23.99</t>
        </is>
      </c>
      <c r="L299" t="n">
        <v>54.98</v>
      </c>
      <c r="M299" s="2" t="inlineStr">
        <is>
          <t>129.18%</t>
        </is>
      </c>
      <c r="N299" t="n">
        <v>4.6</v>
      </c>
      <c r="O299" t="n">
        <v>2139</v>
      </c>
      <c r="Q299" t="inlineStr">
        <is>
          <t>InStock</t>
        </is>
      </c>
      <c r="R299" t="inlineStr">
        <is>
          <t>undefined</t>
        </is>
      </c>
      <c r="S299" t="inlineStr">
        <is>
          <t>1966939-IRWIN</t>
        </is>
      </c>
    </row>
    <row r="300" ht="75" customHeight="1">
      <c r="A300" s="1">
        <f>HYPERLINK("https://www.toolnut.com/irwin-23614-drill-bit.html", "https://www.toolnut.com/irwin-23614-drill-bit.html")</f>
        <v/>
      </c>
      <c r="B300" s="1">
        <f>HYPERLINK("https://www.toolnut.com/irwin-23614-drill-bit.html", "https://www.toolnut.com/irwin-23614-drill-bit.html")</f>
        <v/>
      </c>
      <c r="C300" t="inlineStr">
        <is>
          <t>Irwin 23614 HANSON Machine Screw/Fractional Tap And Die Set 39 Piece Set</t>
        </is>
      </c>
      <c r="D300" t="inlineStr">
        <is>
          <t>IRWIN HANSON Master Extraction Set and Machine Screw/Fractional/Metric Tap and Hex Die and Drill Bit Deluxe Set,c</t>
        </is>
      </c>
      <c r="E300" s="1">
        <f>HYPERLINK("https://www.amazon.com/HANSON-Master-Extraction-Machine-Fractional/dp/B076BVS117/ref=sr_1_4?keywords=Irwin+23614+HANSON+Machine+Screw%2FFractional+Tap+And+Die+Set+39+Piece+Set&amp;qid=1695346877&amp;sr=8-4", "https://www.amazon.com/HANSON-Master-Extraction-Machine-Fractional/dp/B076BVS117/ref=sr_1_4?keywords=Irwin+23614+HANSON+Machine+Screw%2FFractional+Tap+And+Die+Set+39+Piece+Set&amp;qid=1695346877&amp;sr=8-4")</f>
        <v/>
      </c>
      <c r="F300" t="inlineStr">
        <is>
          <t>B076BVS117</t>
        </is>
      </c>
      <c r="G300">
        <f>_xlfn.IMAGE("https://www.toolnut.com/media/catalog/product/2/3/23614-irwin_001.jpg?quality=100&amp;bg-color=255,255,255&amp;fit=bounds&amp;height=700&amp;width=700&amp;canvas=700:700&amp;dpr=1 1x")</f>
        <v/>
      </c>
      <c r="H300">
        <f>_xlfn.IMAGE("https://m.media-amazon.com/images/I/61yFBFBeKzL._AC_UY218_.jpg")</f>
        <v/>
      </c>
      <c r="K300" t="inlineStr">
        <is>
          <t>119.97</t>
        </is>
      </c>
      <c r="L300" t="n">
        <v>589.99</v>
      </c>
      <c r="M300" s="2" t="inlineStr">
        <is>
          <t>391.78%</t>
        </is>
      </c>
      <c r="N300" t="n">
        <v>4.5</v>
      </c>
      <c r="O300" t="n">
        <v>55</v>
      </c>
      <c r="Q300" t="inlineStr">
        <is>
          <t>InStock</t>
        </is>
      </c>
      <c r="R300" t="inlineStr">
        <is>
          <t>undefined</t>
        </is>
      </c>
      <c r="S300" t="inlineStr">
        <is>
          <t>23614-IRWIN</t>
        </is>
      </c>
    </row>
    <row r="301" ht="75" customHeight="1">
      <c r="A301" s="1">
        <f>HYPERLINK("https://www.toolnut.com/irwin-24605-drill-bit.html", "https://www.toolnut.com/irwin-24605-drill-bit.html")</f>
        <v/>
      </c>
      <c r="B301" s="1">
        <f>HYPERLINK("https://www.toolnut.com/irwin-24605-drill-bit.html", "https://www.toolnut.com/irwin-24605-drill-bit.html")</f>
        <v/>
      </c>
      <c r="C301" t="inlineStr">
        <is>
          <t>Irwin 24605 HANSON 12-Piece Machine Screw/Fractional Tap And Die Set 12 Piece Set</t>
        </is>
      </c>
      <c r="D301" t="inlineStr">
        <is>
          <t>Irwin Industrial Tools 23614 Machine Screw with Fractional Tap and Solid Round Die Set, 39-Piece</t>
        </is>
      </c>
      <c r="E301" s="1">
        <f>HYPERLINK("https://www.amazon.com/Irwin-Industrial-Tools-23614-Fractional/dp/B001MXWWYQ/ref=sr_1_2?keywords=Irwin+24605+HANSON+12-Piece+Machine+Screw%2FFractional+Tap+And+Die+Set+12+Piece+Set&amp;qid=1695347068&amp;sr=8-2", "https://www.amazon.com/Irwin-Industrial-Tools-23614-Fractional/dp/B001MXWWYQ/ref=sr_1_2?keywords=Irwin+24605+HANSON+12-Piece+Machine+Screw%2FFractional+Tap+And+Die+Set+12+Piece+Set&amp;qid=1695347068&amp;sr=8-2")</f>
        <v/>
      </c>
      <c r="F301" t="inlineStr">
        <is>
          <t>B001MXWWYQ</t>
        </is>
      </c>
      <c r="G301">
        <f>_xlfn.IMAGE("https://www.toolnut.com/media/catalog/product/2/4/24605-irwin_001.jpg?quality=100&amp;bg-color=255,255,255&amp;fit=bounds&amp;height=700&amp;width=700&amp;canvas=700:700&amp;dpr=1 1x")</f>
        <v/>
      </c>
      <c r="H301">
        <f>_xlfn.IMAGE("https://m.media-amazon.com/images/I/91I9kD+R6uL._AC_UY218_.jpg")</f>
        <v/>
      </c>
      <c r="K301" t="inlineStr">
        <is>
          <t>34.99</t>
        </is>
      </c>
      <c r="L301" t="n">
        <v>174.92</v>
      </c>
      <c r="M301" s="2" t="inlineStr">
        <is>
          <t>399.91%</t>
        </is>
      </c>
      <c r="N301" t="n">
        <v>4.8</v>
      </c>
      <c r="O301" t="n">
        <v>9</v>
      </c>
      <c r="Q301" t="inlineStr">
        <is>
          <t>InStock</t>
        </is>
      </c>
      <c r="R301" t="inlineStr">
        <is>
          <t>undefined</t>
        </is>
      </c>
      <c r="S301" t="inlineStr">
        <is>
          <t>24605-IRWIN</t>
        </is>
      </c>
    </row>
    <row r="302" ht="75" customHeight="1">
      <c r="A302" s="1">
        <f>HYPERLINK("https://www.toolnut.com/irwin-24606-drill-bit.html", "https://www.toolnut.com/irwin-24606-drill-bit.html")</f>
        <v/>
      </c>
      <c r="B302" s="1">
        <f>HYPERLINK("https://www.toolnut.com/irwin-24606-drill-bit.html", "https://www.toolnut.com/irwin-24606-drill-bit.html")</f>
        <v/>
      </c>
      <c r="C302" t="inlineStr">
        <is>
          <t>Irwin 24606 HANSON 41-Piece Machine Screw/Fractional Tap And Die Set 41 Piece Set</t>
        </is>
      </c>
      <c r="D302" t="inlineStr">
        <is>
          <t>Irwin Tools 1840235 Performance Threading System Self-Aligning Tap Set-Machine Screw/Fractional/Metric, 41-Piece</t>
        </is>
      </c>
      <c r="E302" s="1">
        <f>HYPERLINK("https://www.amazon.com/Irwin-Tools-1840235-Performance-Self-Aligning/dp/B00D6FCVAI/ref=sr_1_6?keywords=Irwin+24606+HANSON+41-Piece+Machine+Screw%2FFractional+Tap+And+Die+Set+41+Piece+Set&amp;qid=1695347067&amp;sr=8-6", "https://www.amazon.com/Irwin-Tools-1840235-Performance-Self-Aligning/dp/B00D6FCVAI/ref=sr_1_6?keywords=Irwin+24606+HANSON+41-Piece+Machine+Screw%2FFractional+Tap+And+Die+Set+41+Piece+Set&amp;qid=1695347067&amp;sr=8-6")</f>
        <v/>
      </c>
      <c r="F302" t="inlineStr">
        <is>
          <t>B00D6FCVAI</t>
        </is>
      </c>
      <c r="G302">
        <f>_xlfn.IMAGE("https://www.toolnut.com/media/catalog/product/2/4/24606-irwin_001.jpg?quality=100&amp;bg-color=255,255,255&amp;fit=bounds&amp;height=700&amp;width=700&amp;canvas=700:700&amp;dpr=1 1x")</f>
        <v/>
      </c>
      <c r="H302">
        <f>_xlfn.IMAGE("https://m.media-amazon.com/images/I/81d25Dc9rkL._AC_UY218_.jpg")</f>
        <v/>
      </c>
      <c r="K302" t="inlineStr">
        <is>
          <t>134.97</t>
        </is>
      </c>
      <c r="L302" t="n">
        <v>320.26</v>
      </c>
      <c r="M302" s="2" t="inlineStr">
        <is>
          <t>137.28%</t>
        </is>
      </c>
      <c r="N302" t="n">
        <v>4.1</v>
      </c>
      <c r="O302" t="n">
        <v>4</v>
      </c>
      <c r="Q302" t="inlineStr">
        <is>
          <t>InStock</t>
        </is>
      </c>
      <c r="R302" t="inlineStr">
        <is>
          <t>undefined</t>
        </is>
      </c>
      <c r="S302" t="inlineStr">
        <is>
          <t>24606-IRWIN</t>
        </is>
      </c>
    </row>
    <row r="303" ht="75" customHeight="1">
      <c r="A303" s="1">
        <f>HYPERLINK("https://www.toolnut.com/irwin-24606-drill-bit.html", "https://www.toolnut.com/irwin-24606-drill-bit.html")</f>
        <v/>
      </c>
      <c r="B303" s="1">
        <f>HYPERLINK("https://www.toolnut.com/irwin-24606-drill-bit.html", "https://www.toolnut.com/irwin-24606-drill-bit.html")</f>
        <v/>
      </c>
      <c r="C303" t="inlineStr">
        <is>
          <t>Irwin 24606 HANSON 41-Piece Machine Screw/Fractional Tap And Die Set 41 Piece Set</t>
        </is>
      </c>
      <c r="D303" t="inlineStr">
        <is>
          <t>Irwin Tools 1840235 Performance Threading System Self-Aligning Tap Set-Machine Screw/Fractional/Metric, 41-Piece</t>
        </is>
      </c>
      <c r="E303" s="1">
        <f>HYPERLINK("https://www.amazon.com/Irwin-Tools-1840235-Performance-Self-Aligning/dp/B00D6FCVAI/ref=sr_1_6?keywords=Irwin+24606+HANSON+41-Piece+Machine+Screw%2FFractional+Tap+And+Die+Set+41+Piece+Set&amp;qid=1695347067&amp;sr=8-6", "https://www.amazon.com/Irwin-Tools-1840235-Performance-Self-Aligning/dp/B00D6FCVAI/ref=sr_1_6?keywords=Irwin+24606+HANSON+41-Piece+Machine+Screw%2FFractional+Tap+And+Die+Set+41+Piece+Set&amp;qid=1695347067&amp;sr=8-6")</f>
        <v/>
      </c>
      <c r="F303" t="inlineStr">
        <is>
          <t>B00D6FCVAI</t>
        </is>
      </c>
      <c r="G303">
        <f>_xlfn.IMAGE("https://www.toolnut.com/media/catalog/product/2/4/24606-irwin_001.jpg?quality=100&amp;bg-color=255,255,255&amp;fit=bounds&amp;height=700&amp;width=700&amp;canvas=700:700&amp;dpr=1 1x")</f>
        <v/>
      </c>
      <c r="H303">
        <f>_xlfn.IMAGE("https://m.media-amazon.com/images/I/81d25Dc9rkL._AC_UY218_.jpg")</f>
        <v/>
      </c>
      <c r="K303" t="inlineStr">
        <is>
          <t>134.97</t>
        </is>
      </c>
      <c r="L303" t="n">
        <v>320.26</v>
      </c>
      <c r="M303" s="2" t="inlineStr">
        <is>
          <t>137.28%</t>
        </is>
      </c>
      <c r="N303" t="n">
        <v>4.1</v>
      </c>
      <c r="O303" t="n">
        <v>4</v>
      </c>
      <c r="Q303" t="inlineStr">
        <is>
          <t>InStock</t>
        </is>
      </c>
      <c r="R303" t="inlineStr">
        <is>
          <t>undefined</t>
        </is>
      </c>
      <c r="S303" t="inlineStr">
        <is>
          <t>24606-IRWIN</t>
        </is>
      </c>
    </row>
    <row r="304" ht="75" customHeight="1">
      <c r="A304" s="1">
        <f>HYPERLINK("https://www.toolnut.com/irwin-26313-drill-bit.html", "https://www.toolnut.com/irwin-26313-drill-bit.html")</f>
        <v/>
      </c>
      <c r="B304" s="1">
        <f>HYPERLINK("https://www.toolnut.com/irwin-26313-drill-bit.html", "https://www.toolnut.com/irwin-26313-drill-bit.html")</f>
        <v/>
      </c>
      <c r="C304" t="inlineStr">
        <is>
          <t>Irwin 26313 Metric Tap &amp; Hex 24-Piece Die Set</t>
        </is>
      </c>
      <c r="D304" t="inlineStr">
        <is>
          <t>IRWIN Tools Metric Tap and Hex Die Set, 41-Piece (26317)</t>
        </is>
      </c>
      <c r="E304" s="1">
        <f>HYPERLINK("https://www.amazon.com/IRWIN-Tools-Metric-41-Piece-26317/dp/B0000DD4KV/ref=sr_1_4?keywords=Irwin+26313+Metric+Tap&amp;qid=1695347068&amp;sr=8-4", "https://www.amazon.com/IRWIN-Tools-Metric-41-Piece-26317/dp/B0000DD4KV/ref=sr_1_4?keywords=Irwin+26313+Metric+Tap&amp;qid=1695347068&amp;sr=8-4")</f>
        <v/>
      </c>
      <c r="F304" t="inlineStr">
        <is>
          <t>B0000DD4KV</t>
        </is>
      </c>
      <c r="G304">
        <f>_xlfn.IMAGE("https://www.toolnut.com/media/catalog/product/2/6/26313-irwin-hanson-taps-dies-and-sets-24-piece-metric-tap-hex-die-set-primary.jpg?quality=100&amp;bg-color=255,255,255&amp;fit=bounds&amp;height=700&amp;width=700&amp;canvas=700:700&amp;dpr=1 1x")</f>
        <v/>
      </c>
      <c r="H304">
        <f>_xlfn.IMAGE("https://m.media-amazon.com/images/I/51ZaSrzZN9L._AC_UY218_.jpg")</f>
        <v/>
      </c>
      <c r="K304" t="inlineStr">
        <is>
          <t>84.99</t>
        </is>
      </c>
      <c r="L304" t="n">
        <v>146.99</v>
      </c>
      <c r="M304" s="2" t="inlineStr">
        <is>
          <t>72.95%</t>
        </is>
      </c>
      <c r="N304" t="n">
        <v>4.6</v>
      </c>
      <c r="O304" t="n">
        <v>186</v>
      </c>
      <c r="Q304" t="inlineStr">
        <is>
          <t>InStock</t>
        </is>
      </c>
      <c r="R304" t="inlineStr">
        <is>
          <t>undefined</t>
        </is>
      </c>
      <c r="S304" t="inlineStr">
        <is>
          <t>26313-IRWIN</t>
        </is>
      </c>
    </row>
    <row r="305" ht="75" customHeight="1">
      <c r="A305" s="1">
        <f>HYPERLINK("https://www.toolnut.com/irwin-26313-drill-bit.html", "https://www.toolnut.com/irwin-26313-drill-bit.html")</f>
        <v/>
      </c>
      <c r="B305" s="1">
        <f>HYPERLINK("https://www.toolnut.com/irwin-26313-drill-bit.html", "https://www.toolnut.com/irwin-26313-drill-bit.html")</f>
        <v/>
      </c>
      <c r="C305" t="inlineStr">
        <is>
          <t>Irwin 26313 Metric Tap &amp; Hex 24-Piece Die Set</t>
        </is>
      </c>
      <c r="D305" t="inlineStr">
        <is>
          <t>IRWIN Tools Metric Tap and Hex Die Set, 41-Piece (26317)</t>
        </is>
      </c>
      <c r="E305" s="1">
        <f>HYPERLINK("https://www.amazon.com/IRWIN-Tools-Metric-41-Piece-26317/dp/B0000DD4KV/ref=sr_1_4?keywords=Irwin+26313+Metric+Tap&amp;qid=1695347068&amp;sr=8-4", "https://www.amazon.com/IRWIN-Tools-Metric-41-Piece-26317/dp/B0000DD4KV/ref=sr_1_4?keywords=Irwin+26313+Metric+Tap&amp;qid=1695347068&amp;sr=8-4")</f>
        <v/>
      </c>
      <c r="F305" t="inlineStr">
        <is>
          <t>B0000DD4KV</t>
        </is>
      </c>
      <c r="G305">
        <f>_xlfn.IMAGE("https://www.toolnut.com/media/catalog/product/2/6/26313-irwin-hanson-taps-dies-and-sets-24-piece-metric-tap-hex-die-set-primary.jpg?quality=100&amp;bg-color=255,255,255&amp;fit=bounds&amp;height=700&amp;width=700&amp;canvas=700:700&amp;dpr=1 1x")</f>
        <v/>
      </c>
      <c r="H305">
        <f>_xlfn.IMAGE("https://m.media-amazon.com/images/I/51ZaSrzZN9L._AC_UY218_.jpg")</f>
        <v/>
      </c>
      <c r="K305" t="inlineStr">
        <is>
          <t>84.99</t>
        </is>
      </c>
      <c r="L305" t="n">
        <v>146.99</v>
      </c>
      <c r="M305" s="2" t="inlineStr">
        <is>
          <t>72.95%</t>
        </is>
      </c>
      <c r="N305" t="n">
        <v>4.6</v>
      </c>
      <c r="O305" t="n">
        <v>186</v>
      </c>
      <c r="Q305" t="inlineStr">
        <is>
          <t>InStock</t>
        </is>
      </c>
      <c r="R305" t="inlineStr">
        <is>
          <t>undefined</t>
        </is>
      </c>
      <c r="S305" t="inlineStr">
        <is>
          <t>26313-IRWIN</t>
        </is>
      </c>
    </row>
    <row r="306" ht="75" customHeight="1">
      <c r="A306" s="1">
        <f>HYPERLINK("https://www.toolnut.com/irwin-26317-drill-bit.html", "https://www.toolnut.com/irwin-26317-drill-bit.html")</f>
        <v/>
      </c>
      <c r="B306" s="1">
        <f>HYPERLINK("https://www.toolnut.com/irwin-26317-drill-bit.html", "https://www.toolnut.com/irwin-26317-drill-bit.html")</f>
        <v/>
      </c>
      <c r="C306" t="inlineStr">
        <is>
          <t>Irwin 26317 HANSON Metric Tap And Die Set 41 Piece Set</t>
        </is>
      </c>
      <c r="D306" t="inlineStr">
        <is>
          <t>IRWIN Tap And Die Set with Drill Bits, Machine Screw/SAE/Metric, 117-Piece (26377)</t>
        </is>
      </c>
      <c r="E306" s="1">
        <f>HYPERLINK("https://www.amazon.com/Tools-Hanson-Machine-Fractional-26377/dp/B0000DD4KW/ref=sr_1_3?keywords=Irwin+26317+HANSON+Metric+Tap+And+Die+Set+41+Piece+Set&amp;qid=1695346857&amp;sr=8-3", "https://www.amazon.com/Tools-Hanson-Machine-Fractional-26377/dp/B0000DD4KW/ref=sr_1_3?keywords=Irwin+26317+HANSON+Metric+Tap+And+Die+Set+41+Piece+Set&amp;qid=1695346857&amp;sr=8-3")</f>
        <v/>
      </c>
      <c r="F306" t="inlineStr">
        <is>
          <t>B0000DD4KW</t>
        </is>
      </c>
      <c r="G306">
        <f>_xlfn.IMAGE("https://www.toolnut.com/media/catalog/product/2/6/26317-irwin-hanson-taps-dies-and-sets-41-piece-metric-tap-hex-die-set-primary.jpg?quality=100&amp;bg-color=255,255,255&amp;fit=bounds&amp;height=700&amp;width=700&amp;canvas=700:700&amp;dpr=1 1x")</f>
        <v/>
      </c>
      <c r="H306">
        <f>_xlfn.IMAGE("https://m.media-amazon.com/images/I/91tOo3Io5HL._AC_UL320_.jpg")</f>
        <v/>
      </c>
      <c r="K306" t="inlineStr">
        <is>
          <t>134.97</t>
        </is>
      </c>
      <c r="L306" t="n">
        <v>309.99</v>
      </c>
      <c r="M306" s="2" t="inlineStr">
        <is>
          <t>129.67%</t>
        </is>
      </c>
      <c r="N306" t="n">
        <v>4.6</v>
      </c>
      <c r="O306" t="n">
        <v>599</v>
      </c>
      <c r="Q306" t="inlineStr">
        <is>
          <t>InStock</t>
        </is>
      </c>
      <c r="R306" t="inlineStr">
        <is>
          <t>undefined</t>
        </is>
      </c>
      <c r="S306" t="inlineStr">
        <is>
          <t>26317-IRWIN</t>
        </is>
      </c>
    </row>
    <row r="307" ht="75" customHeight="1">
      <c r="A307" s="1">
        <f>HYPERLINK("https://www.toolnut.com/irwin-26317-drill-bit.html", "https://www.toolnut.com/irwin-26317-drill-bit.html")</f>
        <v/>
      </c>
      <c r="B307" s="1">
        <f>HYPERLINK("https://www.toolnut.com/irwin-26317-drill-bit.html", "https://www.toolnut.com/irwin-26317-drill-bit.html")</f>
        <v/>
      </c>
      <c r="C307" t="inlineStr">
        <is>
          <t>Irwin 26317 HANSON Metric Tap And Die Set 41 Piece Set</t>
        </is>
      </c>
      <c r="D307" t="inlineStr">
        <is>
          <t>IRWIN Tap And Die Set with Drill Bits, Machine Screw/SAE/Metric, 117-Piece (26377)</t>
        </is>
      </c>
      <c r="E307" s="1">
        <f>HYPERLINK("https://www.amazon.com/Tools-Hanson-Machine-Fractional-26377/dp/B0000DD4KW/ref=sr_1_3?keywords=Irwin+26317+HANSON+Metric+Tap+And+Die+Set+41+Piece+Set&amp;qid=1695346857&amp;sr=8-3", "https://www.amazon.com/Tools-Hanson-Machine-Fractional-26377/dp/B0000DD4KW/ref=sr_1_3?keywords=Irwin+26317+HANSON+Metric+Tap+And+Die+Set+41+Piece+Set&amp;qid=1695346857&amp;sr=8-3")</f>
        <v/>
      </c>
      <c r="F307" t="inlineStr">
        <is>
          <t>B0000DD4KW</t>
        </is>
      </c>
      <c r="G307">
        <f>_xlfn.IMAGE("https://www.toolnut.com/media/catalog/product/2/6/26317-irwin-hanson-taps-dies-and-sets-41-piece-metric-tap-hex-die-set-primary.jpg?quality=100&amp;bg-color=255,255,255&amp;fit=bounds&amp;height=700&amp;width=700&amp;canvas=700:700&amp;dpr=1 1x")</f>
        <v/>
      </c>
      <c r="H307">
        <f>_xlfn.IMAGE("https://m.media-amazon.com/images/I/91tOo3Io5HL._AC_UL320_.jpg")</f>
        <v/>
      </c>
      <c r="K307" t="inlineStr">
        <is>
          <t>134.97</t>
        </is>
      </c>
      <c r="L307" t="n">
        <v>309.99</v>
      </c>
      <c r="M307" s="2" t="inlineStr">
        <is>
          <t>129.67%</t>
        </is>
      </c>
      <c r="N307" t="n">
        <v>4.6</v>
      </c>
      <c r="O307" t="n">
        <v>599</v>
      </c>
      <c r="Q307" t="inlineStr">
        <is>
          <t>InStock</t>
        </is>
      </c>
      <c r="R307" t="inlineStr">
        <is>
          <t>undefined</t>
        </is>
      </c>
      <c r="S307" t="inlineStr">
        <is>
          <t>26317-IRWIN</t>
        </is>
      </c>
    </row>
    <row r="308" ht="75" customHeight="1">
      <c r="A308" s="1">
        <f>HYPERLINK("https://www.toolnut.com/irwin-26319-drill-bit.html", "https://www.toolnut.com/irwin-26319-drill-bit.html")</f>
        <v/>
      </c>
      <c r="B308" s="1">
        <f>HYPERLINK("https://www.toolnut.com/irwin-26319-drill-bit.html", "https://www.toolnut.com/irwin-26319-drill-bit.html")</f>
        <v/>
      </c>
      <c r="C308" t="inlineStr">
        <is>
          <t>Irwin 26319 HANSON Machine Screw/Fractional/Metric Tap And Die Set 40 Piece Set</t>
        </is>
      </c>
      <c r="D308" t="inlineStr">
        <is>
          <t>IRWIN HANSON Master Extraction Set and Machine Screw/Fractional/Metric Tap and Hex Die and Drill Bit Deluxe Set,c</t>
        </is>
      </c>
      <c r="E308" s="1">
        <f>HYPERLINK("https://www.amazon.com/HANSON-Master-Extraction-Machine-Fractional/dp/B076BVS117/ref=sr_1_2?keywords=Irwin+26319+HANSON+Machine+Screw%2FFractional%2FMetric+Tap+And+Die+Set+40+Piece+Set&amp;qid=1695347070&amp;sr=8-2", "https://www.amazon.com/HANSON-Master-Extraction-Machine-Fractional/dp/B076BVS117/ref=sr_1_2?keywords=Irwin+26319+HANSON+Machine+Screw%2FFractional%2FMetric+Tap+And+Die+Set+40+Piece+Set&amp;qid=1695347070&amp;sr=8-2")</f>
        <v/>
      </c>
      <c r="F308" t="inlineStr">
        <is>
          <t>B076BVS117</t>
        </is>
      </c>
      <c r="G308">
        <f>_xlfn.IMAGE("https://www.toolnut.com/media/catalog/product/2/6/26319-irwin_001.jpg?quality=100&amp;bg-color=255,255,255&amp;fit=bounds&amp;height=700&amp;width=700&amp;canvas=700:700")</f>
        <v/>
      </c>
      <c r="H308">
        <f>_xlfn.IMAGE("https://m.media-amazon.com/images/I/61yFBFBeKzL._AC_UY218_.jpg")</f>
        <v/>
      </c>
      <c r="K308" t="inlineStr">
        <is>
          <t>134.97</t>
        </is>
      </c>
      <c r="L308" t="n">
        <v>589.99</v>
      </c>
      <c r="M308" s="2" t="inlineStr">
        <is>
          <t>337.13%</t>
        </is>
      </c>
      <c r="N308" t="n">
        <v>4.5</v>
      </c>
      <c r="O308" t="n">
        <v>55</v>
      </c>
      <c r="Q308" t="inlineStr">
        <is>
          <t>InStock</t>
        </is>
      </c>
      <c r="R308" t="inlineStr">
        <is>
          <t>undefined</t>
        </is>
      </c>
      <c r="S308" t="inlineStr">
        <is>
          <t>26319-IRWIN</t>
        </is>
      </c>
    </row>
    <row r="309" ht="75" customHeight="1">
      <c r="A309" s="1">
        <f>HYPERLINK("https://www.toolnut.com/irwin-26376-drill-bit.html", "https://www.toolnut.com/irwin-26376-drill-bit.html")</f>
        <v/>
      </c>
      <c r="B309" s="1">
        <f>HYPERLINK("https://www.toolnut.com/irwin-26376-drill-bit.html", "https://www.toolnut.com/irwin-26376-drill-bit.html")</f>
        <v/>
      </c>
      <c r="C309" t="inlineStr">
        <is>
          <t>Irwin 26376 HANSON Machine Screw/Fractional/Metric Tap And Die Set 76 Piece Set</t>
        </is>
      </c>
      <c r="D309" t="inlineStr">
        <is>
          <t>IRWIN HANSON Master Extraction Set and Machine Screw/Fractional/Metric Tap and Hex Die and Drill Bit Deluxe Set,c</t>
        </is>
      </c>
      <c r="E309" s="1">
        <f>HYPERLINK("https://www.amazon.com/HANSON-Master-Extraction-Machine-Fractional/dp/B076BVS117/ref=sr_1_3?keywords=Irwin+26376+HANSON+Machine+Screw%2FFractional%2FMetric+Tap+And+Die+Set+76+Piece+Set&amp;qid=1695347070&amp;sr=8-3", "https://www.amazon.com/HANSON-Master-Extraction-Machine-Fractional/dp/B076BVS117/ref=sr_1_3?keywords=Irwin+26376+HANSON+Machine+Screw%2FFractional%2FMetric+Tap+And+Die+Set+76+Piece+Set&amp;qid=1695347070&amp;sr=8-3")</f>
        <v/>
      </c>
      <c r="F309" t="inlineStr">
        <is>
          <t>B076BVS117</t>
        </is>
      </c>
      <c r="G309">
        <f>_xlfn.IMAGE("https://www.toolnut.com/media/catalog/product/2/6/26376-irwin_001.jpg?quality=100&amp;bg-color=255,255,255&amp;fit=bounds&amp;height=700&amp;width=700&amp;canvas=700:700")</f>
        <v/>
      </c>
      <c r="H309">
        <f>_xlfn.IMAGE("https://m.media-amazon.com/images/I/61yFBFBeKzL._AC_UY218_.jpg")</f>
        <v/>
      </c>
      <c r="K309" t="inlineStr">
        <is>
          <t>259.99</t>
        </is>
      </c>
      <c r="L309" t="n">
        <v>589.99</v>
      </c>
      <c r="M309" s="2" t="inlineStr">
        <is>
          <t>126.93%</t>
        </is>
      </c>
      <c r="N309" t="n">
        <v>4.5</v>
      </c>
      <c r="O309" t="n">
        <v>55</v>
      </c>
      <c r="Q309" t="inlineStr">
        <is>
          <t>InStock</t>
        </is>
      </c>
      <c r="R309" t="inlineStr">
        <is>
          <t>undefined</t>
        </is>
      </c>
      <c r="S309" t="inlineStr">
        <is>
          <t>26376-IRWIN</t>
        </is>
      </c>
    </row>
    <row r="310" ht="75" customHeight="1">
      <c r="A310" s="1">
        <f>HYPERLINK("https://www.toolnut.com/irwin-26376-drill-bit.html", "https://www.toolnut.com/irwin-26376-drill-bit.html")</f>
        <v/>
      </c>
      <c r="B310" s="1">
        <f>HYPERLINK("https://www.toolnut.com/irwin-26376-drill-bit.html", "https://www.toolnut.com/irwin-26376-drill-bit.html")</f>
        <v/>
      </c>
      <c r="C310" t="inlineStr">
        <is>
          <t>Irwin 26376 HANSON Machine Screw/Fractional/Metric Tap And Die Set 76 Piece Set</t>
        </is>
      </c>
      <c r="D310" t="inlineStr">
        <is>
          <t>IRWIN HANSON Master Extraction Set and Machine Screw/Fractional/Metric Tap and Hex Die and Drill Bit Deluxe Set,c</t>
        </is>
      </c>
      <c r="E310" s="1">
        <f>HYPERLINK("https://www.amazon.com/HANSON-Master-Extraction-Machine-Fractional/dp/B076BVS117/ref=sr_1_3?keywords=Irwin+26376+HANSON+Machine+Screw%2FFractional%2FMetric+Tap+And+Die+Set+76+Piece+Set&amp;qid=1695347070&amp;sr=8-3", "https://www.amazon.com/HANSON-Master-Extraction-Machine-Fractional/dp/B076BVS117/ref=sr_1_3?keywords=Irwin+26376+HANSON+Machine+Screw%2FFractional%2FMetric+Tap+And+Die+Set+76+Piece+Set&amp;qid=1695347070&amp;sr=8-3")</f>
        <v/>
      </c>
      <c r="F310" t="inlineStr">
        <is>
          <t>B076BVS117</t>
        </is>
      </c>
      <c r="G310">
        <f>_xlfn.IMAGE("https://www.toolnut.com/media/catalog/product/2/6/26376-irwin_001.jpg?quality=100&amp;bg-color=255,255,255&amp;fit=bounds&amp;height=700&amp;width=700&amp;canvas=700:700")</f>
        <v/>
      </c>
      <c r="H310">
        <f>_xlfn.IMAGE("https://m.media-amazon.com/images/I/61yFBFBeKzL._AC_UY218_.jpg")</f>
        <v/>
      </c>
      <c r="K310" t="inlineStr">
        <is>
          <t>259.99</t>
        </is>
      </c>
      <c r="L310" t="n">
        <v>589.99</v>
      </c>
      <c r="M310" s="2" t="inlineStr">
        <is>
          <t>126.93%</t>
        </is>
      </c>
      <c r="N310" t="n">
        <v>4.5</v>
      </c>
      <c r="O310" t="n">
        <v>55</v>
      </c>
      <c r="Q310" t="inlineStr">
        <is>
          <t>InStock</t>
        </is>
      </c>
      <c r="R310" t="inlineStr">
        <is>
          <t>undefined</t>
        </is>
      </c>
      <c r="S310" t="inlineStr">
        <is>
          <t>26376-IRWIN</t>
        </is>
      </c>
    </row>
    <row r="311" ht="75" customHeight="1">
      <c r="A311" s="1">
        <f>HYPERLINK("https://www.toolnut.com/irwin-26377-drill-bit.html", "https://www.toolnut.com/irwin-26377-drill-bit.html")</f>
        <v/>
      </c>
      <c r="B311" s="1">
        <f>HYPERLINK("https://www.toolnut.com/irwin-26377-drill-bit.html", "https://www.toolnut.com/irwin-26377-drill-bit.html")</f>
        <v/>
      </c>
      <c r="C311" t="inlineStr">
        <is>
          <t>Irwin 26377 HANSON Machine Screw/Fractional/Metric Tap Die Extractor and Drill Bit 117 Piece Set</t>
        </is>
      </c>
      <c r="D311" t="inlineStr">
        <is>
          <t>IRWIN HANSON Master Extraction Set and Machine Screw/Fractional/Metric Tap and Hex Die and Drill Bit Deluxe Set,c</t>
        </is>
      </c>
      <c r="E311" s="1">
        <f>HYPERLINK("https://www.amazon.com/HANSON-Master-Extraction-Machine-Fractional/dp/B076BVS117/ref=sr_1_3?keywords=Irwin+26377+HANSON+Machine+Screw%2FFractional%2FMetric+Tap+Die+Extractor+and+Drill+Bit+117+Piece+Set&amp;qid=1695347141&amp;sr=8-3", "https://www.amazon.com/HANSON-Master-Extraction-Machine-Fractional/dp/B076BVS117/ref=sr_1_3?keywords=Irwin+26377+HANSON+Machine+Screw%2FFractional%2FMetric+Tap+Die+Extractor+and+Drill+Bit+117+Piece+Set&amp;qid=1695347141&amp;sr=8-3")</f>
        <v/>
      </c>
      <c r="F311" t="inlineStr">
        <is>
          <t>B076BVS117</t>
        </is>
      </c>
      <c r="G311">
        <f>_xlfn.IMAGE("https://www.toolnut.com/media/catalog/product/2/6/26377-irwin_001.jpg?quality=100&amp;bg-color=255,255,255&amp;fit=bounds&amp;height=700&amp;width=700&amp;canvas=700:700&amp;dpr=1 1x")</f>
        <v/>
      </c>
      <c r="H311">
        <f>_xlfn.IMAGE("https://m.media-amazon.com/images/I/61yFBFBeKzL._AC_UY218_.jpg")</f>
        <v/>
      </c>
      <c r="K311" t="inlineStr">
        <is>
          <t>334.97</t>
        </is>
      </c>
      <c r="L311" t="n">
        <v>589.99</v>
      </c>
      <c r="M311" s="2" t="inlineStr">
        <is>
          <t>76.13%</t>
        </is>
      </c>
      <c r="N311" t="n">
        <v>4.5</v>
      </c>
      <c r="O311" t="n">
        <v>55</v>
      </c>
      <c r="Q311" t="inlineStr">
        <is>
          <t>InStock</t>
        </is>
      </c>
      <c r="R311" t="inlineStr">
        <is>
          <t>undefined</t>
        </is>
      </c>
      <c r="S311" t="inlineStr">
        <is>
          <t>26377-IRWIN</t>
        </is>
      </c>
    </row>
    <row r="312" ht="75" customHeight="1">
      <c r="A312" s="1">
        <f>HYPERLINK("https://www.toolnut.com/irwin-26377-drill-bit.html", "https://www.toolnut.com/irwin-26377-drill-bit.html")</f>
        <v/>
      </c>
      <c r="B312" s="1">
        <f>HYPERLINK("https://www.toolnut.com/irwin-26377-drill-bit.html", "https://www.toolnut.com/irwin-26377-drill-bit.html")</f>
        <v/>
      </c>
      <c r="C312" t="inlineStr">
        <is>
          <t>Irwin 26377 HANSON Machine Screw/Fractional/Metric Tap Die Extractor and Drill Bit 117 Piece Set</t>
        </is>
      </c>
      <c r="D312" t="inlineStr">
        <is>
          <t>IRWIN HANSON Master Extraction Set and Machine Screw/Fractional/Metric Tap and Hex Die and Drill Bit Deluxe Set,c</t>
        </is>
      </c>
      <c r="E312" s="1">
        <f>HYPERLINK("https://www.amazon.com/HANSON-Master-Extraction-Machine-Fractional/dp/B076BVS117/ref=sr_1_3?keywords=Irwin+26377+HANSON+Machine+Screw%2FFractional%2FMetric+Tap+Die+Extractor+and+Drill+Bit+117+Piece+Set&amp;qid=1695347141&amp;sr=8-3", "https://www.amazon.com/HANSON-Master-Extraction-Machine-Fractional/dp/B076BVS117/ref=sr_1_3?keywords=Irwin+26377+HANSON+Machine+Screw%2FFractional%2FMetric+Tap+Die+Extractor+and+Drill+Bit+117+Piece+Set&amp;qid=1695347141&amp;sr=8-3")</f>
        <v/>
      </c>
      <c r="F312" t="inlineStr">
        <is>
          <t>B076BVS117</t>
        </is>
      </c>
      <c r="G312">
        <f>_xlfn.IMAGE("https://www.toolnut.com/media/catalog/product/2/6/26377-irwin_001.jpg?quality=100&amp;bg-color=255,255,255&amp;fit=bounds&amp;height=700&amp;width=700&amp;canvas=700:700&amp;dpr=1 1x")</f>
        <v/>
      </c>
      <c r="H312">
        <f>_xlfn.IMAGE("https://m.media-amazon.com/images/I/61yFBFBeKzL._AC_UY218_.jpg")</f>
        <v/>
      </c>
      <c r="K312" t="inlineStr">
        <is>
          <t>334.97</t>
        </is>
      </c>
      <c r="L312" t="n">
        <v>589.99</v>
      </c>
      <c r="M312" s="2" t="inlineStr">
        <is>
          <t>76.13%</t>
        </is>
      </c>
      <c r="N312" t="n">
        <v>4.5</v>
      </c>
      <c r="O312" t="n">
        <v>55</v>
      </c>
      <c r="Q312" t="inlineStr">
        <is>
          <t>InStock</t>
        </is>
      </c>
      <c r="R312" t="inlineStr">
        <is>
          <t>undefined</t>
        </is>
      </c>
      <c r="S312" t="inlineStr">
        <is>
          <t>26377-IRWIN</t>
        </is>
      </c>
    </row>
    <row r="313" ht="75" customHeight="1">
      <c r="A313" s="1">
        <f>HYPERLINK("https://www.toolnut.com/irwin-3016004-drill-bit.html", "https://www.toolnut.com/irwin-3016004-drill-bit.html")</f>
        <v/>
      </c>
      <c r="B313" s="1">
        <f>HYPERLINK("https://www.toolnut.com/irwin-3016004-drill-bit.html", "https://www.toolnut.com/irwin-3016004-drill-bit.html")</f>
        <v/>
      </c>
      <c r="C313" t="inlineStr">
        <is>
          <t>Irwin 3016004 Cobalt High Speed Steel Fractional Straight Shank Jobber Drill Bit 1/16 X 1-7/8</t>
        </is>
      </c>
      <c r="D313" t="inlineStr">
        <is>
          <t>IRWIN 63137 Cobalt Alloy Steel Fractional Straight Shank Jobber Length Metal Index Drill Bit Set, 15-Piece</t>
        </is>
      </c>
      <c r="E313" s="1">
        <f>HYPERLINK("https://www.amazon.com/Irwin-Industrial-Tools-Fractional-Straight/dp/B0002SQZ68/ref=sr_1_2?keywords=Irwin+3016004+Cobalt+High+Speed+Steel+Fractional+Straight+Shank+Jobber+Drill+Bit+1%2F16+X+1-7%2F8&amp;qid=1695347058&amp;sr=8-2", "https://www.amazon.com/Irwin-Industrial-Tools-Fractional-Straight/dp/B0002SQZ68/ref=sr_1_2?keywords=Irwin+3016004+Cobalt+High+Speed+Steel+Fractional+Straight+Shank+Jobber+Drill+Bit+1%2F16+X+1-7%2F8&amp;qid=1695347058&amp;sr=8-2")</f>
        <v/>
      </c>
      <c r="F313" t="inlineStr">
        <is>
          <t>B0002SQZ68</t>
        </is>
      </c>
      <c r="G313">
        <f>_xlfn.IMAGE("https://www.toolnut.com/media/catalog/product/3/0/3016004-irwin_1.jpg?quality=100&amp;bg-color=255,255,255&amp;fit=bounds&amp;height=700&amp;width=700&amp;canvas=700:700&amp;dpr=1 1x")</f>
        <v/>
      </c>
      <c r="H313">
        <f>_xlfn.IMAGE("https://m.media-amazon.com/images/I/415R9I737ML._AC_UL320_.jpg")</f>
        <v/>
      </c>
      <c r="K313" t="inlineStr">
        <is>
          <t>0.99</t>
        </is>
      </c>
      <c r="L313" t="n">
        <v>101.99</v>
      </c>
      <c r="M313" s="2" t="inlineStr">
        <is>
          <t>10202.02%</t>
        </is>
      </c>
      <c r="N313" t="n">
        <v>4.7</v>
      </c>
      <c r="O313" t="n">
        <v>1869</v>
      </c>
      <c r="Q313" t="inlineStr">
        <is>
          <t>InStock</t>
        </is>
      </c>
      <c r="R313" t="inlineStr">
        <is>
          <t>undefined</t>
        </is>
      </c>
      <c r="S313" t="inlineStr">
        <is>
          <t>3016004-IRWIN</t>
        </is>
      </c>
    </row>
    <row r="314" ht="75" customHeight="1">
      <c r="A314" s="1">
        <f>HYPERLINK("https://www.toolnut.com/irwin-3016006-drill-bit.html", "https://www.toolnut.com/irwin-3016006-drill-bit.html")</f>
        <v/>
      </c>
      <c r="B314" s="1">
        <f>HYPERLINK("https://www.toolnut.com/irwin-3016006-drill-bit.html", "https://www.toolnut.com/irwin-3016006-drill-bit.html")</f>
        <v/>
      </c>
      <c r="C314" t="inlineStr">
        <is>
          <t>Irwin 3016006 Cobalt High Speed Steel Fractional Straight Shank Jobber Drill Bit 3/32-in.</t>
        </is>
      </c>
      <c r="D314" t="inlineStr">
        <is>
          <t>IRWIN 63137 Cobalt Alloy Steel Fractional Straight Shank Jobber Length Metal Index Drill Bit Set, 15-Piece</t>
        </is>
      </c>
      <c r="E314" s="1">
        <f>HYPERLINK("https://www.amazon.com/Irwin-Industrial-Tools-Fractional-Straight/dp/B0002SQZ68/ref=sr_1_3?keywords=Irwin+3016006+Cobalt+High+Speed+Steel+Fractional+Straight+Shank+Jobber+Drill+Bit+3%2F32-in.&amp;qid=1695347054&amp;sr=8-3", "https://www.amazon.com/Irwin-Industrial-Tools-Fractional-Straight/dp/B0002SQZ68/ref=sr_1_3?keywords=Irwin+3016006+Cobalt+High+Speed+Steel+Fractional+Straight+Shank+Jobber+Drill+Bit+3%2F32-in.&amp;qid=1695347054&amp;sr=8-3")</f>
        <v/>
      </c>
      <c r="F314" t="inlineStr">
        <is>
          <t>B0002SQZ68</t>
        </is>
      </c>
      <c r="G314">
        <f>_xlfn.IMAGE("https://www.toolnut.com/media/catalog/product/3/0/3016006-irwin_1.jpg?quality=100&amp;bg-color=255,255,255&amp;fit=bounds&amp;height=700&amp;width=700&amp;canvas=700:700&amp;dpr=1 1x")</f>
        <v/>
      </c>
      <c r="H314">
        <f>_xlfn.IMAGE("https://m.media-amazon.com/images/I/415R9I737ML._AC_UL320_.jpg")</f>
        <v/>
      </c>
      <c r="K314" t="inlineStr">
        <is>
          <t>0.99</t>
        </is>
      </c>
      <c r="L314" t="n">
        <v>101.99</v>
      </c>
      <c r="M314" s="2" t="inlineStr">
        <is>
          <t>10202.02%</t>
        </is>
      </c>
      <c r="N314" t="n">
        <v>4.7</v>
      </c>
      <c r="O314" t="n">
        <v>1869</v>
      </c>
      <c r="Q314" t="inlineStr">
        <is>
          <t>InStock</t>
        </is>
      </c>
      <c r="R314" t="inlineStr">
        <is>
          <t>undefined</t>
        </is>
      </c>
      <c r="S314" t="inlineStr">
        <is>
          <t>3016006-IRWIN</t>
        </is>
      </c>
    </row>
    <row r="315" ht="75" customHeight="1">
      <c r="A315" s="1">
        <f>HYPERLINK("https://www.toolnut.com/irwin-3016008-drill-bit.html", "https://www.toolnut.com/irwin-3016008-drill-bit.html")</f>
        <v/>
      </c>
      <c r="B315" s="1">
        <f>HYPERLINK("https://www.toolnut.com/irwin-3016008-drill-bit.html", "https://www.toolnut.com/irwin-3016008-drill-bit.html")</f>
        <v/>
      </c>
      <c r="C315" t="inlineStr">
        <is>
          <t>Irwin 3016008 Cobalt Alloy Steel Fractional Straight-Shank Jobber-Length Drill Bit 1/8-in.</t>
        </is>
      </c>
      <c r="D315" t="inlineStr">
        <is>
          <t>IRWIN 63137 Cobalt Alloy Steel Fractional Straight Shank Jobber Length Metal Index Drill Bit Set, 15-Piece</t>
        </is>
      </c>
      <c r="E315" s="1">
        <f>HYPERLINK("https://www.amazon.com/Irwin-Industrial-Tools-Fractional-Straight/dp/B0002SQZ68/ref=sr_1_1?keywords=Irwin+3016008+Cobalt+Alloy+Steel+Fractional+Straight-Shank+Jobber-Length+Drill+Bit+1%2F8-in.&amp;qid=1695347057&amp;sr=8-1", "https://www.amazon.com/Irwin-Industrial-Tools-Fractional-Straight/dp/B0002SQZ68/ref=sr_1_1?keywords=Irwin+3016008+Cobalt+Alloy+Steel+Fractional+Straight-Shank+Jobber-Length+Drill+Bit+1%2F8-in.&amp;qid=1695347057&amp;sr=8-1")</f>
        <v/>
      </c>
      <c r="F315" t="inlineStr">
        <is>
          <t>B0002SQZ68</t>
        </is>
      </c>
      <c r="G315">
        <f>_xlfn.IMAGE("https://www.toolnut.com/media/catalog/product/3/0/3016008-irwin_1.jpg?quality=100&amp;bg-color=255,255,255&amp;fit=bounds&amp;height=700&amp;width=700&amp;canvas=700:700&amp;dpr=1 1x")</f>
        <v/>
      </c>
      <c r="H315">
        <f>_xlfn.IMAGE("https://m.media-amazon.com/images/I/415R9I737ML._AC_UL320_.jpg")</f>
        <v/>
      </c>
      <c r="K315" t="inlineStr">
        <is>
          <t>1.19</t>
        </is>
      </c>
      <c r="L315" t="n">
        <v>101.99</v>
      </c>
      <c r="M315" s="2" t="inlineStr">
        <is>
          <t>8470.59%</t>
        </is>
      </c>
      <c r="N315" t="n">
        <v>4.7</v>
      </c>
      <c r="O315" t="n">
        <v>1869</v>
      </c>
      <c r="Q315" t="inlineStr">
        <is>
          <t>InStock</t>
        </is>
      </c>
      <c r="R315" t="inlineStr">
        <is>
          <t>undefined</t>
        </is>
      </c>
      <c r="S315" t="inlineStr">
        <is>
          <t>3016008-IRWIN</t>
        </is>
      </c>
    </row>
    <row r="316" ht="75" customHeight="1">
      <c r="A316" s="1">
        <f>HYPERLINK("https://www.toolnut.com/irwin-3016014-drill-bit.html", "https://www.toolnut.com/irwin-3016014-drill-bit.html")</f>
        <v/>
      </c>
      <c r="B316" s="1">
        <f>HYPERLINK("https://www.toolnut.com/irwin-3016014-drill-bit.html", "https://www.toolnut.com/irwin-3016014-drill-bit.html")</f>
        <v/>
      </c>
      <c r="C316" t="inlineStr">
        <is>
          <t>Irwin 3016014 Cobalt Alloy Steel High Speed Steel Fractional Straight Shank Drill Bit 7/32-in.</t>
        </is>
      </c>
      <c r="D316" t="inlineStr">
        <is>
          <t>IRWIN 63137 Cobalt Alloy Steel Fractional Straight Shank Jobber Length Metal Index Drill Bit Set, 15-Piece</t>
        </is>
      </c>
      <c r="E316" s="1">
        <f>HYPERLINK("https://www.amazon.com/Irwin-Industrial-Tools-Fractional-Straight/dp/B0002SQZ68/ref=sr_1_4?keywords=Irwin+3016014+Cobalt+Alloy+Steel+High+Speed+Steel+Fractional+Straight+Shank+Drill+Bit+7%2F32-in.&amp;qid=1695347074&amp;sr=8-4", "https://www.amazon.com/Irwin-Industrial-Tools-Fractional-Straight/dp/B0002SQZ68/ref=sr_1_4?keywords=Irwin+3016014+Cobalt+Alloy+Steel+High+Speed+Steel+Fractional+Straight+Shank+Drill+Bit+7%2F32-in.&amp;qid=1695347074&amp;sr=8-4")</f>
        <v/>
      </c>
      <c r="F316" t="inlineStr">
        <is>
          <t>B0002SQZ68</t>
        </is>
      </c>
      <c r="G316">
        <f>_xlfn.IMAGE("https://www.toolnut.com/media/catalog/product/3/0/3016014-irwin_1.jpg?quality=100&amp;bg-color=255,255,255&amp;fit=bounds&amp;height=700&amp;width=700&amp;canvas=700:700&amp;dpr=1 1x")</f>
        <v/>
      </c>
      <c r="H316">
        <f>_xlfn.IMAGE("https://m.media-amazon.com/images/I/415R9I737ML._AC_UL320_.jpg")</f>
        <v/>
      </c>
      <c r="K316" t="inlineStr">
        <is>
          <t>2.19</t>
        </is>
      </c>
      <c r="L316" t="n">
        <v>101.99</v>
      </c>
      <c r="M316" s="2" t="inlineStr">
        <is>
          <t>4557.08%</t>
        </is>
      </c>
      <c r="N316" t="n">
        <v>4.7</v>
      </c>
      <c r="O316" t="n">
        <v>1869</v>
      </c>
      <c r="Q316" t="inlineStr">
        <is>
          <t>InStock</t>
        </is>
      </c>
      <c r="R316" t="inlineStr">
        <is>
          <t>undefined</t>
        </is>
      </c>
      <c r="S316" t="inlineStr">
        <is>
          <t>3016014-IRWIN</t>
        </is>
      </c>
    </row>
    <row r="317" ht="75" customHeight="1">
      <c r="A317" s="1">
        <f>HYPERLINK("https://www.toolnut.com/irwin-3016014-drill-bit.html", "https://www.toolnut.com/irwin-3016014-drill-bit.html")</f>
        <v/>
      </c>
      <c r="B317" s="1">
        <f>HYPERLINK("https://www.toolnut.com/irwin-3016014-drill-bit.html", "https://www.toolnut.com/irwin-3016014-drill-bit.html")</f>
        <v/>
      </c>
      <c r="C317" t="inlineStr">
        <is>
          <t>Irwin 3016014 Cobalt Alloy Steel High Speed Steel Fractional Straight Shank Drill Bit 7/32-in.</t>
        </is>
      </c>
      <c r="D317" t="inlineStr">
        <is>
          <t>Cobalt Drill Bit Set 7/32" - 13PCS, M35 Twist Drill Bits Straight Shank, 7/32" High Speed Steel Drill Bits for Drilling in Hard Metal, Stainless Steel, Cast Iron</t>
        </is>
      </c>
      <c r="E317" s="1">
        <f>HYPERLINK("https://www.amazon.com/Cobalt-Drill-Bit-Set-32/dp/B0BMQMG2L5/ref=sr_1_10?keywords=Irwin+3016014+Cobalt+Alloy+Steel+High+Speed+Steel+Fractional+Straight+Shank+Drill+Bit+7%2F32-in.&amp;qid=1695347074&amp;sr=8-10", "https://www.amazon.com/Cobalt-Drill-Bit-Set-32/dp/B0BMQMG2L5/ref=sr_1_10?keywords=Irwin+3016014+Cobalt+Alloy+Steel+High+Speed+Steel+Fractional+Straight+Shank+Drill+Bit+7%2F32-in.&amp;qid=1695347074&amp;sr=8-10")</f>
        <v/>
      </c>
      <c r="F317" t="inlineStr">
        <is>
          <t>B0BMQMG2L5</t>
        </is>
      </c>
      <c r="G317">
        <f>_xlfn.IMAGE("https://www.toolnut.com/media/catalog/product/3/0/3016014-irwin_1.jpg?quality=100&amp;bg-color=255,255,255&amp;fit=bounds&amp;height=700&amp;width=700&amp;canvas=700:700&amp;dpr=1 1x")</f>
        <v/>
      </c>
      <c r="H317">
        <f>_xlfn.IMAGE("https://m.media-amazon.com/images/I/71dZzGXGoWL._AC_UL320_.jpg")</f>
        <v/>
      </c>
      <c r="K317" t="inlineStr">
        <is>
          <t>2.19</t>
        </is>
      </c>
      <c r="L317" t="n">
        <v>16.99</v>
      </c>
      <c r="M317" s="2" t="inlineStr">
        <is>
          <t>675.80%</t>
        </is>
      </c>
      <c r="N317" t="n">
        <v>4.4</v>
      </c>
      <c r="O317" t="n">
        <v>136</v>
      </c>
      <c r="Q317" t="inlineStr">
        <is>
          <t>InStock</t>
        </is>
      </c>
      <c r="R317" t="inlineStr">
        <is>
          <t>undefined</t>
        </is>
      </c>
      <c r="S317" t="inlineStr">
        <is>
          <t>3016014-IRWIN</t>
        </is>
      </c>
    </row>
    <row r="318" ht="75" customHeight="1">
      <c r="A318" s="1">
        <f>HYPERLINK("https://www.toolnut.com/irwin-3016032-drill-bit.html", "https://www.toolnut.com/irwin-3016032-drill-bit.html")</f>
        <v/>
      </c>
      <c r="B318" s="1">
        <f>HYPERLINK("https://www.toolnut.com/irwin-3016032-drill-bit.html", "https://www.toolnut.com/irwin-3016032-drill-bit.html")</f>
        <v/>
      </c>
      <c r="C318" t="inlineStr">
        <is>
          <t>Irwin 3016032 Cobalt Alloy Steel High Speed Steel Fractional Straight Shank Drill Bit 1/2-in.</t>
        </is>
      </c>
      <c r="D318" t="inlineStr">
        <is>
          <t>Irwin 49/64" Silver &amp; Deming High Speed Steel Fractional 1/2" Reduced Shank Drill Bits</t>
        </is>
      </c>
      <c r="E318" s="1">
        <f>HYPERLINK("https://www.amazon.com/Irwin-Silver-Deming-Fractional-Reduced/dp/B000GAURC0/ref=sr_1_10?keywords=Irwin+3016032+Cobalt+Alloy+Steel+High+Speed+Steel+Fractional+Straight+Shank+Drill+Bit+1%2F2-in.&amp;qid=1695347048&amp;sr=8-10", "https://www.amazon.com/Irwin-Silver-Deming-Fractional-Reduced/dp/B000GAURC0/ref=sr_1_10?keywords=Irwin+3016032+Cobalt+Alloy+Steel+High+Speed+Steel+Fractional+Straight+Shank+Drill+Bit+1%2F2-in.&amp;qid=1695347048&amp;sr=8-10")</f>
        <v/>
      </c>
      <c r="F318" t="inlineStr">
        <is>
          <t>B000GAURC0</t>
        </is>
      </c>
      <c r="G318">
        <f>_xlfn.IMAGE("https://www.toolnut.com/media/catalog/product/3/0/3016032-irwin_1.jpg?quality=100&amp;bg-color=255,255,255&amp;fit=bounds&amp;height=700&amp;width=700&amp;canvas=700:700&amp;dpr=1 1x")</f>
        <v/>
      </c>
      <c r="H318">
        <f>_xlfn.IMAGE("https://m.media-amazon.com/images/I/61Dt6h+uCVL._AC_UL320_.jpg")</f>
        <v/>
      </c>
      <c r="K318" t="inlineStr">
        <is>
          <t>8.99</t>
        </is>
      </c>
      <c r="L318" t="n">
        <v>33.4</v>
      </c>
      <c r="M318" s="2" t="inlineStr">
        <is>
          <t>271.52%</t>
        </is>
      </c>
      <c r="N318" t="n">
        <v>5</v>
      </c>
      <c r="O318" t="n">
        <v>3</v>
      </c>
      <c r="Q318" t="inlineStr">
        <is>
          <t>InStock</t>
        </is>
      </c>
      <c r="R318" t="inlineStr">
        <is>
          <t>undefined</t>
        </is>
      </c>
      <c r="S318" t="inlineStr">
        <is>
          <t>3016032-IRWIN</t>
        </is>
      </c>
    </row>
    <row r="319" ht="75" customHeight="1">
      <c r="A319" s="1">
        <f>HYPERLINK("https://www.toolnut.com/irwin-3041002-drill-bit.html", "https://www.toolnut.com/irwin-3041002-drill-bit.html")</f>
        <v/>
      </c>
      <c r="B319" s="1">
        <f>HYPERLINK("https://www.toolnut.com/irwin-3041002-drill-bit.html", "https://www.toolnut.com/irwin-3041002-drill-bit.html")</f>
        <v/>
      </c>
      <c r="C319" t="inlineStr">
        <is>
          <t>Irwin 3041002 Speedbor MAX Speed Bits 6-in. Standard Length Bits 5/8-in.</t>
        </is>
      </c>
      <c r="D319" t="inlineStr">
        <is>
          <t>Speedbor 1877240 Irwin Tools Max Wood Drilling Bits, 4-Inch, 5-Piece</t>
        </is>
      </c>
      <c r="E319" s="1">
        <f>HYPERLINK("https://www.amazon.com/Speedbor-1877240-Irwin-Tools-Drilling/dp/B00LLIOTAW/ref=sr_1_5?keywords=Irwin+3041002+Speedbor+MAX+Speed+Bits+6-in.+Standard+Length+Bits+5%2F8-in.&amp;qid=1695347101&amp;sr=8-5", "https://www.amazon.com/Speedbor-1877240-Irwin-Tools-Drilling/dp/B00LLIOTAW/ref=sr_1_5?keywords=Irwin+3041002+Speedbor+MAX+Speed+Bits+6-in.+Standard+Length+Bits+5%2F8-in.&amp;qid=1695347101&amp;sr=8-5")</f>
        <v/>
      </c>
      <c r="F319" t="inlineStr">
        <is>
          <t>B00LLIOTAW</t>
        </is>
      </c>
      <c r="G319">
        <f>_xlfn.IMAGE("https://www.toolnut.com/media/catalog/product/3/0/3041002-irwin_001.jpg?quality=100&amp;bg-color=255,255,255&amp;fit=bounds&amp;height=700&amp;width=700&amp;canvas=700:700&amp;dpr=1 1x")</f>
        <v/>
      </c>
      <c r="H319">
        <f>_xlfn.IMAGE("https://m.media-amazon.com/images/I/71mwqPpGBHL._AC_UL320_.jpg")</f>
        <v/>
      </c>
      <c r="K319" t="inlineStr">
        <is>
          <t>7.99</t>
        </is>
      </c>
      <c r="L319" t="n">
        <v>28.38</v>
      </c>
      <c r="M319" s="2" t="inlineStr">
        <is>
          <t>255.19%</t>
        </is>
      </c>
      <c r="N319" t="n">
        <v>4.3</v>
      </c>
      <c r="O319" t="n">
        <v>54</v>
      </c>
      <c r="Q319" t="inlineStr">
        <is>
          <t>InStock</t>
        </is>
      </c>
      <c r="R319" t="inlineStr">
        <is>
          <t>undefined</t>
        </is>
      </c>
      <c r="S319" t="inlineStr">
        <is>
          <t>3041002-IRWIN</t>
        </is>
      </c>
    </row>
    <row r="320" ht="75" customHeight="1">
      <c r="A320" s="1">
        <f>HYPERLINK("https://www.toolnut.com/irwin-3041003-drill-bit.html", "https://www.toolnut.com/irwin-3041003-drill-bit.html")</f>
        <v/>
      </c>
      <c r="B320" s="1">
        <f>HYPERLINK("https://www.toolnut.com/irwin-3041003-drill-bit.html", "https://www.toolnut.com/irwin-3041003-drill-bit.html")</f>
        <v/>
      </c>
      <c r="C320" t="inlineStr">
        <is>
          <t>Irwin 3041003 Speedbor MAX Speed Bit Sets 3 Piece Set</t>
        </is>
      </c>
      <c r="D320" t="inlineStr">
        <is>
          <t>Speedbor 1877241 Irwin Tools Max Wood Drilling Bits, 4-Inch, 3-Piece</t>
        </is>
      </c>
      <c r="E320" s="1">
        <f>HYPERLINK("https://www.amazon.com/Speedbor-1877241-Irwin-Tools-Drilling/dp/B00LLIOPYC/ref=sr_1_6?keywords=Irwin+3041003+Speedbor+MAX+Speed+Bit+Sets+3+Piece+Set&amp;qid=1695347161&amp;sr=8-6", "https://www.amazon.com/Speedbor-1877241-Irwin-Tools-Drilling/dp/B00LLIOPYC/ref=sr_1_6?keywords=Irwin+3041003+Speedbor+MAX+Speed+Bit+Sets+3+Piece+Set&amp;qid=1695347161&amp;sr=8-6")</f>
        <v/>
      </c>
      <c r="F320" t="inlineStr">
        <is>
          <t>B00LLIOPYC</t>
        </is>
      </c>
      <c r="G320">
        <f>_xlfn.IMAGE("https://www.toolnut.com/media/catalog/product/3/0/3041003-irwin_03.jpg?quality=100&amp;bg-color=255,255,255&amp;fit=bounds&amp;height=700&amp;width=700&amp;canvas=700:700&amp;dpr=1 1x")</f>
        <v/>
      </c>
      <c r="H320">
        <f>_xlfn.IMAGE("https://m.media-amazon.com/images/I/61X4-9ISc2L._AC_UL320_.jpg")</f>
        <v/>
      </c>
      <c r="K320" t="inlineStr">
        <is>
          <t>18.49</t>
        </is>
      </c>
      <c r="L320" t="n">
        <v>41.35</v>
      </c>
      <c r="M320" s="2" t="inlineStr">
        <is>
          <t>123.63%</t>
        </is>
      </c>
      <c r="N320" t="n">
        <v>4.8</v>
      </c>
      <c r="O320" t="n">
        <v>7</v>
      </c>
      <c r="Q320" t="inlineStr">
        <is>
          <t>InStock</t>
        </is>
      </c>
      <c r="R320" t="inlineStr">
        <is>
          <t>undefined</t>
        </is>
      </c>
      <c r="S320" t="inlineStr">
        <is>
          <t>3041003-IRWIN</t>
        </is>
      </c>
    </row>
    <row r="321" ht="75" customHeight="1">
      <c r="A321" s="1">
        <f>HYPERLINK("https://www.toolnut.com/irwin-3041003-drill-bit.html", "https://www.toolnut.com/irwin-3041003-drill-bit.html")</f>
        <v/>
      </c>
      <c r="B321" s="1">
        <f>HYPERLINK("https://www.toolnut.com/irwin-3041003-drill-bit.html", "https://www.toolnut.com/irwin-3041003-drill-bit.html")</f>
        <v/>
      </c>
      <c r="C321" t="inlineStr">
        <is>
          <t>Irwin 3041003 Speedbor MAX Speed Bit Sets 3 Piece Set</t>
        </is>
      </c>
      <c r="D321" t="inlineStr">
        <is>
          <t>IRWIN Tools SPEEDBOR Blue Groove Pro Spade Bit Set with Case, 8-Piece (341008)</t>
        </is>
      </c>
      <c r="E321" s="1">
        <f>HYPERLINK("https://www.amazon.com/IRWIN-SPEEDBOR-Groove-8-Piece-341008/dp/B0000EI9B0/ref=sr_1_8?keywords=Irwin+3041003+Speedbor+MAX+Speed+Bit+Sets+3+Piece+Set&amp;qid=1695347161&amp;sr=8-8", "https://www.amazon.com/IRWIN-SPEEDBOR-Groove-8-Piece-341008/dp/B0000EI9B0/ref=sr_1_8?keywords=Irwin+3041003+Speedbor+MAX+Speed+Bit+Sets+3+Piece+Set&amp;qid=1695347161&amp;sr=8-8")</f>
        <v/>
      </c>
      <c r="F321" t="inlineStr">
        <is>
          <t>B0000EI9B0</t>
        </is>
      </c>
      <c r="G321">
        <f>_xlfn.IMAGE("https://www.toolnut.com/media/catalog/product/3/0/3041003-irwin_03.jpg?quality=100&amp;bg-color=255,255,255&amp;fit=bounds&amp;height=700&amp;width=700&amp;canvas=700:700&amp;dpr=1 1x")</f>
        <v/>
      </c>
      <c r="H321">
        <f>_xlfn.IMAGE("https://m.media-amazon.com/images/I/51uxvKVJpIL._AC_UL320_.jpg")</f>
        <v/>
      </c>
      <c r="K321" t="inlineStr">
        <is>
          <t>18.49</t>
        </is>
      </c>
      <c r="L321" t="n">
        <v>38.08</v>
      </c>
      <c r="M321" s="2" t="inlineStr">
        <is>
          <t>105.95%</t>
        </is>
      </c>
      <c r="N321" t="n">
        <v>4.6</v>
      </c>
      <c r="O321" t="n">
        <v>373</v>
      </c>
      <c r="Q321" t="inlineStr">
        <is>
          <t>InStock</t>
        </is>
      </c>
      <c r="R321" t="inlineStr">
        <is>
          <t>undefined</t>
        </is>
      </c>
      <c r="S321" t="inlineStr">
        <is>
          <t>3041003-IRWIN</t>
        </is>
      </c>
    </row>
    <row r="322" ht="75" customHeight="1">
      <c r="A322" s="1">
        <f>HYPERLINK("https://www.toolnut.com/irwin-3041003-drill-bit.html", "https://www.toolnut.com/irwin-3041003-drill-bit.html")</f>
        <v/>
      </c>
      <c r="B322" s="1">
        <f>HYPERLINK("https://www.toolnut.com/irwin-3041003-drill-bit.html", "https://www.toolnut.com/irwin-3041003-drill-bit.html")</f>
        <v/>
      </c>
      <c r="C322" t="inlineStr">
        <is>
          <t>Irwin 3041003 Speedbor MAX Speed Bit Sets 3 Piece Set</t>
        </is>
      </c>
      <c r="D322" t="inlineStr">
        <is>
          <t>Speedbor 1877241 Irwin Tools Max Wood Drilling Bits, 4-Inch, 3-Piece</t>
        </is>
      </c>
      <c r="E322" s="1">
        <f>HYPERLINK("https://www.amazon.com/Speedbor-1877241-Irwin-Tools-Drilling/dp/B00LLIOPYC/ref=sr_1_6?keywords=Irwin+3041003+Speedbor+MAX+Speed+Bit+Sets+3+Piece+Set&amp;qid=1695347161&amp;sr=8-6", "https://www.amazon.com/Speedbor-1877241-Irwin-Tools-Drilling/dp/B00LLIOPYC/ref=sr_1_6?keywords=Irwin+3041003+Speedbor+MAX+Speed+Bit+Sets+3+Piece+Set&amp;qid=1695347161&amp;sr=8-6")</f>
        <v/>
      </c>
      <c r="F322" t="inlineStr">
        <is>
          <t>B00LLIOPYC</t>
        </is>
      </c>
      <c r="G322">
        <f>_xlfn.IMAGE("https://www.toolnut.com/media/catalog/product/3/0/3041003-irwin_03.jpg?quality=100&amp;bg-color=255,255,255&amp;fit=bounds&amp;height=700&amp;width=700&amp;canvas=700:700&amp;dpr=1 1x")</f>
        <v/>
      </c>
      <c r="H322">
        <f>_xlfn.IMAGE("https://m.media-amazon.com/images/I/61X4-9ISc2L._AC_UL320_.jpg")</f>
        <v/>
      </c>
      <c r="K322" t="inlineStr">
        <is>
          <t>18.49</t>
        </is>
      </c>
      <c r="L322" t="n">
        <v>41.35</v>
      </c>
      <c r="M322" s="2" t="inlineStr">
        <is>
          <t>123.63%</t>
        </is>
      </c>
      <c r="N322" t="n">
        <v>4.8</v>
      </c>
      <c r="O322" t="n">
        <v>7</v>
      </c>
      <c r="Q322" t="inlineStr">
        <is>
          <t>InStock</t>
        </is>
      </c>
      <c r="R322" t="inlineStr">
        <is>
          <t>undefined</t>
        </is>
      </c>
      <c r="S322" t="inlineStr">
        <is>
          <t>3041003-IRWIN</t>
        </is>
      </c>
    </row>
    <row r="323" ht="75" customHeight="1">
      <c r="A323" s="1">
        <f>HYPERLINK("https://www.toolnut.com/irwin-3041003-drill-bit.html", "https://www.toolnut.com/irwin-3041003-drill-bit.html")</f>
        <v/>
      </c>
      <c r="B323" s="1">
        <f>HYPERLINK("https://www.toolnut.com/irwin-3041003-drill-bit.html", "https://www.toolnut.com/irwin-3041003-drill-bit.html")</f>
        <v/>
      </c>
      <c r="C323" t="inlineStr">
        <is>
          <t>Irwin 3041003 Speedbor MAX Speed Bit Sets 3 Piece Set</t>
        </is>
      </c>
      <c r="D323" t="inlineStr">
        <is>
          <t>IRWIN Tools SPEEDBOR Blue Groove Pro Spade Bit Set with Case, 8-Piece (341008)</t>
        </is>
      </c>
      <c r="E323" s="1">
        <f>HYPERLINK("https://www.amazon.com/IRWIN-SPEEDBOR-Groove-8-Piece-341008/dp/B0000EI9B0/ref=sr_1_8?keywords=Irwin+3041003+Speedbor+MAX+Speed+Bit+Sets+3+Piece+Set&amp;qid=1695347161&amp;sr=8-8", "https://www.amazon.com/IRWIN-SPEEDBOR-Groove-8-Piece-341008/dp/B0000EI9B0/ref=sr_1_8?keywords=Irwin+3041003+Speedbor+MAX+Speed+Bit+Sets+3+Piece+Set&amp;qid=1695347161&amp;sr=8-8")</f>
        <v/>
      </c>
      <c r="F323" t="inlineStr">
        <is>
          <t>B0000EI9B0</t>
        </is>
      </c>
      <c r="G323">
        <f>_xlfn.IMAGE("https://www.toolnut.com/media/catalog/product/3/0/3041003-irwin_03.jpg?quality=100&amp;bg-color=255,255,255&amp;fit=bounds&amp;height=700&amp;width=700&amp;canvas=700:700&amp;dpr=1 1x")</f>
        <v/>
      </c>
      <c r="H323">
        <f>_xlfn.IMAGE("https://m.media-amazon.com/images/I/51uxvKVJpIL._AC_UL320_.jpg")</f>
        <v/>
      </c>
      <c r="K323" t="inlineStr">
        <is>
          <t>18.49</t>
        </is>
      </c>
      <c r="L323" t="n">
        <v>38.08</v>
      </c>
      <c r="M323" s="2" t="inlineStr">
        <is>
          <t>105.95%</t>
        </is>
      </c>
      <c r="N323" t="n">
        <v>4.6</v>
      </c>
      <c r="O323" t="n">
        <v>373</v>
      </c>
      <c r="Q323" t="inlineStr">
        <is>
          <t>InStock</t>
        </is>
      </c>
      <c r="R323" t="inlineStr">
        <is>
          <t>undefined</t>
        </is>
      </c>
      <c r="S323" t="inlineStr">
        <is>
          <t>3041003-IRWIN</t>
        </is>
      </c>
    </row>
    <row r="324" ht="75" customHeight="1">
      <c r="A324" s="1">
        <f>HYPERLINK("https://www.toolnut.com/irwin-3041009-drill-bit.html", "https://www.toolnut.com/irwin-3041009-drill-bit.html")</f>
        <v/>
      </c>
      <c r="B324" s="1">
        <f>HYPERLINK("https://www.toolnut.com/irwin-3041009-drill-bit.html", "https://www.toolnut.com/irwin-3041009-drill-bit.html")</f>
        <v/>
      </c>
      <c r="C324" t="inlineStr">
        <is>
          <t>Irwin 3041009 Speedbor MAX Speed Bits 6-in. Standard Length Bits 1-1/4-in.</t>
        </is>
      </c>
      <c r="D324" t="inlineStr">
        <is>
          <t>Speedbor 1877240 Irwin Tools Max Wood Drilling Bits, 4-Inch, 5-Piece</t>
        </is>
      </c>
      <c r="E324" s="1">
        <f>HYPERLINK("https://www.amazon.com/Speedbor-1877240-Irwin-Tools-Drilling/dp/B00LLIOTAW/ref=sr_1_9?keywords=Irwin+3041009+Speedbor+MAX+Speed+Bits+6-in.+Standard+Length+Bits+1-1%2F4-in.&amp;qid=1695347095&amp;sr=8-9", "https://www.amazon.com/Speedbor-1877240-Irwin-Tools-Drilling/dp/B00LLIOTAW/ref=sr_1_9?keywords=Irwin+3041009+Speedbor+MAX+Speed+Bits+6-in.+Standard+Length+Bits+1-1%2F4-in.&amp;qid=1695347095&amp;sr=8-9")</f>
        <v/>
      </c>
      <c r="F324" t="inlineStr">
        <is>
          <t>B00LLIOTAW</t>
        </is>
      </c>
      <c r="G324">
        <f>_xlfn.IMAGE("https://www.toolnut.com/media/catalog/product/3/0/3041009-irwin_1_2.jpg?quality=100&amp;bg-color=255,255,255&amp;fit=bounds&amp;height=700&amp;width=700&amp;canvas=700:700&amp;dpr=1 1x")</f>
        <v/>
      </c>
      <c r="H324">
        <f>_xlfn.IMAGE("https://m.media-amazon.com/images/I/71mwqPpGBHL._AC_UL320_.jpg")</f>
        <v/>
      </c>
      <c r="K324" t="inlineStr">
        <is>
          <t>10.39</t>
        </is>
      </c>
      <c r="L324" t="n">
        <v>28.18</v>
      </c>
      <c r="M324" s="2" t="inlineStr">
        <is>
          <t>171.22%</t>
        </is>
      </c>
      <c r="N324" t="n">
        <v>4.3</v>
      </c>
      <c r="O324" t="n">
        <v>54</v>
      </c>
      <c r="Q324" t="inlineStr">
        <is>
          <t>InStock</t>
        </is>
      </c>
      <c r="R324" t="inlineStr">
        <is>
          <t>undefined</t>
        </is>
      </c>
      <c r="S324" t="inlineStr">
        <is>
          <t>3041009-IRWIN</t>
        </is>
      </c>
    </row>
    <row r="325" ht="75" customHeight="1">
      <c r="A325" s="1">
        <f>HYPERLINK("https://www.toolnut.com/irwin-3041009-drill-bit.html", "https://www.toolnut.com/irwin-3041009-drill-bit.html")</f>
        <v/>
      </c>
      <c r="B325" s="1">
        <f>HYPERLINK("https://www.toolnut.com/irwin-3041009-drill-bit.html", "https://www.toolnut.com/irwin-3041009-drill-bit.html")</f>
        <v/>
      </c>
      <c r="C325" t="inlineStr">
        <is>
          <t>Irwin 3041009 Speedbor MAX Speed Bits 6-in. Standard Length Bits 1-1/4-in.</t>
        </is>
      </c>
      <c r="D325" t="inlineStr">
        <is>
          <t>Speedbor 1877240 Irwin Tools Max Wood Drilling Bits, 4-Inch, 5-Piece</t>
        </is>
      </c>
      <c r="E325" s="1">
        <f>HYPERLINK("https://www.amazon.com/Speedbor-1877240-Irwin-Tools-Drilling/dp/B00LLIOTAW/ref=sr_1_9?keywords=Irwin+3041009+Speedbor+MAX+Speed+Bits+6-in.+Standard+Length+Bits+1-1%2F4-in.&amp;qid=1695347095&amp;sr=8-9", "https://www.amazon.com/Speedbor-1877240-Irwin-Tools-Drilling/dp/B00LLIOTAW/ref=sr_1_9?keywords=Irwin+3041009+Speedbor+MAX+Speed+Bits+6-in.+Standard+Length+Bits+1-1%2F4-in.&amp;qid=1695347095&amp;sr=8-9")</f>
        <v/>
      </c>
      <c r="F325" t="inlineStr">
        <is>
          <t>B00LLIOTAW</t>
        </is>
      </c>
      <c r="G325">
        <f>_xlfn.IMAGE("https://www.toolnut.com/media/catalog/product/3/0/3041009-irwin_1_2.jpg?quality=100&amp;bg-color=255,255,255&amp;fit=bounds&amp;height=700&amp;width=700&amp;canvas=700:700&amp;dpr=1 1x")</f>
        <v/>
      </c>
      <c r="H325">
        <f>_xlfn.IMAGE("https://m.media-amazon.com/images/I/71mwqPpGBHL._AC_UL320_.jpg")</f>
        <v/>
      </c>
      <c r="K325" t="inlineStr">
        <is>
          <t>10.39</t>
        </is>
      </c>
      <c r="L325" t="n">
        <v>28.18</v>
      </c>
      <c r="M325" s="2" t="inlineStr">
        <is>
          <t>171.22%</t>
        </is>
      </c>
      <c r="N325" t="n">
        <v>4.3</v>
      </c>
      <c r="O325" t="n">
        <v>54</v>
      </c>
      <c r="Q325" t="inlineStr">
        <is>
          <t>InStock</t>
        </is>
      </c>
      <c r="R325" t="inlineStr">
        <is>
          <t>undefined</t>
        </is>
      </c>
      <c r="S325" t="inlineStr">
        <is>
          <t>3041009-IRWIN</t>
        </is>
      </c>
    </row>
    <row r="326" ht="75" customHeight="1">
      <c r="A326" s="1">
        <f>HYPERLINK("https://www.toolnut.com/irwin-3041019-drill-bit.html", "https://www.toolnut.com/irwin-3041019-drill-bit.html")</f>
        <v/>
      </c>
      <c r="B326" s="1">
        <f>HYPERLINK("https://www.toolnut.com/irwin-3041019-drill-bit.html", "https://www.toolnut.com/irwin-3041019-drill-bit.html")</f>
        <v/>
      </c>
      <c r="C326" t="inlineStr">
        <is>
          <t>Irwin 3041019 Speedbor MAX Speed Bits 6-in. Standard Length Bits 1-1/8-in.</t>
        </is>
      </c>
      <c r="D326" t="inlineStr">
        <is>
          <t>Speedbor 1877240 Irwin Tools Max Wood Drilling Bits, 4-Inch, 5-Piece</t>
        </is>
      </c>
      <c r="E326" s="1">
        <f>HYPERLINK("https://www.amazon.com/Speedbor-1877240-Irwin-Tools-Drilling/dp/B00LLIOTAW/ref=sr_1_7?keywords=Irwin+3041019+Speedbor+MAX+Speed+Bits+6-in.+Standard+Length+Bits+1-1%2F8-in.&amp;qid=1695347095&amp;sr=8-7", "https://www.amazon.com/Speedbor-1877240-Irwin-Tools-Drilling/dp/B00LLIOTAW/ref=sr_1_7?keywords=Irwin+3041019+Speedbor+MAX+Speed+Bits+6-in.+Standard+Length+Bits+1-1%2F8-in.&amp;qid=1695347095&amp;sr=8-7")</f>
        <v/>
      </c>
      <c r="F326" t="inlineStr">
        <is>
          <t>B00LLIOTAW</t>
        </is>
      </c>
      <c r="G326">
        <f>_xlfn.IMAGE("https://www.toolnut.com/media/catalog/product/3/0/3041019-irwin_001.jpg?quality=100&amp;bg-color=255,255,255&amp;fit=bounds&amp;height=700&amp;width=700&amp;canvas=700:700&amp;dpr=1 1x")</f>
        <v/>
      </c>
      <c r="H326">
        <f>_xlfn.IMAGE("https://m.media-amazon.com/images/I/71mwqPpGBHL._AC_UL320_.jpg")</f>
        <v/>
      </c>
      <c r="K326" t="inlineStr">
        <is>
          <t>10.59</t>
        </is>
      </c>
      <c r="L326" t="n">
        <v>28.18</v>
      </c>
      <c r="M326" s="2" t="inlineStr">
        <is>
          <t>166.10%</t>
        </is>
      </c>
      <c r="N326" t="n">
        <v>4.3</v>
      </c>
      <c r="O326" t="n">
        <v>54</v>
      </c>
      <c r="Q326" t="inlineStr">
        <is>
          <t>InStock</t>
        </is>
      </c>
      <c r="R326" t="inlineStr">
        <is>
          <t>undefined</t>
        </is>
      </c>
      <c r="S326" t="inlineStr">
        <is>
          <t>3041019-IRWIN</t>
        </is>
      </c>
    </row>
    <row r="327" ht="75" customHeight="1">
      <c r="A327" s="1">
        <f>HYPERLINK("https://www.toolnut.com/irwin-3041019-drill-bit.html", "https://www.toolnut.com/irwin-3041019-drill-bit.html")</f>
        <v/>
      </c>
      <c r="B327" s="1">
        <f>HYPERLINK("https://www.toolnut.com/irwin-3041019-drill-bit.html", "https://www.toolnut.com/irwin-3041019-drill-bit.html")</f>
        <v/>
      </c>
      <c r="C327" t="inlineStr">
        <is>
          <t>Irwin 3041019 Speedbor MAX Speed Bits 6-in. Standard Length Bits 1-1/8-in.</t>
        </is>
      </c>
      <c r="D327" t="inlineStr">
        <is>
          <t>Speedbor 1877240 Irwin Tools Max Wood Drilling Bits, 4-Inch, 5-Piece</t>
        </is>
      </c>
      <c r="E327" s="1">
        <f>HYPERLINK("https://www.amazon.com/Speedbor-1877240-Irwin-Tools-Drilling/dp/B00LLIOTAW/ref=sr_1_7?keywords=Irwin+3041019+Speedbor+MAX+Speed+Bits+6-in.+Standard+Length+Bits+1-1%2F8-in.&amp;qid=1695347095&amp;sr=8-7", "https://www.amazon.com/Speedbor-1877240-Irwin-Tools-Drilling/dp/B00LLIOTAW/ref=sr_1_7?keywords=Irwin+3041019+Speedbor+MAX+Speed+Bits+6-in.+Standard+Length+Bits+1-1%2F8-in.&amp;qid=1695347095&amp;sr=8-7")</f>
        <v/>
      </c>
      <c r="F327" t="inlineStr">
        <is>
          <t>B00LLIOTAW</t>
        </is>
      </c>
      <c r="G327">
        <f>_xlfn.IMAGE("https://www.toolnut.com/media/catalog/product/3/0/3041019-irwin_001.jpg?quality=100&amp;bg-color=255,255,255&amp;fit=bounds&amp;height=700&amp;width=700&amp;canvas=700:700&amp;dpr=1 1x")</f>
        <v/>
      </c>
      <c r="H327">
        <f>_xlfn.IMAGE("https://m.media-amazon.com/images/I/71mwqPpGBHL._AC_UL320_.jpg")</f>
        <v/>
      </c>
      <c r="K327" t="inlineStr">
        <is>
          <t>10.59</t>
        </is>
      </c>
      <c r="L327" t="n">
        <v>28.18</v>
      </c>
      <c r="M327" s="2" t="inlineStr">
        <is>
          <t>166.10%</t>
        </is>
      </c>
      <c r="N327" t="n">
        <v>4.3</v>
      </c>
      <c r="O327" t="n">
        <v>54</v>
      </c>
      <c r="Q327" t="inlineStr">
        <is>
          <t>InStock</t>
        </is>
      </c>
      <c r="R327" t="inlineStr">
        <is>
          <t>undefined</t>
        </is>
      </c>
      <c r="S327" t="inlineStr">
        <is>
          <t>3041019-IRWIN</t>
        </is>
      </c>
    </row>
    <row r="328" ht="75" customHeight="1">
      <c r="A328" s="1">
        <f>HYPERLINK("https://www.toolnut.com/irwin-3041021-drill-bit.html", "https://www.toolnut.com/irwin-3041021-drill-bit.html")</f>
        <v/>
      </c>
      <c r="B328" s="1">
        <f>HYPERLINK("https://www.toolnut.com/irwin-3041021-drill-bit.html", "https://www.toolnut.com/irwin-3041021-drill-bit.html")</f>
        <v/>
      </c>
      <c r="C328" t="inlineStr">
        <is>
          <t>Irwin 3041021 Speedbor MAX Speed Bits 6-in. Standard Length Bits 1-1/2-in.</t>
        </is>
      </c>
      <c r="D328" t="inlineStr">
        <is>
          <t>Speedbor 1877240 Irwin Tools Max Wood Drilling Bits, 4-Inch, 5-Piece</t>
        </is>
      </c>
      <c r="E328" s="1">
        <f>HYPERLINK("https://www.amazon.com/Speedbor-1877240-Irwin-Tools-Drilling/dp/B00LLIOTAW/ref=sr_1_8?keywords=Irwin+3041021+Speedbor+MAX+Speed+Bits+6-in.+Standard+Length+Bits+1-1%2F2-in.&amp;qid=1695347098&amp;sr=8-8", "https://www.amazon.com/Speedbor-1877240-Irwin-Tools-Drilling/dp/B00LLIOTAW/ref=sr_1_8?keywords=Irwin+3041021+Speedbor+MAX+Speed+Bits+6-in.+Standard+Length+Bits+1-1%2F2-in.&amp;qid=1695347098&amp;sr=8-8")</f>
        <v/>
      </c>
      <c r="F328" t="inlineStr">
        <is>
          <t>B00LLIOTAW</t>
        </is>
      </c>
      <c r="G328">
        <f>_xlfn.IMAGE("https://www.toolnut.com/media/catalog/product/3/0/3041021-irwin_1.jpg?quality=100&amp;bg-color=255,255,255&amp;fit=bounds&amp;height=700&amp;width=700&amp;canvas=700:700&amp;dpr=1 1x")</f>
        <v/>
      </c>
      <c r="H328">
        <f>_xlfn.IMAGE("https://m.media-amazon.com/images/I/71mwqPpGBHL._AC_UL320_.jpg")</f>
        <v/>
      </c>
      <c r="K328" t="inlineStr">
        <is>
          <t>12.59</t>
        </is>
      </c>
      <c r="L328" t="n">
        <v>28.18</v>
      </c>
      <c r="M328" s="2" t="inlineStr">
        <is>
          <t>123.83%</t>
        </is>
      </c>
      <c r="N328" t="n">
        <v>4.3</v>
      </c>
      <c r="O328" t="n">
        <v>54</v>
      </c>
      <c r="Q328" t="inlineStr">
        <is>
          <t>InStock</t>
        </is>
      </c>
      <c r="R328" t="inlineStr">
        <is>
          <t>undefined</t>
        </is>
      </c>
      <c r="S328" t="inlineStr">
        <is>
          <t>3041021-IRWIN</t>
        </is>
      </c>
    </row>
    <row r="329" ht="75" customHeight="1">
      <c r="A329" s="1">
        <f>HYPERLINK("https://www.toolnut.com/irwin-3041021-drill-bit.html", "https://www.toolnut.com/irwin-3041021-drill-bit.html")</f>
        <v/>
      </c>
      <c r="B329" s="1">
        <f>HYPERLINK("https://www.toolnut.com/irwin-3041021-drill-bit.html", "https://www.toolnut.com/irwin-3041021-drill-bit.html")</f>
        <v/>
      </c>
      <c r="C329" t="inlineStr">
        <is>
          <t>Irwin 3041021 Speedbor MAX Speed Bits 6-in. Standard Length Bits 1-1/2-in.</t>
        </is>
      </c>
      <c r="D329" t="inlineStr">
        <is>
          <t>Speedbor 1877240 Irwin Tools Max Wood Drilling Bits, 4-Inch, 5-Piece</t>
        </is>
      </c>
      <c r="E329" s="1">
        <f>HYPERLINK("https://www.amazon.com/Speedbor-1877240-Irwin-Tools-Drilling/dp/B00LLIOTAW/ref=sr_1_8?keywords=Irwin+3041021+Speedbor+MAX+Speed+Bits+6-in.+Standard+Length+Bits+1-1%2F2-in.&amp;qid=1695347098&amp;sr=8-8", "https://www.amazon.com/Speedbor-1877240-Irwin-Tools-Drilling/dp/B00LLIOTAW/ref=sr_1_8?keywords=Irwin+3041021+Speedbor+MAX+Speed+Bits+6-in.+Standard+Length+Bits+1-1%2F2-in.&amp;qid=1695347098&amp;sr=8-8")</f>
        <v/>
      </c>
      <c r="F329" t="inlineStr">
        <is>
          <t>B00LLIOTAW</t>
        </is>
      </c>
      <c r="G329">
        <f>_xlfn.IMAGE("https://www.toolnut.com/media/catalog/product/3/0/3041021-irwin_1.jpg?quality=100&amp;bg-color=255,255,255&amp;fit=bounds&amp;height=700&amp;width=700&amp;canvas=700:700&amp;dpr=1 1x")</f>
        <v/>
      </c>
      <c r="H329">
        <f>_xlfn.IMAGE("https://m.media-amazon.com/images/I/71mwqPpGBHL._AC_UL320_.jpg")</f>
        <v/>
      </c>
      <c r="K329" t="inlineStr">
        <is>
          <t>12.59</t>
        </is>
      </c>
      <c r="L329" t="n">
        <v>28.18</v>
      </c>
      <c r="M329" s="2" t="inlineStr">
        <is>
          <t>123.83%</t>
        </is>
      </c>
      <c r="N329" t="n">
        <v>4.3</v>
      </c>
      <c r="O329" t="n">
        <v>54</v>
      </c>
      <c r="Q329" t="inlineStr">
        <is>
          <t>InStock</t>
        </is>
      </c>
      <c r="R329" t="inlineStr">
        <is>
          <t>undefined</t>
        </is>
      </c>
      <c r="S329" t="inlineStr">
        <is>
          <t>3041021-IRWIN</t>
        </is>
      </c>
    </row>
    <row r="330" ht="75" customHeight="1">
      <c r="A330" s="1">
        <f>HYPERLINK("https://www.toolnut.com/irwin-3043004-drill-bit.html", "https://www.toolnut.com/irwin-3043004-drill-bit.html")</f>
        <v/>
      </c>
      <c r="B330" s="1">
        <f>HYPERLINK("https://www.toolnut.com/irwin-3043004-drill-bit.html", "https://www.toolnut.com/irwin-3043004-drill-bit.html")</f>
        <v/>
      </c>
      <c r="C330" t="inlineStr">
        <is>
          <t>Irwin 3043004 Auger Bit with WeldTec 17-in. x 3/8-in.</t>
        </is>
      </c>
      <c r="D330" t="inlineStr">
        <is>
          <t>IRWIN WeldTec Auger Wood Drill Bit 2" X 17" (1773959)</t>
        </is>
      </c>
      <c r="E330" s="1">
        <f>HYPERLINK("https://www.amazon.com/Irwin-Tools-1773959-Weldtec-Auger/dp/B0040TUSYK/ref=sr_1_10?keywords=Irwin+3043004+Auger+Bit+with+WeldTec+17-in.+x+3%2F8-in.&amp;qid=1695347132&amp;sr=8-10", "https://www.amazon.com/Irwin-Tools-1773959-Weldtec-Auger/dp/B0040TUSYK/ref=sr_1_10?keywords=Irwin+3043004+Auger+Bit+with+WeldTec+17-in.+x+3%2F8-in.&amp;qid=1695347132&amp;sr=8-10")</f>
        <v/>
      </c>
      <c r="F330" t="inlineStr">
        <is>
          <t>B0040TUSYK</t>
        </is>
      </c>
      <c r="G330">
        <f>_xlfn.IMAGE("https://www.toolnut.com/media/catalog/product/3/0/3043004-irwin-drill-bits-wood-drill-bits-auger-bit-with-weldtec-primary.jpg?quality=100&amp;bg-color=255,255,255&amp;fit=bounds&amp;height=700&amp;width=700&amp;canvas=700:700&amp;dpr=1 1x")</f>
        <v/>
      </c>
      <c r="H330">
        <f>_xlfn.IMAGE("https://m.media-amazon.com/images/I/61cH7lh+TIL._AC_UL320_.jpg")</f>
        <v/>
      </c>
      <c r="K330" t="inlineStr">
        <is>
          <t>21.49</t>
        </is>
      </c>
      <c r="L330" t="n">
        <v>79.05</v>
      </c>
      <c r="M330" s="2" t="inlineStr">
        <is>
          <t>267.85%</t>
        </is>
      </c>
      <c r="N330" t="n">
        <v>4.3</v>
      </c>
      <c r="O330" t="n">
        <v>59</v>
      </c>
      <c r="Q330" t="inlineStr">
        <is>
          <t>InStock</t>
        </is>
      </c>
      <c r="R330" t="inlineStr">
        <is>
          <t>undefined</t>
        </is>
      </c>
      <c r="S330" t="inlineStr">
        <is>
          <t>3043004-IRWIN</t>
        </is>
      </c>
    </row>
    <row r="331" ht="75" customHeight="1">
      <c r="A331" s="1">
        <f>HYPERLINK("https://www.toolnut.com/irwin-3043004-drill-bit.html", "https://www.toolnut.com/irwin-3043004-drill-bit.html")</f>
        <v/>
      </c>
      <c r="B331" s="1">
        <f>HYPERLINK("https://www.toolnut.com/irwin-3043004-drill-bit.html", "https://www.toolnut.com/irwin-3043004-drill-bit.html")</f>
        <v/>
      </c>
      <c r="C331" t="inlineStr">
        <is>
          <t>Irwin 3043004 Auger Bit with WeldTec 17-in. x 3/8-in.</t>
        </is>
      </c>
      <c r="D331" t="inlineStr">
        <is>
          <t>IRWIN WeldTec Auger Wood Drill Bit 1-1/2" X 17" (3043016)</t>
        </is>
      </c>
      <c r="E331" s="1">
        <f>HYPERLINK("https://www.amazon.com/Irwin-Tools-3043016-WeldTech-Auger/dp/B000GAS67S/ref=sr_1_8?keywords=Irwin+3043004+Auger+Bit+with+WeldTec+17-in.+x+3%2F8-in.&amp;qid=1695347132&amp;sr=8-8", "https://www.amazon.com/Irwin-Tools-3043016-WeldTech-Auger/dp/B000GAS67S/ref=sr_1_8?keywords=Irwin+3043004+Auger+Bit+with+WeldTec+17-in.+x+3%2F8-in.&amp;qid=1695347132&amp;sr=8-8")</f>
        <v/>
      </c>
      <c r="F331" t="inlineStr">
        <is>
          <t>B000GAS67S</t>
        </is>
      </c>
      <c r="G331">
        <f>_xlfn.IMAGE("https://www.toolnut.com/media/catalog/product/3/0/3043004-irwin-drill-bits-wood-drill-bits-auger-bit-with-weldtec-primary.jpg?quality=100&amp;bg-color=255,255,255&amp;fit=bounds&amp;height=700&amp;width=700&amp;canvas=700:700&amp;dpr=1 1x")</f>
        <v/>
      </c>
      <c r="H331">
        <f>_xlfn.IMAGE("https://m.media-amazon.com/images/I/41LuVMVsu0L._AC_UL320_.jpg")</f>
        <v/>
      </c>
      <c r="K331" t="inlineStr">
        <is>
          <t>21.49</t>
        </is>
      </c>
      <c r="L331" t="n">
        <v>59.68</v>
      </c>
      <c r="M331" s="2" t="inlineStr">
        <is>
          <t>177.71%</t>
        </is>
      </c>
      <c r="N331" t="n">
        <v>4.5</v>
      </c>
      <c r="O331" t="n">
        <v>23</v>
      </c>
      <c r="Q331" t="inlineStr">
        <is>
          <t>InStock</t>
        </is>
      </c>
      <c r="R331" t="inlineStr">
        <is>
          <t>undefined</t>
        </is>
      </c>
      <c r="S331" t="inlineStr">
        <is>
          <t>3043004-IRWIN</t>
        </is>
      </c>
    </row>
    <row r="332" ht="75" customHeight="1">
      <c r="A332" s="1">
        <f>HYPERLINK("https://www.toolnut.com/irwin-3043004-drill-bit.html", "https://www.toolnut.com/irwin-3043004-drill-bit.html")</f>
        <v/>
      </c>
      <c r="B332" s="1">
        <f>HYPERLINK("https://www.toolnut.com/irwin-3043004-drill-bit.html", "https://www.toolnut.com/irwin-3043004-drill-bit.html")</f>
        <v/>
      </c>
      <c r="C332" t="inlineStr">
        <is>
          <t>Irwin 3043004 Auger Bit with WeldTec 17-in. x 3/8-in.</t>
        </is>
      </c>
      <c r="D332" t="inlineStr">
        <is>
          <t>IRWIN WeldTec Auger Wood Drill Bit 1-1/4" X 17" (3043015) , Black</t>
        </is>
      </c>
      <c r="E332" s="1">
        <f>HYPERLINK("https://www.amazon.com/Irwin-Tools-3043015-WeldTec-Auger/dp/B0035GQWBM/ref=sr_1_9?keywords=Irwin+3043004+Auger+Bit+with+WeldTec+17-in.+x+3%2F8-in.&amp;qid=1695347132&amp;sr=8-9", "https://www.amazon.com/Irwin-Tools-3043015-WeldTec-Auger/dp/B0035GQWBM/ref=sr_1_9?keywords=Irwin+3043004+Auger+Bit+with+WeldTec+17-in.+x+3%2F8-in.&amp;qid=1695347132&amp;sr=8-9")</f>
        <v/>
      </c>
      <c r="F332" t="inlineStr">
        <is>
          <t>B0035GQWBM</t>
        </is>
      </c>
      <c r="G332">
        <f>_xlfn.IMAGE("https://www.toolnut.com/media/catalog/product/3/0/3043004-irwin-drill-bits-wood-drill-bits-auger-bit-with-weldtec-primary.jpg?quality=100&amp;bg-color=255,255,255&amp;fit=bounds&amp;height=700&amp;width=700&amp;canvas=700:700&amp;dpr=1 1x")</f>
        <v/>
      </c>
      <c r="H332">
        <f>_xlfn.IMAGE("https://m.media-amazon.com/images/I/41uAB0+740L._AC_UL320_.jpg")</f>
        <v/>
      </c>
      <c r="K332" t="inlineStr">
        <is>
          <t>21.49</t>
        </is>
      </c>
      <c r="L332" t="n">
        <v>44.5</v>
      </c>
      <c r="M332" s="2" t="inlineStr">
        <is>
          <t>107.07%</t>
        </is>
      </c>
      <c r="N332" t="n">
        <v>4.5</v>
      </c>
      <c r="O332" t="n">
        <v>21</v>
      </c>
      <c r="Q332" t="inlineStr">
        <is>
          <t>InStock</t>
        </is>
      </c>
      <c r="R332" t="inlineStr">
        <is>
          <t>undefined</t>
        </is>
      </c>
      <c r="S332" t="inlineStr">
        <is>
          <t>3043004-IRWIN</t>
        </is>
      </c>
    </row>
    <row r="333" ht="75" customHeight="1">
      <c r="A333" s="1">
        <f>HYPERLINK("https://www.toolnut.com/irwin-3043004-drill-bit.html", "https://www.toolnut.com/irwin-3043004-drill-bit.html")</f>
        <v/>
      </c>
      <c r="B333" s="1">
        <f>HYPERLINK("https://www.toolnut.com/irwin-3043004-drill-bit.html", "https://www.toolnut.com/irwin-3043004-drill-bit.html")</f>
        <v/>
      </c>
      <c r="C333" t="inlineStr">
        <is>
          <t>Irwin 3043004 Auger Bit with WeldTec 17-in. x 3/8-in.</t>
        </is>
      </c>
      <c r="D333" t="inlineStr">
        <is>
          <t>IRWIN WeldTec Auger Wood Drill Bit 1-1/2" X 17" (3043016)</t>
        </is>
      </c>
      <c r="E333" s="1">
        <f>HYPERLINK("https://www.amazon.com/Irwin-Tools-3043016-WeldTech-Auger/dp/B000GAS67S/ref=sr_1_8?keywords=Irwin+3043004+Auger+Bit+with+WeldTec+17-in.+x+3%2F8-in.&amp;qid=1695347132&amp;sr=8-8", "https://www.amazon.com/Irwin-Tools-3043016-WeldTech-Auger/dp/B000GAS67S/ref=sr_1_8?keywords=Irwin+3043004+Auger+Bit+with+WeldTec+17-in.+x+3%2F8-in.&amp;qid=1695347132&amp;sr=8-8")</f>
        <v/>
      </c>
      <c r="F333" t="inlineStr">
        <is>
          <t>B000GAS67S</t>
        </is>
      </c>
      <c r="G333">
        <f>_xlfn.IMAGE("https://www.toolnut.com/media/catalog/product/3/0/3043004-irwin-drill-bits-wood-drill-bits-auger-bit-with-weldtec-primary.jpg?quality=100&amp;bg-color=255,255,255&amp;fit=bounds&amp;height=700&amp;width=700&amp;canvas=700:700&amp;dpr=1 1x")</f>
        <v/>
      </c>
      <c r="H333">
        <f>_xlfn.IMAGE("https://m.media-amazon.com/images/I/41LuVMVsu0L._AC_UL320_.jpg")</f>
        <v/>
      </c>
      <c r="K333" t="inlineStr">
        <is>
          <t>21.49</t>
        </is>
      </c>
      <c r="L333" t="n">
        <v>59.68</v>
      </c>
      <c r="M333" s="2" t="inlineStr">
        <is>
          <t>177.71%</t>
        </is>
      </c>
      <c r="N333" t="n">
        <v>4.5</v>
      </c>
      <c r="O333" t="n">
        <v>23</v>
      </c>
      <c r="Q333" t="inlineStr">
        <is>
          <t>InStock</t>
        </is>
      </c>
      <c r="R333" t="inlineStr">
        <is>
          <t>undefined</t>
        </is>
      </c>
      <c r="S333" t="inlineStr">
        <is>
          <t>3043004-IRWIN</t>
        </is>
      </c>
    </row>
    <row r="334" ht="75" customHeight="1">
      <c r="A334" s="1">
        <f>HYPERLINK("https://www.toolnut.com/irwin-3043004-drill-bit.html", "https://www.toolnut.com/irwin-3043004-drill-bit.html")</f>
        <v/>
      </c>
      <c r="B334" s="1">
        <f>HYPERLINK("https://www.toolnut.com/irwin-3043004-drill-bit.html", "https://www.toolnut.com/irwin-3043004-drill-bit.html")</f>
        <v/>
      </c>
      <c r="C334" t="inlineStr">
        <is>
          <t>Irwin 3043004 Auger Bit with WeldTec 17-in. x 3/8-in.</t>
        </is>
      </c>
      <c r="D334" t="inlineStr">
        <is>
          <t>IRWIN WeldTec Auger Wood Drill Bit 1-1/4" X 17" (3043015) , Black</t>
        </is>
      </c>
      <c r="E334" s="1">
        <f>HYPERLINK("https://www.amazon.com/Irwin-Tools-3043015-WeldTec-Auger/dp/B0035GQWBM/ref=sr_1_9?keywords=Irwin+3043004+Auger+Bit+with+WeldTec+17-in.+x+3%2F8-in.&amp;qid=1695347132&amp;sr=8-9", "https://www.amazon.com/Irwin-Tools-3043015-WeldTec-Auger/dp/B0035GQWBM/ref=sr_1_9?keywords=Irwin+3043004+Auger+Bit+with+WeldTec+17-in.+x+3%2F8-in.&amp;qid=1695347132&amp;sr=8-9")</f>
        <v/>
      </c>
      <c r="F334" t="inlineStr">
        <is>
          <t>B0035GQWBM</t>
        </is>
      </c>
      <c r="G334">
        <f>_xlfn.IMAGE("https://www.toolnut.com/media/catalog/product/3/0/3043004-irwin-drill-bits-wood-drill-bits-auger-bit-with-weldtec-primary.jpg?quality=100&amp;bg-color=255,255,255&amp;fit=bounds&amp;height=700&amp;width=700&amp;canvas=700:700&amp;dpr=1 1x")</f>
        <v/>
      </c>
      <c r="H334">
        <f>_xlfn.IMAGE("https://m.media-amazon.com/images/I/41uAB0+740L._AC_UL320_.jpg")</f>
        <v/>
      </c>
      <c r="K334" t="inlineStr">
        <is>
          <t>21.49</t>
        </is>
      </c>
      <c r="L334" t="n">
        <v>44.5</v>
      </c>
      <c r="M334" s="2" t="inlineStr">
        <is>
          <t>107.07%</t>
        </is>
      </c>
      <c r="N334" t="n">
        <v>4.5</v>
      </c>
      <c r="O334" t="n">
        <v>21</v>
      </c>
      <c r="Q334" t="inlineStr">
        <is>
          <t>InStock</t>
        </is>
      </c>
      <c r="R334" t="inlineStr">
        <is>
          <t>undefined</t>
        </is>
      </c>
      <c r="S334" t="inlineStr">
        <is>
          <t>3043004-IRWIN</t>
        </is>
      </c>
    </row>
    <row r="335" ht="75" customHeight="1">
      <c r="A335" s="1">
        <f>HYPERLINK("https://www.toolnut.com/irwin-3043005-drill-bit.html", "https://www.toolnut.com/irwin-3043005-drill-bit.html")</f>
        <v/>
      </c>
      <c r="B335" s="1">
        <f>HYPERLINK("https://www.toolnut.com/irwin-3043005-drill-bit.html", "https://www.toolnut.com/irwin-3043005-drill-bit.html")</f>
        <v/>
      </c>
      <c r="C335" t="inlineStr">
        <is>
          <t>Irwin 3043005 Auger Bit with WeldTec 17-in. x 1/2-in.</t>
        </is>
      </c>
      <c r="D335" t="inlineStr">
        <is>
          <t>IRWIN WeldTec Auger Wood Drill Bit 1-1/2" X 17" (3043016)</t>
        </is>
      </c>
      <c r="E335" s="1">
        <f>HYPERLINK("https://www.amazon.com/Irwin-Tools-3043016-WeldTech-Auger/dp/B000GAS67S/ref=sr_1_4?keywords=Irwin+3043005+Auger+Bit+with+WeldTec+17-in.+x+1%2F2-in.&amp;qid=1695347135&amp;sr=8-4", "https://www.amazon.com/Irwin-Tools-3043016-WeldTech-Auger/dp/B000GAS67S/ref=sr_1_4?keywords=Irwin+3043005+Auger+Bit+with+WeldTec+17-in.+x+1%2F2-in.&amp;qid=1695347135&amp;sr=8-4")</f>
        <v/>
      </c>
      <c r="F335" t="inlineStr">
        <is>
          <t>B000GAS67S</t>
        </is>
      </c>
      <c r="G335">
        <f>_xlfn.IMAGE("https://www.toolnut.com/media/catalog/product/3/0/3043005-irwin-drill-bits-wood-drill-bits-auger-bit-with-weldtec-primary.jpg?quality=100&amp;bg-color=255,255,255&amp;fit=bounds&amp;height=700&amp;width=700&amp;canvas=700:700&amp;dpr=1 1x")</f>
        <v/>
      </c>
      <c r="H335">
        <f>_xlfn.IMAGE("https://m.media-amazon.com/images/I/41LuVMVsu0L._AC_UL320_.jpg")</f>
        <v/>
      </c>
      <c r="K335" t="inlineStr">
        <is>
          <t>21.99</t>
        </is>
      </c>
      <c r="L335" t="n">
        <v>59.68</v>
      </c>
      <c r="M335" s="2" t="inlineStr">
        <is>
          <t>171.40%</t>
        </is>
      </c>
      <c r="N335" t="n">
        <v>4.5</v>
      </c>
      <c r="O335" t="n">
        <v>23</v>
      </c>
      <c r="Q335" t="inlineStr">
        <is>
          <t>InStock</t>
        </is>
      </c>
      <c r="R335" t="inlineStr">
        <is>
          <t>undefined</t>
        </is>
      </c>
      <c r="S335" t="inlineStr">
        <is>
          <t>3043005-IRWIN</t>
        </is>
      </c>
    </row>
    <row r="336" ht="75" customHeight="1">
      <c r="A336" s="1">
        <f>HYPERLINK("https://www.toolnut.com/irwin-3043005-drill-bit.html", "https://www.toolnut.com/irwin-3043005-drill-bit.html")</f>
        <v/>
      </c>
      <c r="B336" s="1">
        <f>HYPERLINK("https://www.toolnut.com/irwin-3043005-drill-bit.html", "https://www.toolnut.com/irwin-3043005-drill-bit.html")</f>
        <v/>
      </c>
      <c r="C336" t="inlineStr">
        <is>
          <t>Irwin 3043005 Auger Bit with WeldTec 17-in. x 1/2-in.</t>
        </is>
      </c>
      <c r="D336" t="inlineStr">
        <is>
          <t>IRWIN WeldTec Auger Wood Drill Bit 1-1/2" X 17" (3043016)</t>
        </is>
      </c>
      <c r="E336" s="1">
        <f>HYPERLINK("https://www.amazon.com/Irwin-Tools-3043016-WeldTech-Auger/dp/B000GAS67S/ref=sr_1_4?keywords=Irwin+3043005+Auger+Bit+with+WeldTec+17-in.+x+1%2F2-in.&amp;qid=1695347135&amp;sr=8-4", "https://www.amazon.com/Irwin-Tools-3043016-WeldTech-Auger/dp/B000GAS67S/ref=sr_1_4?keywords=Irwin+3043005+Auger+Bit+with+WeldTec+17-in.+x+1%2F2-in.&amp;qid=1695347135&amp;sr=8-4")</f>
        <v/>
      </c>
      <c r="F336" t="inlineStr">
        <is>
          <t>B000GAS67S</t>
        </is>
      </c>
      <c r="G336">
        <f>_xlfn.IMAGE("https://www.toolnut.com/media/catalog/product/3/0/3043005-irwin-drill-bits-wood-drill-bits-auger-bit-with-weldtec-primary.jpg?quality=100&amp;bg-color=255,255,255&amp;fit=bounds&amp;height=700&amp;width=700&amp;canvas=700:700&amp;dpr=1 1x")</f>
        <v/>
      </c>
      <c r="H336">
        <f>_xlfn.IMAGE("https://m.media-amazon.com/images/I/41LuVMVsu0L._AC_UL320_.jpg")</f>
        <v/>
      </c>
      <c r="K336" t="inlineStr">
        <is>
          <t>21.99</t>
        </is>
      </c>
      <c r="L336" t="n">
        <v>59.68</v>
      </c>
      <c r="M336" s="2" t="inlineStr">
        <is>
          <t>171.40%</t>
        </is>
      </c>
      <c r="N336" t="n">
        <v>4.5</v>
      </c>
      <c r="O336" t="n">
        <v>23</v>
      </c>
      <c r="Q336" t="inlineStr">
        <is>
          <t>InStock</t>
        </is>
      </c>
      <c r="R336" t="inlineStr">
        <is>
          <t>undefined</t>
        </is>
      </c>
      <c r="S336" t="inlineStr">
        <is>
          <t>3043005-IRWIN</t>
        </is>
      </c>
    </row>
    <row r="337" ht="75" customHeight="1">
      <c r="A337" s="1">
        <f>HYPERLINK("https://www.toolnut.com/irwin-3043006-drill-bit.html", "https://www.toolnut.com/irwin-3043006-drill-bit.html")</f>
        <v/>
      </c>
      <c r="B337" s="1">
        <f>HYPERLINK("https://www.toolnut.com/irwin-3043006-drill-bit.html", "https://www.toolnut.com/irwin-3043006-drill-bit.html")</f>
        <v/>
      </c>
      <c r="C337" t="inlineStr">
        <is>
          <t>Irwin 3043006 Auger Bit with WeldTec 17-in. x 9/16-in.</t>
        </is>
      </c>
      <c r="D337" t="inlineStr">
        <is>
          <t>IRWIN WeldTec Auger Wood Drill Bit 1-1/2" X 17" (3043016)</t>
        </is>
      </c>
      <c r="E337" s="1">
        <f>HYPERLINK("https://www.amazon.com/Irwin-Tools-3043016-WeldTech-Auger/dp/B000GAS67S/ref=sr_1_8?keywords=Irwin+3043006+Auger+Bit+with+WeldTec+17-in.+x+9%2F16-in.&amp;qid=1695347135&amp;sr=8-8", "https://www.amazon.com/Irwin-Tools-3043016-WeldTech-Auger/dp/B000GAS67S/ref=sr_1_8?keywords=Irwin+3043006+Auger+Bit+with+WeldTec+17-in.+x+9%2F16-in.&amp;qid=1695347135&amp;sr=8-8")</f>
        <v/>
      </c>
      <c r="F337" t="inlineStr">
        <is>
          <t>B000GAS67S</t>
        </is>
      </c>
      <c r="G337">
        <f>_xlfn.IMAGE("https://www.toolnut.com/media/catalog/product/3/0/3043006-irwin-drill-bits-wood-drill-bits-auger-bit-with-weldtec-primary.jpg?quality=100&amp;bg-color=255,255,255&amp;fit=bounds&amp;height=700&amp;width=700&amp;canvas=700:700&amp;dpr=1 1x")</f>
        <v/>
      </c>
      <c r="H337">
        <f>_xlfn.IMAGE("https://m.media-amazon.com/images/I/41LuVMVsu0L._AC_UL320_.jpg")</f>
        <v/>
      </c>
      <c r="K337" t="inlineStr">
        <is>
          <t>22.99</t>
        </is>
      </c>
      <c r="L337" t="n">
        <v>59.68</v>
      </c>
      <c r="M337" s="2" t="inlineStr">
        <is>
          <t>159.59%</t>
        </is>
      </c>
      <c r="N337" t="n">
        <v>4.5</v>
      </c>
      <c r="O337" t="n">
        <v>23</v>
      </c>
      <c r="Q337" t="inlineStr">
        <is>
          <t>InStock</t>
        </is>
      </c>
      <c r="R337" t="inlineStr">
        <is>
          <t>undefined</t>
        </is>
      </c>
      <c r="S337" t="inlineStr">
        <is>
          <t>3043006-IRWIN</t>
        </is>
      </c>
    </row>
    <row r="338" ht="75" customHeight="1">
      <c r="A338" s="1">
        <f>HYPERLINK("https://www.toolnut.com/irwin-3043006-drill-bit.html", "https://www.toolnut.com/irwin-3043006-drill-bit.html")</f>
        <v/>
      </c>
      <c r="B338" s="1">
        <f>HYPERLINK("https://www.toolnut.com/irwin-3043006-drill-bit.html", "https://www.toolnut.com/irwin-3043006-drill-bit.html")</f>
        <v/>
      </c>
      <c r="C338" t="inlineStr">
        <is>
          <t>Irwin 3043006 Auger Bit with WeldTec 17-in. x 9/16-in.</t>
        </is>
      </c>
      <c r="D338" t="inlineStr">
        <is>
          <t>IRWIN WeldTec Auger Wood Drill Bit 1-1/2" X 17" (3043016)</t>
        </is>
      </c>
      <c r="E338" s="1">
        <f>HYPERLINK("https://www.amazon.com/Irwin-Tools-3043016-WeldTech-Auger/dp/B000GAS67S/ref=sr_1_8?keywords=Irwin+3043006+Auger+Bit+with+WeldTec+17-in.+x+9%2F16-in.&amp;qid=1695347135&amp;sr=8-8", "https://www.amazon.com/Irwin-Tools-3043016-WeldTech-Auger/dp/B000GAS67S/ref=sr_1_8?keywords=Irwin+3043006+Auger+Bit+with+WeldTec+17-in.+x+9%2F16-in.&amp;qid=1695347135&amp;sr=8-8")</f>
        <v/>
      </c>
      <c r="F338" t="inlineStr">
        <is>
          <t>B000GAS67S</t>
        </is>
      </c>
      <c r="G338">
        <f>_xlfn.IMAGE("https://www.toolnut.com/media/catalog/product/3/0/3043006-irwin-drill-bits-wood-drill-bits-auger-bit-with-weldtec-primary.jpg?quality=100&amp;bg-color=255,255,255&amp;fit=bounds&amp;height=700&amp;width=700&amp;canvas=700:700&amp;dpr=1 1x")</f>
        <v/>
      </c>
      <c r="H338">
        <f>_xlfn.IMAGE("https://m.media-amazon.com/images/I/41LuVMVsu0L._AC_UL320_.jpg")</f>
        <v/>
      </c>
      <c r="K338" t="inlineStr">
        <is>
          <t>22.99</t>
        </is>
      </c>
      <c r="L338" t="n">
        <v>59.68</v>
      </c>
      <c r="M338" s="2" t="inlineStr">
        <is>
          <t>159.59%</t>
        </is>
      </c>
      <c r="N338" t="n">
        <v>4.5</v>
      </c>
      <c r="O338" t="n">
        <v>23</v>
      </c>
      <c r="Q338" t="inlineStr">
        <is>
          <t>InStock</t>
        </is>
      </c>
      <c r="R338" t="inlineStr">
        <is>
          <t>undefined</t>
        </is>
      </c>
      <c r="S338" t="inlineStr">
        <is>
          <t>3043006-IRWIN</t>
        </is>
      </c>
    </row>
    <row r="339" ht="75" customHeight="1">
      <c r="A339" s="1">
        <f>HYPERLINK("https://www.toolnut.com/irwin-3043009-drill-bit.html", "https://www.toolnut.com/irwin-3043009-drill-bit.html")</f>
        <v/>
      </c>
      <c r="B339" s="1">
        <f>HYPERLINK("https://www.toolnut.com/irwin-3043009-drill-bit.html", "https://www.toolnut.com/irwin-3043009-drill-bit.html")</f>
        <v/>
      </c>
      <c r="C339" t="inlineStr">
        <is>
          <t>Irwin 3043009 Auger Bit with WeldTec 17-in. x 3/4-in.</t>
        </is>
      </c>
      <c r="D339" t="inlineStr">
        <is>
          <t>IRWIN 1773958 1-3/4" X Ship Auger WeldTec Bit Silver</t>
        </is>
      </c>
      <c r="E339" s="1">
        <f>HYPERLINK("https://www.amazon.com/IRWIN-1773958-Ship-Auger-WeldTec/dp/B0040U1JQA/ref=sr_1_5?keywords=Irwin+3043009+Auger+Bit+with+WeldTec+17-in.+x+3%2F4-in.&amp;qid=1695347135&amp;sr=8-5", "https://www.amazon.com/IRWIN-1773958-Ship-Auger-WeldTec/dp/B0040U1JQA/ref=sr_1_5?keywords=Irwin+3043009+Auger+Bit+with+WeldTec+17-in.+x+3%2F4-in.&amp;qid=1695347135&amp;sr=8-5")</f>
        <v/>
      </c>
      <c r="F339" t="inlineStr">
        <is>
          <t>B0040U1JQA</t>
        </is>
      </c>
      <c r="G339">
        <f>_xlfn.IMAGE("https://www.toolnut.com/media/catalog/product/3/0/3043009-irwin_001.jpg?quality=100&amp;bg-color=255,255,255&amp;fit=bounds&amp;height=700&amp;width=700&amp;canvas=700:700&amp;dpr=1 1x")</f>
        <v/>
      </c>
      <c r="H339">
        <f>_xlfn.IMAGE("https://m.media-amazon.com/images/I/312rBxfFyaL._AC_UL320_.jpg")</f>
        <v/>
      </c>
      <c r="K339" t="inlineStr">
        <is>
          <t>25.99</t>
        </is>
      </c>
      <c r="L339" t="n">
        <v>81.45</v>
      </c>
      <c r="M339" s="2" t="inlineStr">
        <is>
          <t>213.39%</t>
        </is>
      </c>
      <c r="N339" t="n">
        <v>4</v>
      </c>
      <c r="O339" t="n">
        <v>11</v>
      </c>
      <c r="Q339" t="inlineStr">
        <is>
          <t>InStock</t>
        </is>
      </c>
      <c r="R339" t="inlineStr">
        <is>
          <t>undefined</t>
        </is>
      </c>
      <c r="S339" t="inlineStr">
        <is>
          <t>3043009-IRWIN</t>
        </is>
      </c>
    </row>
    <row r="340" ht="75" customHeight="1">
      <c r="A340" s="1">
        <f>HYPERLINK("https://www.toolnut.com/irwin-3043009-drill-bit.html", "https://www.toolnut.com/irwin-3043009-drill-bit.html")</f>
        <v/>
      </c>
      <c r="B340" s="1">
        <f>HYPERLINK("https://www.toolnut.com/irwin-3043009-drill-bit.html", "https://www.toolnut.com/irwin-3043009-drill-bit.html")</f>
        <v/>
      </c>
      <c r="C340" t="inlineStr">
        <is>
          <t>Irwin 3043009 Auger Bit with WeldTec 17-in. x 3/4-in.</t>
        </is>
      </c>
      <c r="D340" t="inlineStr">
        <is>
          <t>Irwin Tools IRWIN 3043016B Auger Bit 1-1/2" x 17" Weldtec Ship, Bulk</t>
        </is>
      </c>
      <c r="E340" s="1">
        <f>HYPERLINK("https://www.amazon.com/IRWIN-3043016B-Auger-Weldtec-Ship/dp/B003A4XS2U/ref=sr_1_10?keywords=Irwin+3043009+Auger+Bit+with+WeldTec+17-in.+x+3%2F4-in.&amp;qid=1695347135&amp;sr=8-10", "https://www.amazon.com/IRWIN-3043016B-Auger-Weldtec-Ship/dp/B003A4XS2U/ref=sr_1_10?keywords=Irwin+3043009+Auger+Bit+with+WeldTec+17-in.+x+3%2F4-in.&amp;qid=1695347135&amp;sr=8-10")</f>
        <v/>
      </c>
      <c r="F340" t="inlineStr">
        <is>
          <t>B003A4XS2U</t>
        </is>
      </c>
      <c r="G340">
        <f>_xlfn.IMAGE("https://www.toolnut.com/media/catalog/product/3/0/3043009-irwin_001.jpg?quality=100&amp;bg-color=255,255,255&amp;fit=bounds&amp;height=700&amp;width=700&amp;canvas=700:700&amp;dpr=1 1x")</f>
        <v/>
      </c>
      <c r="H340">
        <f>_xlfn.IMAGE("https://m.media-amazon.com/images/I/7167tUczKiL._AC_UL320_.jpg")</f>
        <v/>
      </c>
      <c r="K340" t="inlineStr">
        <is>
          <t>25.99</t>
        </is>
      </c>
      <c r="L340" t="n">
        <v>80.94</v>
      </c>
      <c r="M340" s="2" t="inlineStr">
        <is>
          <t>211.43%</t>
        </is>
      </c>
      <c r="N340" t="n">
        <v>5</v>
      </c>
      <c r="O340" t="n">
        <v>1</v>
      </c>
      <c r="Q340" t="inlineStr">
        <is>
          <t>InStock</t>
        </is>
      </c>
      <c r="R340" t="inlineStr">
        <is>
          <t>undefined</t>
        </is>
      </c>
      <c r="S340" t="inlineStr">
        <is>
          <t>3043009-IRWIN</t>
        </is>
      </c>
    </row>
    <row r="341" ht="75" customHeight="1">
      <c r="A341" s="1">
        <f>HYPERLINK("https://www.toolnut.com/irwin-3043012-drill-bit.html", "https://www.toolnut.com/irwin-3043012-drill-bit.html")</f>
        <v/>
      </c>
      <c r="B341" s="1">
        <f>HYPERLINK("https://www.toolnut.com/irwin-3043012-drill-bit.html", "https://www.toolnut.com/irwin-3043012-drill-bit.html")</f>
        <v/>
      </c>
      <c r="C341" t="inlineStr">
        <is>
          <t>Irwin 3043012 Auger Bit with WeldTec 17-in. x 15/16-in.</t>
        </is>
      </c>
      <c r="D341" t="inlineStr">
        <is>
          <t>IRWIN WeldTec Auger Wood Drill Bit 1-1/2" X 17" (3043016)</t>
        </is>
      </c>
      <c r="E341" s="1">
        <f>HYPERLINK("https://www.amazon.com/Irwin-Tools-3043016-WeldTech-Auger/dp/B000GAS67S/ref=sr_1_8?keywords=Irwin+3043012+Auger+Bit+with+WeldTec+17-in.+x+15%2F16-in.&amp;qid=1695347128&amp;sr=8-8", "https://www.amazon.com/Irwin-Tools-3043016-WeldTech-Auger/dp/B000GAS67S/ref=sr_1_8?keywords=Irwin+3043012+Auger+Bit+with+WeldTec+17-in.+x+15%2F16-in.&amp;qid=1695347128&amp;sr=8-8")</f>
        <v/>
      </c>
      <c r="F341" t="inlineStr">
        <is>
          <t>B000GAS67S</t>
        </is>
      </c>
      <c r="G341">
        <f>_xlfn.IMAGE("https://www.toolnut.com/media/catalog/product/3/0/3043012-irwin-drill-bits-wood-drill-bits-auger-bit-with-weldtec-primary.jpg?quality=100&amp;bg-color=255,255,255&amp;fit=bounds&amp;height=700&amp;width=700&amp;canvas=700:700&amp;dpr=1 1x")</f>
        <v/>
      </c>
      <c r="H341">
        <f>_xlfn.IMAGE("https://m.media-amazon.com/images/I/41LuVMVsu0L._AC_UL320_.jpg")</f>
        <v/>
      </c>
      <c r="K341" t="inlineStr">
        <is>
          <t>28.99</t>
        </is>
      </c>
      <c r="L341" t="n">
        <v>59.68</v>
      </c>
      <c r="M341" s="2" t="inlineStr">
        <is>
          <t>105.86%</t>
        </is>
      </c>
      <c r="N341" t="n">
        <v>4.5</v>
      </c>
      <c r="O341" t="n">
        <v>23</v>
      </c>
      <c r="Q341" t="inlineStr">
        <is>
          <t>InStock</t>
        </is>
      </c>
      <c r="R341" t="inlineStr">
        <is>
          <t>undefined</t>
        </is>
      </c>
      <c r="S341" t="inlineStr">
        <is>
          <t>3043012-IRWIN</t>
        </is>
      </c>
    </row>
    <row r="342" ht="75" customHeight="1">
      <c r="A342" s="1">
        <f>HYPERLINK("https://www.toolnut.com/irwin-3043012-drill-bit.html", "https://www.toolnut.com/irwin-3043012-drill-bit.html")</f>
        <v/>
      </c>
      <c r="B342" s="1">
        <f>HYPERLINK("https://www.toolnut.com/irwin-3043012-drill-bit.html", "https://www.toolnut.com/irwin-3043012-drill-bit.html")</f>
        <v/>
      </c>
      <c r="C342" t="inlineStr">
        <is>
          <t>Irwin 3043012 Auger Bit with WeldTec 17-in. x 15/16-in.</t>
        </is>
      </c>
      <c r="D342" t="inlineStr">
        <is>
          <t>IRWIN WeldTec Auger Wood Drill Bit 1-1/2" X 17" (3043016)</t>
        </is>
      </c>
      <c r="E342" s="1">
        <f>HYPERLINK("https://www.amazon.com/Irwin-Tools-3043016-WeldTech-Auger/dp/B000GAS67S/ref=sr_1_8?keywords=Irwin+3043012+Auger+Bit+with+WeldTec+17-in.+x+15%2F16-in.&amp;qid=1695347128&amp;sr=8-8", "https://www.amazon.com/Irwin-Tools-3043016-WeldTech-Auger/dp/B000GAS67S/ref=sr_1_8?keywords=Irwin+3043012+Auger+Bit+with+WeldTec+17-in.+x+15%2F16-in.&amp;qid=1695347128&amp;sr=8-8")</f>
        <v/>
      </c>
      <c r="F342" t="inlineStr">
        <is>
          <t>B000GAS67S</t>
        </is>
      </c>
      <c r="G342">
        <f>_xlfn.IMAGE("https://www.toolnut.com/media/catalog/product/3/0/3043012-irwin-drill-bits-wood-drill-bits-auger-bit-with-weldtec-primary.jpg?quality=100&amp;bg-color=255,255,255&amp;fit=bounds&amp;height=700&amp;width=700&amp;canvas=700:700&amp;dpr=1 1x")</f>
        <v/>
      </c>
      <c r="H342">
        <f>_xlfn.IMAGE("https://m.media-amazon.com/images/I/41LuVMVsu0L._AC_UL320_.jpg")</f>
        <v/>
      </c>
      <c r="K342" t="inlineStr">
        <is>
          <t>28.99</t>
        </is>
      </c>
      <c r="L342" t="n">
        <v>59.68</v>
      </c>
      <c r="M342" s="2" t="inlineStr">
        <is>
          <t>105.86%</t>
        </is>
      </c>
      <c r="N342" t="n">
        <v>4.5</v>
      </c>
      <c r="O342" t="n">
        <v>23</v>
      </c>
      <c r="Q342" t="inlineStr">
        <is>
          <t>InStock</t>
        </is>
      </c>
      <c r="R342" t="inlineStr">
        <is>
          <t>undefined</t>
        </is>
      </c>
      <c r="S342" t="inlineStr">
        <is>
          <t>3043012-IRWIN</t>
        </is>
      </c>
    </row>
    <row r="343" ht="75" customHeight="1">
      <c r="A343" s="1">
        <f>HYPERLINK("https://www.toolnut.com/irwin-3043013-drill-bit.html", "https://www.toolnut.com/irwin-3043013-drill-bit.html")</f>
        <v/>
      </c>
      <c r="B343" s="1">
        <f>HYPERLINK("https://www.toolnut.com/irwin-3043013-drill-bit.html", "https://www.toolnut.com/irwin-3043013-drill-bit.html")</f>
        <v/>
      </c>
      <c r="C343" t="inlineStr">
        <is>
          <t>Irwin 3043013 Auger Bit with WeldTec 17-in. x 1-in.</t>
        </is>
      </c>
      <c r="D343" t="inlineStr">
        <is>
          <t>IRWIN WeldTec Auger Wood Drill Bit 1-1/2" X 17" (3043016)</t>
        </is>
      </c>
      <c r="E343" s="1">
        <f>HYPERLINK("https://www.amazon.com/Irwin-Tools-3043016-WeldTech-Auger/dp/B000GAS67S/ref=sr_1_7?keywords=Irwin+3043013+Auger+Bit+with+WeldTec+17-in.+x+1-in.&amp;qid=1695347130&amp;sr=8-7", "https://www.amazon.com/Irwin-Tools-3043016-WeldTech-Auger/dp/B000GAS67S/ref=sr_1_7?keywords=Irwin+3043013+Auger+Bit+with+WeldTec+17-in.+x+1-in.&amp;qid=1695347130&amp;sr=8-7")</f>
        <v/>
      </c>
      <c r="F343" t="inlineStr">
        <is>
          <t>B000GAS67S</t>
        </is>
      </c>
      <c r="G343">
        <f>_xlfn.IMAGE("https://www.toolnut.com/media/catalog/product/3/0/3043013-irwin_001.jpg?quality=100&amp;bg-color=255,255,255&amp;fit=bounds&amp;height=700&amp;width=700&amp;canvas=700:700&amp;dpr=1 1x")</f>
        <v/>
      </c>
      <c r="H343">
        <f>_xlfn.IMAGE("https://m.media-amazon.com/images/I/41LuVMVsu0L._AC_UL320_.jpg")</f>
        <v/>
      </c>
      <c r="K343" t="inlineStr">
        <is>
          <t>30.99</t>
        </is>
      </c>
      <c r="L343" t="n">
        <v>59.68</v>
      </c>
      <c r="M343" s="2" t="inlineStr">
        <is>
          <t>92.58%</t>
        </is>
      </c>
      <c r="N343" t="n">
        <v>4.5</v>
      </c>
      <c r="O343" t="n">
        <v>23</v>
      </c>
      <c r="Q343" t="inlineStr">
        <is>
          <t>InStock</t>
        </is>
      </c>
      <c r="R343" t="inlineStr">
        <is>
          <t>undefined</t>
        </is>
      </c>
      <c r="S343" t="inlineStr">
        <is>
          <t>3043013-IRWIN</t>
        </is>
      </c>
    </row>
    <row r="344" ht="75" customHeight="1">
      <c r="A344" s="1">
        <f>HYPERLINK("https://www.toolnut.com/irwin-3043013-drill-bit.html", "https://www.toolnut.com/irwin-3043013-drill-bit.html")</f>
        <v/>
      </c>
      <c r="B344" s="1">
        <f>HYPERLINK("https://www.toolnut.com/irwin-3043013-drill-bit.html", "https://www.toolnut.com/irwin-3043013-drill-bit.html")</f>
        <v/>
      </c>
      <c r="C344" t="inlineStr">
        <is>
          <t>Irwin 3043013 Auger Bit with WeldTec 17-in. x 1-in.</t>
        </is>
      </c>
      <c r="D344" t="inlineStr">
        <is>
          <t>IRWIN WeldTec Auger Wood Drill Bit 1-1/2" X 17" (3043016)</t>
        </is>
      </c>
      <c r="E344" s="1">
        <f>HYPERLINK("https://www.amazon.com/Irwin-Tools-3043016-WeldTech-Auger/dp/B000GAS67S/ref=sr_1_7?keywords=Irwin+3043013+Auger+Bit+with+WeldTec+17-in.+x+1-in.&amp;qid=1695347130&amp;sr=8-7", "https://www.amazon.com/Irwin-Tools-3043016-WeldTech-Auger/dp/B000GAS67S/ref=sr_1_7?keywords=Irwin+3043013+Auger+Bit+with+WeldTec+17-in.+x+1-in.&amp;qid=1695347130&amp;sr=8-7")</f>
        <v/>
      </c>
      <c r="F344" t="inlineStr">
        <is>
          <t>B000GAS67S</t>
        </is>
      </c>
      <c r="G344">
        <f>_xlfn.IMAGE("https://www.toolnut.com/media/catalog/product/3/0/3043013-irwin_001.jpg?quality=100&amp;bg-color=255,255,255&amp;fit=bounds&amp;height=700&amp;width=700&amp;canvas=700:700&amp;dpr=1 1x")</f>
        <v/>
      </c>
      <c r="H344">
        <f>_xlfn.IMAGE("https://m.media-amazon.com/images/I/41LuVMVsu0L._AC_UL320_.jpg")</f>
        <v/>
      </c>
      <c r="K344" t="inlineStr">
        <is>
          <t>30.99</t>
        </is>
      </c>
      <c r="L344" t="n">
        <v>59.68</v>
      </c>
      <c r="M344" s="2" t="inlineStr">
        <is>
          <t>92.58%</t>
        </is>
      </c>
      <c r="N344" t="n">
        <v>4.5</v>
      </c>
      <c r="O344" t="n">
        <v>23</v>
      </c>
      <c r="Q344" t="inlineStr">
        <is>
          <t>InStock</t>
        </is>
      </c>
      <c r="R344" t="inlineStr">
        <is>
          <t>undefined</t>
        </is>
      </c>
      <c r="S344" t="inlineStr">
        <is>
          <t>3043013-IRWIN</t>
        </is>
      </c>
    </row>
    <row r="345" ht="75" customHeight="1">
      <c r="A345" s="1">
        <f>HYPERLINK("https://www.toolnut.com/irwin-3043014-drill-bit.html", "https://www.toolnut.com/irwin-3043014-drill-bit.html")</f>
        <v/>
      </c>
      <c r="B345" s="1">
        <f>HYPERLINK("https://www.toolnut.com/irwin-3043014-drill-bit.html", "https://www.toolnut.com/irwin-3043014-drill-bit.html")</f>
        <v/>
      </c>
      <c r="C345" t="inlineStr">
        <is>
          <t>Irwin 3043014 Auger Bit with WeldTec 17-in. x 1-1/8-in.</t>
        </is>
      </c>
      <c r="D345" t="inlineStr">
        <is>
          <t>IRWIN 1773958 1-3/4" X Ship Auger WeldTec Bit Silver</t>
        </is>
      </c>
      <c r="E345" s="1">
        <f>HYPERLINK("https://www.amazon.com/IRWIN-1773958-Ship-Auger-WeldTec/dp/B0040U1JQA/ref=sr_1_6?keywords=Irwin+3043014+Auger+Bit+with+WeldTec+17-in.+x+1-1%2F8-in.&amp;qid=1695347134&amp;sr=8-6", "https://www.amazon.com/IRWIN-1773958-Ship-Auger-WeldTec/dp/B0040U1JQA/ref=sr_1_6?keywords=Irwin+3043014+Auger+Bit+with+WeldTec+17-in.+x+1-1%2F8-in.&amp;qid=1695347134&amp;sr=8-6")</f>
        <v/>
      </c>
      <c r="F345" t="inlineStr">
        <is>
          <t>B0040U1JQA</t>
        </is>
      </c>
      <c r="G345">
        <f>_xlfn.IMAGE("https://www.toolnut.com/media/catalog/product/3/0/3043014-irwin-drill-bits-wood-drill-bits-auger-bits-with-weldtec-primary.jpg?quality=100&amp;bg-color=255,255,255&amp;fit=bounds&amp;height=700&amp;width=700&amp;canvas=700:700&amp;dpr=1 1x")</f>
        <v/>
      </c>
      <c r="H345">
        <f>_xlfn.IMAGE("https://m.media-amazon.com/images/I/312rBxfFyaL._AC_UL320_.jpg")</f>
        <v/>
      </c>
      <c r="K345" t="inlineStr">
        <is>
          <t>36.99</t>
        </is>
      </c>
      <c r="L345" t="n">
        <v>81.45</v>
      </c>
      <c r="M345" s="2" t="inlineStr">
        <is>
          <t>120.19%</t>
        </is>
      </c>
      <c r="N345" t="n">
        <v>4</v>
      </c>
      <c r="O345" t="n">
        <v>11</v>
      </c>
      <c r="Q345" t="inlineStr">
        <is>
          <t>InStock</t>
        </is>
      </c>
      <c r="R345" t="inlineStr">
        <is>
          <t>undefined</t>
        </is>
      </c>
      <c r="S345" t="inlineStr">
        <is>
          <t>3043014-IRWIN</t>
        </is>
      </c>
    </row>
    <row r="346" ht="75" customHeight="1">
      <c r="A346" s="1">
        <f>HYPERLINK("https://www.toolnut.com/irwin-3043014-drill-bit.html", "https://www.toolnut.com/irwin-3043014-drill-bit.html")</f>
        <v/>
      </c>
      <c r="B346" s="1">
        <f>HYPERLINK("https://www.toolnut.com/irwin-3043014-drill-bit.html", "https://www.toolnut.com/irwin-3043014-drill-bit.html")</f>
        <v/>
      </c>
      <c r="C346" t="inlineStr">
        <is>
          <t>Irwin 3043014 Auger Bit with WeldTec 17-in. x 1-1/8-in.</t>
        </is>
      </c>
      <c r="D346" t="inlineStr">
        <is>
          <t>IRWIN 1773958 1-3/4" X Ship Auger WeldTec Bit Silver</t>
        </is>
      </c>
      <c r="E346" s="1">
        <f>HYPERLINK("https://www.amazon.com/IRWIN-1773958-Ship-Auger-WeldTec/dp/B0040U1JQA/ref=sr_1_6?keywords=Irwin+3043014+Auger+Bit+with+WeldTec+17-in.+x+1-1%2F8-in.&amp;qid=1695347134&amp;sr=8-6", "https://www.amazon.com/IRWIN-1773958-Ship-Auger-WeldTec/dp/B0040U1JQA/ref=sr_1_6?keywords=Irwin+3043014+Auger+Bit+with+WeldTec+17-in.+x+1-1%2F8-in.&amp;qid=1695347134&amp;sr=8-6")</f>
        <v/>
      </c>
      <c r="F346" t="inlineStr">
        <is>
          <t>B0040U1JQA</t>
        </is>
      </c>
      <c r="G346">
        <f>_xlfn.IMAGE("https://www.toolnut.com/media/catalog/product/3/0/3043014-irwin-drill-bits-wood-drill-bits-auger-bits-with-weldtec-primary.jpg?quality=100&amp;bg-color=255,255,255&amp;fit=bounds&amp;height=700&amp;width=700&amp;canvas=700:700&amp;dpr=1 1x")</f>
        <v/>
      </c>
      <c r="H346">
        <f>_xlfn.IMAGE("https://m.media-amazon.com/images/I/312rBxfFyaL._AC_UL320_.jpg")</f>
        <v/>
      </c>
      <c r="K346" t="inlineStr">
        <is>
          <t>36.99</t>
        </is>
      </c>
      <c r="L346" t="n">
        <v>81.45</v>
      </c>
      <c r="M346" s="2" t="inlineStr">
        <is>
          <t>120.19%</t>
        </is>
      </c>
      <c r="N346" t="n">
        <v>4</v>
      </c>
      <c r="O346" t="n">
        <v>11</v>
      </c>
      <c r="Q346" t="inlineStr">
        <is>
          <t>InStock</t>
        </is>
      </c>
      <c r="R346" t="inlineStr">
        <is>
          <t>undefined</t>
        </is>
      </c>
      <c r="S346" t="inlineStr">
        <is>
          <t>3043014-IRWIN</t>
        </is>
      </c>
    </row>
    <row r="347" ht="75" customHeight="1">
      <c r="A347" s="1">
        <f>HYPERLINK("https://www.toolnut.com/irwin-3043016-drill-bit.html", "https://www.toolnut.com/irwin-3043016-drill-bit.html")</f>
        <v/>
      </c>
      <c r="B347" s="1">
        <f>HYPERLINK("https://www.toolnut.com/irwin-3043016-drill-bit.html", "https://www.toolnut.com/irwin-3043016-drill-bit.html")</f>
        <v/>
      </c>
      <c r="C347" t="inlineStr">
        <is>
          <t>Irwin 3043016 Auger Bit with WeldTec 17-in. x 1-1/2-in.</t>
        </is>
      </c>
      <c r="D347" t="inlineStr">
        <is>
          <t>Irwin WeldTec 1-1/2 in. Dia. x 17 in. L Auger Bit 1 pc.</t>
        </is>
      </c>
      <c r="E347" s="1">
        <f>HYPERLINK("https://www.amazon.com/Irwin-Ship-Auger-Weldtec-1-1/dp/B00S040UPI/ref=sr_1_4?keywords=Irwin+3043016+Auger+Bit+with+WeldTec+17-in.+x+1-1%2F2-in.&amp;qid=1695347130&amp;sr=8-4", "https://www.amazon.com/Irwin-Ship-Auger-Weldtec-1-1/dp/B00S040UPI/ref=sr_1_4?keywords=Irwin+3043016+Auger+Bit+with+WeldTec+17-in.+x+1-1%2F2-in.&amp;qid=1695347130&amp;sr=8-4")</f>
        <v/>
      </c>
      <c r="F347" t="inlineStr">
        <is>
          <t>B00S040UPI</t>
        </is>
      </c>
      <c r="G347">
        <f>_xlfn.IMAGE("https://www.toolnut.com/media/catalog/product/3/0/3043016-irwin_001.jpg?quality=100&amp;bg-color=255,255,255&amp;fit=bounds&amp;height=700&amp;width=700&amp;canvas=700:700&amp;dpr=1 1x")</f>
        <v/>
      </c>
      <c r="H347">
        <f>_xlfn.IMAGE("https://m.media-amazon.com/images/I/21qZ48xDAjL._AC_UL320_.jpg")</f>
        <v/>
      </c>
      <c r="K347" t="inlineStr">
        <is>
          <t>49.99</t>
        </is>
      </c>
      <c r="L347" t="n">
        <v>102.1</v>
      </c>
      <c r="M347" s="2" t="inlineStr">
        <is>
          <t>104.24%</t>
        </is>
      </c>
      <c r="N347" t="n">
        <v>5</v>
      </c>
      <c r="O347" t="n">
        <v>1</v>
      </c>
      <c r="Q347" t="inlineStr">
        <is>
          <t>InStock</t>
        </is>
      </c>
      <c r="R347" t="inlineStr">
        <is>
          <t>undefined</t>
        </is>
      </c>
      <c r="S347" t="inlineStr">
        <is>
          <t>3043016-IRWIN</t>
        </is>
      </c>
    </row>
    <row r="348" ht="75" customHeight="1">
      <c r="A348" s="1">
        <f>HYPERLINK("https://www.toolnut.com/irwin-3043016-drill-bit.html", "https://www.toolnut.com/irwin-3043016-drill-bit.html")</f>
        <v/>
      </c>
      <c r="B348" s="1">
        <f>HYPERLINK("https://www.toolnut.com/irwin-3043016-drill-bit.html", "https://www.toolnut.com/irwin-3043016-drill-bit.html")</f>
        <v/>
      </c>
      <c r="C348" t="inlineStr">
        <is>
          <t>Irwin 3043016 Auger Bit with WeldTec 17-in. x 1-1/2-in.</t>
        </is>
      </c>
      <c r="D348" t="inlineStr">
        <is>
          <t>Irwin WeldTec 1-1/2 in. Dia. x 17 in. L Auger Bit 1 pc.</t>
        </is>
      </c>
      <c r="E348" s="1">
        <f>HYPERLINK("https://www.amazon.com/Irwin-Ship-Auger-Weldtec-1-1/dp/B00S040UPI/ref=sr_1_4?keywords=Irwin+3043016+Auger+Bit+with+WeldTec+17-in.+x+1-1%2F2-in.&amp;qid=1695347130&amp;sr=8-4", "https://www.amazon.com/Irwin-Ship-Auger-Weldtec-1-1/dp/B00S040UPI/ref=sr_1_4?keywords=Irwin+3043016+Auger+Bit+with+WeldTec+17-in.+x+1-1%2F2-in.&amp;qid=1695347130&amp;sr=8-4")</f>
        <v/>
      </c>
      <c r="F348" t="inlineStr">
        <is>
          <t>B00S040UPI</t>
        </is>
      </c>
      <c r="G348">
        <f>_xlfn.IMAGE("https://www.toolnut.com/media/catalog/product/3/0/3043016-irwin_001.jpg?quality=100&amp;bg-color=255,255,255&amp;fit=bounds&amp;height=700&amp;width=700&amp;canvas=700:700&amp;dpr=1 1x")</f>
        <v/>
      </c>
      <c r="H348">
        <f>_xlfn.IMAGE("https://m.media-amazon.com/images/I/21qZ48xDAjL._AC_UL320_.jpg")</f>
        <v/>
      </c>
      <c r="K348" t="inlineStr">
        <is>
          <t>49.99</t>
        </is>
      </c>
      <c r="L348" t="n">
        <v>102.1</v>
      </c>
      <c r="M348" s="2" t="inlineStr">
        <is>
          <t>104.24%</t>
        </is>
      </c>
      <c r="N348" t="n">
        <v>5</v>
      </c>
      <c r="O348" t="n">
        <v>1</v>
      </c>
      <c r="Q348" t="inlineStr">
        <is>
          <t>InStock</t>
        </is>
      </c>
      <c r="R348" t="inlineStr">
        <is>
          <t>undefined</t>
        </is>
      </c>
      <c r="S348" t="inlineStr">
        <is>
          <t>3043016-IRWIN</t>
        </is>
      </c>
    </row>
    <row r="349" ht="75" customHeight="1">
      <c r="A349" s="1">
        <f>HYPERLINK("https://www.toolnut.com/irwin-3057017-driver-bit.html", "https://www.toolnut.com/irwin-3057017-driver-bit.html")</f>
        <v/>
      </c>
      <c r="B349" s="1">
        <f>HYPERLINK("https://www.toolnut.com/irwin-3057017-driver-bit.html", "https://www.toolnut.com/irwin-3057017-driver-bit.html")</f>
        <v/>
      </c>
      <c r="C349" t="inlineStr">
        <is>
          <t>Irwin 3057017 Screwdriver Bit Set 33 Piece Set</t>
        </is>
      </c>
      <c r="D349" t="inlineStr">
        <is>
          <t>Irwin Industrial Tools 3057016 Fastener Drive Screwdriver Bit Set, 16-Piece</t>
        </is>
      </c>
      <c r="E349" s="1">
        <f>HYPERLINK("https://www.amazon.com/Irwin-Industrial-Tools-3057016-Screwdriver/dp/B000EB88V8/ref=sr_1_2?keywords=Irwin+3057017+Screwdriver+Bit+Set+33+Piece+Set&amp;qid=1695347138&amp;sr=8-2", "https://www.amazon.com/Irwin-Industrial-Tools-3057016-Screwdriver/dp/B000EB88V8/ref=sr_1_2?keywords=Irwin+3057017+Screwdriver+Bit+Set+33+Piece+Set&amp;qid=1695347138&amp;sr=8-2")</f>
        <v/>
      </c>
      <c r="F349" t="inlineStr">
        <is>
          <t>B000EB88V8</t>
        </is>
      </c>
      <c r="G349">
        <f>_xlfn.IMAGE("https://www.toolnut.com/media/catalog/product/3/0/3057017-irwin_001.jpg?quality=100&amp;bg-color=255,255,255&amp;fit=bounds&amp;height=700&amp;width=700&amp;canvas=700:700&amp;dpr=1 1x")</f>
        <v/>
      </c>
      <c r="H349">
        <f>_xlfn.IMAGE("https://m.media-amazon.com/images/I/41TiLpA7EqS._AC_UL320_.jpg")</f>
        <v/>
      </c>
      <c r="K349" t="inlineStr">
        <is>
          <t>27.99</t>
        </is>
      </c>
      <c r="L349" t="n">
        <v>58.27</v>
      </c>
      <c r="M349" s="2" t="inlineStr">
        <is>
          <t>108.18%</t>
        </is>
      </c>
      <c r="N349" t="n">
        <v>4.1</v>
      </c>
      <c r="O349" t="n">
        <v>12</v>
      </c>
      <c r="Q349" t="inlineStr">
        <is>
          <t>InStock</t>
        </is>
      </c>
      <c r="R349" t="inlineStr">
        <is>
          <t>undefined</t>
        </is>
      </c>
      <c r="S349" t="inlineStr">
        <is>
          <t>3057017-IRWIN</t>
        </is>
      </c>
    </row>
    <row r="350" ht="75" customHeight="1">
      <c r="A350" s="1">
        <f>HYPERLINK("https://www.toolnut.com/irwin-3057017-driver-bit.html", "https://www.toolnut.com/irwin-3057017-driver-bit.html")</f>
        <v/>
      </c>
      <c r="B350" s="1">
        <f>HYPERLINK("https://www.toolnut.com/irwin-3057017-driver-bit.html", "https://www.toolnut.com/irwin-3057017-driver-bit.html")</f>
        <v/>
      </c>
      <c r="C350" t="inlineStr">
        <is>
          <t>Irwin 3057017 Screwdriver Bit Set 33 Piece Set</t>
        </is>
      </c>
      <c r="D350" t="inlineStr">
        <is>
          <t>Irwin Industrial Tools 3057016 Fastener Drive Screwdriver Bit Set, 16-Piece</t>
        </is>
      </c>
      <c r="E350" s="1">
        <f>HYPERLINK("https://www.amazon.com/Irwin-Industrial-Tools-3057016-Screwdriver/dp/B000EB88V8/ref=sr_1_2?keywords=Irwin+3057017+Screwdriver+Bit+Set+33+Piece+Set&amp;qid=1695347138&amp;sr=8-2", "https://www.amazon.com/Irwin-Industrial-Tools-3057016-Screwdriver/dp/B000EB88V8/ref=sr_1_2?keywords=Irwin+3057017+Screwdriver+Bit+Set+33+Piece+Set&amp;qid=1695347138&amp;sr=8-2")</f>
        <v/>
      </c>
      <c r="F350" t="inlineStr">
        <is>
          <t>B000EB88V8</t>
        </is>
      </c>
      <c r="G350">
        <f>_xlfn.IMAGE("https://www.toolnut.com/media/catalog/product/3/0/3057017-irwin_001.jpg?quality=100&amp;bg-color=255,255,255&amp;fit=bounds&amp;height=700&amp;width=700&amp;canvas=700:700&amp;dpr=1 1x")</f>
        <v/>
      </c>
      <c r="H350">
        <f>_xlfn.IMAGE("https://m.media-amazon.com/images/I/41TiLpA7EqS._AC_UL320_.jpg")</f>
        <v/>
      </c>
      <c r="K350" t="inlineStr">
        <is>
          <t>27.99</t>
        </is>
      </c>
      <c r="L350" t="n">
        <v>58.27</v>
      </c>
      <c r="M350" s="2" t="inlineStr">
        <is>
          <t>108.18%</t>
        </is>
      </c>
      <c r="N350" t="n">
        <v>4.1</v>
      </c>
      <c r="O350" t="n">
        <v>12</v>
      </c>
      <c r="Q350" t="inlineStr">
        <is>
          <t>InStock</t>
        </is>
      </c>
      <c r="R350" t="inlineStr">
        <is>
          <t>undefined</t>
        </is>
      </c>
      <c r="S350" t="inlineStr">
        <is>
          <t>3057017-IRWIN</t>
        </is>
      </c>
    </row>
    <row r="351" ht="75" customHeight="1">
      <c r="A351" s="1">
        <f>HYPERLINK("https://www.toolnut.com/irwin-314018-drill-bit.html", "https://www.toolnut.com/irwin-314018-drill-bit.html")</f>
        <v/>
      </c>
      <c r="B351" s="1">
        <f>HYPERLINK("https://www.toolnut.com/irwin-314018-drill-bit.html", "https://www.toolnut.com/irwin-314018-drill-bit.html")</f>
        <v/>
      </c>
      <c r="C351" t="inlineStr">
        <is>
          <t>Irwin 314018 Black Oxide Set 18 Piece Set</t>
        </is>
      </c>
      <c r="D351" t="inlineStr">
        <is>
          <t>IRWIN Drill Bit Set, Black Oxide, 29-Piece (60138)</t>
        </is>
      </c>
      <c r="E351" s="1">
        <f>HYPERLINK("https://www.amazon.com/IRWIN-Tools-60138-Black-Oxide/dp/B0000ALPL7/ref=sr_1_1?keywords=Irwin+314018+Black+Oxide+Set+18+Piece+Set&amp;qid=1695347138&amp;sr=8-1", "https://www.amazon.com/IRWIN-Tools-60138-Black-Oxide/dp/B0000ALPL7/ref=sr_1_1?keywords=Irwin+314018+Black+Oxide+Set+18+Piece+Set&amp;qid=1695347138&amp;sr=8-1")</f>
        <v/>
      </c>
      <c r="F351" t="inlineStr">
        <is>
          <t>B0000ALPL7</t>
        </is>
      </c>
      <c r="G351">
        <f>_xlfn.IMAGE("https://www.toolnut.com/media/catalog/product/placeholder/default/placeholder-full_1_.png?dpr=1 1x")</f>
        <v/>
      </c>
      <c r="H351">
        <f>_xlfn.IMAGE("https://m.media-amazon.com/images/I/51uSAh33VHL._AC_UL320_.jpg")</f>
        <v/>
      </c>
      <c r="K351" t="inlineStr">
        <is>
          <t>36.99</t>
        </is>
      </c>
      <c r="L351" t="n">
        <v>84.79000000000001</v>
      </c>
      <c r="M351" s="2" t="inlineStr">
        <is>
          <t>129.22%</t>
        </is>
      </c>
      <c r="N351" t="n">
        <v>4.6</v>
      </c>
      <c r="O351" t="n">
        <v>613</v>
      </c>
      <c r="Q351" t="inlineStr">
        <is>
          <t>InStock</t>
        </is>
      </c>
      <c r="R351" t="inlineStr">
        <is>
          <t>undefined</t>
        </is>
      </c>
      <c r="S351" t="inlineStr">
        <is>
          <t>314018-IRWIN</t>
        </is>
      </c>
    </row>
    <row r="352" ht="75" customHeight="1">
      <c r="A352" s="1">
        <f>HYPERLINK("https://www.toolnut.com/irwin-314018-drill-bit.html", "https://www.toolnut.com/irwin-314018-drill-bit.html")</f>
        <v/>
      </c>
      <c r="B352" s="1">
        <f>HYPERLINK("https://www.toolnut.com/irwin-314018-drill-bit.html", "https://www.toolnut.com/irwin-314018-drill-bit.html")</f>
        <v/>
      </c>
      <c r="C352" t="inlineStr">
        <is>
          <t>Irwin 314018 Black Oxide Set 18 Piece Set</t>
        </is>
      </c>
      <c r="D352" t="inlineStr">
        <is>
          <t>IRWIN Drill Bit Set, Black Oxide, 29-Piece (60138)</t>
        </is>
      </c>
      <c r="E352" s="1">
        <f>HYPERLINK("https://www.amazon.com/IRWIN-Tools-60138-Black-Oxide/dp/B0000ALPL7/ref=sr_1_1?keywords=Irwin+314018+Black+Oxide+Set+18+Piece+Set&amp;qid=1695347138&amp;sr=8-1", "https://www.amazon.com/IRWIN-Tools-60138-Black-Oxide/dp/B0000ALPL7/ref=sr_1_1?keywords=Irwin+314018+Black+Oxide+Set+18+Piece+Set&amp;qid=1695347138&amp;sr=8-1")</f>
        <v/>
      </c>
      <c r="F352" t="inlineStr">
        <is>
          <t>B0000ALPL7</t>
        </is>
      </c>
      <c r="G352">
        <f>_xlfn.IMAGE("https://www.toolnut.com/media/catalog/product/placeholder/default/placeholder-full_1_.png?dpr=1 1x")</f>
        <v/>
      </c>
      <c r="H352">
        <f>_xlfn.IMAGE("https://m.media-amazon.com/images/I/51uSAh33VHL._AC_UL320_.jpg")</f>
        <v/>
      </c>
      <c r="K352" t="inlineStr">
        <is>
          <t>36.99</t>
        </is>
      </c>
      <c r="L352" t="n">
        <v>84.79000000000001</v>
      </c>
      <c r="M352" s="2" t="inlineStr">
        <is>
          <t>129.22%</t>
        </is>
      </c>
      <c r="N352" t="n">
        <v>4.6</v>
      </c>
      <c r="O352" t="n">
        <v>613</v>
      </c>
      <c r="Q352" t="inlineStr">
        <is>
          <t>InStock</t>
        </is>
      </c>
      <c r="R352" t="inlineStr">
        <is>
          <t>undefined</t>
        </is>
      </c>
      <c r="S352" t="inlineStr">
        <is>
          <t>314018-IRWIN</t>
        </is>
      </c>
    </row>
    <row r="353" ht="75" customHeight="1">
      <c r="A353" s="1">
        <f>HYPERLINK("https://www.toolnut.com/irwin-322031-drill-bit.html", "https://www.toolnut.com/irwin-322031-drill-bit.html")</f>
        <v/>
      </c>
      <c r="B353" s="1">
        <f>HYPERLINK("https://www.toolnut.com/irwin-322031-drill-bit.html", "https://www.toolnut.com/irwin-322031-drill-bit.html")</f>
        <v/>
      </c>
      <c r="C353" t="inlineStr">
        <is>
          <t>Irwin 322031 SpeedHammer Plus SDS-Plus Standard Tip 6-in. x 1/2-in.</t>
        </is>
      </c>
      <c r="D353" t="inlineStr">
        <is>
          <t>Irwin Tools 327001 SDS-Max to Speedhammer Plus Masonry Drill Bit Adapters</t>
        </is>
      </c>
      <c r="E353" s="1">
        <f>HYPERLINK("https://www.amazon.com/Irwin-Tools-327001-Speedhammer-Adapters/dp/B0040UBNAM/ref=sr_1_5?keywords=Irwin+322031+SpeedHammer+Plus+SDS-Plus+Standard+Tip+6-in.+x+1%2F2-in.&amp;qid=1695347064&amp;sr=8-5", "https://www.amazon.com/Irwin-Tools-327001-Speedhammer-Adapters/dp/B0040UBNAM/ref=sr_1_5?keywords=Irwin+322031+SpeedHammer+Plus+SDS-Plus+Standard+Tip+6-in.+x+1%2F2-in.&amp;qid=1695347064&amp;sr=8-5")</f>
        <v/>
      </c>
      <c r="F353" t="inlineStr">
        <is>
          <t>B0040UBNAM</t>
        </is>
      </c>
      <c r="G353">
        <f>_xlfn.IMAGE("https://www.toolnut.com/media/catalog/product/3/2/322031-irwin-masonry-sds-plus-standard-tip-primary.jpg?quality=100&amp;bg-color=255,255,255&amp;fit=bounds&amp;height=700&amp;width=700&amp;canvas=700:700&amp;dpr=1 1x")</f>
        <v/>
      </c>
      <c r="H353">
        <f>_xlfn.IMAGE("https://m.media-amazon.com/images/I/61cXeM-I7TL._AC_UL320_.jpg")</f>
        <v/>
      </c>
      <c r="K353" t="inlineStr">
        <is>
          <t>8.49</t>
        </is>
      </c>
      <c r="L353" t="n">
        <v>48.95</v>
      </c>
      <c r="M353" s="2" t="inlineStr">
        <is>
          <t>476.56%</t>
        </is>
      </c>
      <c r="N353" t="n">
        <v>5</v>
      </c>
      <c r="O353" t="n">
        <v>2</v>
      </c>
      <c r="Q353" t="inlineStr">
        <is>
          <t>InStock</t>
        </is>
      </c>
      <c r="R353" t="inlineStr">
        <is>
          <t>undefined</t>
        </is>
      </c>
      <c r="S353" t="inlineStr">
        <is>
          <t>322031-IRWIN</t>
        </is>
      </c>
    </row>
    <row r="354" ht="75" customHeight="1">
      <c r="A354" s="1">
        <f>HYPERLINK("https://www.toolnut.com/irwin-322031-drill-bit.html", "https://www.toolnut.com/irwin-322031-drill-bit.html")</f>
        <v/>
      </c>
      <c r="B354" s="1">
        <f>HYPERLINK("https://www.toolnut.com/irwin-322031-drill-bit.html", "https://www.toolnut.com/irwin-322031-drill-bit.html")</f>
        <v/>
      </c>
      <c r="C354" t="inlineStr">
        <is>
          <t>Irwin 322031 SpeedHammer Plus SDS-Plus Standard Tip 6-in. x 1/2-in.</t>
        </is>
      </c>
      <c r="D354" t="inlineStr">
        <is>
          <t>Sabre Tools 1/2 Inch x 18 Inch SDS Plus Rotary Hammer Drill Bit, Carbide Tipped for Brick, Stone, and Concrete (1/2" x 16" x 18")</t>
        </is>
      </c>
      <c r="E354" s="1">
        <f>HYPERLINK("https://www.amazon.com/Sabre-Tools-Rotary-Carbide-Concrete/dp/B08CXP8DJB/ref=sr_1_8?keywords=Irwin+322031+SpeedHammer+Plus+SDS-Plus+Standard+Tip+6-in.+x+1%2F2-in.&amp;qid=1695347064&amp;sr=8-8", "https://www.amazon.com/Sabre-Tools-Rotary-Carbide-Concrete/dp/B08CXP8DJB/ref=sr_1_8?keywords=Irwin+322031+SpeedHammer+Plus+SDS-Plus+Standard+Tip+6-in.+x+1%2F2-in.&amp;qid=1695347064&amp;sr=8-8")</f>
        <v/>
      </c>
      <c r="F354" t="inlineStr">
        <is>
          <t>B08CXP8DJB</t>
        </is>
      </c>
      <c r="G354">
        <f>_xlfn.IMAGE("https://www.toolnut.com/media/catalog/product/3/2/322031-irwin-masonry-sds-plus-standard-tip-primary.jpg?quality=100&amp;bg-color=255,255,255&amp;fit=bounds&amp;height=700&amp;width=700&amp;canvas=700:700&amp;dpr=1 1x")</f>
        <v/>
      </c>
      <c r="H354">
        <f>_xlfn.IMAGE("https://m.media-amazon.com/images/I/51RaOLnweGL._AC_UL320_.jpg")</f>
        <v/>
      </c>
      <c r="K354" t="inlineStr">
        <is>
          <t>8.49</t>
        </is>
      </c>
      <c r="L354" t="n">
        <v>18.99</v>
      </c>
      <c r="M354" s="2" t="inlineStr">
        <is>
          <t>123.67%</t>
        </is>
      </c>
      <c r="N354" t="n">
        <v>4.6</v>
      </c>
      <c r="O354" t="n">
        <v>403</v>
      </c>
      <c r="Q354" t="inlineStr">
        <is>
          <t>InStock</t>
        </is>
      </c>
      <c r="R354" t="inlineStr">
        <is>
          <t>undefined</t>
        </is>
      </c>
      <c r="S354" t="inlineStr">
        <is>
          <t>322031-IRWIN</t>
        </is>
      </c>
    </row>
    <row r="355" ht="75" customHeight="1">
      <c r="A355" s="1">
        <f>HYPERLINK("https://www.toolnut.com/irwin-322031-drill-bit.html", "https://www.toolnut.com/irwin-322031-drill-bit.html")</f>
        <v/>
      </c>
      <c r="B355" s="1">
        <f>HYPERLINK("https://www.toolnut.com/irwin-322031-drill-bit.html", "https://www.toolnut.com/irwin-322031-drill-bit.html")</f>
        <v/>
      </c>
      <c r="C355" t="inlineStr">
        <is>
          <t>Irwin 322031 SpeedHammer Plus SDS-Plus Standard Tip 6-in. x 1/2-in.</t>
        </is>
      </c>
      <c r="D355" t="inlineStr">
        <is>
          <t>Sabre Tools 1/2 Inch x 18 Inch SDS Plus Rotary Hammer Drill Bit, Carbide Tipped for Brick, Stone, and Concrete (1/2" x 16" x 18")</t>
        </is>
      </c>
      <c r="E355" s="1">
        <f>HYPERLINK("https://www.amazon.com/Sabre-Tools-Rotary-Carbide-Concrete/dp/B08CXP8DJB/ref=sr_1_8?keywords=Irwin+322031+SpeedHammer+Plus+SDS-Plus+Standard+Tip+6-in.+x+1%2F2-in.&amp;qid=1695347064&amp;sr=8-8", "https://www.amazon.com/Sabre-Tools-Rotary-Carbide-Concrete/dp/B08CXP8DJB/ref=sr_1_8?keywords=Irwin+322031+SpeedHammer+Plus+SDS-Plus+Standard+Tip+6-in.+x+1%2F2-in.&amp;qid=1695347064&amp;sr=8-8")</f>
        <v/>
      </c>
      <c r="F355" t="inlineStr">
        <is>
          <t>B08CXP8DJB</t>
        </is>
      </c>
      <c r="G355">
        <f>_xlfn.IMAGE("https://www.toolnut.com/media/catalog/product/3/2/322031-irwin-masonry-sds-plus-standard-tip-primary.jpg?quality=100&amp;bg-color=255,255,255&amp;fit=bounds&amp;height=700&amp;width=700&amp;canvas=700:700&amp;dpr=1 1x")</f>
        <v/>
      </c>
      <c r="H355">
        <f>_xlfn.IMAGE("https://m.media-amazon.com/images/I/51RaOLnweGL._AC_UL320_.jpg")</f>
        <v/>
      </c>
      <c r="K355" t="inlineStr">
        <is>
          <t>8.49</t>
        </is>
      </c>
      <c r="L355" t="n">
        <v>18.99</v>
      </c>
      <c r="M355" s="2" t="inlineStr">
        <is>
          <t>123.67%</t>
        </is>
      </c>
      <c r="N355" t="n">
        <v>4.6</v>
      </c>
      <c r="O355" t="n">
        <v>403</v>
      </c>
      <c r="Q355" t="inlineStr">
        <is>
          <t>InStock</t>
        </is>
      </c>
      <c r="R355" t="inlineStr">
        <is>
          <t>undefined</t>
        </is>
      </c>
      <c r="S355" t="inlineStr">
        <is>
          <t>322031-IRWIN</t>
        </is>
      </c>
    </row>
    <row r="356" ht="75" customHeight="1">
      <c r="A356" s="1">
        <f>HYPERLINK("https://www.toolnut.com/irwin-39008-drill-bit.html", "https://www.toolnut.com/irwin-39008-drill-bit.html")</f>
        <v/>
      </c>
      <c r="B356" s="1">
        <f>HYPERLINK("https://www.toolnut.com/irwin-39008-drill-bit.html", "https://www.toolnut.com/irwin-39008-drill-bit.html")</f>
        <v/>
      </c>
      <c r="C356" t="inlineStr">
        <is>
          <t>Irwin 39008 Straight Shank Wood Installer Bit 18-in. x 1/2-in.</t>
        </is>
      </c>
      <c r="D356" t="inlineStr">
        <is>
          <t>IRWIN 1890728 Carbide Tip Straight Shank Installer Drill Bit for Masonry, 18-Inch by 1/2-Inch</t>
        </is>
      </c>
      <c r="E356" s="1">
        <f>HYPERLINK("https://www.amazon.com/1890728-Carbide-Straight-Installer-Masonry/dp/B00LLHDFBW/ref=sr_1_2?keywords=Irwin+39008+Straight+Shank+Wood+Installer+Bit+18-in.+x+1%2F2-in.&amp;qid=1695347065&amp;sr=8-2", "https://www.amazon.com/1890728-Carbide-Straight-Installer-Masonry/dp/B00LLHDFBW/ref=sr_1_2?keywords=Irwin+39008+Straight+Shank+Wood+Installer+Bit+18-in.+x+1%2F2-in.&amp;qid=1695347065&amp;sr=8-2")</f>
        <v/>
      </c>
      <c r="F356" t="inlineStr">
        <is>
          <t>B00LLHDFBW</t>
        </is>
      </c>
      <c r="G356">
        <f>_xlfn.IMAGE("https://www.toolnut.com/media/catalog/product/3/9/39008-irwin_001.jpg?quality=100&amp;bg-color=255,255,255&amp;fit=bounds&amp;height=700&amp;width=700&amp;canvas=700:700&amp;dpr=1 1x")</f>
        <v/>
      </c>
      <c r="H356">
        <f>_xlfn.IMAGE("https://m.media-amazon.com/images/I/418E1xG3UNL._AC_UL320_.jpg")</f>
        <v/>
      </c>
      <c r="K356" t="inlineStr">
        <is>
          <t>14.59</t>
        </is>
      </c>
      <c r="L356" t="n">
        <v>43.04</v>
      </c>
      <c r="M356" s="2" t="inlineStr">
        <is>
          <t>195.00%</t>
        </is>
      </c>
      <c r="N356" t="n">
        <v>4.6</v>
      </c>
      <c r="O356" t="n">
        <v>3</v>
      </c>
      <c r="Q356" t="inlineStr">
        <is>
          <t>InStock</t>
        </is>
      </c>
      <c r="R356" t="inlineStr">
        <is>
          <t>undefined</t>
        </is>
      </c>
      <c r="S356" t="inlineStr">
        <is>
          <t>39008-IRWIN</t>
        </is>
      </c>
    </row>
    <row r="357" ht="75" customHeight="1">
      <c r="A357" s="1">
        <f>HYPERLINK("https://www.toolnut.com/irwin-39008-drill-bit.html", "https://www.toolnut.com/irwin-39008-drill-bit.html")</f>
        <v/>
      </c>
      <c r="B357" s="1">
        <f>HYPERLINK("https://www.toolnut.com/irwin-39008-drill-bit.html", "https://www.toolnut.com/irwin-39008-drill-bit.html")</f>
        <v/>
      </c>
      <c r="C357" t="inlineStr">
        <is>
          <t>Irwin 39008 Straight Shank Wood Installer Bit 18-in. x 1/2-in.</t>
        </is>
      </c>
      <c r="D357" t="inlineStr">
        <is>
          <t>IRWIN 1890721 Straight Shank Installer Drill Bit for Wood, 36-Inch by 3/8-Inch</t>
        </is>
      </c>
      <c r="E357" s="1">
        <f>HYPERLINK("https://www.amazon.com/1890721-Straight-Installer-36-Inch-8-Inch/dp/B00LLHES90/ref=sr_1_4?keywords=Irwin+39008+Straight+Shank+Wood+Installer+Bit+18-in.+x+1%2F2-in.&amp;qid=1695347065&amp;sr=8-4", "https://www.amazon.com/1890721-Straight-Installer-36-Inch-8-Inch/dp/B00LLHES90/ref=sr_1_4?keywords=Irwin+39008+Straight+Shank+Wood+Installer+Bit+18-in.+x+1%2F2-in.&amp;qid=1695347065&amp;sr=8-4")</f>
        <v/>
      </c>
      <c r="F357" t="inlineStr">
        <is>
          <t>B00LLHES90</t>
        </is>
      </c>
      <c r="G357">
        <f>_xlfn.IMAGE("https://www.toolnut.com/media/catalog/product/3/9/39008-irwin_001.jpg?quality=100&amp;bg-color=255,255,255&amp;fit=bounds&amp;height=700&amp;width=700&amp;canvas=700:700&amp;dpr=1 1x")</f>
        <v/>
      </c>
      <c r="H357">
        <f>_xlfn.IMAGE("https://m.media-amazon.com/images/I/61d0H3unoqL._AC_UL320_.jpg")</f>
        <v/>
      </c>
      <c r="K357" t="inlineStr">
        <is>
          <t>14.59</t>
        </is>
      </c>
      <c r="L357" t="n">
        <v>37.04</v>
      </c>
      <c r="M357" s="2" t="inlineStr">
        <is>
          <t>153.87%</t>
        </is>
      </c>
      <c r="N357" t="n">
        <v>4.6</v>
      </c>
      <c r="O357" t="n">
        <v>96</v>
      </c>
      <c r="Q357" t="inlineStr">
        <is>
          <t>InStock</t>
        </is>
      </c>
      <c r="R357" t="inlineStr">
        <is>
          <t>undefined</t>
        </is>
      </c>
      <c r="S357" t="inlineStr">
        <is>
          <t>39008-IRWIN</t>
        </is>
      </c>
    </row>
    <row r="358" ht="75" customHeight="1">
      <c r="A358" s="1">
        <f>HYPERLINK("https://www.toolnut.com/irwin-39008-drill-bit.html", "https://www.toolnut.com/irwin-39008-drill-bit.html")</f>
        <v/>
      </c>
      <c r="B358" s="1">
        <f>HYPERLINK("https://www.toolnut.com/irwin-39008-drill-bit.html", "https://www.toolnut.com/irwin-39008-drill-bit.html")</f>
        <v/>
      </c>
      <c r="C358" t="inlineStr">
        <is>
          <t>Irwin 39008 Straight Shank Wood Installer Bit 18-in. x 1/2-in.</t>
        </is>
      </c>
      <c r="D358" t="inlineStr">
        <is>
          <t>1/2" x 18" Wood Cable Installer Drill Bit - Hollow Shank - Made in USA</t>
        </is>
      </c>
      <c r="E358" s="1">
        <f>HYPERLINK("https://www.amazon.com/SnakeBit-Drill-Wood-Cable-Installer/dp/B074YY3BG4/ref=sr_1_10?keywords=Irwin+39008+Straight+Shank+Wood+Installer+Bit+18-in.+x+1%2F2-in.&amp;qid=1695347065&amp;sr=8-10", "https://www.amazon.com/SnakeBit-Drill-Wood-Cable-Installer/dp/B074YY3BG4/ref=sr_1_10?keywords=Irwin+39008+Straight+Shank+Wood+Installer+Bit+18-in.+x+1%2F2-in.&amp;qid=1695347065&amp;sr=8-10")</f>
        <v/>
      </c>
      <c r="F358" t="inlineStr">
        <is>
          <t>B074YY3BG4</t>
        </is>
      </c>
      <c r="G358">
        <f>_xlfn.IMAGE("https://www.toolnut.com/media/catalog/product/3/9/39008-irwin_001.jpg?quality=100&amp;bg-color=255,255,255&amp;fit=bounds&amp;height=700&amp;width=700&amp;canvas=700:700&amp;dpr=1 1x")</f>
        <v/>
      </c>
      <c r="H358">
        <f>_xlfn.IMAGE("https://m.media-amazon.com/images/I/41bLUjdaa6L._AC_UL320_.jpg")</f>
        <v/>
      </c>
      <c r="K358" t="inlineStr">
        <is>
          <t>14.59</t>
        </is>
      </c>
      <c r="L358" t="n">
        <v>32.99</v>
      </c>
      <c r="M358" s="2" t="inlineStr">
        <is>
          <t>126.11%</t>
        </is>
      </c>
      <c r="N358" t="n">
        <v>4.3</v>
      </c>
      <c r="O358" t="n">
        <v>8</v>
      </c>
      <c r="Q358" t="inlineStr">
        <is>
          <t>InStock</t>
        </is>
      </c>
      <c r="R358" t="inlineStr">
        <is>
          <t>undefined</t>
        </is>
      </c>
      <c r="S358" t="inlineStr">
        <is>
          <t>39008-IRWIN</t>
        </is>
      </c>
    </row>
    <row r="359" ht="75" customHeight="1">
      <c r="A359" s="1">
        <f>HYPERLINK("https://www.toolnut.com/irwin-39008-drill-bit.html", "https://www.toolnut.com/irwin-39008-drill-bit.html")</f>
        <v/>
      </c>
      <c r="B359" s="1">
        <f>HYPERLINK("https://www.toolnut.com/irwin-39008-drill-bit.html", "https://www.toolnut.com/irwin-39008-drill-bit.html")</f>
        <v/>
      </c>
      <c r="C359" t="inlineStr">
        <is>
          <t>Irwin 39008 Straight Shank Wood Installer Bit 18-in. x 1/2-in.</t>
        </is>
      </c>
      <c r="D359" t="inlineStr">
        <is>
          <t>IRWIN 1890721 Straight Shank Installer Drill Bit for Wood, 36-Inch by 3/8-Inch</t>
        </is>
      </c>
      <c r="E359" s="1">
        <f>HYPERLINK("https://www.amazon.com/1890721-Straight-Installer-36-Inch-8-Inch/dp/B00LLHES90/ref=sr_1_4?keywords=Irwin+39008+Straight+Shank+Wood+Installer+Bit+18-in.+x+1%2F2-in.&amp;qid=1695347065&amp;sr=8-4", "https://www.amazon.com/1890721-Straight-Installer-36-Inch-8-Inch/dp/B00LLHES90/ref=sr_1_4?keywords=Irwin+39008+Straight+Shank+Wood+Installer+Bit+18-in.+x+1%2F2-in.&amp;qid=1695347065&amp;sr=8-4")</f>
        <v/>
      </c>
      <c r="F359" t="inlineStr">
        <is>
          <t>B00LLHES90</t>
        </is>
      </c>
      <c r="G359">
        <f>_xlfn.IMAGE("https://www.toolnut.com/media/catalog/product/3/9/39008-irwin_001.jpg?quality=100&amp;bg-color=255,255,255&amp;fit=bounds&amp;height=700&amp;width=700&amp;canvas=700:700&amp;dpr=1 1x")</f>
        <v/>
      </c>
      <c r="H359">
        <f>_xlfn.IMAGE("https://m.media-amazon.com/images/I/61d0H3unoqL._AC_UL320_.jpg")</f>
        <v/>
      </c>
      <c r="K359" t="inlineStr">
        <is>
          <t>14.59</t>
        </is>
      </c>
      <c r="L359" t="n">
        <v>37.04</v>
      </c>
      <c r="M359" s="2" t="inlineStr">
        <is>
          <t>153.87%</t>
        </is>
      </c>
      <c r="N359" t="n">
        <v>4.6</v>
      </c>
      <c r="O359" t="n">
        <v>96</v>
      </c>
      <c r="Q359" t="inlineStr">
        <is>
          <t>InStock</t>
        </is>
      </c>
      <c r="R359" t="inlineStr">
        <is>
          <t>undefined</t>
        </is>
      </c>
      <c r="S359" t="inlineStr">
        <is>
          <t>39008-IRWIN</t>
        </is>
      </c>
    </row>
    <row r="360" ht="75" customHeight="1">
      <c r="A360" s="1">
        <f>HYPERLINK("https://www.toolnut.com/irwin-39008-drill-bit.html", "https://www.toolnut.com/irwin-39008-drill-bit.html")</f>
        <v/>
      </c>
      <c r="B360" s="1">
        <f>HYPERLINK("https://www.toolnut.com/irwin-39008-drill-bit.html", "https://www.toolnut.com/irwin-39008-drill-bit.html")</f>
        <v/>
      </c>
      <c r="C360" t="inlineStr">
        <is>
          <t>Irwin 39008 Straight Shank Wood Installer Bit 18-in. x 1/2-in.</t>
        </is>
      </c>
      <c r="D360" t="inlineStr">
        <is>
          <t>1/2" x 18" Wood Cable Installer Drill Bit - Hollow Shank - Made in USA</t>
        </is>
      </c>
      <c r="E360" s="1">
        <f>HYPERLINK("https://www.amazon.com/SnakeBit-Drill-Wood-Cable-Installer/dp/B074YY3BG4/ref=sr_1_10?keywords=Irwin+39008+Straight+Shank+Wood+Installer+Bit+18-in.+x+1%2F2-in.&amp;qid=1695347065&amp;sr=8-10", "https://www.amazon.com/SnakeBit-Drill-Wood-Cable-Installer/dp/B074YY3BG4/ref=sr_1_10?keywords=Irwin+39008+Straight+Shank+Wood+Installer+Bit+18-in.+x+1%2F2-in.&amp;qid=1695347065&amp;sr=8-10")</f>
        <v/>
      </c>
      <c r="F360" t="inlineStr">
        <is>
          <t>B074YY3BG4</t>
        </is>
      </c>
      <c r="G360">
        <f>_xlfn.IMAGE("https://www.toolnut.com/media/catalog/product/3/9/39008-irwin_001.jpg?quality=100&amp;bg-color=255,255,255&amp;fit=bounds&amp;height=700&amp;width=700&amp;canvas=700:700&amp;dpr=1 1x")</f>
        <v/>
      </c>
      <c r="H360">
        <f>_xlfn.IMAGE("https://m.media-amazon.com/images/I/41bLUjdaa6L._AC_UL320_.jpg")</f>
        <v/>
      </c>
      <c r="K360" t="inlineStr">
        <is>
          <t>14.59</t>
        </is>
      </c>
      <c r="L360" t="n">
        <v>32.99</v>
      </c>
      <c r="M360" s="2" t="inlineStr">
        <is>
          <t>126.11%</t>
        </is>
      </c>
      <c r="N360" t="n">
        <v>4.3</v>
      </c>
      <c r="O360" t="n">
        <v>8</v>
      </c>
      <c r="Q360" t="inlineStr">
        <is>
          <t>InStock</t>
        </is>
      </c>
      <c r="R360" t="inlineStr">
        <is>
          <t>undefined</t>
        </is>
      </c>
      <c r="S360" t="inlineStr">
        <is>
          <t>39008-IRWIN</t>
        </is>
      </c>
    </row>
    <row r="361" ht="75" customHeight="1">
      <c r="A361" s="1">
        <f>HYPERLINK("https://www.toolnut.com/irwin-394001-drill-bit.html", "https://www.toolnut.com/irwin-394001-drill-bit.html")</f>
        <v/>
      </c>
      <c r="B361" s="1">
        <f>HYPERLINK("https://www.toolnut.com/irwin-394001-drill-bit.html", "https://www.toolnut.com/irwin-394001-drill-bit.html")</f>
        <v/>
      </c>
      <c r="C361" t="inlineStr">
        <is>
          <t>Irwin 394001 BOLT-GRIP Bolt Extractor Base Set 5 Piece Set</t>
        </is>
      </c>
      <c r="D361" t="inlineStr">
        <is>
          <t>IRWIN Bolt Extractor Set, 13 Piece (54113)</t>
        </is>
      </c>
      <c r="E361" s="1">
        <f>HYPERLINK("https://www.amazon.com/HANSON-Professionals-Industrial-Extractor-54113/dp/B001ACMFRI/ref=sr_1_6?keywords=Irwin+394001+BOLT-GRIP+Bolt+Extractor+Base+Set+5+Piece+Set&amp;qid=1695347157&amp;sr=8-6", "https://www.amazon.com/HANSON-Professionals-Industrial-Extractor-54113/dp/B001ACMFRI/ref=sr_1_6?keywords=Irwin+394001+BOLT-GRIP+Bolt+Extractor+Base+Set+5+Piece+Set&amp;qid=1695347157&amp;sr=8-6")</f>
        <v/>
      </c>
      <c r="F361" t="inlineStr">
        <is>
          <t>B001ACMFRI</t>
        </is>
      </c>
      <c r="G361">
        <f>_xlfn.IMAGE("https://www.toolnut.com/media/catalog/product/3/9/394001-irwin-screw-and-bolt-extractors-5-piece-bolt-grip-base-set-primary.jpg?quality=100&amp;bg-color=255,255,255&amp;fit=bounds&amp;height=700&amp;width=700&amp;canvas=700:700&amp;dpr=1 1x")</f>
        <v/>
      </c>
      <c r="H361">
        <f>_xlfn.IMAGE("https://m.media-amazon.com/images/I/416zWOyrnwL._AC_UL320_.jpg")</f>
        <v/>
      </c>
      <c r="K361" t="inlineStr">
        <is>
          <t>32.99</t>
        </is>
      </c>
      <c r="L361" t="n">
        <v>130.25</v>
      </c>
      <c r="M361" s="2" t="inlineStr">
        <is>
          <t>294.82%</t>
        </is>
      </c>
      <c r="N361" t="n">
        <v>4.8</v>
      </c>
      <c r="O361" t="n">
        <v>211</v>
      </c>
      <c r="Q361" t="inlineStr">
        <is>
          <t>InStock</t>
        </is>
      </c>
      <c r="R361" t="inlineStr">
        <is>
          <t>undefined</t>
        </is>
      </c>
      <c r="S361" t="inlineStr">
        <is>
          <t>394001-IRWIN</t>
        </is>
      </c>
    </row>
    <row r="362" ht="75" customHeight="1">
      <c r="A362" s="1">
        <f>HYPERLINK("https://www.toolnut.com/irwin-394001-drill-bit.html", "https://www.toolnut.com/irwin-394001-drill-bit.html")</f>
        <v/>
      </c>
      <c r="B362" s="1">
        <f>HYPERLINK("https://www.toolnut.com/irwin-394001-drill-bit.html", "https://www.toolnut.com/irwin-394001-drill-bit.html")</f>
        <v/>
      </c>
      <c r="C362" t="inlineStr">
        <is>
          <t>Irwin 394001 BOLT-GRIP Bolt Extractor Base Set 5 Piece Set</t>
        </is>
      </c>
      <c r="D362" t="inlineStr">
        <is>
          <t>IRWIN Bolt Extractor Set, Metric, 9-Piece (54019)</t>
        </is>
      </c>
      <c r="E362" s="1">
        <f>HYPERLINK("https://www.amazon.com/Irwin-Industrial-Tools-54019-Extractor/dp/B001MXPRV6/ref=sr_1_5?keywords=Irwin+394001+BOLT-GRIP+Bolt+Extractor+Base+Set+5+Piece+Set&amp;qid=1695347157&amp;sr=8-5", "https://www.amazon.com/Irwin-Industrial-Tools-54019-Extractor/dp/B001MXPRV6/ref=sr_1_5?keywords=Irwin+394001+BOLT-GRIP+Bolt+Extractor+Base+Set+5+Piece+Set&amp;qid=1695347157&amp;sr=8-5")</f>
        <v/>
      </c>
      <c r="F362" t="inlineStr">
        <is>
          <t>B001MXPRV6</t>
        </is>
      </c>
      <c r="G362">
        <f>_xlfn.IMAGE("https://www.toolnut.com/media/catalog/product/3/9/394001-irwin-screw-and-bolt-extractors-5-piece-bolt-grip-base-set-primary.jpg?quality=100&amp;bg-color=255,255,255&amp;fit=bounds&amp;height=700&amp;width=700&amp;canvas=700:700&amp;dpr=1 1x")</f>
        <v/>
      </c>
      <c r="H362">
        <f>_xlfn.IMAGE("https://m.media-amazon.com/images/I/91AW+PL9eTL._AC_UL320_.jpg")</f>
        <v/>
      </c>
      <c r="K362" t="inlineStr">
        <is>
          <t>32.99</t>
        </is>
      </c>
      <c r="L362" t="n">
        <v>91.22</v>
      </c>
      <c r="M362" s="2" t="inlineStr">
        <is>
          <t>176.51%</t>
        </is>
      </c>
      <c r="N362" t="n">
        <v>4.7</v>
      </c>
      <c r="O362" t="n">
        <v>67</v>
      </c>
      <c r="Q362" t="inlineStr">
        <is>
          <t>InStock</t>
        </is>
      </c>
      <c r="R362" t="inlineStr">
        <is>
          <t>undefined</t>
        </is>
      </c>
      <c r="S362" t="inlineStr">
        <is>
          <t>394001-IRWIN</t>
        </is>
      </c>
    </row>
    <row r="363" ht="75" customHeight="1">
      <c r="A363" s="1">
        <f>HYPERLINK("https://www.toolnut.com/irwin-394001-drill-bit.html", "https://www.toolnut.com/irwin-394001-drill-bit.html")</f>
        <v/>
      </c>
      <c r="B363" s="1">
        <f>HYPERLINK("https://www.toolnut.com/irwin-394001-drill-bit.html", "https://www.toolnut.com/irwin-394001-drill-bit.html")</f>
        <v/>
      </c>
      <c r="C363" t="inlineStr">
        <is>
          <t>Irwin 394001 BOLT-GRIP Bolt Extractor Base Set 5 Piece Set</t>
        </is>
      </c>
      <c r="D363" t="inlineStr">
        <is>
          <t>IRWIN Bolt Extractor Set, Metric, 9-Piece (54019)</t>
        </is>
      </c>
      <c r="E363" s="1">
        <f>HYPERLINK("https://www.amazon.com/Irwin-Industrial-Tools-54019-Extractor/dp/B001MXPRV6/ref=sr_1_5?keywords=Irwin+394001+BOLT-GRIP+Bolt+Extractor+Base+Set+5+Piece+Set&amp;qid=1695347157&amp;sr=8-5", "https://www.amazon.com/Irwin-Industrial-Tools-54019-Extractor/dp/B001MXPRV6/ref=sr_1_5?keywords=Irwin+394001+BOLT-GRIP+Bolt+Extractor+Base+Set+5+Piece+Set&amp;qid=1695347157&amp;sr=8-5")</f>
        <v/>
      </c>
      <c r="F363" t="inlineStr">
        <is>
          <t>B001MXPRV6</t>
        </is>
      </c>
      <c r="G363">
        <f>_xlfn.IMAGE("https://www.toolnut.com/media/catalog/product/3/9/394001-irwin-screw-and-bolt-extractors-5-piece-bolt-grip-base-set-primary.jpg?quality=100&amp;bg-color=255,255,255&amp;fit=bounds&amp;height=700&amp;width=700&amp;canvas=700:700&amp;dpr=1 1x")</f>
        <v/>
      </c>
      <c r="H363">
        <f>_xlfn.IMAGE("https://m.media-amazon.com/images/I/91AW+PL9eTL._AC_UL320_.jpg")</f>
        <v/>
      </c>
      <c r="K363" t="inlineStr">
        <is>
          <t>32.99</t>
        </is>
      </c>
      <c r="L363" t="n">
        <v>91.22</v>
      </c>
      <c r="M363" s="2" t="inlineStr">
        <is>
          <t>176.51%</t>
        </is>
      </c>
      <c r="N363" t="n">
        <v>4.7</v>
      </c>
      <c r="O363" t="n">
        <v>67</v>
      </c>
      <c r="Q363" t="inlineStr">
        <is>
          <t>InStock</t>
        </is>
      </c>
      <c r="R363" t="inlineStr">
        <is>
          <t>undefined</t>
        </is>
      </c>
      <c r="S363" t="inlineStr">
        <is>
          <t>394001-IRWIN</t>
        </is>
      </c>
    </row>
    <row r="364" ht="75" customHeight="1">
      <c r="A364" s="1">
        <f>HYPERLINK("https://www.toolnut.com/irwin-394002-drill-bit.html", "https://www.toolnut.com/irwin-394002-drill-bit.html")</f>
        <v/>
      </c>
      <c r="B364" s="1">
        <f>HYPERLINK("https://www.toolnut.com/irwin-394002-drill-bit.html", "https://www.toolnut.com/irwin-394002-drill-bit.html")</f>
        <v/>
      </c>
      <c r="C364" t="inlineStr">
        <is>
          <t>Irwin 394002 BOLT-GRIP Bolt Extractor Expansion 5 Piece Set</t>
        </is>
      </c>
      <c r="D364" t="inlineStr">
        <is>
          <t>IRWIN Bolt Extractor Set, 13 Piece (54113)</t>
        </is>
      </c>
      <c r="E364" s="1">
        <f>HYPERLINK("https://www.amazon.com/HANSON-Professionals-Industrial-Extractor-54113/dp/B001ACMFRI/ref=sr_1_5?keywords=Irwin+394002+BOLT-GRIP+Bolt+Extractor+Expansion+5+Piece+Set&amp;qid=1695347147&amp;sr=8-5", "https://www.amazon.com/HANSON-Professionals-Industrial-Extractor-54113/dp/B001ACMFRI/ref=sr_1_5?keywords=Irwin+394002+BOLT-GRIP+Bolt+Extractor+Expansion+5+Piece+Set&amp;qid=1695347147&amp;sr=8-5")</f>
        <v/>
      </c>
      <c r="F364" t="inlineStr">
        <is>
          <t>B001ACMFRI</t>
        </is>
      </c>
      <c r="G364">
        <f>_xlfn.IMAGE("https://www.toolnut.com/media/catalog/product/3/9/394002-irwin_001.jpg?quality=100&amp;bg-color=255,255,255&amp;fit=bounds&amp;height=700&amp;width=700&amp;canvas=700:700&amp;dpr=1 1x")</f>
        <v/>
      </c>
      <c r="H364">
        <f>_xlfn.IMAGE("https://m.media-amazon.com/images/I/416zWOyrnwL._AC_UL320_.jpg")</f>
        <v/>
      </c>
      <c r="K364" t="inlineStr">
        <is>
          <t>27.99</t>
        </is>
      </c>
      <c r="L364" t="n">
        <v>130.25</v>
      </c>
      <c r="M364" s="2" t="inlineStr">
        <is>
          <t>365.34%</t>
        </is>
      </c>
      <c r="N364" t="n">
        <v>4.8</v>
      </c>
      <c r="O364" t="n">
        <v>211</v>
      </c>
      <c r="Q364" t="inlineStr">
        <is>
          <t>InStock</t>
        </is>
      </c>
      <c r="R364" t="inlineStr">
        <is>
          <t>undefined</t>
        </is>
      </c>
      <c r="S364" t="inlineStr">
        <is>
          <t>394002-IRWIN</t>
        </is>
      </c>
    </row>
    <row r="365" ht="75" customHeight="1">
      <c r="A365" s="1">
        <f>HYPERLINK("https://www.toolnut.com/irwin-394002-drill-bit.html", "https://www.toolnut.com/irwin-394002-drill-bit.html")</f>
        <v/>
      </c>
      <c r="B365" s="1">
        <f>HYPERLINK("https://www.toolnut.com/irwin-394002-drill-bit.html", "https://www.toolnut.com/irwin-394002-drill-bit.html")</f>
        <v/>
      </c>
      <c r="C365" t="inlineStr">
        <is>
          <t>Irwin 394002 BOLT-GRIP Bolt Extractor Expansion 5 Piece Set</t>
        </is>
      </c>
      <c r="D365" t="inlineStr">
        <is>
          <t>IRWIN Bolt Extractor Set, Metric, 9-Piece (54019)</t>
        </is>
      </c>
      <c r="E365" s="1">
        <f>HYPERLINK("https://www.amazon.com/Irwin-Industrial-Tools-54019-Extractor/dp/B001MXPRV6/ref=sr_1_4?keywords=Irwin+394002+BOLT-GRIP+Bolt+Extractor+Expansion+5+Piece+Set&amp;qid=1695347147&amp;sr=8-4", "https://www.amazon.com/Irwin-Industrial-Tools-54019-Extractor/dp/B001MXPRV6/ref=sr_1_4?keywords=Irwin+394002+BOLT-GRIP+Bolt+Extractor+Expansion+5+Piece+Set&amp;qid=1695347147&amp;sr=8-4")</f>
        <v/>
      </c>
      <c r="F365" t="inlineStr">
        <is>
          <t>B001MXPRV6</t>
        </is>
      </c>
      <c r="G365">
        <f>_xlfn.IMAGE("https://www.toolnut.com/media/catalog/product/3/9/394002-irwin_001.jpg?quality=100&amp;bg-color=255,255,255&amp;fit=bounds&amp;height=700&amp;width=700&amp;canvas=700:700&amp;dpr=1 1x")</f>
        <v/>
      </c>
      <c r="H365">
        <f>_xlfn.IMAGE("https://m.media-amazon.com/images/I/91AW+PL9eTL._AC_UL320_.jpg")</f>
        <v/>
      </c>
      <c r="K365" t="inlineStr">
        <is>
          <t>27.99</t>
        </is>
      </c>
      <c r="L365" t="n">
        <v>91.22</v>
      </c>
      <c r="M365" s="2" t="inlineStr">
        <is>
          <t>225.90%</t>
        </is>
      </c>
      <c r="N365" t="n">
        <v>4.7</v>
      </c>
      <c r="O365" t="n">
        <v>67</v>
      </c>
      <c r="Q365" t="inlineStr">
        <is>
          <t>InStock</t>
        </is>
      </c>
      <c r="R365" t="inlineStr">
        <is>
          <t>undefined</t>
        </is>
      </c>
      <c r="S365" t="inlineStr">
        <is>
          <t>394002-IRWIN</t>
        </is>
      </c>
    </row>
    <row r="366" ht="75" customHeight="1">
      <c r="A366" s="1">
        <f>HYPERLINK("https://www.toolnut.com/irwin-42936-drill-bit.html", "https://www.toolnut.com/irwin-42936-drill-bit.html")</f>
        <v/>
      </c>
      <c r="B366" s="1">
        <f>HYPERLINK("https://www.toolnut.com/irwin-42936-drill-bit.html", "https://www.toolnut.com/irwin-42936-drill-bit.html")</f>
        <v/>
      </c>
      <c r="C366" t="inlineStr">
        <is>
          <t>Irwin 42936 Forstner Drill Bit 4-in.</t>
        </is>
      </c>
      <c r="D366" t="inlineStr">
        <is>
          <t>IRWIN Marples Forstner Bit Set, Wood Drill Bits, Made of Carbon Steel, Ideal for Fine Woodworking, Cabinet-making and more, 14 Pieces (1966893)</t>
        </is>
      </c>
      <c r="E366" s="1">
        <f>HYPERLINK("https://www.amazon.com/Irwin-Tools-1966893-Drilling-Forstner/dp/B071S1BGXV/ref=sr_1_8?keywords=Irwin+42936+Forstner+Drill+Bit+4-in.&amp;qid=1695347127&amp;sr=8-8", "https://www.amazon.com/Irwin-Tools-1966893-Drilling-Forstner/dp/B071S1BGXV/ref=sr_1_8?keywords=Irwin+42936+Forstner+Drill+Bit+4-in.&amp;qid=1695347127&amp;sr=8-8")</f>
        <v/>
      </c>
      <c r="F366" t="inlineStr">
        <is>
          <t>B071S1BGXV</t>
        </is>
      </c>
      <c r="G366">
        <f>_xlfn.IMAGE("https://www.toolnut.com/media/catalog/product/4/2/42936-irwin-drill-bits-forstner-drill-bits-primary.jpg?quality=100&amp;bg-color=255,255,255&amp;fit=bounds&amp;height=700&amp;width=700&amp;canvas=700:700&amp;dpr=1 1x")</f>
        <v/>
      </c>
      <c r="H366">
        <f>_xlfn.IMAGE("https://m.media-amazon.com/images/I/71sWaJmpIOS._AC_UL320_.jpg")</f>
        <v/>
      </c>
      <c r="K366" t="inlineStr">
        <is>
          <t>8.29</t>
        </is>
      </c>
      <c r="L366" t="n">
        <v>54.98</v>
      </c>
      <c r="M366" s="2" t="inlineStr">
        <is>
          <t>563.21%</t>
        </is>
      </c>
      <c r="N366" t="n">
        <v>4.6</v>
      </c>
      <c r="O366" t="n">
        <v>2139</v>
      </c>
      <c r="Q366" t="inlineStr">
        <is>
          <t>InStock</t>
        </is>
      </c>
      <c r="R366" t="inlineStr">
        <is>
          <t>undefined</t>
        </is>
      </c>
      <c r="S366" t="inlineStr">
        <is>
          <t>42936-IRWIN</t>
        </is>
      </c>
    </row>
    <row r="367" ht="75" customHeight="1">
      <c r="A367" s="1">
        <f>HYPERLINK("https://www.toolnut.com/irwin-42936-drill-bit.html", "https://www.toolnut.com/irwin-42936-drill-bit.html")</f>
        <v/>
      </c>
      <c r="B367" s="1">
        <f>HYPERLINK("https://www.toolnut.com/irwin-42936-drill-bit.html", "https://www.toolnut.com/irwin-42936-drill-bit.html")</f>
        <v/>
      </c>
      <c r="C367" t="inlineStr">
        <is>
          <t>Irwin 42936 Forstner Drill Bit 4-in.</t>
        </is>
      </c>
      <c r="D367" t="inlineStr">
        <is>
          <t>IRWIN Marples Forstner Bit Set, Wood Drilling, 8 Piece (1966892)</t>
        </is>
      </c>
      <c r="E367" s="1">
        <f>HYPERLINK("https://www.amazon.com/Irwin-Tools-1966892-Drilling-Forstner/dp/B07145HBPL/ref=sr_1_6?keywords=Irwin+42936+Forstner+Drill+Bit+4-in.&amp;qid=1695347127&amp;sr=8-6", "https://www.amazon.com/Irwin-Tools-1966892-Drilling-Forstner/dp/B07145HBPL/ref=sr_1_6?keywords=Irwin+42936+Forstner+Drill+Bit+4-in.&amp;qid=1695347127&amp;sr=8-6")</f>
        <v/>
      </c>
      <c r="F367" t="inlineStr">
        <is>
          <t>B07145HBPL</t>
        </is>
      </c>
      <c r="G367">
        <f>_xlfn.IMAGE("https://www.toolnut.com/media/catalog/product/4/2/42936-irwin-drill-bits-forstner-drill-bits-primary.jpg?quality=100&amp;bg-color=255,255,255&amp;fit=bounds&amp;height=700&amp;width=700&amp;canvas=700:700&amp;dpr=1 1x")</f>
        <v/>
      </c>
      <c r="H367">
        <f>_xlfn.IMAGE("https://m.media-amazon.com/images/I/918HiQFbc-L._AC_UL320_.jpg")</f>
        <v/>
      </c>
      <c r="K367" t="inlineStr">
        <is>
          <t>8.29</t>
        </is>
      </c>
      <c r="L367" t="n">
        <v>34.98</v>
      </c>
      <c r="M367" s="2" t="inlineStr">
        <is>
          <t>321.95%</t>
        </is>
      </c>
      <c r="N367" t="n">
        <v>4.7</v>
      </c>
      <c r="O367" t="n">
        <v>1535</v>
      </c>
      <c r="Q367" t="inlineStr">
        <is>
          <t>InStock</t>
        </is>
      </c>
      <c r="R367" t="inlineStr">
        <is>
          <t>undefined</t>
        </is>
      </c>
      <c r="S367" t="inlineStr">
        <is>
          <t>42936-IRWIN</t>
        </is>
      </c>
    </row>
    <row r="368" ht="75" customHeight="1">
      <c r="A368" s="1">
        <f>HYPERLINK("https://www.toolnut.com/irwin-42936-drill-bit.html", "https://www.toolnut.com/irwin-42936-drill-bit.html")</f>
        <v/>
      </c>
      <c r="B368" s="1">
        <f>HYPERLINK("https://www.toolnut.com/irwin-42936-drill-bit.html", "https://www.toolnut.com/irwin-42936-drill-bit.html")</f>
        <v/>
      </c>
      <c r="C368" t="inlineStr">
        <is>
          <t>Irwin 42936 Forstner Drill Bit 4-in.</t>
        </is>
      </c>
      <c r="D368" t="inlineStr">
        <is>
          <t>NICAVKIT 4 Inch Carbide Forstner Drill Bit, Carbide Tipped Forstner Bit for Hard Wood, Wood Drilling Bit Woodworking Hinge Cutter Tool Kits for Wood Plywood Plastic</t>
        </is>
      </c>
      <c r="E368" s="1">
        <f>HYPERLINK("https://www.amazon.com/NICAVKIT-Carbide-Forstner-Drilling-Woodworking/dp/B0C5QJZP95/ref=sr_1_2?keywords=Irwin+42936+Forstner+Drill+Bit+4-in.&amp;qid=1695347127&amp;sr=8-2", "https://www.amazon.com/NICAVKIT-Carbide-Forstner-Drilling-Woodworking/dp/B0C5QJZP95/ref=sr_1_2?keywords=Irwin+42936+Forstner+Drill+Bit+4-in.&amp;qid=1695347127&amp;sr=8-2")</f>
        <v/>
      </c>
      <c r="F368" t="inlineStr">
        <is>
          <t>B0C5QJZP95</t>
        </is>
      </c>
      <c r="G368">
        <f>_xlfn.IMAGE("https://www.toolnut.com/media/catalog/product/4/2/42936-irwin-drill-bits-forstner-drill-bits-primary.jpg?quality=100&amp;bg-color=255,255,255&amp;fit=bounds&amp;height=700&amp;width=700&amp;canvas=700:700&amp;dpr=1 1x")</f>
        <v/>
      </c>
      <c r="H368">
        <f>_xlfn.IMAGE("https://m.media-amazon.com/images/I/41Me76yDVeL._AC_UL320_.jpg")</f>
        <v/>
      </c>
      <c r="K368" t="inlineStr">
        <is>
          <t>8.29</t>
        </is>
      </c>
      <c r="L368" t="n">
        <v>31.99</v>
      </c>
      <c r="M368" s="2" t="inlineStr">
        <is>
          <t>285.89%</t>
        </is>
      </c>
      <c r="N368" t="n">
        <v>4.4</v>
      </c>
      <c r="O368" t="n">
        <v>55</v>
      </c>
      <c r="Q368" t="inlineStr">
        <is>
          <t>InStock</t>
        </is>
      </c>
      <c r="R368" t="inlineStr">
        <is>
          <t>undefined</t>
        </is>
      </c>
      <c r="S368" t="inlineStr">
        <is>
          <t>42936-IRWIN</t>
        </is>
      </c>
    </row>
    <row r="369" ht="75" customHeight="1">
      <c r="A369" s="1">
        <f>HYPERLINK("https://www.toolnut.com/irwin-42936-drill-bit.html", "https://www.toolnut.com/irwin-42936-drill-bit.html")</f>
        <v/>
      </c>
      <c r="B369" s="1">
        <f>HYPERLINK("https://www.toolnut.com/irwin-42936-drill-bit.html", "https://www.toolnut.com/irwin-42936-drill-bit.html")</f>
        <v/>
      </c>
      <c r="C369" t="inlineStr">
        <is>
          <t>Irwin 42936 Forstner Drill Bit 4-in.</t>
        </is>
      </c>
      <c r="D369" t="inlineStr">
        <is>
          <t>ASNOMY 4 Inch Forstner Drill Bit, Carbide Tipped Forstner Bit for Hard Wood, Wood Drilling Hole Saw Set Woodworking Hinge Cutter Tool Kits for Wood Plastic Plywood</t>
        </is>
      </c>
      <c r="E369" s="1">
        <f>HYPERLINK("https://www.amazon.com/ASNOMY-Forstner-Carbide-Drilling-Woodworking/dp/B0BHC8FJGD/ref=sr_1_3?keywords=Irwin+42936+Forstner+Drill+Bit+4-in.&amp;qid=1695347127&amp;sr=8-3", "https://www.amazon.com/ASNOMY-Forstner-Carbide-Drilling-Woodworking/dp/B0BHC8FJGD/ref=sr_1_3?keywords=Irwin+42936+Forstner+Drill+Bit+4-in.&amp;qid=1695347127&amp;sr=8-3")</f>
        <v/>
      </c>
      <c r="F369" t="inlineStr">
        <is>
          <t>B0BHC8FJGD</t>
        </is>
      </c>
      <c r="G369">
        <f>_xlfn.IMAGE("https://www.toolnut.com/media/catalog/product/4/2/42936-irwin-drill-bits-forstner-drill-bits-primary.jpg?quality=100&amp;bg-color=255,255,255&amp;fit=bounds&amp;height=700&amp;width=700&amp;canvas=700:700&amp;dpr=1 1x")</f>
        <v/>
      </c>
      <c r="H369">
        <f>_xlfn.IMAGE("https://m.media-amazon.com/images/I/51m0ZkE0P-L._AC_UL320_.jpg")</f>
        <v/>
      </c>
      <c r="K369" t="inlineStr">
        <is>
          <t>8.29</t>
        </is>
      </c>
      <c r="L369" t="n">
        <v>27.99</v>
      </c>
      <c r="M369" s="2" t="inlineStr">
        <is>
          <t>237.64%</t>
        </is>
      </c>
      <c r="N369" t="n">
        <v>4</v>
      </c>
      <c r="O369" t="n">
        <v>724</v>
      </c>
      <c r="Q369" t="inlineStr">
        <is>
          <t>InStock</t>
        </is>
      </c>
      <c r="R369" t="inlineStr">
        <is>
          <t>undefined</t>
        </is>
      </c>
      <c r="S369" t="inlineStr">
        <is>
          <t>42936-IRWIN</t>
        </is>
      </c>
    </row>
    <row r="370" ht="75" customHeight="1">
      <c r="A370" s="1">
        <f>HYPERLINK("https://www.toolnut.com/irwin-47410-drill-bit.html", "https://www.toolnut.com/irwin-47410-drill-bit.html")</f>
        <v/>
      </c>
      <c r="B370" s="1">
        <f>HYPERLINK("https://www.toolnut.com/irwin-47410-drill-bit.html", "https://www.toolnut.com/irwin-47410-drill-bit.html")</f>
        <v/>
      </c>
      <c r="C370" t="inlineStr">
        <is>
          <t>Irwin 47410 Ship Auger Bit 17-in. x 5/8-in.</t>
        </is>
      </c>
      <c r="D370" t="inlineStr">
        <is>
          <t>Irwin Industrial Tools 47410 5/8-Inch by 17-Inch Tubed Long Ship Auger Bit</t>
        </is>
      </c>
      <c r="E370" s="1">
        <f>HYPERLINK("https://www.amazon.com/Irwin-Industrial-Tools-47410-17-Inch/dp/B00004YO65/ref=sr_1_1?keywords=Irwin+47410+Ship+Auger+Bit+17-in.+x+5%2F8-in.&amp;qid=1695347106&amp;sr=8-1", "https://www.amazon.com/Irwin-Industrial-Tools-47410-17-Inch/dp/B00004YO65/ref=sr_1_1?keywords=Irwin+47410+Ship+Auger+Bit+17-in.+x+5%2F8-in.&amp;qid=1695347106&amp;sr=8-1")</f>
        <v/>
      </c>
      <c r="F370" t="inlineStr">
        <is>
          <t>B00004YO65</t>
        </is>
      </c>
      <c r="G370">
        <f>_xlfn.IMAGE("https://www.toolnut.com/media/catalog/product/4/7/47410-irwin-drill-bits-wood-drill-bits-ship-auger-bit-primary.jpg?quality=100&amp;bg-color=255,255,255&amp;fit=bounds&amp;height=700&amp;width=700&amp;canvas=700:700&amp;dpr=1 1x")</f>
        <v/>
      </c>
      <c r="H370">
        <f>_xlfn.IMAGE("https://m.media-amazon.com/images/I/4169ZsM8rrS._AC_UL320_.jpg")</f>
        <v/>
      </c>
      <c r="K370" t="inlineStr">
        <is>
          <t>19.69</t>
        </is>
      </c>
      <c r="L370" t="n">
        <v>35.78</v>
      </c>
      <c r="M370" s="2" t="inlineStr">
        <is>
          <t>81.72%</t>
        </is>
      </c>
      <c r="N370" t="n">
        <v>4.4</v>
      </c>
      <c r="O370" t="n">
        <v>56</v>
      </c>
      <c r="Q370" t="inlineStr">
        <is>
          <t>InStock</t>
        </is>
      </c>
      <c r="R370" t="inlineStr">
        <is>
          <t>undefined</t>
        </is>
      </c>
      <c r="S370" t="inlineStr">
        <is>
          <t>47410-IRWIN</t>
        </is>
      </c>
    </row>
    <row r="371" ht="75" customHeight="1">
      <c r="A371" s="1">
        <f>HYPERLINK("https://www.toolnut.com/irwin-47410-drill-bit.html", "https://www.toolnut.com/irwin-47410-drill-bit.html")</f>
        <v/>
      </c>
      <c r="B371" s="1">
        <f>HYPERLINK("https://www.toolnut.com/irwin-47410-drill-bit.html", "https://www.toolnut.com/irwin-47410-drill-bit.html")</f>
        <v/>
      </c>
      <c r="C371" t="inlineStr">
        <is>
          <t>Irwin 47410 Ship Auger Bit 17-in. x 5/8-in.</t>
        </is>
      </c>
      <c r="D371" t="inlineStr">
        <is>
          <t>IRWIN 4935572 Ship Auger Bits, 1-1/16" x 17", Silver</t>
        </is>
      </c>
      <c r="E371" s="1">
        <f>HYPERLINK("https://www.amazon.com/Irwin-Tools-4935572-Ship-Auger/dp/B003H46VZY/ref=sr_1_9?keywords=Irwin+47410+Ship+Auger+Bit+17-in.+x+5%2F8-in.&amp;qid=1695347106&amp;sr=8-9", "https://www.amazon.com/Irwin-Tools-4935572-Ship-Auger/dp/B003H46VZY/ref=sr_1_9?keywords=Irwin+47410+Ship+Auger+Bit+17-in.+x+5%2F8-in.&amp;qid=1695347106&amp;sr=8-9")</f>
        <v/>
      </c>
      <c r="F371" t="inlineStr">
        <is>
          <t>B003H46VZY</t>
        </is>
      </c>
      <c r="G371">
        <f>_xlfn.IMAGE("https://www.toolnut.com/media/catalog/product/4/7/47410-irwin-drill-bits-wood-drill-bits-ship-auger-bit-primary.jpg?quality=100&amp;bg-color=255,255,255&amp;fit=bounds&amp;height=700&amp;width=700&amp;canvas=700:700&amp;dpr=1 1x")</f>
        <v/>
      </c>
      <c r="H371">
        <f>_xlfn.IMAGE("https://m.media-amazon.com/images/I/51ZE-0fEamL._AC_UL320_.jpg")</f>
        <v/>
      </c>
      <c r="K371" t="inlineStr">
        <is>
          <t>19.69</t>
        </is>
      </c>
      <c r="L371" t="n">
        <v>35.29</v>
      </c>
      <c r="M371" s="2" t="inlineStr">
        <is>
          <t>79.23%</t>
        </is>
      </c>
      <c r="N371" t="n">
        <v>4.9</v>
      </c>
      <c r="O371" t="n">
        <v>16</v>
      </c>
      <c r="Q371" t="inlineStr">
        <is>
          <t>InStock</t>
        </is>
      </c>
      <c r="R371" t="inlineStr">
        <is>
          <t>undefined</t>
        </is>
      </c>
      <c r="S371" t="inlineStr">
        <is>
          <t>47410-IRWIN</t>
        </is>
      </c>
    </row>
    <row r="372" ht="75" customHeight="1">
      <c r="A372" s="1">
        <f>HYPERLINK("https://www.toolnut.com/irwin-47410-drill-bit.html", "https://www.toolnut.com/irwin-47410-drill-bit.html")</f>
        <v/>
      </c>
      <c r="B372" s="1">
        <f>HYPERLINK("https://www.toolnut.com/irwin-47410-drill-bit.html", "https://www.toolnut.com/irwin-47410-drill-bit.html")</f>
        <v/>
      </c>
      <c r="C372" t="inlineStr">
        <is>
          <t>Irwin 47410 Ship Auger Bit 17-in. x 5/8-in.</t>
        </is>
      </c>
      <c r="D372" t="inlineStr">
        <is>
          <t>IRWIN Auger Drill Bit for Wood 5/8 in. x 18 in. (IWAX3007)</t>
        </is>
      </c>
      <c r="E372" s="1">
        <f>HYPERLINK("https://www.amazon.com/Irwin-Tools-IWAX3007-Speedbor-Supreme/dp/B09G8S4PZY/ref=sr_1_8?keywords=Irwin+47410+Ship+Auger+Bit+17-in.+x+5%2F8-in.&amp;qid=1695347106&amp;sr=8-8", "https://www.amazon.com/Irwin-Tools-IWAX3007-Speedbor-Supreme/dp/B09G8S4PZY/ref=sr_1_8?keywords=Irwin+47410+Ship+Auger+Bit+17-in.+x+5%2F8-in.&amp;qid=1695347106&amp;sr=8-8")</f>
        <v/>
      </c>
      <c r="F372" t="inlineStr">
        <is>
          <t>B09G8S4PZY</t>
        </is>
      </c>
      <c r="G372">
        <f>_xlfn.IMAGE("https://www.toolnut.com/media/catalog/product/4/7/47410-irwin-drill-bits-wood-drill-bits-ship-auger-bit-primary.jpg?quality=100&amp;bg-color=255,255,255&amp;fit=bounds&amp;height=700&amp;width=700&amp;canvas=700:700&amp;dpr=1 1x")</f>
        <v/>
      </c>
      <c r="H372">
        <f>_xlfn.IMAGE("https://m.media-amazon.com/images/I/41SJvZ5zzdL._AC_UL320_.jpg")</f>
        <v/>
      </c>
      <c r="K372" t="inlineStr">
        <is>
          <t>19.69</t>
        </is>
      </c>
      <c r="L372" t="n">
        <v>32.78</v>
      </c>
      <c r="M372" s="2" t="inlineStr">
        <is>
          <t>66.48%</t>
        </is>
      </c>
      <c r="N372" t="n">
        <v>4.3</v>
      </c>
      <c r="O372" t="n">
        <v>5</v>
      </c>
      <c r="Q372" t="inlineStr">
        <is>
          <t>InStock</t>
        </is>
      </c>
      <c r="R372" t="inlineStr">
        <is>
          <t>undefined</t>
        </is>
      </c>
      <c r="S372" t="inlineStr">
        <is>
          <t>47410-IRWIN</t>
        </is>
      </c>
    </row>
    <row r="373" ht="75" customHeight="1">
      <c r="A373" s="1">
        <f>HYPERLINK("https://www.toolnut.com/irwin-47410-drill-bit.html", "https://www.toolnut.com/irwin-47410-drill-bit.html")</f>
        <v/>
      </c>
      <c r="B373" s="1">
        <f>HYPERLINK("https://www.toolnut.com/irwin-47410-drill-bit.html", "https://www.toolnut.com/irwin-47410-drill-bit.html")</f>
        <v/>
      </c>
      <c r="C373" t="inlineStr">
        <is>
          <t>Irwin 47410 Ship Auger Bit 17-in. x 5/8-in.</t>
        </is>
      </c>
      <c r="D373" t="inlineStr">
        <is>
          <t>Irwin Industrial Tools 47410 5/8-Inch by 17-Inch Tubed Long Ship Auger Bit</t>
        </is>
      </c>
      <c r="E373" s="1">
        <f>HYPERLINK("https://www.amazon.com/Irwin-Industrial-Tools-47410-17-Inch/dp/B00004YO65/ref=sr_1_1?keywords=Irwin+47410+Ship+Auger+Bit+17-in.+x+5%2F8-in.&amp;qid=1695347106&amp;sr=8-1", "https://www.amazon.com/Irwin-Industrial-Tools-47410-17-Inch/dp/B00004YO65/ref=sr_1_1?keywords=Irwin+47410+Ship+Auger+Bit+17-in.+x+5%2F8-in.&amp;qid=1695347106&amp;sr=8-1")</f>
        <v/>
      </c>
      <c r="F373" t="inlineStr">
        <is>
          <t>B00004YO65</t>
        </is>
      </c>
      <c r="G373">
        <f>_xlfn.IMAGE("https://www.toolnut.com/media/catalog/product/4/7/47410-irwin-drill-bits-wood-drill-bits-ship-auger-bit-primary.jpg?quality=100&amp;bg-color=255,255,255&amp;fit=bounds&amp;height=700&amp;width=700&amp;canvas=700:700&amp;dpr=1 1x")</f>
        <v/>
      </c>
      <c r="H373">
        <f>_xlfn.IMAGE("https://m.media-amazon.com/images/I/4169ZsM8rrS._AC_UL320_.jpg")</f>
        <v/>
      </c>
      <c r="K373" t="inlineStr">
        <is>
          <t>19.69</t>
        </is>
      </c>
      <c r="L373" t="n">
        <v>35.78</v>
      </c>
      <c r="M373" s="2" t="inlineStr">
        <is>
          <t>81.72%</t>
        </is>
      </c>
      <c r="N373" t="n">
        <v>4.4</v>
      </c>
      <c r="O373" t="n">
        <v>56</v>
      </c>
      <c r="Q373" t="inlineStr">
        <is>
          <t>InStock</t>
        </is>
      </c>
      <c r="R373" t="inlineStr">
        <is>
          <t>undefined</t>
        </is>
      </c>
      <c r="S373" t="inlineStr">
        <is>
          <t>47410-IRWIN</t>
        </is>
      </c>
    </row>
    <row r="374" ht="75" customHeight="1">
      <c r="A374" s="1">
        <f>HYPERLINK("https://www.toolnut.com/irwin-47410-drill-bit.html", "https://www.toolnut.com/irwin-47410-drill-bit.html")</f>
        <v/>
      </c>
      <c r="B374" s="1">
        <f>HYPERLINK("https://www.toolnut.com/irwin-47410-drill-bit.html", "https://www.toolnut.com/irwin-47410-drill-bit.html")</f>
        <v/>
      </c>
      <c r="C374" t="inlineStr">
        <is>
          <t>Irwin 47410 Ship Auger Bit 17-in. x 5/8-in.</t>
        </is>
      </c>
      <c r="D374" t="inlineStr">
        <is>
          <t>IRWIN 4935572 Ship Auger Bits, 1-1/16" x 17", Silver</t>
        </is>
      </c>
      <c r="E374" s="1">
        <f>HYPERLINK("https://www.amazon.com/Irwin-Tools-4935572-Ship-Auger/dp/B003H46VZY/ref=sr_1_9?keywords=Irwin+47410+Ship+Auger+Bit+17-in.+x+5%2F8-in.&amp;qid=1695347106&amp;sr=8-9", "https://www.amazon.com/Irwin-Tools-4935572-Ship-Auger/dp/B003H46VZY/ref=sr_1_9?keywords=Irwin+47410+Ship+Auger+Bit+17-in.+x+5%2F8-in.&amp;qid=1695347106&amp;sr=8-9")</f>
        <v/>
      </c>
      <c r="F374" t="inlineStr">
        <is>
          <t>B003H46VZY</t>
        </is>
      </c>
      <c r="G374">
        <f>_xlfn.IMAGE("https://www.toolnut.com/media/catalog/product/4/7/47410-irwin-drill-bits-wood-drill-bits-ship-auger-bit-primary.jpg?quality=100&amp;bg-color=255,255,255&amp;fit=bounds&amp;height=700&amp;width=700&amp;canvas=700:700&amp;dpr=1 1x")</f>
        <v/>
      </c>
      <c r="H374">
        <f>_xlfn.IMAGE("https://m.media-amazon.com/images/I/51ZE-0fEamL._AC_UL320_.jpg")</f>
        <v/>
      </c>
      <c r="K374" t="inlineStr">
        <is>
          <t>19.69</t>
        </is>
      </c>
      <c r="L374" t="n">
        <v>35.29</v>
      </c>
      <c r="M374" s="2" t="inlineStr">
        <is>
          <t>79.23%</t>
        </is>
      </c>
      <c r="N374" t="n">
        <v>4.9</v>
      </c>
      <c r="O374" t="n">
        <v>16</v>
      </c>
      <c r="Q374" t="inlineStr">
        <is>
          <t>InStock</t>
        </is>
      </c>
      <c r="R374" t="inlineStr">
        <is>
          <t>undefined</t>
        </is>
      </c>
      <c r="S374" t="inlineStr">
        <is>
          <t>47410-IRWIN</t>
        </is>
      </c>
    </row>
    <row r="375" ht="75" customHeight="1">
      <c r="A375" s="1">
        <f>HYPERLINK("https://www.toolnut.com/irwin-47410-drill-bit.html", "https://www.toolnut.com/irwin-47410-drill-bit.html")</f>
        <v/>
      </c>
      <c r="B375" s="1">
        <f>HYPERLINK("https://www.toolnut.com/irwin-47410-drill-bit.html", "https://www.toolnut.com/irwin-47410-drill-bit.html")</f>
        <v/>
      </c>
      <c r="C375" t="inlineStr">
        <is>
          <t>Irwin 47410 Ship Auger Bit 17-in. x 5/8-in.</t>
        </is>
      </c>
      <c r="D375" t="inlineStr">
        <is>
          <t>IRWIN Auger Drill Bit for Wood 5/8 in. x 18 in. (IWAX3007)</t>
        </is>
      </c>
      <c r="E375" s="1">
        <f>HYPERLINK("https://www.amazon.com/Irwin-Tools-IWAX3007-Speedbor-Supreme/dp/B09G8S4PZY/ref=sr_1_8?keywords=Irwin+47410+Ship+Auger+Bit+17-in.+x+5%2F8-in.&amp;qid=1695347106&amp;sr=8-8", "https://www.amazon.com/Irwin-Tools-IWAX3007-Speedbor-Supreme/dp/B09G8S4PZY/ref=sr_1_8?keywords=Irwin+47410+Ship+Auger+Bit+17-in.+x+5%2F8-in.&amp;qid=1695347106&amp;sr=8-8")</f>
        <v/>
      </c>
      <c r="F375" t="inlineStr">
        <is>
          <t>B09G8S4PZY</t>
        </is>
      </c>
      <c r="G375">
        <f>_xlfn.IMAGE("https://www.toolnut.com/media/catalog/product/4/7/47410-irwin-drill-bits-wood-drill-bits-ship-auger-bit-primary.jpg?quality=100&amp;bg-color=255,255,255&amp;fit=bounds&amp;height=700&amp;width=700&amp;canvas=700:700&amp;dpr=1 1x")</f>
        <v/>
      </c>
      <c r="H375">
        <f>_xlfn.IMAGE("https://m.media-amazon.com/images/I/41SJvZ5zzdL._AC_UL320_.jpg")</f>
        <v/>
      </c>
      <c r="K375" t="inlineStr">
        <is>
          <t>19.69</t>
        </is>
      </c>
      <c r="L375" t="n">
        <v>32.78</v>
      </c>
      <c r="M375" s="2" t="inlineStr">
        <is>
          <t>66.48%</t>
        </is>
      </c>
      <c r="N375" t="n">
        <v>4.3</v>
      </c>
      <c r="O375" t="n">
        <v>5</v>
      </c>
      <c r="Q375" t="inlineStr">
        <is>
          <t>InStock</t>
        </is>
      </c>
      <c r="R375" t="inlineStr">
        <is>
          <t>undefined</t>
        </is>
      </c>
      <c r="S375" t="inlineStr">
        <is>
          <t>47410-IRWIN</t>
        </is>
      </c>
    </row>
    <row r="376" ht="75" customHeight="1">
      <c r="A376" s="1">
        <f>HYPERLINK("https://www.toolnut.com/irwin-48713-drill-bit.html", "https://www.toolnut.com/irwin-48713-drill-bit.html")</f>
        <v/>
      </c>
      <c r="B376" s="1">
        <f>HYPERLINK("https://www.toolnut.com/irwin-48713-drill-bit.html", "https://www.toolnut.com/irwin-48713-drill-bit.html")</f>
        <v/>
      </c>
      <c r="C376" t="inlineStr">
        <is>
          <t>Irwin 48713 Impact Wrench Long Ship Auger Bit 18-in. x 13/16-in.</t>
        </is>
      </c>
      <c r="D376" t="inlineStr">
        <is>
          <t>Irwin Tools 48713 Impact Wrench Long Ship Auger Bits, 7/16" Shank, 13/16" Diameter, 18" Total Length, Single</t>
        </is>
      </c>
      <c r="E376" s="1">
        <f>HYPERLINK("https://www.amazon.com/Irwin-Tools-48713-Impact-Diameter/dp/B001HWR65C/ref=sr_1_1?keywords=Irwin+48713+Impact+Wrench+Long+Ship+Auger+Bit+18-in.+x+13%2F16-in.&amp;qid=1695347124&amp;sr=8-1", "https://www.amazon.com/Irwin-Tools-48713-Impact-Diameter/dp/B001HWR65C/ref=sr_1_1?keywords=Irwin+48713+Impact+Wrench+Long+Ship+Auger+Bit+18-in.+x+13%2F16-in.&amp;qid=1695347124&amp;sr=8-1")</f>
        <v/>
      </c>
      <c r="F376" t="inlineStr">
        <is>
          <t>B001HWR65C</t>
        </is>
      </c>
      <c r="G376">
        <f>_xlfn.IMAGE("https://www.toolnut.com/media/catalog/product/1/9/1948713-irwin_2.jpg?quality=100&amp;bg-color=255,255,255&amp;fit=bounds&amp;height=700&amp;width=700&amp;canvas=700:700&amp;dpr=1 1x")</f>
        <v/>
      </c>
      <c r="H376">
        <f>_xlfn.IMAGE("https://m.media-amazon.com/images/I/41o9r+5I99L._AC_UL320_.jpg")</f>
        <v/>
      </c>
      <c r="K376" t="inlineStr">
        <is>
          <t>39.99</t>
        </is>
      </c>
      <c r="L376" t="n">
        <v>71.56999999999999</v>
      </c>
      <c r="M376" s="2" t="inlineStr">
        <is>
          <t>78.97%</t>
        </is>
      </c>
      <c r="N376" t="n">
        <v>5</v>
      </c>
      <c r="O376" t="n">
        <v>2</v>
      </c>
      <c r="Q376" t="inlineStr">
        <is>
          <t>InStock</t>
        </is>
      </c>
      <c r="R376" t="inlineStr">
        <is>
          <t>undefined</t>
        </is>
      </c>
      <c r="S376" t="inlineStr">
        <is>
          <t>48713-IRWIN</t>
        </is>
      </c>
    </row>
    <row r="377" ht="75" customHeight="1">
      <c r="A377" s="1">
        <f>HYPERLINK("https://www.toolnut.com/irwin-48713-drill-bit.html", "https://www.toolnut.com/irwin-48713-drill-bit.html")</f>
        <v/>
      </c>
      <c r="B377" s="1">
        <f>HYPERLINK("https://www.toolnut.com/irwin-48713-drill-bit.html", "https://www.toolnut.com/irwin-48713-drill-bit.html")</f>
        <v/>
      </c>
      <c r="C377" t="inlineStr">
        <is>
          <t>Irwin 48713 Impact Wrench Long Ship Auger Bit 18-in. x 13/16-in.</t>
        </is>
      </c>
      <c r="D377" t="inlineStr">
        <is>
          <t>Irwin Tools 48713 Impact Wrench Long Ship Auger Bits, 7/16" Shank, 13/16" Diameter, 18" Total Length, Single</t>
        </is>
      </c>
      <c r="E377" s="1">
        <f>HYPERLINK("https://www.amazon.com/Irwin-Tools-48713-Impact-Diameter/dp/B001HWR65C/ref=sr_1_1?keywords=Irwin+48713+Impact+Wrench+Long+Ship+Auger+Bit+18-in.+x+13%2F16-in.&amp;qid=1695347124&amp;sr=8-1", "https://www.amazon.com/Irwin-Tools-48713-Impact-Diameter/dp/B001HWR65C/ref=sr_1_1?keywords=Irwin+48713+Impact+Wrench+Long+Ship+Auger+Bit+18-in.+x+13%2F16-in.&amp;qid=1695347124&amp;sr=8-1")</f>
        <v/>
      </c>
      <c r="F377" t="inlineStr">
        <is>
          <t>B001HWR65C</t>
        </is>
      </c>
      <c r="G377">
        <f>_xlfn.IMAGE("https://www.toolnut.com/media/catalog/product/1/9/1948713-irwin_2.jpg?quality=100&amp;bg-color=255,255,255&amp;fit=bounds&amp;height=700&amp;width=700&amp;canvas=700:700&amp;dpr=1 1x")</f>
        <v/>
      </c>
      <c r="H377">
        <f>_xlfn.IMAGE("https://m.media-amazon.com/images/I/41o9r+5I99L._AC_UL320_.jpg")</f>
        <v/>
      </c>
      <c r="K377" t="inlineStr">
        <is>
          <t>39.99</t>
        </is>
      </c>
      <c r="L377" t="n">
        <v>71.56999999999999</v>
      </c>
      <c r="M377" s="2" t="inlineStr">
        <is>
          <t>78.97%</t>
        </is>
      </c>
      <c r="N377" t="n">
        <v>5</v>
      </c>
      <c r="O377" t="n">
        <v>2</v>
      </c>
      <c r="Q377" t="inlineStr">
        <is>
          <t>InStock</t>
        </is>
      </c>
      <c r="R377" t="inlineStr">
        <is>
          <t>undefined</t>
        </is>
      </c>
      <c r="S377" t="inlineStr">
        <is>
          <t>48713-IRWIN</t>
        </is>
      </c>
    </row>
    <row r="378" ht="75" customHeight="1">
      <c r="A378" s="1">
        <f>HYPERLINK("https://www.toolnut.com/irwin-48715-drill-bit.html", "https://www.toolnut.com/irwin-48715-drill-bit.html")</f>
        <v/>
      </c>
      <c r="B378" s="1">
        <f>HYPERLINK("https://www.toolnut.com/irwin-48715-drill-bit.html", "https://www.toolnut.com/irwin-48715-drill-bit.html")</f>
        <v/>
      </c>
      <c r="C378" t="inlineStr">
        <is>
          <t>Irwin 48715 Ship Auger Bits Impact Shank 18-in x 15/16-in</t>
        </is>
      </c>
      <c r="D378" t="inlineStr">
        <is>
          <t>Irwin Tools 47915 Impact Wrench Utility Pole Auger Bits, 7/16" Shank, 15/16" Diameter, 18" Total Length, Single</t>
        </is>
      </c>
      <c r="E378" s="1">
        <f>HYPERLINK("https://www.amazon.com/Irwin-Tools-47915-Utility-Diameter/dp/B001HWSH9Q/ref=sr_1_4?keywords=Irwin+48715+Ship+Auger+Bits+Impact+Shank+18-in+x+15%2F16-in&amp;qid=1695347070&amp;sr=8-4", "https://www.amazon.com/Irwin-Tools-47915-Utility-Diameter/dp/B001HWSH9Q/ref=sr_1_4?keywords=Irwin+48715+Ship+Auger+Bits+Impact+Shank+18-in+x+15%2F16-in&amp;qid=1695347070&amp;sr=8-4")</f>
        <v/>
      </c>
      <c r="F378" t="inlineStr">
        <is>
          <t>B001HWSH9Q</t>
        </is>
      </c>
      <c r="G378">
        <f>_xlfn.IMAGE("https://www.toolnut.com/media/catalog/product/4/8/48715-irwin-drill-bits-wood-drill-bits-impact-wrench-long-ship-auger-bit-primary.jpg?quality=100&amp;bg-color=255,255,255&amp;fit=bounds&amp;height=700&amp;width=700&amp;canvas=700:700&amp;dpr=1 1x")</f>
        <v/>
      </c>
      <c r="H378">
        <f>_xlfn.IMAGE("https://m.media-amazon.com/images/I/61sPEibWAzL._AC_UL320_.jpg")</f>
        <v/>
      </c>
      <c r="K378" t="inlineStr">
        <is>
          <t>45.99</t>
        </is>
      </c>
      <c r="L378" t="n">
        <v>77.36</v>
      </c>
      <c r="M378" s="2" t="inlineStr">
        <is>
          <t>68.21%</t>
        </is>
      </c>
      <c r="N378" t="n">
        <v>5</v>
      </c>
      <c r="O378" t="n">
        <v>5</v>
      </c>
      <c r="Q378" t="inlineStr">
        <is>
          <t>InStock</t>
        </is>
      </c>
      <c r="R378" t="inlineStr">
        <is>
          <t>undefined</t>
        </is>
      </c>
      <c r="S378" t="inlineStr">
        <is>
          <t>48715-IRWIN</t>
        </is>
      </c>
    </row>
    <row r="379" ht="75" customHeight="1">
      <c r="A379" s="1">
        <f>HYPERLINK("https://www.toolnut.com/irwin-48715-drill-bit.html", "https://www.toolnut.com/irwin-48715-drill-bit.html")</f>
        <v/>
      </c>
      <c r="B379" s="1">
        <f>HYPERLINK("https://www.toolnut.com/irwin-48715-drill-bit.html", "https://www.toolnut.com/irwin-48715-drill-bit.html")</f>
        <v/>
      </c>
      <c r="C379" t="inlineStr">
        <is>
          <t>Irwin 48715 Ship Auger Bits Impact Shank 18-in x 15/16-in</t>
        </is>
      </c>
      <c r="D379" t="inlineStr">
        <is>
          <t>Irwin Tools 47915 Impact Wrench Utility Pole Auger Bits, 7/16" Shank, 15/16" Diameter, 18" Total Length, Single</t>
        </is>
      </c>
      <c r="E379" s="1">
        <f>HYPERLINK("https://www.amazon.com/Irwin-Tools-47915-Utility-Diameter/dp/B001HWSH9Q/ref=sr_1_4?keywords=Irwin+48715+Ship+Auger+Bits+Impact+Shank+18-in+x+15%2F16-in&amp;qid=1695347070&amp;sr=8-4", "https://www.amazon.com/Irwin-Tools-47915-Utility-Diameter/dp/B001HWSH9Q/ref=sr_1_4?keywords=Irwin+48715+Ship+Auger+Bits+Impact+Shank+18-in+x+15%2F16-in&amp;qid=1695347070&amp;sr=8-4")</f>
        <v/>
      </c>
      <c r="F379" t="inlineStr">
        <is>
          <t>B001HWSH9Q</t>
        </is>
      </c>
      <c r="G379">
        <f>_xlfn.IMAGE("https://www.toolnut.com/media/catalog/product/4/8/48715-irwin-drill-bits-wood-drill-bits-impact-wrench-long-ship-auger-bit-primary.jpg?quality=100&amp;bg-color=255,255,255&amp;fit=bounds&amp;height=700&amp;width=700&amp;canvas=700:700&amp;dpr=1 1x")</f>
        <v/>
      </c>
      <c r="H379">
        <f>_xlfn.IMAGE("https://m.media-amazon.com/images/I/61sPEibWAzL._AC_UL320_.jpg")</f>
        <v/>
      </c>
      <c r="K379" t="inlineStr">
        <is>
          <t>45.99</t>
        </is>
      </c>
      <c r="L379" t="n">
        <v>77.36</v>
      </c>
      <c r="M379" s="2" t="inlineStr">
        <is>
          <t>68.21%</t>
        </is>
      </c>
      <c r="N379" t="n">
        <v>5</v>
      </c>
      <c r="O379" t="n">
        <v>5</v>
      </c>
      <c r="Q379" t="inlineStr">
        <is>
          <t>InStock</t>
        </is>
      </c>
      <c r="R379" t="inlineStr">
        <is>
          <t>undefined</t>
        </is>
      </c>
      <c r="S379" t="inlineStr">
        <is>
          <t>48715-IRWIN</t>
        </is>
      </c>
    </row>
    <row r="380" ht="75" customHeight="1">
      <c r="A380" s="1">
        <f>HYPERLINK("https://www.toolnut.com/irwin-4935570-drill-bit.html", "https://www.toolnut.com/irwin-4935570-drill-bit.html")</f>
        <v/>
      </c>
      <c r="B380" s="1">
        <f>HYPERLINK("https://www.toolnut.com/irwin-4935570-drill-bit.html", "https://www.toolnut.com/irwin-4935570-drill-bit.html")</f>
        <v/>
      </c>
      <c r="C380" t="inlineStr">
        <is>
          <t>Irwin 4935570 Auger Bit with WeldTec 17-in. x 7/16-in.</t>
        </is>
      </c>
      <c r="D380" t="inlineStr">
        <is>
          <t>IRWIN WeldTec Auger Wood Drill Bit 1-1/2" X 17" (3043016)</t>
        </is>
      </c>
      <c r="E380" s="1">
        <f>HYPERLINK("https://www.amazon.com/Irwin-Tools-3043016-WeldTech-Auger/dp/B000GAS67S/ref=sr_1_8?keywords=Irwin+4935570+Auger+Bit+with+WeldTec+17-in.+x+7%2F16-in.&amp;qid=1695347149&amp;sr=8-8", "https://www.amazon.com/Irwin-Tools-3043016-WeldTech-Auger/dp/B000GAS67S/ref=sr_1_8?keywords=Irwin+4935570+Auger+Bit+with+WeldTec+17-in.+x+7%2F16-in.&amp;qid=1695347149&amp;sr=8-8")</f>
        <v/>
      </c>
      <c r="F380" t="inlineStr">
        <is>
          <t>B000GAS67S</t>
        </is>
      </c>
      <c r="G380">
        <f>_xlfn.IMAGE("https://www.toolnut.com/media/catalog/product/4/9/4935570-irwin-drill-bits-wood-drill-bits-auger-bit-with-weldtec-primary.jpg?quality=100&amp;bg-color=255,255,255&amp;fit=bounds&amp;height=700&amp;width=700&amp;canvas=700:700&amp;dpr=1 1x")</f>
        <v/>
      </c>
      <c r="H380">
        <f>_xlfn.IMAGE("https://m.media-amazon.com/images/I/41LuVMVsu0L._AC_UL320_.jpg")</f>
        <v/>
      </c>
      <c r="K380" t="inlineStr">
        <is>
          <t>21.49</t>
        </is>
      </c>
      <c r="L380" t="n">
        <v>59.68</v>
      </c>
      <c r="M380" s="2" t="inlineStr">
        <is>
          <t>177.71%</t>
        </is>
      </c>
      <c r="N380" t="n">
        <v>4.5</v>
      </c>
      <c r="O380" t="n">
        <v>23</v>
      </c>
      <c r="Q380" t="inlineStr">
        <is>
          <t>InStock</t>
        </is>
      </c>
      <c r="R380" t="inlineStr">
        <is>
          <t>undefined</t>
        </is>
      </c>
      <c r="S380" t="inlineStr">
        <is>
          <t>4935570-IRWIN</t>
        </is>
      </c>
    </row>
    <row r="381" ht="75" customHeight="1">
      <c r="A381" s="1">
        <f>HYPERLINK("https://www.toolnut.com/irwin-4935570-drill-bit.html", "https://www.toolnut.com/irwin-4935570-drill-bit.html")</f>
        <v/>
      </c>
      <c r="B381" s="1">
        <f>HYPERLINK("https://www.toolnut.com/irwin-4935570-drill-bit.html", "https://www.toolnut.com/irwin-4935570-drill-bit.html")</f>
        <v/>
      </c>
      <c r="C381" t="inlineStr">
        <is>
          <t>Irwin 4935570 Auger Bit with WeldTec 17-in. x 7/16-in.</t>
        </is>
      </c>
      <c r="D381" t="inlineStr">
        <is>
          <t>IRWIN WeldTec Auger Wood Drill Bit 1-1/2" X 17" (3043016)</t>
        </is>
      </c>
      <c r="E381" s="1">
        <f>HYPERLINK("https://www.amazon.com/Irwin-Tools-3043016-WeldTech-Auger/dp/B000GAS67S/ref=sr_1_8?keywords=Irwin+4935570+Auger+Bit+with+WeldTec+17-in.+x+7%2F16-in.&amp;qid=1695347149&amp;sr=8-8", "https://www.amazon.com/Irwin-Tools-3043016-WeldTech-Auger/dp/B000GAS67S/ref=sr_1_8?keywords=Irwin+4935570+Auger+Bit+with+WeldTec+17-in.+x+7%2F16-in.&amp;qid=1695347149&amp;sr=8-8")</f>
        <v/>
      </c>
      <c r="F381" t="inlineStr">
        <is>
          <t>B000GAS67S</t>
        </is>
      </c>
      <c r="G381">
        <f>_xlfn.IMAGE("https://www.toolnut.com/media/catalog/product/4/9/4935570-irwin-drill-bits-wood-drill-bits-auger-bit-with-weldtec-primary.jpg?quality=100&amp;bg-color=255,255,255&amp;fit=bounds&amp;height=700&amp;width=700&amp;canvas=700:700&amp;dpr=1 1x")</f>
        <v/>
      </c>
      <c r="H381">
        <f>_xlfn.IMAGE("https://m.media-amazon.com/images/I/41LuVMVsu0L._AC_UL320_.jpg")</f>
        <v/>
      </c>
      <c r="K381" t="inlineStr">
        <is>
          <t>21.49</t>
        </is>
      </c>
      <c r="L381" t="n">
        <v>59.68</v>
      </c>
      <c r="M381" s="2" t="inlineStr">
        <is>
          <t>177.71%</t>
        </is>
      </c>
      <c r="N381" t="n">
        <v>4.5</v>
      </c>
      <c r="O381" t="n">
        <v>23</v>
      </c>
      <c r="Q381" t="inlineStr">
        <is>
          <t>InStock</t>
        </is>
      </c>
      <c r="R381" t="inlineStr">
        <is>
          <t>undefined</t>
        </is>
      </c>
      <c r="S381" t="inlineStr">
        <is>
          <t>4935570-IRWIN</t>
        </is>
      </c>
    </row>
    <row r="382" ht="75" customHeight="1">
      <c r="A382" s="1">
        <f>HYPERLINK("https://www.toolnut.com/irwin-49612-drill-bit.html", "https://www.toolnut.com/irwin-49612-drill-bit.html")</f>
        <v/>
      </c>
      <c r="B382" s="1">
        <f>HYPERLINK("https://www.toolnut.com/irwin-49612-drill-bit.html", "https://www.toolnut.com/irwin-49612-drill-bit.html")</f>
        <v/>
      </c>
      <c r="C382" t="inlineStr">
        <is>
          <t>Irwin 49612 Brad Point Drill Bit 2-9/16-in. x 1/8-in.</t>
        </is>
      </c>
      <c r="D382" t="inlineStr">
        <is>
          <t>Chrome Vanadium Brad Point Drill Bit Set, 7-Piece Imperial Sizes Includes 1/8", 3/16", 1/4", 5/16", 3/8", 7/16", 1/2" Inches</t>
        </is>
      </c>
      <c r="E382" s="1">
        <f>HYPERLINK("https://www.amazon.com/Chrome-Vanadium-7-Piece-Imperial-Inches/dp/B0B7XSP2KY/ref=sr_1_9?keywords=Irwin+49612+Brad+Point+Drill+Bit+2-9%2F16-in.+x+1%2F8-in.&amp;qid=1695347146&amp;sr=8-9", "https://www.amazon.com/Chrome-Vanadium-7-Piece-Imperial-Inches/dp/B0B7XSP2KY/ref=sr_1_9?keywords=Irwin+49612+Brad+Point+Drill+Bit+2-9%2F16-in.+x+1%2F8-in.&amp;qid=1695347146&amp;sr=8-9")</f>
        <v/>
      </c>
      <c r="F382" t="inlineStr">
        <is>
          <t>B0B7XSP2KY</t>
        </is>
      </c>
      <c r="G382">
        <f>_xlfn.IMAGE("https://www.toolnut.com/media/catalog/product/4/9/49612-irwin-drill-bits-brad-point-drill-bits-primary.jpg?quality=100&amp;bg-color=255,255,255&amp;fit=bounds&amp;height=700&amp;width=700&amp;canvas=700:700&amp;dpr=1 1x")</f>
        <v/>
      </c>
      <c r="H382">
        <f>_xlfn.IMAGE("https://m.media-amazon.com/images/I/71XfWOsW4lL._AC_UL320_.jpg")</f>
        <v/>
      </c>
      <c r="K382" t="inlineStr">
        <is>
          <t>3.89</t>
        </is>
      </c>
      <c r="L382" t="n">
        <v>16.99</v>
      </c>
      <c r="M382" s="2" t="inlineStr">
        <is>
          <t>336.76%</t>
        </is>
      </c>
      <c r="N382" t="n">
        <v>4.2</v>
      </c>
      <c r="O382" t="n">
        <v>7</v>
      </c>
      <c r="Q382" t="inlineStr">
        <is>
          <t>InStock</t>
        </is>
      </c>
      <c r="R382" t="inlineStr">
        <is>
          <t>undefined</t>
        </is>
      </c>
      <c r="S382" t="inlineStr">
        <is>
          <t>49612-IRWIN</t>
        </is>
      </c>
    </row>
    <row r="383" ht="75" customHeight="1">
      <c r="A383" s="1">
        <f>HYPERLINK("https://www.toolnut.com/irwin-49612-drill-bit.html", "https://www.toolnut.com/irwin-49612-drill-bit.html")</f>
        <v/>
      </c>
      <c r="B383" s="1">
        <f>HYPERLINK("https://www.toolnut.com/irwin-49612-drill-bit.html", "https://www.toolnut.com/irwin-49612-drill-bit.html")</f>
        <v/>
      </c>
      <c r="C383" t="inlineStr">
        <is>
          <t>Irwin 49612 Brad Point Drill Bit 2-9/16-in. x 1/8-in.</t>
        </is>
      </c>
      <c r="D383" t="inlineStr">
        <is>
          <t>NordWolf 7-Piece HSS Titanium Nitride Brad Point Wood Drill Bit Set, with 1/8" Straight Round Shank for Rotary Tools, SAE Sizes 3/32"-1/8"-5/32"-3/16"-1/4" in Storage Box</t>
        </is>
      </c>
      <c r="E383" s="1">
        <f>HYPERLINK("https://www.amazon.com/NordWolf-7-Piece-Titanium-Multi-Purpose-Drilling/dp/B0BL6WCJ3F/ref=sr_1_4?keywords=Irwin+49612+Brad+Point+Drill+Bit+2-9%2F16-in.+x+1%2F8-in.&amp;qid=1695347146&amp;sr=8-4", "https://www.amazon.com/NordWolf-7-Piece-Titanium-Multi-Purpose-Drilling/dp/B0BL6WCJ3F/ref=sr_1_4?keywords=Irwin+49612+Brad+Point+Drill+Bit+2-9%2F16-in.+x+1%2F8-in.&amp;qid=1695347146&amp;sr=8-4")</f>
        <v/>
      </c>
      <c r="F383" t="inlineStr">
        <is>
          <t>B0BL6WCJ3F</t>
        </is>
      </c>
      <c r="G383">
        <f>_xlfn.IMAGE("https://www.toolnut.com/media/catalog/product/4/9/49612-irwin-drill-bits-brad-point-drill-bits-primary.jpg?quality=100&amp;bg-color=255,255,255&amp;fit=bounds&amp;height=700&amp;width=700&amp;canvas=700:700&amp;dpr=1 1x")</f>
        <v/>
      </c>
      <c r="H383">
        <f>_xlfn.IMAGE("https://m.media-amazon.com/images/I/81ekf1KahYL._AC_UL320_.jpg")</f>
        <v/>
      </c>
      <c r="K383" t="inlineStr">
        <is>
          <t>3.89</t>
        </is>
      </c>
      <c r="L383" t="n">
        <v>16.99</v>
      </c>
      <c r="M383" s="2" t="inlineStr">
        <is>
          <t>336.76%</t>
        </is>
      </c>
      <c r="N383" t="n">
        <v>4.7</v>
      </c>
      <c r="O383" t="n">
        <v>25</v>
      </c>
      <c r="Q383" t="inlineStr">
        <is>
          <t>InStock</t>
        </is>
      </c>
      <c r="R383" t="inlineStr">
        <is>
          <t>undefined</t>
        </is>
      </c>
      <c r="S383" t="inlineStr">
        <is>
          <t>49612-IRWIN</t>
        </is>
      </c>
    </row>
    <row r="384" ht="75" customHeight="1">
      <c r="A384" s="1">
        <f>HYPERLINK("https://www.toolnut.com/irwin-49618-drill-bit.html", "https://www.toolnut.com/irwin-49618-drill-bit.html")</f>
        <v/>
      </c>
      <c r="B384" s="1">
        <f>HYPERLINK("https://www.toolnut.com/irwin-49618-drill-bit.html", "https://www.toolnut.com/irwin-49618-drill-bit.html")</f>
        <v/>
      </c>
      <c r="C384" t="inlineStr">
        <is>
          <t>Irwin 49618 Brad Point Drill Bit 5-15/16-in. x 1/2-in.</t>
        </is>
      </c>
      <c r="D384" t="inlineStr">
        <is>
          <t>Fisch FSF-320791 Brad Point Drill Bit 7 Piece Set Chrome Vanadium Includes 1/8, 3/16, 1/4, 5/16, 3/8, 7/16 &amp; 1/2" (01200007K01)</t>
        </is>
      </c>
      <c r="E384" s="1">
        <f>HYPERLINK("https://www.amazon.com/Fisch-FSF-320791-Point-Chrome-Vanadium/dp/B005GC6WRC/ref=sr_1_9?keywords=Irwin+49618+Brad+Point+Drill+Bit+5-15%2F16-in.+x+1%2F2-in.&amp;qid=1695347133&amp;sr=8-9", "https://www.amazon.com/Fisch-FSF-320791-Point-Chrome-Vanadium/dp/B005GC6WRC/ref=sr_1_9?keywords=Irwin+49618+Brad+Point+Drill+Bit+5-15%2F16-in.+x+1%2F2-in.&amp;qid=1695347133&amp;sr=8-9")</f>
        <v/>
      </c>
      <c r="F384" t="inlineStr">
        <is>
          <t>B005GC6WRC</t>
        </is>
      </c>
      <c r="G384">
        <f>_xlfn.IMAGE("https://www.toolnut.com/media/catalog/product/4/9/49618-irwin-drill-bits-wood-drill-bits-brad-point-drill-bits-primary.jpg?quality=100&amp;bg-color=255,255,255&amp;fit=bounds&amp;height=700&amp;width=700&amp;canvas=700:700&amp;dpr=1 1x")</f>
        <v/>
      </c>
      <c r="H384">
        <f>_xlfn.IMAGE("https://m.media-amazon.com/images/I/61cEfBF0PiL._AC_UL320_.jpg")</f>
        <v/>
      </c>
      <c r="K384" t="inlineStr">
        <is>
          <t>8.99</t>
        </is>
      </c>
      <c r="L384" t="n">
        <v>34.52</v>
      </c>
      <c r="M384" s="2" t="inlineStr">
        <is>
          <t>283.98%</t>
        </is>
      </c>
      <c r="N384" t="n">
        <v>4.6</v>
      </c>
      <c r="O384" t="n">
        <v>199</v>
      </c>
      <c r="Q384" t="inlineStr">
        <is>
          <t>InStock</t>
        </is>
      </c>
      <c r="R384" t="inlineStr">
        <is>
          <t>undefined</t>
        </is>
      </c>
      <c r="S384" t="inlineStr">
        <is>
          <t>49618-IRWIN</t>
        </is>
      </c>
    </row>
    <row r="385" ht="75" customHeight="1">
      <c r="A385" s="1">
        <f>HYPERLINK("https://www.toolnut.com/irwin-49618-drill-bit.html", "https://www.toolnut.com/irwin-49618-drill-bit.html")</f>
        <v/>
      </c>
      <c r="B385" s="1">
        <f>HYPERLINK("https://www.toolnut.com/irwin-49618-drill-bit.html", "https://www.toolnut.com/irwin-49618-drill-bit.html")</f>
        <v/>
      </c>
      <c r="C385" t="inlineStr">
        <is>
          <t>Irwin 49618 Brad Point Drill Bit 5-15/16-in. x 1/2-in.</t>
        </is>
      </c>
      <c r="D385" t="inlineStr">
        <is>
          <t>NordWolf 5-Piece HSS Brad Point Wood Drill Bit Set for Hard &amp; Laminated Wood, with 1/4" Hex Shank for Quick Chucks &amp; Impact Drivers, SAE Sizes 3/16"-1/4"-5/16"-3/8"-1/2"</t>
        </is>
      </c>
      <c r="E385" s="1">
        <f>HYPERLINK("https://www.amazon.com/NordWolf-5-Piece-Laminated-Chucks-Imperial/dp/B09WKCGPH1/ref=sr_1_7?keywords=Irwin+49618+Brad+Point+Drill+Bit+5-15%2F16-in.+x+1%2F2-in.&amp;qid=1695347133&amp;sr=8-7", "https://www.amazon.com/NordWolf-5-Piece-Laminated-Chucks-Imperial/dp/B09WKCGPH1/ref=sr_1_7?keywords=Irwin+49618+Brad+Point+Drill+Bit+5-15%2F16-in.+x+1%2F2-in.&amp;qid=1695347133&amp;sr=8-7")</f>
        <v/>
      </c>
      <c r="F385" t="inlineStr">
        <is>
          <t>B09WKCGPH1</t>
        </is>
      </c>
      <c r="G385">
        <f>_xlfn.IMAGE("https://www.toolnut.com/media/catalog/product/4/9/49618-irwin-drill-bits-wood-drill-bits-brad-point-drill-bits-primary.jpg?quality=100&amp;bg-color=255,255,255&amp;fit=bounds&amp;height=700&amp;width=700&amp;canvas=700:700&amp;dpr=1 1x")</f>
        <v/>
      </c>
      <c r="H385">
        <f>_xlfn.IMAGE("https://m.media-amazon.com/images/I/81bqH835ZfL._AC_UL320_.jpg")</f>
        <v/>
      </c>
      <c r="K385" t="inlineStr">
        <is>
          <t>8.99</t>
        </is>
      </c>
      <c r="L385" t="n">
        <v>24.99</v>
      </c>
      <c r="M385" s="2" t="inlineStr">
        <is>
          <t>177.98%</t>
        </is>
      </c>
      <c r="N385" t="n">
        <v>4.5</v>
      </c>
      <c r="O385" t="n">
        <v>235</v>
      </c>
      <c r="Q385" t="inlineStr">
        <is>
          <t>InStock</t>
        </is>
      </c>
      <c r="R385" t="inlineStr">
        <is>
          <t>undefined</t>
        </is>
      </c>
      <c r="S385" t="inlineStr">
        <is>
          <t>49618-IRWIN</t>
        </is>
      </c>
    </row>
    <row r="386" ht="75" customHeight="1">
      <c r="A386" s="1">
        <f>HYPERLINK("https://www.toolnut.com/irwin-49618-drill-bit.html", "https://www.toolnut.com/irwin-49618-drill-bit.html")</f>
        <v/>
      </c>
      <c r="B386" s="1">
        <f>HYPERLINK("https://www.toolnut.com/irwin-49618-drill-bit.html", "https://www.toolnut.com/irwin-49618-drill-bit.html")</f>
        <v/>
      </c>
      <c r="C386" t="inlineStr">
        <is>
          <t>Irwin 49618 Brad Point Drill Bit 5-15/16-in. x 1/2-in.</t>
        </is>
      </c>
      <c r="D386" t="inlineStr">
        <is>
          <t>NordWolf 5-Piece HSS Brad Point Wood Drill Bit Set for Hard &amp; Laminated Wood, with 1/4" Hex Shank for Quick Chucks &amp; Impact Drivers, SAE Sizes 3/16"-1/4"-5/16"-3/8"-1/2"</t>
        </is>
      </c>
      <c r="E386" s="1">
        <f>HYPERLINK("https://www.amazon.com/NordWolf-5-Piece-Laminated-Chucks-Imperial/dp/B09WKCGPH1/ref=sr_1_7?keywords=Irwin+49618+Brad+Point+Drill+Bit+5-15%2F16-in.+x+1%2F2-in.&amp;qid=1695347133&amp;sr=8-7", "https://www.amazon.com/NordWolf-5-Piece-Laminated-Chucks-Imperial/dp/B09WKCGPH1/ref=sr_1_7?keywords=Irwin+49618+Brad+Point+Drill+Bit+5-15%2F16-in.+x+1%2F2-in.&amp;qid=1695347133&amp;sr=8-7")</f>
        <v/>
      </c>
      <c r="F386" t="inlineStr">
        <is>
          <t>B09WKCGPH1</t>
        </is>
      </c>
      <c r="G386">
        <f>_xlfn.IMAGE("https://www.toolnut.com/media/catalog/product/4/9/49618-irwin-drill-bits-wood-drill-bits-brad-point-drill-bits-primary.jpg?quality=100&amp;bg-color=255,255,255&amp;fit=bounds&amp;height=700&amp;width=700&amp;canvas=700:700&amp;dpr=1 1x")</f>
        <v/>
      </c>
      <c r="H386">
        <f>_xlfn.IMAGE("https://m.media-amazon.com/images/I/81bqH835ZfL._AC_UL320_.jpg")</f>
        <v/>
      </c>
      <c r="K386" t="inlineStr">
        <is>
          <t>8.99</t>
        </is>
      </c>
      <c r="L386" t="n">
        <v>24.99</v>
      </c>
      <c r="M386" s="2" t="inlineStr">
        <is>
          <t>177.98%</t>
        </is>
      </c>
      <c r="N386" t="n">
        <v>4.5</v>
      </c>
      <c r="O386" t="n">
        <v>235</v>
      </c>
      <c r="Q386" t="inlineStr">
        <is>
          <t>InStock</t>
        </is>
      </c>
      <c r="R386" t="inlineStr">
        <is>
          <t>undefined</t>
        </is>
      </c>
      <c r="S386" t="inlineStr">
        <is>
          <t>49618-IRWIN</t>
        </is>
      </c>
    </row>
    <row r="387" ht="75" customHeight="1">
      <c r="A387" s="1">
        <f>HYPERLINK("https://www.toolnut.com/irwin-49904-drill-bit.html", "https://www.toolnut.com/irwin-49904-drill-bit.html")</f>
        <v/>
      </c>
      <c r="B387" s="1">
        <f>HYPERLINK("https://www.toolnut.com/irwin-49904-drill-bit.html", "https://www.toolnut.com/irwin-49904-drill-bit.html")</f>
        <v/>
      </c>
      <c r="C387" t="inlineStr">
        <is>
          <t>Irwin 49904 Power Drill I-100 Auger Bit 1/4-in.</t>
        </is>
      </c>
      <c r="D387" t="inlineStr">
        <is>
          <t>IRWIN WeldTec Auger Wood Drill Bit 1-1/4" X 17" (3043015) , Black</t>
        </is>
      </c>
      <c r="E387" s="1">
        <f>HYPERLINK("https://www.amazon.com/Irwin-Tools-3043015-WeldTec-Auger/dp/B0035GQWBM/ref=sr_1_2?keywords=Irwin+49904+Power+Drill+I-100+Auger+Bit+1%2F4-in.&amp;qid=1695347116&amp;sr=8-2", "https://www.amazon.com/Irwin-Tools-3043015-WeldTec-Auger/dp/B0035GQWBM/ref=sr_1_2?keywords=Irwin+49904+Power+Drill+I-100+Auger+Bit+1%2F4-in.&amp;qid=1695347116&amp;sr=8-2")</f>
        <v/>
      </c>
      <c r="F387" t="inlineStr">
        <is>
          <t>B0035GQWBM</t>
        </is>
      </c>
      <c r="G387">
        <f>_xlfn.IMAGE("https://www.toolnut.com/media/catalog/product/4/9/49904-irwin-drill-bits-wood-drill-bits-power-drill-i-100-auger-bit-primary.jpg?quality=100&amp;bg-color=255,255,255&amp;fit=bounds&amp;height=700&amp;width=700&amp;canvas=700:700&amp;dpr=1 1x")</f>
        <v/>
      </c>
      <c r="H387">
        <f>_xlfn.IMAGE("https://m.media-amazon.com/images/I/41uAB0+740L._AC_UL320_.jpg")</f>
        <v/>
      </c>
      <c r="K387" t="inlineStr">
        <is>
          <t>9.99</t>
        </is>
      </c>
      <c r="L387" t="n">
        <v>44.5</v>
      </c>
      <c r="M387" s="2" t="inlineStr">
        <is>
          <t>345.45%</t>
        </is>
      </c>
      <c r="N387" t="n">
        <v>4.5</v>
      </c>
      <c r="O387" t="n">
        <v>21</v>
      </c>
      <c r="Q387" t="inlineStr">
        <is>
          <t>InStock</t>
        </is>
      </c>
      <c r="R387" t="inlineStr">
        <is>
          <t>undefined</t>
        </is>
      </c>
      <c r="S387" t="inlineStr">
        <is>
          <t>49904-IRWIN</t>
        </is>
      </c>
    </row>
    <row r="388" ht="75" customHeight="1">
      <c r="A388" s="1">
        <f>HYPERLINK("https://www.toolnut.com/irwin-49904-drill-bit.html", "https://www.toolnut.com/irwin-49904-drill-bit.html")</f>
        <v/>
      </c>
      <c r="B388" s="1">
        <f>HYPERLINK("https://www.toolnut.com/irwin-49904-drill-bit.html", "https://www.toolnut.com/irwin-49904-drill-bit.html")</f>
        <v/>
      </c>
      <c r="C388" t="inlineStr">
        <is>
          <t>Irwin 49904 Power Drill I-100 Auger Bit 1/4-in.</t>
        </is>
      </c>
      <c r="D388" t="inlineStr">
        <is>
          <t>IRWIN WeldTec Auger Wood Drill Bit 7/8" X 17" (3043011)</t>
        </is>
      </c>
      <c r="E388" s="1">
        <f>HYPERLINK("https://www.amazon.com/Irwin-Tools-3043011-WeldTec-Auger/dp/B002WJL3SK/ref=sr_1_7?keywords=Irwin+49904+Power+Drill+I-100+Auger+Bit+1%2F4-in.&amp;qid=1695347116&amp;sr=8-7", "https://www.amazon.com/Irwin-Tools-3043011-WeldTec-Auger/dp/B002WJL3SK/ref=sr_1_7?keywords=Irwin+49904+Power+Drill+I-100+Auger+Bit+1%2F4-in.&amp;qid=1695347116&amp;sr=8-7")</f>
        <v/>
      </c>
      <c r="F388" t="inlineStr">
        <is>
          <t>B002WJL3SK</t>
        </is>
      </c>
      <c r="G388">
        <f>_xlfn.IMAGE("https://www.toolnut.com/media/catalog/product/4/9/49904-irwin-drill-bits-wood-drill-bits-power-drill-i-100-auger-bit-primary.jpg?quality=100&amp;bg-color=255,255,255&amp;fit=bounds&amp;height=700&amp;width=700&amp;canvas=700:700&amp;dpr=1 1x")</f>
        <v/>
      </c>
      <c r="H388">
        <f>_xlfn.IMAGE("https://m.media-amazon.com/images/I/31uxDBQZyBL._AC_UL320_.jpg")</f>
        <v/>
      </c>
      <c r="K388" t="inlineStr">
        <is>
          <t>9.99</t>
        </is>
      </c>
      <c r="L388" t="n">
        <v>24.29</v>
      </c>
      <c r="M388" s="2" t="inlineStr">
        <is>
          <t>143.14%</t>
        </is>
      </c>
      <c r="N388" t="n">
        <v>4.5</v>
      </c>
      <c r="O388" t="n">
        <v>134</v>
      </c>
      <c r="Q388" t="inlineStr">
        <is>
          <t>InStock</t>
        </is>
      </c>
      <c r="R388" t="inlineStr">
        <is>
          <t>undefined</t>
        </is>
      </c>
      <c r="S388" t="inlineStr">
        <is>
          <t>49904-IRWIN</t>
        </is>
      </c>
    </row>
    <row r="389" ht="75" customHeight="1">
      <c r="A389" s="1">
        <f>HYPERLINK("https://www.toolnut.com/irwin-49904-drill-bit.html", "https://www.toolnut.com/irwin-49904-drill-bit.html")</f>
        <v/>
      </c>
      <c r="B389" s="1">
        <f>HYPERLINK("https://www.toolnut.com/irwin-49904-drill-bit.html", "https://www.toolnut.com/irwin-49904-drill-bit.html")</f>
        <v/>
      </c>
      <c r="C389" t="inlineStr">
        <is>
          <t>Irwin 49904 Power Drill I-100 Auger Bit 1/4-in.</t>
        </is>
      </c>
      <c r="D389" t="inlineStr">
        <is>
          <t>IRWIN WeldTec Auger Wood Drill Bit 3/4" X 17" (3043009)</t>
        </is>
      </c>
      <c r="E389" s="1">
        <f>HYPERLINK("https://www.amazon.com/Irwin-Tools-304300-WeldTec-Auger/dp/B002WJTV0W/ref=sr_1_9?keywords=Irwin+49904+Power+Drill+I-100+Auger+Bit+1%2F4-in.&amp;qid=1695347116&amp;sr=8-9", "https://www.amazon.com/Irwin-Tools-304300-WeldTec-Auger/dp/B002WJTV0W/ref=sr_1_9?keywords=Irwin+49904+Power+Drill+I-100+Auger+Bit+1%2F4-in.&amp;qid=1695347116&amp;sr=8-9")</f>
        <v/>
      </c>
      <c r="F389" t="inlineStr">
        <is>
          <t>B002WJTV0W</t>
        </is>
      </c>
      <c r="G389">
        <f>_xlfn.IMAGE("https://www.toolnut.com/media/catalog/product/4/9/49904-irwin-drill-bits-wood-drill-bits-power-drill-i-100-auger-bit-primary.jpg?quality=100&amp;bg-color=255,255,255&amp;fit=bounds&amp;height=700&amp;width=700&amp;canvas=700:700&amp;dpr=1 1x")</f>
        <v/>
      </c>
      <c r="H389">
        <f>_xlfn.IMAGE("https://m.media-amazon.com/images/I/51BxU5fBY2S._AC_UL320_.jpg")</f>
        <v/>
      </c>
      <c r="K389" t="inlineStr">
        <is>
          <t>9.99</t>
        </is>
      </c>
      <c r="L389" t="n">
        <v>21.92</v>
      </c>
      <c r="M389" s="2" t="inlineStr">
        <is>
          <t>119.42%</t>
        </is>
      </c>
      <c r="N389" t="n">
        <v>4.6</v>
      </c>
      <c r="O389" t="n">
        <v>197</v>
      </c>
      <c r="Q389" t="inlineStr">
        <is>
          <t>InStock</t>
        </is>
      </c>
      <c r="R389" t="inlineStr">
        <is>
          <t>undefined</t>
        </is>
      </c>
      <c r="S389" t="inlineStr">
        <is>
          <t>49904-IRWIN</t>
        </is>
      </c>
    </row>
    <row r="390" ht="75" customHeight="1">
      <c r="A390" s="1">
        <f>HYPERLINK("https://www.toolnut.com/irwin-49904-drill-bit.html", "https://www.toolnut.com/irwin-49904-drill-bit.html")</f>
        <v/>
      </c>
      <c r="B390" s="1">
        <f>HYPERLINK("https://www.toolnut.com/irwin-49904-drill-bit.html", "https://www.toolnut.com/irwin-49904-drill-bit.html")</f>
        <v/>
      </c>
      <c r="C390" t="inlineStr">
        <is>
          <t>Irwin 49904 Power Drill I-100 Auger Bit 1/4-in.</t>
        </is>
      </c>
      <c r="D390" t="inlineStr">
        <is>
          <t>Irwin Tools 49920 I-100 1-1/4-Inch Auger Bit, Silver</t>
        </is>
      </c>
      <c r="E390" s="1">
        <f>HYPERLINK("https://www.amazon.com/Irwin-Industrial-Tools-49920-4-Inch/dp/B0009XAGW0/ref=sr_1_4?keywords=Irwin+49904+Power+Drill+I-100+Auger+Bit+1%2F4-in.&amp;qid=1695347116&amp;sr=8-4", "https://www.amazon.com/Irwin-Industrial-Tools-49920-4-Inch/dp/B0009XAGW0/ref=sr_1_4?keywords=Irwin+49904+Power+Drill+I-100+Auger+Bit+1%2F4-in.&amp;qid=1695347116&amp;sr=8-4")</f>
        <v/>
      </c>
      <c r="F390" t="inlineStr">
        <is>
          <t>B0009XAGW0</t>
        </is>
      </c>
      <c r="G390">
        <f>_xlfn.IMAGE("https://www.toolnut.com/media/catalog/product/4/9/49904-irwin-drill-bits-wood-drill-bits-power-drill-i-100-auger-bit-primary.jpg?quality=100&amp;bg-color=255,255,255&amp;fit=bounds&amp;height=700&amp;width=700&amp;canvas=700:700&amp;dpr=1 1x")</f>
        <v/>
      </c>
      <c r="H390">
        <f>_xlfn.IMAGE("https://m.media-amazon.com/images/I/514Xe2sWgXL._AC_UL320_.jpg")</f>
        <v/>
      </c>
      <c r="K390" t="inlineStr">
        <is>
          <t>9.99</t>
        </is>
      </c>
      <c r="L390" t="n">
        <v>21.33</v>
      </c>
      <c r="M390" s="2" t="inlineStr">
        <is>
          <t>113.51%</t>
        </is>
      </c>
      <c r="N390" t="n">
        <v>4.8</v>
      </c>
      <c r="O390" t="n">
        <v>29</v>
      </c>
      <c r="Q390" t="inlineStr">
        <is>
          <t>InStock</t>
        </is>
      </c>
      <c r="R390" t="inlineStr">
        <is>
          <t>undefined</t>
        </is>
      </c>
      <c r="S390" t="inlineStr">
        <is>
          <t>49904-IRWIN</t>
        </is>
      </c>
    </row>
    <row r="391" ht="75" customHeight="1">
      <c r="A391" s="1">
        <f>HYPERLINK("https://www.toolnut.com/irwin-49904-drill-bit.html", "https://www.toolnut.com/irwin-49904-drill-bit.html")</f>
        <v/>
      </c>
      <c r="B391" s="1">
        <f>HYPERLINK("https://www.toolnut.com/irwin-49904-drill-bit.html", "https://www.toolnut.com/irwin-49904-drill-bit.html")</f>
        <v/>
      </c>
      <c r="C391" t="inlineStr">
        <is>
          <t>Irwin 49904 Power Drill I-100 Auger Bit 1/4-in.</t>
        </is>
      </c>
      <c r="D391" t="inlineStr">
        <is>
          <t>IRWIN WeldTec Auger Wood Drill Bit 3/8" X 17" (3043004)</t>
        </is>
      </c>
      <c r="E391" s="1">
        <f>HYPERLINK("https://www.amazon.com/Irwin-Tools-3043004-WeldTech-Auger/dp/B002WJSVSA/ref=sr_1_5?keywords=Irwin+49904+Power+Drill+I-100+Auger+Bit+1%2F4-in.&amp;qid=1695347116&amp;sr=8-5", "https://www.amazon.com/Irwin-Tools-3043004-WeldTech-Auger/dp/B002WJSVSA/ref=sr_1_5?keywords=Irwin+49904+Power+Drill+I-100+Auger+Bit+1%2F4-in.&amp;qid=1695347116&amp;sr=8-5")</f>
        <v/>
      </c>
      <c r="F391" t="inlineStr">
        <is>
          <t>B002WJSVSA</t>
        </is>
      </c>
      <c r="G391">
        <f>_xlfn.IMAGE("https://www.toolnut.com/media/catalog/product/4/9/49904-irwin-drill-bits-wood-drill-bits-power-drill-i-100-auger-bit-primary.jpg?quality=100&amp;bg-color=255,255,255&amp;fit=bounds&amp;height=700&amp;width=700&amp;canvas=700:700&amp;dpr=1 1x")</f>
        <v/>
      </c>
      <c r="H391">
        <f>_xlfn.IMAGE("https://m.media-amazon.com/images/I/41QeCeAteoL._AC_UL320_.jpg")</f>
        <v/>
      </c>
      <c r="K391" t="inlineStr">
        <is>
          <t>9.99</t>
        </is>
      </c>
      <c r="L391" t="n">
        <v>17.76</v>
      </c>
      <c r="M391" s="2" t="inlineStr">
        <is>
          <t>77.78%</t>
        </is>
      </c>
      <c r="N391" t="n">
        <v>4.6</v>
      </c>
      <c r="O391" t="n">
        <v>74</v>
      </c>
      <c r="Q391" t="inlineStr">
        <is>
          <t>InStock</t>
        </is>
      </c>
      <c r="R391" t="inlineStr">
        <is>
          <t>undefined</t>
        </is>
      </c>
      <c r="S391" t="inlineStr">
        <is>
          <t>49904-IRWIN</t>
        </is>
      </c>
    </row>
    <row r="392" ht="75" customHeight="1">
      <c r="A392" s="1">
        <f>HYPERLINK("https://www.toolnut.com/irwin-49904-drill-bit.html", "https://www.toolnut.com/irwin-49904-drill-bit.html")</f>
        <v/>
      </c>
      <c r="B392" s="1">
        <f>HYPERLINK("https://www.toolnut.com/irwin-49904-drill-bit.html", "https://www.toolnut.com/irwin-49904-drill-bit.html")</f>
        <v/>
      </c>
      <c r="C392" t="inlineStr">
        <is>
          <t>Irwin 49904 Power Drill I-100 Auger Bit 1/4-in.</t>
        </is>
      </c>
      <c r="D392" t="inlineStr">
        <is>
          <t>IRWIN WeldTec Auger Wood Drill Bit 5/8" X 17" (3043007)</t>
        </is>
      </c>
      <c r="E392" s="1">
        <f>HYPERLINK("https://www.amazon.com/Irwin-Tools-3043007-WeldTec-Auger/dp/B002WJN57W/ref=sr_1_6?keywords=Irwin+49904+Power+Drill+I-100+Auger+Bit+1%2F4-in.&amp;qid=1695347116&amp;sr=8-6", "https://www.amazon.com/Irwin-Tools-3043007-WeldTec-Auger/dp/B002WJN57W/ref=sr_1_6?keywords=Irwin+49904+Power+Drill+I-100+Auger+Bit+1%2F4-in.&amp;qid=1695347116&amp;sr=8-6")</f>
        <v/>
      </c>
      <c r="F392" t="inlineStr">
        <is>
          <t>B002WJN57W</t>
        </is>
      </c>
      <c r="G392">
        <f>_xlfn.IMAGE("https://www.toolnut.com/media/catalog/product/4/9/49904-irwin-drill-bits-wood-drill-bits-power-drill-i-100-auger-bit-primary.jpg?quality=100&amp;bg-color=255,255,255&amp;fit=bounds&amp;height=700&amp;width=700&amp;canvas=700:700&amp;dpr=1 1x")</f>
        <v/>
      </c>
      <c r="H392">
        <f>_xlfn.IMAGE("https://m.media-amazon.com/images/I/31-YD3p-AfS._AC_UL320_.jpg")</f>
        <v/>
      </c>
      <c r="K392" t="inlineStr">
        <is>
          <t>9.99</t>
        </is>
      </c>
      <c r="L392" t="n">
        <v>16.97</v>
      </c>
      <c r="M392" s="2" t="inlineStr">
        <is>
          <t>69.87%</t>
        </is>
      </c>
      <c r="N392" t="n">
        <v>4.7</v>
      </c>
      <c r="O392" t="n">
        <v>169</v>
      </c>
      <c r="Q392" t="inlineStr">
        <is>
          <t>InStock</t>
        </is>
      </c>
      <c r="R392" t="inlineStr">
        <is>
          <t>undefined</t>
        </is>
      </c>
      <c r="S392" t="inlineStr">
        <is>
          <t>49904-IRWIN</t>
        </is>
      </c>
    </row>
    <row r="393" ht="75" customHeight="1">
      <c r="A393" s="1">
        <f>HYPERLINK("https://www.toolnut.com/irwin-49904-drill-bit.html", "https://www.toolnut.com/irwin-49904-drill-bit.html")</f>
        <v/>
      </c>
      <c r="B393" s="1">
        <f>HYPERLINK("https://www.toolnut.com/irwin-49904-drill-bit.html", "https://www.toolnut.com/irwin-49904-drill-bit.html")</f>
        <v/>
      </c>
      <c r="C393" t="inlineStr">
        <is>
          <t>Irwin 49904 Power Drill I-100 Auger Bit 1/4-in.</t>
        </is>
      </c>
      <c r="D393" t="inlineStr">
        <is>
          <t>IRWIN WeldTec Auger Wood Drill Bit 7/8" X 17" (3043011)</t>
        </is>
      </c>
      <c r="E393" s="1">
        <f>HYPERLINK("https://www.amazon.com/Irwin-Tools-3043011-WeldTec-Auger/dp/B002WJL3SK/ref=sr_1_7?keywords=Irwin+49904+Power+Drill+I-100+Auger+Bit+1%2F4-in.&amp;qid=1695347116&amp;sr=8-7", "https://www.amazon.com/Irwin-Tools-3043011-WeldTec-Auger/dp/B002WJL3SK/ref=sr_1_7?keywords=Irwin+49904+Power+Drill+I-100+Auger+Bit+1%2F4-in.&amp;qid=1695347116&amp;sr=8-7")</f>
        <v/>
      </c>
      <c r="F393" t="inlineStr">
        <is>
          <t>B002WJL3SK</t>
        </is>
      </c>
      <c r="G393">
        <f>_xlfn.IMAGE("https://www.toolnut.com/media/catalog/product/4/9/49904-irwin-drill-bits-wood-drill-bits-power-drill-i-100-auger-bit-primary.jpg?quality=100&amp;bg-color=255,255,255&amp;fit=bounds&amp;height=700&amp;width=700&amp;canvas=700:700&amp;dpr=1 1x")</f>
        <v/>
      </c>
      <c r="H393">
        <f>_xlfn.IMAGE("https://m.media-amazon.com/images/I/31uxDBQZyBL._AC_UL320_.jpg")</f>
        <v/>
      </c>
      <c r="K393" t="inlineStr">
        <is>
          <t>9.99</t>
        </is>
      </c>
      <c r="L393" t="n">
        <v>24.29</v>
      </c>
      <c r="M393" s="2" t="inlineStr">
        <is>
          <t>143.14%</t>
        </is>
      </c>
      <c r="N393" t="n">
        <v>4.5</v>
      </c>
      <c r="O393" t="n">
        <v>134</v>
      </c>
      <c r="Q393" t="inlineStr">
        <is>
          <t>InStock</t>
        </is>
      </c>
      <c r="R393" t="inlineStr">
        <is>
          <t>undefined</t>
        </is>
      </c>
      <c r="S393" t="inlineStr">
        <is>
          <t>49904-IRWIN</t>
        </is>
      </c>
    </row>
    <row r="394" ht="75" customHeight="1">
      <c r="A394" s="1">
        <f>HYPERLINK("https://www.toolnut.com/irwin-49904-drill-bit.html", "https://www.toolnut.com/irwin-49904-drill-bit.html")</f>
        <v/>
      </c>
      <c r="B394" s="1">
        <f>HYPERLINK("https://www.toolnut.com/irwin-49904-drill-bit.html", "https://www.toolnut.com/irwin-49904-drill-bit.html")</f>
        <v/>
      </c>
      <c r="C394" t="inlineStr">
        <is>
          <t>Irwin 49904 Power Drill I-100 Auger Bit 1/4-in.</t>
        </is>
      </c>
      <c r="D394" t="inlineStr">
        <is>
          <t>IRWIN WeldTec Auger Wood Drill Bit 3/4" X 17" (3043009)</t>
        </is>
      </c>
      <c r="E394" s="1">
        <f>HYPERLINK("https://www.amazon.com/Irwin-Tools-304300-WeldTec-Auger/dp/B002WJTV0W/ref=sr_1_9?keywords=Irwin+49904+Power+Drill+I-100+Auger+Bit+1%2F4-in.&amp;qid=1695347116&amp;sr=8-9", "https://www.amazon.com/Irwin-Tools-304300-WeldTec-Auger/dp/B002WJTV0W/ref=sr_1_9?keywords=Irwin+49904+Power+Drill+I-100+Auger+Bit+1%2F4-in.&amp;qid=1695347116&amp;sr=8-9")</f>
        <v/>
      </c>
      <c r="F394" t="inlineStr">
        <is>
          <t>B002WJTV0W</t>
        </is>
      </c>
      <c r="G394">
        <f>_xlfn.IMAGE("https://www.toolnut.com/media/catalog/product/4/9/49904-irwin-drill-bits-wood-drill-bits-power-drill-i-100-auger-bit-primary.jpg?quality=100&amp;bg-color=255,255,255&amp;fit=bounds&amp;height=700&amp;width=700&amp;canvas=700:700&amp;dpr=1 1x")</f>
        <v/>
      </c>
      <c r="H394">
        <f>_xlfn.IMAGE("https://m.media-amazon.com/images/I/51BxU5fBY2S._AC_UL320_.jpg")</f>
        <v/>
      </c>
      <c r="K394" t="inlineStr">
        <is>
          <t>9.99</t>
        </is>
      </c>
      <c r="L394" t="n">
        <v>21.92</v>
      </c>
      <c r="M394" s="2" t="inlineStr">
        <is>
          <t>119.42%</t>
        </is>
      </c>
      <c r="N394" t="n">
        <v>4.6</v>
      </c>
      <c r="O394" t="n">
        <v>197</v>
      </c>
      <c r="Q394" t="inlineStr">
        <is>
          <t>InStock</t>
        </is>
      </c>
      <c r="R394" t="inlineStr">
        <is>
          <t>undefined</t>
        </is>
      </c>
      <c r="S394" t="inlineStr">
        <is>
          <t>49904-IRWIN</t>
        </is>
      </c>
    </row>
    <row r="395" ht="75" customHeight="1">
      <c r="A395" s="1">
        <f>HYPERLINK("https://www.toolnut.com/irwin-49904-drill-bit.html", "https://www.toolnut.com/irwin-49904-drill-bit.html")</f>
        <v/>
      </c>
      <c r="B395" s="1">
        <f>HYPERLINK("https://www.toolnut.com/irwin-49904-drill-bit.html", "https://www.toolnut.com/irwin-49904-drill-bit.html")</f>
        <v/>
      </c>
      <c r="C395" t="inlineStr">
        <is>
          <t>Irwin 49904 Power Drill I-100 Auger Bit 1/4-in.</t>
        </is>
      </c>
      <c r="D395" t="inlineStr">
        <is>
          <t>Irwin Tools 49920 I-100 1-1/4-Inch Auger Bit, Silver</t>
        </is>
      </c>
      <c r="E395" s="1">
        <f>HYPERLINK("https://www.amazon.com/Irwin-Industrial-Tools-49920-4-Inch/dp/B0009XAGW0/ref=sr_1_4?keywords=Irwin+49904+Power+Drill+I-100+Auger+Bit+1%2F4-in.&amp;qid=1695347116&amp;sr=8-4", "https://www.amazon.com/Irwin-Industrial-Tools-49920-4-Inch/dp/B0009XAGW0/ref=sr_1_4?keywords=Irwin+49904+Power+Drill+I-100+Auger+Bit+1%2F4-in.&amp;qid=1695347116&amp;sr=8-4")</f>
        <v/>
      </c>
      <c r="F395" t="inlineStr">
        <is>
          <t>B0009XAGW0</t>
        </is>
      </c>
      <c r="G395">
        <f>_xlfn.IMAGE("https://www.toolnut.com/media/catalog/product/4/9/49904-irwin-drill-bits-wood-drill-bits-power-drill-i-100-auger-bit-primary.jpg?quality=100&amp;bg-color=255,255,255&amp;fit=bounds&amp;height=700&amp;width=700&amp;canvas=700:700&amp;dpr=1 1x")</f>
        <v/>
      </c>
      <c r="H395">
        <f>_xlfn.IMAGE("https://m.media-amazon.com/images/I/514Xe2sWgXL._AC_UL320_.jpg")</f>
        <v/>
      </c>
      <c r="K395" t="inlineStr">
        <is>
          <t>9.99</t>
        </is>
      </c>
      <c r="L395" t="n">
        <v>21.33</v>
      </c>
      <c r="M395" s="2" t="inlineStr">
        <is>
          <t>113.51%</t>
        </is>
      </c>
      <c r="N395" t="n">
        <v>4.8</v>
      </c>
      <c r="O395" t="n">
        <v>29</v>
      </c>
      <c r="Q395" t="inlineStr">
        <is>
          <t>InStock</t>
        </is>
      </c>
      <c r="R395" t="inlineStr">
        <is>
          <t>undefined</t>
        </is>
      </c>
      <c r="S395" t="inlineStr">
        <is>
          <t>49904-IRWIN</t>
        </is>
      </c>
    </row>
    <row r="396" ht="75" customHeight="1">
      <c r="A396" s="1">
        <f>HYPERLINK("https://www.toolnut.com/irwin-49904-drill-bit.html", "https://www.toolnut.com/irwin-49904-drill-bit.html")</f>
        <v/>
      </c>
      <c r="B396" s="1">
        <f>HYPERLINK("https://www.toolnut.com/irwin-49904-drill-bit.html", "https://www.toolnut.com/irwin-49904-drill-bit.html")</f>
        <v/>
      </c>
      <c r="C396" t="inlineStr">
        <is>
          <t>Irwin 49904 Power Drill I-100 Auger Bit 1/4-in.</t>
        </is>
      </c>
      <c r="D396" t="inlineStr">
        <is>
          <t>IRWIN WeldTec Auger Wood Drill Bit 3/8" X 17" (3043004)</t>
        </is>
      </c>
      <c r="E396" s="1">
        <f>HYPERLINK("https://www.amazon.com/Irwin-Tools-3043004-WeldTech-Auger/dp/B002WJSVSA/ref=sr_1_5?keywords=Irwin+49904+Power+Drill+I-100+Auger+Bit+1%2F4-in.&amp;qid=1695347116&amp;sr=8-5", "https://www.amazon.com/Irwin-Tools-3043004-WeldTech-Auger/dp/B002WJSVSA/ref=sr_1_5?keywords=Irwin+49904+Power+Drill+I-100+Auger+Bit+1%2F4-in.&amp;qid=1695347116&amp;sr=8-5")</f>
        <v/>
      </c>
      <c r="F396" t="inlineStr">
        <is>
          <t>B002WJSVSA</t>
        </is>
      </c>
      <c r="G396">
        <f>_xlfn.IMAGE("https://www.toolnut.com/media/catalog/product/4/9/49904-irwin-drill-bits-wood-drill-bits-power-drill-i-100-auger-bit-primary.jpg?quality=100&amp;bg-color=255,255,255&amp;fit=bounds&amp;height=700&amp;width=700&amp;canvas=700:700&amp;dpr=1 1x")</f>
        <v/>
      </c>
      <c r="H396">
        <f>_xlfn.IMAGE("https://m.media-amazon.com/images/I/41QeCeAteoL._AC_UL320_.jpg")</f>
        <v/>
      </c>
      <c r="K396" t="inlineStr">
        <is>
          <t>9.99</t>
        </is>
      </c>
      <c r="L396" t="n">
        <v>17.76</v>
      </c>
      <c r="M396" s="2" t="inlineStr">
        <is>
          <t>77.78%</t>
        </is>
      </c>
      <c r="N396" t="n">
        <v>4.6</v>
      </c>
      <c r="O396" t="n">
        <v>74</v>
      </c>
      <c r="Q396" t="inlineStr">
        <is>
          <t>InStock</t>
        </is>
      </c>
      <c r="R396" t="inlineStr">
        <is>
          <t>undefined</t>
        </is>
      </c>
      <c r="S396" t="inlineStr">
        <is>
          <t>49904-IRWIN</t>
        </is>
      </c>
    </row>
    <row r="397" ht="75" customHeight="1">
      <c r="A397" s="1">
        <f>HYPERLINK("https://www.toolnut.com/irwin-49904-drill-bit.html", "https://www.toolnut.com/irwin-49904-drill-bit.html")</f>
        <v/>
      </c>
      <c r="B397" s="1">
        <f>HYPERLINK("https://www.toolnut.com/irwin-49904-drill-bit.html", "https://www.toolnut.com/irwin-49904-drill-bit.html")</f>
        <v/>
      </c>
      <c r="C397" t="inlineStr">
        <is>
          <t>Irwin 49904 Power Drill I-100 Auger Bit 1/4-in.</t>
        </is>
      </c>
      <c r="D397" t="inlineStr">
        <is>
          <t>IRWIN WeldTec Auger Wood Drill Bit 5/8" X 17" (3043007)</t>
        </is>
      </c>
      <c r="E397" s="1">
        <f>HYPERLINK("https://www.amazon.com/Irwin-Tools-3043007-WeldTec-Auger/dp/B002WJN57W/ref=sr_1_6?keywords=Irwin+49904+Power+Drill+I-100+Auger+Bit+1%2F4-in.&amp;qid=1695347116&amp;sr=8-6", "https://www.amazon.com/Irwin-Tools-3043007-WeldTec-Auger/dp/B002WJN57W/ref=sr_1_6?keywords=Irwin+49904+Power+Drill+I-100+Auger+Bit+1%2F4-in.&amp;qid=1695347116&amp;sr=8-6")</f>
        <v/>
      </c>
      <c r="F397" t="inlineStr">
        <is>
          <t>B002WJN57W</t>
        </is>
      </c>
      <c r="G397">
        <f>_xlfn.IMAGE("https://www.toolnut.com/media/catalog/product/4/9/49904-irwin-drill-bits-wood-drill-bits-power-drill-i-100-auger-bit-primary.jpg?quality=100&amp;bg-color=255,255,255&amp;fit=bounds&amp;height=700&amp;width=700&amp;canvas=700:700&amp;dpr=1 1x")</f>
        <v/>
      </c>
      <c r="H397">
        <f>_xlfn.IMAGE("https://m.media-amazon.com/images/I/31-YD3p-AfS._AC_UL320_.jpg")</f>
        <v/>
      </c>
      <c r="K397" t="inlineStr">
        <is>
          <t>9.99</t>
        </is>
      </c>
      <c r="L397" t="n">
        <v>16.97</v>
      </c>
      <c r="M397" s="2" t="inlineStr">
        <is>
          <t>69.87%</t>
        </is>
      </c>
      <c r="N397" t="n">
        <v>4.7</v>
      </c>
      <c r="O397" t="n">
        <v>169</v>
      </c>
      <c r="Q397" t="inlineStr">
        <is>
          <t>InStock</t>
        </is>
      </c>
      <c r="R397" t="inlineStr">
        <is>
          <t>undefined</t>
        </is>
      </c>
      <c r="S397" t="inlineStr">
        <is>
          <t>49904-IRWIN</t>
        </is>
      </c>
    </row>
    <row r="398" ht="75" customHeight="1">
      <c r="A398" s="1">
        <f>HYPERLINK("https://www.toolnut.com/irwin-49906-drill-bit.html", "https://www.toolnut.com/irwin-49906-drill-bit.html")</f>
        <v/>
      </c>
      <c r="B398" s="1">
        <f>HYPERLINK("https://www.toolnut.com/irwin-49906-drill-bit.html", "https://www.toolnut.com/irwin-49906-drill-bit.html")</f>
        <v/>
      </c>
      <c r="C398" t="inlineStr">
        <is>
          <t>Irwin 49906 Power Drill I-100 Auger Bit 3/8-in.</t>
        </is>
      </c>
      <c r="D398" t="inlineStr">
        <is>
          <t>IRWIN WeldTec Auger Wood Drill Bit 3/8" X 17" (3043004)</t>
        </is>
      </c>
      <c r="E398" s="1">
        <f>HYPERLINK("https://www.amazon.com/Irwin-Tools-3043004-WeldTech-Auger/dp/B002WJSVSA/ref=sr_1_2?keywords=Irwin+49906+Power+Drill+I-100+Auger+Bit+3%2F8-in.&amp;qid=1695347118&amp;sr=8-2", "https://www.amazon.com/Irwin-Tools-3043004-WeldTech-Auger/dp/B002WJSVSA/ref=sr_1_2?keywords=Irwin+49906+Power+Drill+I-100+Auger+Bit+3%2F8-in.&amp;qid=1695347118&amp;sr=8-2")</f>
        <v/>
      </c>
      <c r="F398" t="inlineStr">
        <is>
          <t>B002WJSVSA</t>
        </is>
      </c>
      <c r="G398">
        <f>_xlfn.IMAGE("https://www.toolnut.com/media/catalog/product/4/9/49906-irwin-drill-bits-wood-drill-bits-power-drill-i-100-auger-bit-primary.jpg?quality=100&amp;bg-color=255,255,255&amp;fit=bounds&amp;height=700&amp;width=700&amp;canvas=700:700&amp;dpr=1 1x")</f>
        <v/>
      </c>
      <c r="H398">
        <f>_xlfn.IMAGE("https://m.media-amazon.com/images/I/41QeCeAteoL._AC_UL320_.jpg")</f>
        <v/>
      </c>
      <c r="K398" t="inlineStr">
        <is>
          <t>10.19</t>
        </is>
      </c>
      <c r="L398" t="n">
        <v>17.76</v>
      </c>
      <c r="M398" s="2" t="inlineStr">
        <is>
          <t>74.29%</t>
        </is>
      </c>
      <c r="N398" t="n">
        <v>4.6</v>
      </c>
      <c r="O398" t="n">
        <v>74</v>
      </c>
      <c r="Q398" t="inlineStr">
        <is>
          <t>InStock</t>
        </is>
      </c>
      <c r="R398" t="inlineStr">
        <is>
          <t>undefined</t>
        </is>
      </c>
      <c r="S398" t="inlineStr">
        <is>
          <t>49906-IRWIN</t>
        </is>
      </c>
    </row>
    <row r="399" ht="75" customHeight="1">
      <c r="A399" s="1">
        <f>HYPERLINK("https://www.toolnut.com/irwin-49906-drill-bit.html", "https://www.toolnut.com/irwin-49906-drill-bit.html")</f>
        <v/>
      </c>
      <c r="B399" s="1">
        <f>HYPERLINK("https://www.toolnut.com/irwin-49906-drill-bit.html", "https://www.toolnut.com/irwin-49906-drill-bit.html")</f>
        <v/>
      </c>
      <c r="C399" t="inlineStr">
        <is>
          <t>Irwin 49906 Power Drill I-100 Auger Bit 3/8-in.</t>
        </is>
      </c>
      <c r="D399" t="inlineStr">
        <is>
          <t>IRWIN WeldTec Auger Wood Drill Bit 3/8" X 17" (3043004)</t>
        </is>
      </c>
      <c r="E399" s="1">
        <f>HYPERLINK("https://www.amazon.com/Irwin-Tools-3043004-WeldTech-Auger/dp/B002WJSVSA/ref=sr_1_2?keywords=Irwin+49906+Power+Drill+I-100+Auger+Bit+3%2F8-in.&amp;qid=1695347118&amp;sr=8-2", "https://www.amazon.com/Irwin-Tools-3043004-WeldTech-Auger/dp/B002WJSVSA/ref=sr_1_2?keywords=Irwin+49906+Power+Drill+I-100+Auger+Bit+3%2F8-in.&amp;qid=1695347118&amp;sr=8-2")</f>
        <v/>
      </c>
      <c r="F399" t="inlineStr">
        <is>
          <t>B002WJSVSA</t>
        </is>
      </c>
      <c r="G399">
        <f>_xlfn.IMAGE("https://www.toolnut.com/media/catalog/product/4/9/49906-irwin-drill-bits-wood-drill-bits-power-drill-i-100-auger-bit-primary.jpg?quality=100&amp;bg-color=255,255,255&amp;fit=bounds&amp;height=700&amp;width=700&amp;canvas=700:700&amp;dpr=1 1x")</f>
        <v/>
      </c>
      <c r="H399">
        <f>_xlfn.IMAGE("https://m.media-amazon.com/images/I/41QeCeAteoL._AC_UL320_.jpg")</f>
        <v/>
      </c>
      <c r="K399" t="inlineStr">
        <is>
          <t>10.19</t>
        </is>
      </c>
      <c r="L399" t="n">
        <v>17.76</v>
      </c>
      <c r="M399" s="2" t="inlineStr">
        <is>
          <t>74.29%</t>
        </is>
      </c>
      <c r="N399" t="n">
        <v>4.6</v>
      </c>
      <c r="O399" t="n">
        <v>74</v>
      </c>
      <c r="Q399" t="inlineStr">
        <is>
          <t>InStock</t>
        </is>
      </c>
      <c r="R399" t="inlineStr">
        <is>
          <t>undefined</t>
        </is>
      </c>
      <c r="S399" t="inlineStr">
        <is>
          <t>49906-IRWIN</t>
        </is>
      </c>
    </row>
    <row r="400" ht="75" customHeight="1">
      <c r="A400" s="1">
        <f>HYPERLINK("https://www.toolnut.com/irwin-49908-drill-bit.html", "https://www.toolnut.com/irwin-49908-drill-bit.html")</f>
        <v/>
      </c>
      <c r="B400" s="1">
        <f>HYPERLINK("https://www.toolnut.com/irwin-49908-drill-bit.html", "https://www.toolnut.com/irwin-49908-drill-bit.html")</f>
        <v/>
      </c>
      <c r="C400" t="inlineStr">
        <is>
          <t>Irwin 49908 Power Drill I-100 Auger Bit 1/2-in.</t>
        </is>
      </c>
      <c r="D400" t="inlineStr">
        <is>
          <t>IRWIN WeldTec Auger Wood Drill Bit 1/2" X 7.5" (1779137)</t>
        </is>
      </c>
      <c r="E400" s="1">
        <f>HYPERLINK("https://www.amazon.com/Irwin-Tools-1779137-Auger-WeldTec/dp/B00C3I64VG/ref=sr_1_4?keywords=Irwin+49908+Power+Drill+I-100+Auger+Bit+1%2F2-in.&amp;qid=1695347157&amp;sr=8-4", "https://www.amazon.com/Irwin-Tools-1779137-Auger-WeldTec/dp/B00C3I64VG/ref=sr_1_4?keywords=Irwin+49908+Power+Drill+I-100+Auger+Bit+1%2F2-in.&amp;qid=1695347157&amp;sr=8-4")</f>
        <v/>
      </c>
      <c r="F400" t="inlineStr">
        <is>
          <t>B00C3I64VG</t>
        </is>
      </c>
      <c r="G400">
        <f>_xlfn.IMAGE("https://www.toolnut.com/media/catalog/product/4/9/49908-irwin-drill-bits-wood-drill-bits-power-drill-i-100-auger-bit-primary-01.jpg?quality=100&amp;bg-color=255,255,255&amp;fit=bounds&amp;height=700&amp;width=700&amp;canvas=700:700&amp;dpr=1 1x")</f>
        <v/>
      </c>
      <c r="H400">
        <f>_xlfn.IMAGE("https://m.media-amazon.com/images/I/71X8IRAYaQL._AC_UL320_.jpg")</f>
        <v/>
      </c>
      <c r="K400" t="inlineStr">
        <is>
          <t>9.99</t>
        </is>
      </c>
      <c r="L400" t="n">
        <v>19.98</v>
      </c>
      <c r="M400" s="2" t="inlineStr">
        <is>
          <t>100.00%</t>
        </is>
      </c>
      <c r="N400" t="n">
        <v>4.6</v>
      </c>
      <c r="O400" t="n">
        <v>100</v>
      </c>
      <c r="Q400" t="inlineStr">
        <is>
          <t>InStock</t>
        </is>
      </c>
      <c r="R400" t="inlineStr">
        <is>
          <t>undefined</t>
        </is>
      </c>
      <c r="S400" t="inlineStr">
        <is>
          <t>49908-IRWIN</t>
        </is>
      </c>
    </row>
    <row r="401" ht="75" customHeight="1">
      <c r="A401" s="1">
        <f>HYPERLINK("https://www.toolnut.com/irwin-49908-drill-bit.html", "https://www.toolnut.com/irwin-49908-drill-bit.html")</f>
        <v/>
      </c>
      <c r="B401" s="1">
        <f>HYPERLINK("https://www.toolnut.com/irwin-49908-drill-bit.html", "https://www.toolnut.com/irwin-49908-drill-bit.html")</f>
        <v/>
      </c>
      <c r="C401" t="inlineStr">
        <is>
          <t>Irwin 49908 Power Drill I-100 Auger Bit 1/2-in.</t>
        </is>
      </c>
      <c r="D401" t="inlineStr">
        <is>
          <t>IRWIN Auger Drill Bit for Wood 1/2 in. x 7.5 in. (IWAX3015)</t>
        </is>
      </c>
      <c r="E401" s="1">
        <f>HYPERLINK("https://www.amazon.com/IRWIN-IWAX3015-Auger-Speedbor-Supreme/dp/B09G8HW9GH/ref=sr_1_3?keywords=Irwin+49908+Power+Drill+I-100+Auger+Bit+1%2F2-in.&amp;qid=1695347157&amp;sr=8-3", "https://www.amazon.com/IRWIN-IWAX3015-Auger-Speedbor-Supreme/dp/B09G8HW9GH/ref=sr_1_3?keywords=Irwin+49908+Power+Drill+I-100+Auger+Bit+1%2F2-in.&amp;qid=1695347157&amp;sr=8-3")</f>
        <v/>
      </c>
      <c r="F401" t="inlineStr">
        <is>
          <t>B09G8HW9GH</t>
        </is>
      </c>
      <c r="G401">
        <f>_xlfn.IMAGE("https://www.toolnut.com/media/catalog/product/4/9/49908-irwin-drill-bits-wood-drill-bits-power-drill-i-100-auger-bit-primary-01.jpg?quality=100&amp;bg-color=255,255,255&amp;fit=bounds&amp;height=700&amp;width=700&amp;canvas=700:700&amp;dpr=1 1x")</f>
        <v/>
      </c>
      <c r="H401">
        <f>_xlfn.IMAGE("https://m.media-amazon.com/images/I/41J9Kacxf0L._AC_UL320_.jpg")</f>
        <v/>
      </c>
      <c r="K401" t="inlineStr">
        <is>
          <t>9.99</t>
        </is>
      </c>
      <c r="L401" t="n">
        <v>19.9</v>
      </c>
      <c r="M401" s="2" t="inlineStr">
        <is>
          <t>99.20%</t>
        </is>
      </c>
      <c r="N401" t="n">
        <v>5</v>
      </c>
      <c r="O401" t="n">
        <v>7</v>
      </c>
      <c r="Q401" t="inlineStr">
        <is>
          <t>InStock</t>
        </is>
      </c>
      <c r="R401" t="inlineStr">
        <is>
          <t>undefined</t>
        </is>
      </c>
      <c r="S401" t="inlineStr">
        <is>
          <t>49908-IRWIN</t>
        </is>
      </c>
    </row>
    <row r="402" ht="75" customHeight="1">
      <c r="A402" s="1">
        <f>HYPERLINK("https://www.toolnut.com/irwin-49908-drill-bit.html", "https://www.toolnut.com/irwin-49908-drill-bit.html")</f>
        <v/>
      </c>
      <c r="B402" s="1">
        <f>HYPERLINK("https://www.toolnut.com/irwin-49908-drill-bit.html", "https://www.toolnut.com/irwin-49908-drill-bit.html")</f>
        <v/>
      </c>
      <c r="C402" t="inlineStr">
        <is>
          <t>Irwin 49908 Power Drill I-100 Auger Bit 1/2-in.</t>
        </is>
      </c>
      <c r="D402" t="inlineStr">
        <is>
          <t>IRWIN WeldTec Auger Wood Drill Bit 1/2" X 17" (3043005)</t>
        </is>
      </c>
      <c r="E402" s="1">
        <f>HYPERLINK("https://www.amazon.com/Irwin-Tools-30430051-WeldTec-Silver/dp/B002WJGZRY/ref=sr_1_2?keywords=Irwin+49908+Power+Drill+I-100+Auger+Bit+1%2F2-in.&amp;qid=1695347157&amp;sr=8-2", "https://www.amazon.com/Irwin-Tools-30430051-WeldTec-Silver/dp/B002WJGZRY/ref=sr_1_2?keywords=Irwin+49908+Power+Drill+I-100+Auger+Bit+1%2F2-in.&amp;qid=1695347157&amp;sr=8-2")</f>
        <v/>
      </c>
      <c r="F402" t="inlineStr">
        <is>
          <t>B002WJGZRY</t>
        </is>
      </c>
      <c r="G402">
        <f>_xlfn.IMAGE("https://www.toolnut.com/media/catalog/product/4/9/49908-irwin-drill-bits-wood-drill-bits-power-drill-i-100-auger-bit-primary-01.jpg?quality=100&amp;bg-color=255,255,255&amp;fit=bounds&amp;height=700&amp;width=700&amp;canvas=700:700&amp;dpr=1 1x")</f>
        <v/>
      </c>
      <c r="H402">
        <f>_xlfn.IMAGE("https://m.media-amazon.com/images/I/31-2SHMCuNL._AC_UL320_.jpg")</f>
        <v/>
      </c>
      <c r="K402" t="inlineStr">
        <is>
          <t>9.99</t>
        </is>
      </c>
      <c r="L402" t="n">
        <v>17.94</v>
      </c>
      <c r="M402" s="2" t="inlineStr">
        <is>
          <t>79.58%</t>
        </is>
      </c>
      <c r="N402" t="n">
        <v>4.6</v>
      </c>
      <c r="O402" t="n">
        <v>71</v>
      </c>
      <c r="Q402" t="inlineStr">
        <is>
          <t>InStock</t>
        </is>
      </c>
      <c r="R402" t="inlineStr">
        <is>
          <t>undefined</t>
        </is>
      </c>
      <c r="S402" t="inlineStr">
        <is>
          <t>49908-IRWIN</t>
        </is>
      </c>
    </row>
    <row r="403" ht="75" customHeight="1">
      <c r="A403" s="1">
        <f>HYPERLINK("https://www.toolnut.com/irwin-49908-drill-bit.html", "https://www.toolnut.com/irwin-49908-drill-bit.html")</f>
        <v/>
      </c>
      <c r="B403" s="1">
        <f>HYPERLINK("https://www.toolnut.com/irwin-49908-drill-bit.html", "https://www.toolnut.com/irwin-49908-drill-bit.html")</f>
        <v/>
      </c>
      <c r="C403" t="inlineStr">
        <is>
          <t>Irwin 49908 Power Drill I-100 Auger Bit 1/2-in.</t>
        </is>
      </c>
      <c r="D403" t="inlineStr">
        <is>
          <t>IRWIN WeldTec Auger Wood Drill Bit 1/2" X 7.5" (1779137)</t>
        </is>
      </c>
      <c r="E403" s="1">
        <f>HYPERLINK("https://www.amazon.com/Irwin-Tools-1779137-Auger-WeldTec/dp/B00C3I64VG/ref=sr_1_4?keywords=Irwin+49908+Power+Drill+I-100+Auger+Bit+1%2F2-in.&amp;qid=1695347157&amp;sr=8-4", "https://www.amazon.com/Irwin-Tools-1779137-Auger-WeldTec/dp/B00C3I64VG/ref=sr_1_4?keywords=Irwin+49908+Power+Drill+I-100+Auger+Bit+1%2F2-in.&amp;qid=1695347157&amp;sr=8-4")</f>
        <v/>
      </c>
      <c r="F403" t="inlineStr">
        <is>
          <t>B00C3I64VG</t>
        </is>
      </c>
      <c r="G403">
        <f>_xlfn.IMAGE("https://www.toolnut.com/media/catalog/product/4/9/49908-irwin-drill-bits-wood-drill-bits-power-drill-i-100-auger-bit-primary-01.jpg?quality=100&amp;bg-color=255,255,255&amp;fit=bounds&amp;height=700&amp;width=700&amp;canvas=700:700&amp;dpr=1 1x")</f>
        <v/>
      </c>
      <c r="H403">
        <f>_xlfn.IMAGE("https://m.media-amazon.com/images/I/71X8IRAYaQL._AC_UL320_.jpg")</f>
        <v/>
      </c>
      <c r="K403" t="inlineStr">
        <is>
          <t>9.99</t>
        </is>
      </c>
      <c r="L403" t="n">
        <v>19.98</v>
      </c>
      <c r="M403" s="2" t="inlineStr">
        <is>
          <t>100.00%</t>
        </is>
      </c>
      <c r="N403" t="n">
        <v>4.6</v>
      </c>
      <c r="O403" t="n">
        <v>100</v>
      </c>
      <c r="Q403" t="inlineStr">
        <is>
          <t>InStock</t>
        </is>
      </c>
      <c r="R403" t="inlineStr">
        <is>
          <t>undefined</t>
        </is>
      </c>
      <c r="S403" t="inlineStr">
        <is>
          <t>49908-IRWIN</t>
        </is>
      </c>
    </row>
    <row r="404" ht="75" customHeight="1">
      <c r="A404" s="1">
        <f>HYPERLINK("https://www.toolnut.com/irwin-49908-drill-bit.html", "https://www.toolnut.com/irwin-49908-drill-bit.html")</f>
        <v/>
      </c>
      <c r="B404" s="1">
        <f>HYPERLINK("https://www.toolnut.com/irwin-49908-drill-bit.html", "https://www.toolnut.com/irwin-49908-drill-bit.html")</f>
        <v/>
      </c>
      <c r="C404" t="inlineStr">
        <is>
          <t>Irwin 49908 Power Drill I-100 Auger Bit 1/2-in.</t>
        </is>
      </c>
      <c r="D404" t="inlineStr">
        <is>
          <t>IRWIN Auger Drill Bit for Wood 1/2 in. x 7.5 in. (IWAX3015)</t>
        </is>
      </c>
      <c r="E404" s="1">
        <f>HYPERLINK("https://www.amazon.com/IRWIN-IWAX3015-Auger-Speedbor-Supreme/dp/B09G8HW9GH/ref=sr_1_3?keywords=Irwin+49908+Power+Drill+I-100+Auger+Bit+1%2F2-in.&amp;qid=1695347157&amp;sr=8-3", "https://www.amazon.com/IRWIN-IWAX3015-Auger-Speedbor-Supreme/dp/B09G8HW9GH/ref=sr_1_3?keywords=Irwin+49908+Power+Drill+I-100+Auger+Bit+1%2F2-in.&amp;qid=1695347157&amp;sr=8-3")</f>
        <v/>
      </c>
      <c r="F404" t="inlineStr">
        <is>
          <t>B09G8HW9GH</t>
        </is>
      </c>
      <c r="G404">
        <f>_xlfn.IMAGE("https://www.toolnut.com/media/catalog/product/4/9/49908-irwin-drill-bits-wood-drill-bits-power-drill-i-100-auger-bit-primary-01.jpg?quality=100&amp;bg-color=255,255,255&amp;fit=bounds&amp;height=700&amp;width=700&amp;canvas=700:700&amp;dpr=1 1x")</f>
        <v/>
      </c>
      <c r="H404">
        <f>_xlfn.IMAGE("https://m.media-amazon.com/images/I/41J9Kacxf0L._AC_UL320_.jpg")</f>
        <v/>
      </c>
      <c r="K404" t="inlineStr">
        <is>
          <t>9.99</t>
        </is>
      </c>
      <c r="L404" t="n">
        <v>19.9</v>
      </c>
      <c r="M404" s="2" t="inlineStr">
        <is>
          <t>99.20%</t>
        </is>
      </c>
      <c r="N404" t="n">
        <v>5</v>
      </c>
      <c r="O404" t="n">
        <v>7</v>
      </c>
      <c r="Q404" t="inlineStr">
        <is>
          <t>InStock</t>
        </is>
      </c>
      <c r="R404" t="inlineStr">
        <is>
          <t>undefined</t>
        </is>
      </c>
      <c r="S404" t="inlineStr">
        <is>
          <t>49908-IRWIN</t>
        </is>
      </c>
    </row>
    <row r="405" ht="75" customHeight="1">
      <c r="A405" s="1">
        <f>HYPERLINK("https://www.toolnut.com/irwin-49908-drill-bit.html", "https://www.toolnut.com/irwin-49908-drill-bit.html")</f>
        <v/>
      </c>
      <c r="B405" s="1">
        <f>HYPERLINK("https://www.toolnut.com/irwin-49908-drill-bit.html", "https://www.toolnut.com/irwin-49908-drill-bit.html")</f>
        <v/>
      </c>
      <c r="C405" t="inlineStr">
        <is>
          <t>Irwin 49908 Power Drill I-100 Auger Bit 1/2-in.</t>
        </is>
      </c>
      <c r="D405" t="inlineStr">
        <is>
          <t>IRWIN WeldTec Auger Wood Drill Bit 1/2" X 17" (3043005)</t>
        </is>
      </c>
      <c r="E405" s="1">
        <f>HYPERLINK("https://www.amazon.com/Irwin-Tools-30430051-WeldTec-Silver/dp/B002WJGZRY/ref=sr_1_2?keywords=Irwin+49908+Power+Drill+I-100+Auger+Bit+1%2F2-in.&amp;qid=1695347157&amp;sr=8-2", "https://www.amazon.com/Irwin-Tools-30430051-WeldTec-Silver/dp/B002WJGZRY/ref=sr_1_2?keywords=Irwin+49908+Power+Drill+I-100+Auger+Bit+1%2F2-in.&amp;qid=1695347157&amp;sr=8-2")</f>
        <v/>
      </c>
      <c r="F405" t="inlineStr">
        <is>
          <t>B002WJGZRY</t>
        </is>
      </c>
      <c r="G405">
        <f>_xlfn.IMAGE("https://www.toolnut.com/media/catalog/product/4/9/49908-irwin-drill-bits-wood-drill-bits-power-drill-i-100-auger-bit-primary-01.jpg?quality=100&amp;bg-color=255,255,255&amp;fit=bounds&amp;height=700&amp;width=700&amp;canvas=700:700&amp;dpr=1 1x")</f>
        <v/>
      </c>
      <c r="H405">
        <f>_xlfn.IMAGE("https://m.media-amazon.com/images/I/31-2SHMCuNL._AC_UL320_.jpg")</f>
        <v/>
      </c>
      <c r="K405" t="inlineStr">
        <is>
          <t>9.99</t>
        </is>
      </c>
      <c r="L405" t="n">
        <v>17.94</v>
      </c>
      <c r="M405" s="2" t="inlineStr">
        <is>
          <t>79.58%</t>
        </is>
      </c>
      <c r="N405" t="n">
        <v>4.6</v>
      </c>
      <c r="O405" t="n">
        <v>71</v>
      </c>
      <c r="Q405" t="inlineStr">
        <is>
          <t>InStock</t>
        </is>
      </c>
      <c r="R405" t="inlineStr">
        <is>
          <t>undefined</t>
        </is>
      </c>
      <c r="S405" t="inlineStr">
        <is>
          <t>49908-IRWIN</t>
        </is>
      </c>
    </row>
    <row r="406" ht="75" customHeight="1">
      <c r="A406" s="1">
        <f>HYPERLINK("https://www.toolnut.com/irwin-49910-drill-bit.html", "https://www.toolnut.com/irwin-49910-drill-bit.html")</f>
        <v/>
      </c>
      <c r="B406" s="1">
        <f>HYPERLINK("https://www.toolnut.com/irwin-49910-drill-bit.html", "https://www.toolnut.com/irwin-49910-drill-bit.html")</f>
        <v/>
      </c>
      <c r="C406" t="inlineStr">
        <is>
          <t>Irwin 49910 Power Drill I-100 Auger Bit 5/8-in.</t>
        </is>
      </c>
      <c r="D406" t="inlineStr">
        <is>
          <t>Irwin Tools 47012 Power Drill Power Pole Auger Bits, 5/8" Shank, 3/4" Diameter, 29" Total Length, Single</t>
        </is>
      </c>
      <c r="E406" s="1">
        <f>HYPERLINK("https://www.amazon.com/Irwin-Tools-47012-Diameter-Length/dp/B001HWQP3G/ref=sr_1_5?keywords=Irwin+49910+Power+Drill+I-100+Auger+Bit+5%2F8-in.&amp;qid=1695347109&amp;sr=8-5", "https://www.amazon.com/Irwin-Tools-47012-Diameter-Length/dp/B001HWQP3G/ref=sr_1_5?keywords=Irwin+49910+Power+Drill+I-100+Auger+Bit+5%2F8-in.&amp;qid=1695347109&amp;sr=8-5")</f>
        <v/>
      </c>
      <c r="F406" t="inlineStr">
        <is>
          <t>B001HWQP3G</t>
        </is>
      </c>
      <c r="G406">
        <f>_xlfn.IMAGE("https://www.toolnut.com/media/catalog/product/4/9/49910-irwin-drill-bits-wood-drill-bits-power-drill-i-100-auger-bit-primary.jpg?quality=100&amp;bg-color=255,255,255&amp;fit=bounds&amp;height=700&amp;width=700&amp;canvas=700:700&amp;dpr=1 1x")</f>
        <v/>
      </c>
      <c r="H406">
        <f>_xlfn.IMAGE("https://m.media-amazon.com/images/I/41RdOIl1s6L._AC_UL320_.jpg")</f>
        <v/>
      </c>
      <c r="K406" t="inlineStr">
        <is>
          <t>9.99</t>
        </is>
      </c>
      <c r="L406" t="n">
        <v>69.55</v>
      </c>
      <c r="M406" s="2" t="inlineStr">
        <is>
          <t>596.20%</t>
        </is>
      </c>
      <c r="N406" t="n">
        <v>4.3</v>
      </c>
      <c r="O406" t="n">
        <v>7</v>
      </c>
      <c r="Q406" t="inlineStr">
        <is>
          <t>InStock</t>
        </is>
      </c>
      <c r="R406" t="inlineStr">
        <is>
          <t>undefined</t>
        </is>
      </c>
      <c r="S406" t="inlineStr">
        <is>
          <t>49910-IRWIN</t>
        </is>
      </c>
    </row>
    <row r="407" ht="75" customHeight="1">
      <c r="A407" s="1">
        <f>HYPERLINK("https://www.toolnut.com/irwin-49910-drill-bit.html", "https://www.toolnut.com/irwin-49910-drill-bit.html")</f>
        <v/>
      </c>
      <c r="B407" s="1">
        <f>HYPERLINK("https://www.toolnut.com/irwin-49910-drill-bit.html", "https://www.toolnut.com/irwin-49910-drill-bit.html")</f>
        <v/>
      </c>
      <c r="C407" t="inlineStr">
        <is>
          <t>Irwin 49910 Power Drill I-100 Auger Bit 5/8-in.</t>
        </is>
      </c>
      <c r="D407" t="inlineStr">
        <is>
          <t>IRWIN Auger Drill Bit for Wood 5/8 in. x 18 in. (IWAX3007)</t>
        </is>
      </c>
      <c r="E407" s="1">
        <f>HYPERLINK("https://www.amazon.com/Irwin-Tools-IWAX3007-Speedbor-Supreme/dp/B09G8S4PZY/ref=sr_1_3?keywords=Irwin+49910+Power+Drill+I-100+Auger+Bit+5%2F8-in.&amp;qid=1695347109&amp;sr=8-3", "https://www.amazon.com/Irwin-Tools-IWAX3007-Speedbor-Supreme/dp/B09G8S4PZY/ref=sr_1_3?keywords=Irwin+49910+Power+Drill+I-100+Auger+Bit+5%2F8-in.&amp;qid=1695347109&amp;sr=8-3")</f>
        <v/>
      </c>
      <c r="F407" t="inlineStr">
        <is>
          <t>B09G8S4PZY</t>
        </is>
      </c>
      <c r="G407">
        <f>_xlfn.IMAGE("https://www.toolnut.com/media/catalog/product/4/9/49910-irwin-drill-bits-wood-drill-bits-power-drill-i-100-auger-bit-primary.jpg?quality=100&amp;bg-color=255,255,255&amp;fit=bounds&amp;height=700&amp;width=700&amp;canvas=700:700&amp;dpr=1 1x")</f>
        <v/>
      </c>
      <c r="H407">
        <f>_xlfn.IMAGE("https://m.media-amazon.com/images/I/41SJvZ5zzdL._AC_UL320_.jpg")</f>
        <v/>
      </c>
      <c r="K407" t="inlineStr">
        <is>
          <t>9.99</t>
        </is>
      </c>
      <c r="L407" t="n">
        <v>32.98</v>
      </c>
      <c r="M407" s="2" t="inlineStr">
        <is>
          <t>230.13%</t>
        </is>
      </c>
      <c r="N407" t="n">
        <v>4.3</v>
      </c>
      <c r="O407" t="n">
        <v>5</v>
      </c>
      <c r="Q407" t="inlineStr">
        <is>
          <t>InStock</t>
        </is>
      </c>
      <c r="R407" t="inlineStr">
        <is>
          <t>undefined</t>
        </is>
      </c>
      <c r="S407" t="inlineStr">
        <is>
          <t>49910-IRWIN</t>
        </is>
      </c>
    </row>
    <row r="408" ht="75" customHeight="1">
      <c r="A408" s="1">
        <f>HYPERLINK("https://www.toolnut.com/irwin-49910-drill-bit.html", "https://www.toolnut.com/irwin-49910-drill-bit.html")</f>
        <v/>
      </c>
      <c r="B408" s="1">
        <f>HYPERLINK("https://www.toolnut.com/irwin-49910-drill-bit.html", "https://www.toolnut.com/irwin-49910-drill-bit.html")</f>
        <v/>
      </c>
      <c r="C408" t="inlineStr">
        <is>
          <t>Irwin 49910 Power Drill I-100 Auger Bit 5/8-in.</t>
        </is>
      </c>
      <c r="D408" t="inlineStr">
        <is>
          <t>IRWIN WeldTec Auger Wood Drill Bit 5/8" X 17" (3043007)</t>
        </is>
      </c>
      <c r="E408" s="1">
        <f>HYPERLINK("https://www.amazon.com/Irwin-Tools-3043007-WeldTec-Auger/dp/B002WJN57W/ref=sr_1_2?keywords=Irwin+49910+Power+Drill+I-100+Auger+Bit+5%2F8-in.&amp;qid=1695347109&amp;sr=8-2", "https://www.amazon.com/Irwin-Tools-3043007-WeldTec-Auger/dp/B002WJN57W/ref=sr_1_2?keywords=Irwin+49910+Power+Drill+I-100+Auger+Bit+5%2F8-in.&amp;qid=1695347109&amp;sr=8-2")</f>
        <v/>
      </c>
      <c r="F408" t="inlineStr">
        <is>
          <t>B002WJN57W</t>
        </is>
      </c>
      <c r="G408">
        <f>_xlfn.IMAGE("https://www.toolnut.com/media/catalog/product/4/9/49910-irwin-drill-bits-wood-drill-bits-power-drill-i-100-auger-bit-primary.jpg?quality=100&amp;bg-color=255,255,255&amp;fit=bounds&amp;height=700&amp;width=700&amp;canvas=700:700&amp;dpr=1 1x")</f>
        <v/>
      </c>
      <c r="H408">
        <f>_xlfn.IMAGE("https://m.media-amazon.com/images/I/31-YD3p-AfS._AC_UL320_.jpg")</f>
        <v/>
      </c>
      <c r="K408" t="inlineStr">
        <is>
          <t>9.99</t>
        </is>
      </c>
      <c r="L408" t="n">
        <v>16.97</v>
      </c>
      <c r="M408" s="2" t="inlineStr">
        <is>
          <t>69.87%</t>
        </is>
      </c>
      <c r="N408" t="n">
        <v>4.7</v>
      </c>
      <c r="O408" t="n">
        <v>169</v>
      </c>
      <c r="Q408" t="inlineStr">
        <is>
          <t>InStock</t>
        </is>
      </c>
      <c r="R408" t="inlineStr">
        <is>
          <t>undefined</t>
        </is>
      </c>
      <c r="S408" t="inlineStr">
        <is>
          <t>49910-IRWIN</t>
        </is>
      </c>
    </row>
    <row r="409" ht="75" customHeight="1">
      <c r="A409" s="1">
        <f>HYPERLINK("https://www.toolnut.com/irwin-49910-drill-bit.html", "https://www.toolnut.com/irwin-49910-drill-bit.html")</f>
        <v/>
      </c>
      <c r="B409" s="1">
        <f>HYPERLINK("https://www.toolnut.com/irwin-49910-drill-bit.html", "https://www.toolnut.com/irwin-49910-drill-bit.html")</f>
        <v/>
      </c>
      <c r="C409" t="inlineStr">
        <is>
          <t>Irwin 49910 Power Drill I-100 Auger Bit 5/8-in.</t>
        </is>
      </c>
      <c r="D409" t="inlineStr">
        <is>
          <t>IRWIN WeldTec Auger Wood Drill Bit 5/8" X 17" (3043007)</t>
        </is>
      </c>
      <c r="E409" s="1">
        <f>HYPERLINK("https://www.amazon.com/Irwin-Tools-3043007-WeldTec-Auger/dp/B002WJN57W/ref=sr_1_2?keywords=Irwin+49910+Power+Drill+I-100+Auger+Bit+5%2F8-in.&amp;qid=1695347109&amp;sr=8-2", "https://www.amazon.com/Irwin-Tools-3043007-WeldTec-Auger/dp/B002WJN57W/ref=sr_1_2?keywords=Irwin+49910+Power+Drill+I-100+Auger+Bit+5%2F8-in.&amp;qid=1695347109&amp;sr=8-2")</f>
        <v/>
      </c>
      <c r="F409" t="inlineStr">
        <is>
          <t>B002WJN57W</t>
        </is>
      </c>
      <c r="G409">
        <f>_xlfn.IMAGE("https://www.toolnut.com/media/catalog/product/4/9/49910-irwin-drill-bits-wood-drill-bits-power-drill-i-100-auger-bit-primary.jpg?quality=100&amp;bg-color=255,255,255&amp;fit=bounds&amp;height=700&amp;width=700&amp;canvas=700:700&amp;dpr=1 1x")</f>
        <v/>
      </c>
      <c r="H409">
        <f>_xlfn.IMAGE("https://m.media-amazon.com/images/I/31-YD3p-AfS._AC_UL320_.jpg")</f>
        <v/>
      </c>
      <c r="K409" t="inlineStr">
        <is>
          <t>9.99</t>
        </is>
      </c>
      <c r="L409" t="n">
        <v>16.97</v>
      </c>
      <c r="M409" s="2" t="inlineStr">
        <is>
          <t>69.87%</t>
        </is>
      </c>
      <c r="N409" t="n">
        <v>4.7</v>
      </c>
      <c r="O409" t="n">
        <v>169</v>
      </c>
      <c r="Q409" t="inlineStr">
        <is>
          <t>InStock</t>
        </is>
      </c>
      <c r="R409" t="inlineStr">
        <is>
          <t>undefined</t>
        </is>
      </c>
      <c r="S409" t="inlineStr">
        <is>
          <t>49910-IRWIN</t>
        </is>
      </c>
    </row>
    <row r="410" ht="75" customHeight="1">
      <c r="A410" s="1">
        <f>HYPERLINK("https://www.toolnut.com/irwin-49912-drill-bit.html", "https://www.toolnut.com/irwin-49912-drill-bit.html")</f>
        <v/>
      </c>
      <c r="B410" s="1">
        <f>HYPERLINK("https://www.toolnut.com/irwin-49912-drill-bit.html", "https://www.toolnut.com/irwin-49912-drill-bit.html")</f>
        <v/>
      </c>
      <c r="C410" t="inlineStr">
        <is>
          <t>Irwin 49912 Power Drill I-100 Auger Bit 3/4-in.</t>
        </is>
      </c>
      <c r="D410" t="inlineStr">
        <is>
          <t>Irwin Tools 47012 Power Drill Power Pole Auger Bits, 5/8" Shank, 3/4" Diameter, 29" Total Length, Single</t>
        </is>
      </c>
      <c r="E410" s="1">
        <f>HYPERLINK("https://www.amazon.com/Irwin-Tools-47012-Diameter-Length/dp/B001HWQP3G/ref=sr_1_5?keywords=Irwin+49912+Power+Drill+I-100+Auger+Bit+3%2F4-in.&amp;qid=1695347132&amp;sr=8-5", "https://www.amazon.com/Irwin-Tools-47012-Diameter-Length/dp/B001HWQP3G/ref=sr_1_5?keywords=Irwin+49912+Power+Drill+I-100+Auger+Bit+3%2F4-in.&amp;qid=1695347132&amp;sr=8-5")</f>
        <v/>
      </c>
      <c r="F410" t="inlineStr">
        <is>
          <t>B001HWQP3G</t>
        </is>
      </c>
      <c r="G410">
        <f>_xlfn.IMAGE("https://www.toolnut.com/media/catalog/product/4/9/49912-irwin-drill-bits-wood-drill-bits-power-drill-i-100-auger-bit-primary.jpg?quality=100&amp;bg-color=255,255,255&amp;fit=bounds&amp;height=700&amp;width=700&amp;canvas=700:700&amp;dpr=1 1x")</f>
        <v/>
      </c>
      <c r="H410">
        <f>_xlfn.IMAGE("https://m.media-amazon.com/images/I/41RdOIl1s6L._AC_UL320_.jpg")</f>
        <v/>
      </c>
      <c r="K410" t="inlineStr">
        <is>
          <t>10.79</t>
        </is>
      </c>
      <c r="L410" t="n">
        <v>69.55</v>
      </c>
      <c r="M410" s="2" t="inlineStr">
        <is>
          <t>544.58%</t>
        </is>
      </c>
      <c r="N410" t="n">
        <v>4.3</v>
      </c>
      <c r="O410" t="n">
        <v>7</v>
      </c>
      <c r="Q410" t="inlineStr">
        <is>
          <t>InStock</t>
        </is>
      </c>
      <c r="R410" t="inlineStr">
        <is>
          <t>undefined</t>
        </is>
      </c>
      <c r="S410" t="inlineStr">
        <is>
          <t>49912-IRWIN</t>
        </is>
      </c>
    </row>
    <row r="411" ht="75" customHeight="1">
      <c r="A411" s="1">
        <f>HYPERLINK("https://www.toolnut.com/irwin-49912-drill-bit.html", "https://www.toolnut.com/irwin-49912-drill-bit.html")</f>
        <v/>
      </c>
      <c r="B411" s="1">
        <f>HYPERLINK("https://www.toolnut.com/irwin-49912-drill-bit.html", "https://www.toolnut.com/irwin-49912-drill-bit.html")</f>
        <v/>
      </c>
      <c r="C411" t="inlineStr">
        <is>
          <t>Irwin 49912 Power Drill I-100 Auger Bit 3/4-in.</t>
        </is>
      </c>
      <c r="D411" t="inlineStr">
        <is>
          <t>IRWIN WeldTec Auger Wood Drill Bit 3/4" X 17" (3043009)</t>
        </is>
      </c>
      <c r="E411" s="1">
        <f>HYPERLINK("https://www.amazon.com/Irwin-Tools-304300-WeldTec-Auger/dp/B002WJTV0W/ref=sr_1_2?keywords=Irwin+49912+Power+Drill+I-100+Auger+Bit+3%2F4-in.&amp;qid=1695347132&amp;sr=8-2", "https://www.amazon.com/Irwin-Tools-304300-WeldTec-Auger/dp/B002WJTV0W/ref=sr_1_2?keywords=Irwin+49912+Power+Drill+I-100+Auger+Bit+3%2F4-in.&amp;qid=1695347132&amp;sr=8-2")</f>
        <v/>
      </c>
      <c r="F411" t="inlineStr">
        <is>
          <t>B002WJTV0W</t>
        </is>
      </c>
      <c r="G411">
        <f>_xlfn.IMAGE("https://www.toolnut.com/media/catalog/product/4/9/49912-irwin-drill-bits-wood-drill-bits-power-drill-i-100-auger-bit-primary.jpg?quality=100&amp;bg-color=255,255,255&amp;fit=bounds&amp;height=700&amp;width=700&amp;canvas=700:700&amp;dpr=1 1x")</f>
        <v/>
      </c>
      <c r="H411">
        <f>_xlfn.IMAGE("https://m.media-amazon.com/images/I/51BxU5fBY2S._AC_UL320_.jpg")</f>
        <v/>
      </c>
      <c r="K411" t="inlineStr">
        <is>
          <t>10.79</t>
        </is>
      </c>
      <c r="L411" t="n">
        <v>21.92</v>
      </c>
      <c r="M411" s="2" t="inlineStr">
        <is>
          <t>103.15%</t>
        </is>
      </c>
      <c r="N411" t="n">
        <v>4.6</v>
      </c>
      <c r="O411" t="n">
        <v>197</v>
      </c>
      <c r="Q411" t="inlineStr">
        <is>
          <t>InStock</t>
        </is>
      </c>
      <c r="R411" t="inlineStr">
        <is>
          <t>undefined</t>
        </is>
      </c>
      <c r="S411" t="inlineStr">
        <is>
          <t>49912-IRWIN</t>
        </is>
      </c>
    </row>
    <row r="412" ht="75" customHeight="1">
      <c r="A412" s="1">
        <f>HYPERLINK("https://www.toolnut.com/irwin-49912-drill-bit.html", "https://www.toolnut.com/irwin-49912-drill-bit.html")</f>
        <v/>
      </c>
      <c r="B412" s="1">
        <f>HYPERLINK("https://www.toolnut.com/irwin-49912-drill-bit.html", "https://www.toolnut.com/irwin-49912-drill-bit.html")</f>
        <v/>
      </c>
      <c r="C412" t="inlineStr">
        <is>
          <t>Irwin 49912 Power Drill I-100 Auger Bit 3/4-in.</t>
        </is>
      </c>
      <c r="D412" t="inlineStr">
        <is>
          <t>IRWIN WeldTec Auger Wood Drill Bit 3/4" X 7.5" (1779341)</t>
        </is>
      </c>
      <c r="E412" s="1">
        <f>HYPERLINK("https://www.amazon.com/IRWIN-WeldTec-Auger-Drill-1779341/dp/B000646SCY/ref=sr_1_3?keywords=Irwin+49912+Power+Drill+I-100+Auger+Bit+3%2F4-in.&amp;qid=1695347132&amp;sr=8-3", "https://www.amazon.com/IRWIN-WeldTec-Auger-Drill-1779341/dp/B000646SCY/ref=sr_1_3?keywords=Irwin+49912+Power+Drill+I-100+Auger+Bit+3%2F4-in.&amp;qid=1695347132&amp;sr=8-3")</f>
        <v/>
      </c>
      <c r="F412" t="inlineStr">
        <is>
          <t>B000646SCY</t>
        </is>
      </c>
      <c r="G412">
        <f>_xlfn.IMAGE("https://www.toolnut.com/media/catalog/product/4/9/49912-irwin-drill-bits-wood-drill-bits-power-drill-i-100-auger-bit-primary.jpg?quality=100&amp;bg-color=255,255,255&amp;fit=bounds&amp;height=700&amp;width=700&amp;canvas=700:700&amp;dpr=1 1x")</f>
        <v/>
      </c>
      <c r="H412">
        <f>_xlfn.IMAGE("https://m.media-amazon.com/images/I/61qVgEyKyBL._AC_UL320_.jpg")</f>
        <v/>
      </c>
      <c r="K412" t="inlineStr">
        <is>
          <t>10.79</t>
        </is>
      </c>
      <c r="L412" t="n">
        <v>18.61</v>
      </c>
      <c r="M412" s="2" t="inlineStr">
        <is>
          <t>72.47%</t>
        </is>
      </c>
      <c r="N412" t="n">
        <v>4.6</v>
      </c>
      <c r="O412" t="n">
        <v>100</v>
      </c>
      <c r="Q412" t="inlineStr">
        <is>
          <t>InStock</t>
        </is>
      </c>
      <c r="R412" t="inlineStr">
        <is>
          <t>undefined</t>
        </is>
      </c>
      <c r="S412" t="inlineStr">
        <is>
          <t>49912-IRWIN</t>
        </is>
      </c>
    </row>
    <row r="413" ht="75" customHeight="1">
      <c r="A413" s="1">
        <f>HYPERLINK("https://www.toolnut.com/irwin-49912-drill-bit.html", "https://www.toolnut.com/irwin-49912-drill-bit.html")</f>
        <v/>
      </c>
      <c r="B413" s="1">
        <f>HYPERLINK("https://www.toolnut.com/irwin-49912-drill-bit.html", "https://www.toolnut.com/irwin-49912-drill-bit.html")</f>
        <v/>
      </c>
      <c r="C413" t="inlineStr">
        <is>
          <t>Irwin 49912 Power Drill I-100 Auger Bit 3/4-in.</t>
        </is>
      </c>
      <c r="D413" t="inlineStr">
        <is>
          <t>IRWIN WeldTec Auger Wood Drill Bit 3/4" X 17" (3043009)</t>
        </is>
      </c>
      <c r="E413" s="1">
        <f>HYPERLINK("https://www.amazon.com/Irwin-Tools-304300-WeldTec-Auger/dp/B002WJTV0W/ref=sr_1_2?keywords=Irwin+49912+Power+Drill+I-100+Auger+Bit+3%2F4-in.&amp;qid=1695347132&amp;sr=8-2", "https://www.amazon.com/Irwin-Tools-304300-WeldTec-Auger/dp/B002WJTV0W/ref=sr_1_2?keywords=Irwin+49912+Power+Drill+I-100+Auger+Bit+3%2F4-in.&amp;qid=1695347132&amp;sr=8-2")</f>
        <v/>
      </c>
      <c r="F413" t="inlineStr">
        <is>
          <t>B002WJTV0W</t>
        </is>
      </c>
      <c r="G413">
        <f>_xlfn.IMAGE("https://www.toolnut.com/media/catalog/product/4/9/49912-irwin-drill-bits-wood-drill-bits-power-drill-i-100-auger-bit-primary.jpg?quality=100&amp;bg-color=255,255,255&amp;fit=bounds&amp;height=700&amp;width=700&amp;canvas=700:700&amp;dpr=1 1x")</f>
        <v/>
      </c>
      <c r="H413">
        <f>_xlfn.IMAGE("https://m.media-amazon.com/images/I/51BxU5fBY2S._AC_UL320_.jpg")</f>
        <v/>
      </c>
      <c r="K413" t="inlineStr">
        <is>
          <t>10.79</t>
        </is>
      </c>
      <c r="L413" t="n">
        <v>21.92</v>
      </c>
      <c r="M413" s="2" t="inlineStr">
        <is>
          <t>103.15%</t>
        </is>
      </c>
      <c r="N413" t="n">
        <v>4.6</v>
      </c>
      <c r="O413" t="n">
        <v>197</v>
      </c>
      <c r="Q413" t="inlineStr">
        <is>
          <t>InStock</t>
        </is>
      </c>
      <c r="R413" t="inlineStr">
        <is>
          <t>undefined</t>
        </is>
      </c>
      <c r="S413" t="inlineStr">
        <is>
          <t>49912-IRWIN</t>
        </is>
      </c>
    </row>
    <row r="414" ht="75" customHeight="1">
      <c r="A414" s="1">
        <f>HYPERLINK("https://www.toolnut.com/irwin-49912-drill-bit.html", "https://www.toolnut.com/irwin-49912-drill-bit.html")</f>
        <v/>
      </c>
      <c r="B414" s="1">
        <f>HYPERLINK("https://www.toolnut.com/irwin-49912-drill-bit.html", "https://www.toolnut.com/irwin-49912-drill-bit.html")</f>
        <v/>
      </c>
      <c r="C414" t="inlineStr">
        <is>
          <t>Irwin 49912 Power Drill I-100 Auger Bit 3/4-in.</t>
        </is>
      </c>
      <c r="D414" t="inlineStr">
        <is>
          <t>IRWIN WeldTec Auger Wood Drill Bit 3/4" X 7.5" (1779341)</t>
        </is>
      </c>
      <c r="E414" s="1">
        <f>HYPERLINK("https://www.amazon.com/IRWIN-WeldTec-Auger-Drill-1779341/dp/B000646SCY/ref=sr_1_3?keywords=Irwin+49912+Power+Drill+I-100+Auger+Bit+3%2F4-in.&amp;qid=1695347132&amp;sr=8-3", "https://www.amazon.com/IRWIN-WeldTec-Auger-Drill-1779341/dp/B000646SCY/ref=sr_1_3?keywords=Irwin+49912+Power+Drill+I-100+Auger+Bit+3%2F4-in.&amp;qid=1695347132&amp;sr=8-3")</f>
        <v/>
      </c>
      <c r="F414" t="inlineStr">
        <is>
          <t>B000646SCY</t>
        </is>
      </c>
      <c r="G414">
        <f>_xlfn.IMAGE("https://www.toolnut.com/media/catalog/product/4/9/49912-irwin-drill-bits-wood-drill-bits-power-drill-i-100-auger-bit-primary.jpg?quality=100&amp;bg-color=255,255,255&amp;fit=bounds&amp;height=700&amp;width=700&amp;canvas=700:700&amp;dpr=1 1x")</f>
        <v/>
      </c>
      <c r="H414">
        <f>_xlfn.IMAGE("https://m.media-amazon.com/images/I/61qVgEyKyBL._AC_UL320_.jpg")</f>
        <v/>
      </c>
      <c r="K414" t="inlineStr">
        <is>
          <t>10.79</t>
        </is>
      </c>
      <c r="L414" t="n">
        <v>18.61</v>
      </c>
      <c r="M414" s="2" t="inlineStr">
        <is>
          <t>72.47%</t>
        </is>
      </c>
      <c r="N414" t="n">
        <v>4.6</v>
      </c>
      <c r="O414" t="n">
        <v>100</v>
      </c>
      <c r="Q414" t="inlineStr">
        <is>
          <t>InStock</t>
        </is>
      </c>
      <c r="R414" t="inlineStr">
        <is>
          <t>undefined</t>
        </is>
      </c>
      <c r="S414" t="inlineStr">
        <is>
          <t>49912-IRWIN</t>
        </is>
      </c>
    </row>
    <row r="415" ht="75" customHeight="1">
      <c r="A415" s="1">
        <f>HYPERLINK("https://www.toolnut.com/irwin-49914-drill-bit.html", "https://www.toolnut.com/irwin-49914-drill-bit.html")</f>
        <v/>
      </c>
      <c r="B415" s="1">
        <f>HYPERLINK("https://www.toolnut.com/irwin-49914-drill-bit.html", "https://www.toolnut.com/irwin-49914-drill-bit.html")</f>
        <v/>
      </c>
      <c r="C415" t="inlineStr">
        <is>
          <t>Irwin 49914 Power Drill I-100 Auger Bit 7/8-in.</t>
        </is>
      </c>
      <c r="D415" t="inlineStr">
        <is>
          <t>IRWIN WeldTec Auger Wood Drill Bit 7/8" X 17" (3043011)</t>
        </is>
      </c>
      <c r="E415" s="1">
        <f>HYPERLINK("https://www.amazon.com/Irwin-Tools-3043011-WeldTec-Auger/dp/B002WJL3SK/ref=sr_1_2?keywords=Irwin+49914+Power+Drill+I-100+Auger+Bit+7%2F8-in.&amp;qid=1695347115&amp;sr=8-2", "https://www.amazon.com/Irwin-Tools-3043011-WeldTec-Auger/dp/B002WJL3SK/ref=sr_1_2?keywords=Irwin+49914+Power+Drill+I-100+Auger+Bit+7%2F8-in.&amp;qid=1695347115&amp;sr=8-2")</f>
        <v/>
      </c>
      <c r="F415" t="inlineStr">
        <is>
          <t>B002WJL3SK</t>
        </is>
      </c>
      <c r="G415">
        <f>_xlfn.IMAGE("https://www.toolnut.com/media/catalog/product/4/9/49914-irwin-drill-bits-wood-drill-bits-power-drill-i-100-auger-bits-primary.jpg?quality=100&amp;bg-color=255,255,255&amp;fit=bounds&amp;height=700&amp;width=700&amp;canvas=700:700")</f>
        <v/>
      </c>
      <c r="H415">
        <f>_xlfn.IMAGE("https://m.media-amazon.com/images/I/31uxDBQZyBL._AC_UL320_.jpg")</f>
        <v/>
      </c>
      <c r="K415" t="inlineStr">
        <is>
          <t>12.39</t>
        </is>
      </c>
      <c r="L415" t="n">
        <v>24.29</v>
      </c>
      <c r="M415" s="2" t="inlineStr">
        <is>
          <t>96.05%</t>
        </is>
      </c>
      <c r="N415" t="n">
        <v>4.5</v>
      </c>
      <c r="O415" t="n">
        <v>134</v>
      </c>
      <c r="Q415" t="inlineStr">
        <is>
          <t>InStock</t>
        </is>
      </c>
      <c r="R415" t="inlineStr">
        <is>
          <t>undefined</t>
        </is>
      </c>
      <c r="S415" t="inlineStr">
        <is>
          <t>49914-IRWIN</t>
        </is>
      </c>
    </row>
    <row r="416" ht="75" customHeight="1">
      <c r="A416" s="1">
        <f>HYPERLINK("https://www.toolnut.com/irwin-49914-drill-bit.html", "https://www.toolnut.com/irwin-49914-drill-bit.html")</f>
        <v/>
      </c>
      <c r="B416" s="1">
        <f>HYPERLINK("https://www.toolnut.com/irwin-49914-drill-bit.html", "https://www.toolnut.com/irwin-49914-drill-bit.html")</f>
        <v/>
      </c>
      <c r="C416" t="inlineStr">
        <is>
          <t>Irwin 49914 Power Drill I-100 Auger Bit 7/8-in.</t>
        </is>
      </c>
      <c r="D416" t="inlineStr">
        <is>
          <t>IRWIN WeldTec Auger Wood Drill Bit 7/8" X 17" (3043011)</t>
        </is>
      </c>
      <c r="E416" s="1">
        <f>HYPERLINK("https://www.amazon.com/Irwin-Tools-3043011-WeldTec-Auger/dp/B002WJL3SK/ref=sr_1_2?keywords=Irwin+49914+Power+Drill+I-100+Auger+Bit+7%2F8-in.&amp;qid=1695347115&amp;sr=8-2", "https://www.amazon.com/Irwin-Tools-3043011-WeldTec-Auger/dp/B002WJL3SK/ref=sr_1_2?keywords=Irwin+49914+Power+Drill+I-100+Auger+Bit+7%2F8-in.&amp;qid=1695347115&amp;sr=8-2")</f>
        <v/>
      </c>
      <c r="F416" t="inlineStr">
        <is>
          <t>B002WJL3SK</t>
        </is>
      </c>
      <c r="G416">
        <f>_xlfn.IMAGE("https://www.toolnut.com/media/catalog/product/4/9/49914-irwin-drill-bits-wood-drill-bits-power-drill-i-100-auger-bits-primary.jpg?quality=100&amp;bg-color=255,255,255&amp;fit=bounds&amp;height=700&amp;width=700&amp;canvas=700:700")</f>
        <v/>
      </c>
      <c r="H416">
        <f>_xlfn.IMAGE("https://m.media-amazon.com/images/I/31uxDBQZyBL._AC_UL320_.jpg")</f>
        <v/>
      </c>
      <c r="K416" t="inlineStr">
        <is>
          <t>12.39</t>
        </is>
      </c>
      <c r="L416" t="n">
        <v>24.29</v>
      </c>
      <c r="M416" s="2" t="inlineStr">
        <is>
          <t>96.05%</t>
        </is>
      </c>
      <c r="N416" t="n">
        <v>4.5</v>
      </c>
      <c r="O416" t="n">
        <v>134</v>
      </c>
      <c r="Q416" t="inlineStr">
        <is>
          <t>InStock</t>
        </is>
      </c>
      <c r="R416" t="inlineStr">
        <is>
          <t>undefined</t>
        </is>
      </c>
      <c r="S416" t="inlineStr">
        <is>
          <t>49914-IRWIN</t>
        </is>
      </c>
    </row>
    <row r="417" ht="75" customHeight="1">
      <c r="A417" s="1">
        <f>HYPERLINK("https://www.toolnut.com/irwin-49916-drill-bit.html", "https://www.toolnut.com/irwin-49916-drill-bit.html")</f>
        <v/>
      </c>
      <c r="B417" s="1">
        <f>HYPERLINK("https://www.toolnut.com/irwin-49916-drill-bit.html", "https://www.toolnut.com/irwin-49916-drill-bit.html")</f>
        <v/>
      </c>
      <c r="C417" t="inlineStr">
        <is>
          <t>Irwin 49916 Power Drill I-100 Auger Bit 1-in.</t>
        </is>
      </c>
      <c r="D417" t="inlineStr">
        <is>
          <t>IRWIN WeldTec Auger Wood Drill Bit 1" X 17" (3043013)</t>
        </is>
      </c>
      <c r="E417" s="1">
        <f>HYPERLINK("https://www.amazon.com/Irwin-Tools-3043013-WeldTec-Auger/dp/B002WJN5MC/ref=sr_1_2?keywords=Irwin+49916+Power+Drill+I-100+Auger+Bit+1-in.&amp;qid=1695347109&amp;sr=8-2", "https://www.amazon.com/Irwin-Tools-3043013-WeldTec-Auger/dp/B002WJN5MC/ref=sr_1_2?keywords=Irwin+49916+Power+Drill+I-100+Auger+Bit+1-in.&amp;qid=1695347109&amp;sr=8-2")</f>
        <v/>
      </c>
      <c r="F417" t="inlineStr">
        <is>
          <t>B002WJN5MC</t>
        </is>
      </c>
      <c r="G417">
        <f>_xlfn.IMAGE("https://www.toolnut.com/media/catalog/product/4/9/49916-irwin-drill-bits-wood-drill-bits-power-drill-i-100-auger-bit-primary-01.jpg?quality=100&amp;bg-color=255,255,255&amp;fit=bounds&amp;height=700&amp;width=700&amp;canvas=700:700&amp;dpr=1 1x")</f>
        <v/>
      </c>
      <c r="H417">
        <f>_xlfn.IMAGE("https://m.media-amazon.com/images/I/61Tduk3BxPL._AC_UL320_.jpg")</f>
        <v/>
      </c>
      <c r="K417" t="inlineStr">
        <is>
          <t>13.19</t>
        </is>
      </c>
      <c r="L417" t="n">
        <v>26.99</v>
      </c>
      <c r="M417" s="2" t="inlineStr">
        <is>
          <t>104.62%</t>
        </is>
      </c>
      <c r="N417" t="n">
        <v>4.5</v>
      </c>
      <c r="O417" t="n">
        <v>153</v>
      </c>
      <c r="Q417" t="inlineStr">
        <is>
          <t>InStock</t>
        </is>
      </c>
      <c r="R417" t="inlineStr">
        <is>
          <t>undefined</t>
        </is>
      </c>
      <c r="S417" t="inlineStr">
        <is>
          <t>49916-IRWIN</t>
        </is>
      </c>
    </row>
    <row r="418" ht="75" customHeight="1">
      <c r="A418" s="1">
        <f>HYPERLINK("https://www.toolnut.com/irwin-49916-drill-bit.html", "https://www.toolnut.com/irwin-49916-drill-bit.html")</f>
        <v/>
      </c>
      <c r="B418" s="1">
        <f>HYPERLINK("https://www.toolnut.com/irwin-49916-drill-bit.html", "https://www.toolnut.com/irwin-49916-drill-bit.html")</f>
        <v/>
      </c>
      <c r="C418" t="inlineStr">
        <is>
          <t>Irwin 49916 Power Drill I-100 Auger Bit 1-in.</t>
        </is>
      </c>
      <c r="D418" t="inlineStr">
        <is>
          <t>IRWIN WeldTec Auger Wood Drill Bit 1" X 17" (3043013)</t>
        </is>
      </c>
      <c r="E418" s="1">
        <f>HYPERLINK("https://www.amazon.com/Irwin-Tools-3043013-WeldTec-Auger/dp/B002WJN5MC/ref=sr_1_2?keywords=Irwin+49916+Power+Drill+I-100+Auger+Bit+1-in.&amp;qid=1695347109&amp;sr=8-2", "https://www.amazon.com/Irwin-Tools-3043013-WeldTec-Auger/dp/B002WJN5MC/ref=sr_1_2?keywords=Irwin+49916+Power+Drill+I-100+Auger+Bit+1-in.&amp;qid=1695347109&amp;sr=8-2")</f>
        <v/>
      </c>
      <c r="F418" t="inlineStr">
        <is>
          <t>B002WJN5MC</t>
        </is>
      </c>
      <c r="G418">
        <f>_xlfn.IMAGE("https://www.toolnut.com/media/catalog/product/4/9/49916-irwin-drill-bits-wood-drill-bits-power-drill-i-100-auger-bit-primary-01.jpg?quality=100&amp;bg-color=255,255,255&amp;fit=bounds&amp;height=700&amp;width=700&amp;canvas=700:700&amp;dpr=1 1x")</f>
        <v/>
      </c>
      <c r="H418">
        <f>_xlfn.IMAGE("https://m.media-amazon.com/images/I/61Tduk3BxPL._AC_UL320_.jpg")</f>
        <v/>
      </c>
      <c r="K418" t="inlineStr">
        <is>
          <t>13.19</t>
        </is>
      </c>
      <c r="L418" t="n">
        <v>26.99</v>
      </c>
      <c r="M418" s="2" t="inlineStr">
        <is>
          <t>104.62%</t>
        </is>
      </c>
      <c r="N418" t="n">
        <v>4.5</v>
      </c>
      <c r="O418" t="n">
        <v>153</v>
      </c>
      <c r="Q418" t="inlineStr">
        <is>
          <t>InStock</t>
        </is>
      </c>
      <c r="R418" t="inlineStr">
        <is>
          <t>undefined</t>
        </is>
      </c>
      <c r="S418" t="inlineStr">
        <is>
          <t>49916-IRWIN</t>
        </is>
      </c>
    </row>
    <row r="419" ht="75" customHeight="1">
      <c r="A419" s="1">
        <f>HYPERLINK("https://www.toolnut.com/irwin-5026006-drill-bit.html", "https://www.toolnut.com/irwin-5026006-drill-bit.html")</f>
        <v/>
      </c>
      <c r="B419" s="1">
        <f>HYPERLINK("https://www.toolnut.com/irwin-5026006-drill-bit.html", "https://www.toolnut.com/irwin-5026006-drill-bit.html")</f>
        <v/>
      </c>
      <c r="C419" t="inlineStr">
        <is>
          <t>Irwin 5026006 Rotary Drill Bits Slow Spiral Flute Drill Bit 4-in. x 5/16-in.</t>
        </is>
      </c>
      <c r="D419" t="inlineStr">
        <is>
          <t>Irwin Tools 5026024 Slow Spiral Flute Rotary Drill Bit for Mason</t>
        </is>
      </c>
      <c r="E419" s="1">
        <f>HYPERLINK("https://www.amazon.com/Irwin-Tools-5026024-Spiral-Rotary/dp/B002Y1ARHO/ref=sr_1_6?keywords=Irwin+5026006+Rotary+Drill+Bits+Slow+Spiral+Flute+Drill+Bit+4-in.+x+5%2F16-in.&amp;qid=1695347040&amp;sr=8-6", "https://www.amazon.com/Irwin-Tools-5026024-Spiral-Rotary/dp/B002Y1ARHO/ref=sr_1_6?keywords=Irwin+5026006+Rotary+Drill+Bits+Slow+Spiral+Flute+Drill+Bit+4-in.+x+5%2F16-in.&amp;qid=1695347040&amp;sr=8-6")</f>
        <v/>
      </c>
      <c r="F419" t="inlineStr">
        <is>
          <t>B002Y1ARHO</t>
        </is>
      </c>
      <c r="G419">
        <f>_xlfn.IMAGE("https://www.toolnut.com/media/catalog/product/5/0/5026006-irwin-drill-bits-masonry-drill-bits-rotary-drill-bits-primary.jpg?quality=100&amp;bg-color=255,255,255&amp;fit=bounds&amp;height=700&amp;width=700&amp;canvas=700:700&amp;dpr=1 1x")</f>
        <v/>
      </c>
      <c r="H419">
        <f>_xlfn.IMAGE("https://m.media-amazon.com/images/I/81RHkCggyXL._AC_UL320_.jpg")</f>
        <v/>
      </c>
      <c r="K419" t="inlineStr">
        <is>
          <t>3.39</t>
        </is>
      </c>
      <c r="L419" t="n">
        <v>18.99</v>
      </c>
      <c r="M419" s="2" t="inlineStr">
        <is>
          <t>460.18%</t>
        </is>
      </c>
      <c r="N419" t="n">
        <v>5</v>
      </c>
      <c r="O419" t="n">
        <v>1</v>
      </c>
      <c r="Q419" t="inlineStr">
        <is>
          <t>InStock</t>
        </is>
      </c>
      <c r="R419" t="inlineStr">
        <is>
          <t>undefined</t>
        </is>
      </c>
      <c r="S419" t="inlineStr">
        <is>
          <t>5026006-IRWIN</t>
        </is>
      </c>
    </row>
    <row r="420" ht="75" customHeight="1">
      <c r="A420" s="1">
        <f>HYPERLINK("https://www.toolnut.com/irwin-5026015-drill-bit.html", "https://www.toolnut.com/irwin-5026015-drill-bit.html")</f>
        <v/>
      </c>
      <c r="B420" s="1">
        <f>HYPERLINK("https://www.toolnut.com/irwin-5026015-drill-bit.html", "https://www.toolnut.com/irwin-5026015-drill-bit.html")</f>
        <v/>
      </c>
      <c r="C420" t="inlineStr">
        <is>
          <t>Irwin 5026015 Rotary Drill Bits Slow Spiral Flute Drill Bit 6-in. x 1/2-in.</t>
        </is>
      </c>
      <c r="D420" t="inlineStr">
        <is>
          <t>Irwin Tools 5026024 Slow Spiral Flute Rotary Drill Bit for Mason</t>
        </is>
      </c>
      <c r="E420" s="1">
        <f>HYPERLINK("https://www.amazon.com/Irwin-Tools-5026024-Spiral-Rotary/dp/B002Y1ARHO/ref=sr_1_9?keywords=Irwin+5026015+Rotary+Drill+Bits+Slow+Spiral+Flute+Drill+Bit+6-in.+x+1%2F2-in.&amp;qid=1695347042&amp;sr=8-9", "https://www.amazon.com/Irwin-Tools-5026024-Spiral-Rotary/dp/B002Y1ARHO/ref=sr_1_9?keywords=Irwin+5026015+Rotary+Drill+Bits+Slow+Spiral+Flute+Drill+Bit+6-in.+x+1%2F2-in.&amp;qid=1695347042&amp;sr=8-9")</f>
        <v/>
      </c>
      <c r="F420" t="inlineStr">
        <is>
          <t>B002Y1ARHO</t>
        </is>
      </c>
      <c r="G420">
        <f>_xlfn.IMAGE("https://www.toolnut.com/media/catalog/product/5/0/5026015-irwin-drill-bits-masonry-drill-bits-rotary-drill-bits-primary.jpg?quality=100&amp;bg-color=255,255,255&amp;fit=bounds&amp;height=700&amp;width=700&amp;canvas=700:700&amp;dpr=1 1x")</f>
        <v/>
      </c>
      <c r="H420">
        <f>_xlfn.IMAGE("https://m.media-amazon.com/images/I/81RHkCggyXL._AC_UL320_.jpg")</f>
        <v/>
      </c>
      <c r="K420" t="inlineStr">
        <is>
          <t>8.99</t>
        </is>
      </c>
      <c r="L420" t="n">
        <v>18.99</v>
      </c>
      <c r="M420" s="2" t="inlineStr">
        <is>
          <t>111.23%</t>
        </is>
      </c>
      <c r="N420" t="n">
        <v>5</v>
      </c>
      <c r="O420" t="n">
        <v>1</v>
      </c>
      <c r="Q420" t="inlineStr">
        <is>
          <t>InStock</t>
        </is>
      </c>
      <c r="R420" t="inlineStr">
        <is>
          <t>undefined</t>
        </is>
      </c>
      <c r="S420" t="inlineStr">
        <is>
          <t>5026015-IRWIN</t>
        </is>
      </c>
    </row>
    <row r="421" ht="75" customHeight="1">
      <c r="A421" s="1">
        <f>HYPERLINK("https://www.toolnut.com/irwin-5026015-drill-bit.html", "https://www.toolnut.com/irwin-5026015-drill-bit.html")</f>
        <v/>
      </c>
      <c r="B421" s="1">
        <f>HYPERLINK("https://www.toolnut.com/irwin-5026015-drill-bit.html", "https://www.toolnut.com/irwin-5026015-drill-bit.html")</f>
        <v/>
      </c>
      <c r="C421" t="inlineStr">
        <is>
          <t>Irwin 5026015 Rotary Drill Bits Slow Spiral Flute Drill Bit 6-in. x 1/2-in.</t>
        </is>
      </c>
      <c r="D421" t="inlineStr">
        <is>
          <t>Irwin Tools 5026023 Slow Spiral Flute Rotary Drill Bit for Masonry, 1" x 6"</t>
        </is>
      </c>
      <c r="E421" s="1">
        <f>HYPERLINK("https://www.amazon.com/Irwin-Tools-5026023-Spiral-Masonry/dp/B001737R5U/ref=sr_1_4?keywords=Irwin+5026015+Rotary+Drill+Bits+Slow+Spiral+Flute+Drill+Bit+6-in.+x+1%2F2-in.&amp;qid=1695347042&amp;sr=8-4", "https://www.amazon.com/Irwin-Tools-5026023-Spiral-Masonry/dp/B001737R5U/ref=sr_1_4?keywords=Irwin+5026015+Rotary+Drill+Bits+Slow+Spiral+Flute+Drill+Bit+6-in.+x+1%2F2-in.&amp;qid=1695347042&amp;sr=8-4")</f>
        <v/>
      </c>
      <c r="F421" t="inlineStr">
        <is>
          <t>B001737R5U</t>
        </is>
      </c>
      <c r="G421">
        <f>_xlfn.IMAGE("https://www.toolnut.com/media/catalog/product/5/0/5026015-irwin-drill-bits-masonry-drill-bits-rotary-drill-bits-primary.jpg?quality=100&amp;bg-color=255,255,255&amp;fit=bounds&amp;height=700&amp;width=700&amp;canvas=700:700&amp;dpr=1 1x")</f>
        <v/>
      </c>
      <c r="H421">
        <f>_xlfn.IMAGE("https://m.media-amazon.com/images/I/71lSvNqu-DL._AC_UL320_.jpg")</f>
        <v/>
      </c>
      <c r="K421" t="inlineStr">
        <is>
          <t>8.99</t>
        </is>
      </c>
      <c r="L421" t="n">
        <v>17.62</v>
      </c>
      <c r="M421" s="2" t="inlineStr">
        <is>
          <t>96.00%</t>
        </is>
      </c>
      <c r="N421" t="n">
        <v>4.3</v>
      </c>
      <c r="O421" t="n">
        <v>41</v>
      </c>
      <c r="Q421" t="inlineStr">
        <is>
          <t>InStock</t>
        </is>
      </c>
      <c r="R421" t="inlineStr">
        <is>
          <t>undefined</t>
        </is>
      </c>
      <c r="S421" t="inlineStr">
        <is>
          <t>5026015-IRWIN</t>
        </is>
      </c>
    </row>
    <row r="422" ht="75" customHeight="1">
      <c r="A422" s="1">
        <f>HYPERLINK("https://www.toolnut.com/irwin-5026015-drill-bit.html", "https://www.toolnut.com/irwin-5026015-drill-bit.html")</f>
        <v/>
      </c>
      <c r="B422" s="1">
        <f>HYPERLINK("https://www.toolnut.com/irwin-5026015-drill-bit.html", "https://www.toolnut.com/irwin-5026015-drill-bit.html")</f>
        <v/>
      </c>
      <c r="C422" t="inlineStr">
        <is>
          <t>Irwin 5026015 Rotary Drill Bits Slow Spiral Flute Drill Bit 6-in. x 1/2-in.</t>
        </is>
      </c>
      <c r="D422" t="inlineStr">
        <is>
          <t>Irwin Tools 5026024 Slow Spiral Flute Rotary Drill Bit for Mason</t>
        </is>
      </c>
      <c r="E422" s="1">
        <f>HYPERLINK("https://www.amazon.com/Irwin-Tools-5026024-Spiral-Rotary/dp/B002Y1ARHO/ref=sr_1_9?keywords=Irwin+5026015+Rotary+Drill+Bits+Slow+Spiral+Flute+Drill+Bit+6-in.+x+1%2F2-in.&amp;qid=1695347042&amp;sr=8-9", "https://www.amazon.com/Irwin-Tools-5026024-Spiral-Rotary/dp/B002Y1ARHO/ref=sr_1_9?keywords=Irwin+5026015+Rotary+Drill+Bits+Slow+Spiral+Flute+Drill+Bit+6-in.+x+1%2F2-in.&amp;qid=1695347042&amp;sr=8-9")</f>
        <v/>
      </c>
      <c r="F422" t="inlineStr">
        <is>
          <t>B002Y1ARHO</t>
        </is>
      </c>
      <c r="G422">
        <f>_xlfn.IMAGE("https://www.toolnut.com/media/catalog/product/5/0/5026015-irwin-drill-bits-masonry-drill-bits-rotary-drill-bits-primary.jpg?quality=100&amp;bg-color=255,255,255&amp;fit=bounds&amp;height=700&amp;width=700&amp;canvas=700:700&amp;dpr=1 1x")</f>
        <v/>
      </c>
      <c r="H422">
        <f>_xlfn.IMAGE("https://m.media-amazon.com/images/I/81RHkCggyXL._AC_UL320_.jpg")</f>
        <v/>
      </c>
      <c r="K422" t="inlineStr">
        <is>
          <t>8.99</t>
        </is>
      </c>
      <c r="L422" t="n">
        <v>18.99</v>
      </c>
      <c r="M422" s="2" t="inlineStr">
        <is>
          <t>111.23%</t>
        </is>
      </c>
      <c r="N422" t="n">
        <v>5</v>
      </c>
      <c r="O422" t="n">
        <v>1</v>
      </c>
      <c r="Q422" t="inlineStr">
        <is>
          <t>InStock</t>
        </is>
      </c>
      <c r="R422" t="inlineStr">
        <is>
          <t>undefined</t>
        </is>
      </c>
      <c r="S422" t="inlineStr">
        <is>
          <t>5026015-IRWIN</t>
        </is>
      </c>
    </row>
    <row r="423" ht="75" customHeight="1">
      <c r="A423" s="1">
        <f>HYPERLINK("https://www.toolnut.com/irwin-5026015-drill-bit.html", "https://www.toolnut.com/irwin-5026015-drill-bit.html")</f>
        <v/>
      </c>
      <c r="B423" s="1">
        <f>HYPERLINK("https://www.toolnut.com/irwin-5026015-drill-bit.html", "https://www.toolnut.com/irwin-5026015-drill-bit.html")</f>
        <v/>
      </c>
      <c r="C423" t="inlineStr">
        <is>
          <t>Irwin 5026015 Rotary Drill Bits Slow Spiral Flute Drill Bit 6-in. x 1/2-in.</t>
        </is>
      </c>
      <c r="D423" t="inlineStr">
        <is>
          <t>Irwin Tools 5026023 Slow Spiral Flute Rotary Drill Bit for Masonry, 1" x 6"</t>
        </is>
      </c>
      <c r="E423" s="1">
        <f>HYPERLINK("https://www.amazon.com/Irwin-Tools-5026023-Spiral-Masonry/dp/B001737R5U/ref=sr_1_4?keywords=Irwin+5026015+Rotary+Drill+Bits+Slow+Spiral+Flute+Drill+Bit+6-in.+x+1%2F2-in.&amp;qid=1695347042&amp;sr=8-4", "https://www.amazon.com/Irwin-Tools-5026023-Spiral-Masonry/dp/B001737R5U/ref=sr_1_4?keywords=Irwin+5026015+Rotary+Drill+Bits+Slow+Spiral+Flute+Drill+Bit+6-in.+x+1%2F2-in.&amp;qid=1695347042&amp;sr=8-4")</f>
        <v/>
      </c>
      <c r="F423" t="inlineStr">
        <is>
          <t>B001737R5U</t>
        </is>
      </c>
      <c r="G423">
        <f>_xlfn.IMAGE("https://www.toolnut.com/media/catalog/product/5/0/5026015-irwin-drill-bits-masonry-drill-bits-rotary-drill-bits-primary.jpg?quality=100&amp;bg-color=255,255,255&amp;fit=bounds&amp;height=700&amp;width=700&amp;canvas=700:700&amp;dpr=1 1x")</f>
        <v/>
      </c>
      <c r="H423">
        <f>_xlfn.IMAGE("https://m.media-amazon.com/images/I/71lSvNqu-DL._AC_UL320_.jpg")</f>
        <v/>
      </c>
      <c r="K423" t="inlineStr">
        <is>
          <t>8.99</t>
        </is>
      </c>
      <c r="L423" t="n">
        <v>17.62</v>
      </c>
      <c r="M423" s="2" t="inlineStr">
        <is>
          <t>96.00%</t>
        </is>
      </c>
      <c r="N423" t="n">
        <v>4.3</v>
      </c>
      <c r="O423" t="n">
        <v>41</v>
      </c>
      <c r="Q423" t="inlineStr">
        <is>
          <t>InStock</t>
        </is>
      </c>
      <c r="R423" t="inlineStr">
        <is>
          <t>undefined</t>
        </is>
      </c>
      <c r="S423" t="inlineStr">
        <is>
          <t>5026015-IRWIN</t>
        </is>
      </c>
    </row>
    <row r="424" ht="75" customHeight="1">
      <c r="A424" s="1">
        <f>HYPERLINK("https://www.toolnut.com/irwin-53535-drill-bit.html", "https://www.toolnut.com/irwin-53535-drill-bit.html")</f>
        <v/>
      </c>
      <c r="B424" s="1">
        <f>HYPERLINK("https://www.toolnut.com/irwin-53535-drill-bit.html", "https://www.toolnut.com/irwin-53535-drill-bit.html")</f>
        <v/>
      </c>
      <c r="C424" t="inlineStr">
        <is>
          <t>Irwin 53535 HANSON Spiral Screw Extractor EX-1 - EX-5 5-Piece Set</t>
        </is>
      </c>
      <c r="D424" t="inlineStr">
        <is>
          <t>Irwin Industrial Tools 11117 Pouched Spiral Flute Screw Extractors with Cobalt Alloy Steel Drill Bits Set, 10-Piece</t>
        </is>
      </c>
      <c r="E424" s="1">
        <f>HYPERLINK("https://www.amazon.com/Irwin-Industrial-Tools-11117-Extractors/dp/B000GXBM7Q/ref=sr_1_7?keywords=Irwin+53535+HANSON+Spiral+Screw+Extractor+EX-1+-+EX-5+5-Piece+Set&amp;qid=1695347065&amp;sr=8-7", "https://www.amazon.com/Irwin-Industrial-Tools-11117-Extractors/dp/B000GXBM7Q/ref=sr_1_7?keywords=Irwin+53535+HANSON+Spiral+Screw+Extractor+EX-1+-+EX-5+5-Piece+Set&amp;qid=1695347065&amp;sr=8-7")</f>
        <v/>
      </c>
      <c r="F424" t="inlineStr">
        <is>
          <t>B000GXBM7Q</t>
        </is>
      </c>
      <c r="G424">
        <f>_xlfn.IMAGE("https://www.toolnut.com/media/catalog/product/5/3/53535-irwin_001.jpg?quality=100&amp;bg-color=255,255,255&amp;fit=bounds&amp;height=700&amp;width=700&amp;canvas=700:700&amp;dpr=1 1x")</f>
        <v/>
      </c>
      <c r="H424">
        <f>_xlfn.IMAGE("https://m.media-amazon.com/images/I/71Bm1TyhSnL._AC_UL320_.jpg")</f>
        <v/>
      </c>
      <c r="K424" t="inlineStr">
        <is>
          <t>10.79</t>
        </is>
      </c>
      <c r="L424" t="n">
        <v>26.98</v>
      </c>
      <c r="M424" s="2" t="inlineStr">
        <is>
          <t>150.05%</t>
        </is>
      </c>
      <c r="N424" t="n">
        <v>4.3</v>
      </c>
      <c r="O424" t="n">
        <v>124</v>
      </c>
      <c r="Q424" t="inlineStr">
        <is>
          <t>InStock</t>
        </is>
      </c>
      <c r="R424" t="inlineStr">
        <is>
          <t>undefined</t>
        </is>
      </c>
      <c r="S424" t="inlineStr">
        <is>
          <t>53535-IRWIN</t>
        </is>
      </c>
    </row>
    <row r="425" ht="75" customHeight="1">
      <c r="A425" s="1">
        <f>HYPERLINK("https://www.toolnut.com/irwin-53535-drill-bit.html", "https://www.toolnut.com/irwin-53535-drill-bit.html")</f>
        <v/>
      </c>
      <c r="B425" s="1">
        <f>HYPERLINK("https://www.toolnut.com/irwin-53535-drill-bit.html", "https://www.toolnut.com/irwin-53535-drill-bit.html")</f>
        <v/>
      </c>
      <c r="C425" t="inlineStr">
        <is>
          <t>Irwin 53535 HANSON Spiral Screw Extractor EX-1 - EX-5 5-Piece Set</t>
        </is>
      </c>
      <c r="D425" t="inlineStr">
        <is>
          <t>IRWIN Screw Extractor, Spiral Flute, 6-Piece (53545)</t>
        </is>
      </c>
      <c r="E425" s="1">
        <f>HYPERLINK("https://www.amazon.com/IRWIN-HANSON-Spiral-Extractors-53545/dp/B001D1FXDE/ref=sr_1_3?keywords=Irwin+53535+HANSON+Spiral+Screw+Extractor+EX-1+-+EX-5+5-Piece+Set&amp;qid=1695347065&amp;sr=8-3", "https://www.amazon.com/IRWIN-HANSON-Spiral-Extractors-53545/dp/B001D1FXDE/ref=sr_1_3?keywords=Irwin+53535+HANSON+Spiral+Screw+Extractor+EX-1+-+EX-5+5-Piece+Set&amp;qid=1695347065&amp;sr=8-3")</f>
        <v/>
      </c>
      <c r="F425" t="inlineStr">
        <is>
          <t>B001D1FXDE</t>
        </is>
      </c>
      <c r="G425">
        <f>_xlfn.IMAGE("https://www.toolnut.com/media/catalog/product/5/3/53535-irwin_001.jpg?quality=100&amp;bg-color=255,255,255&amp;fit=bounds&amp;height=700&amp;width=700&amp;canvas=700:700&amp;dpr=1 1x")</f>
        <v/>
      </c>
      <c r="H425">
        <f>_xlfn.IMAGE("https://m.media-amazon.com/images/I/71GBPVhMDCL._AC_UL320_.jpg")</f>
        <v/>
      </c>
      <c r="K425" t="inlineStr">
        <is>
          <t>10.79</t>
        </is>
      </c>
      <c r="L425" t="n">
        <v>18.05</v>
      </c>
      <c r="M425" s="2" t="inlineStr">
        <is>
          <t>67.28%</t>
        </is>
      </c>
      <c r="N425" t="n">
        <v>4.3</v>
      </c>
      <c r="O425" t="n">
        <v>809</v>
      </c>
      <c r="Q425" t="inlineStr">
        <is>
          <t>InStock</t>
        </is>
      </c>
      <c r="R425" t="inlineStr">
        <is>
          <t>undefined</t>
        </is>
      </c>
      <c r="S425" t="inlineStr">
        <is>
          <t>53535-IRWIN</t>
        </is>
      </c>
    </row>
    <row r="426" ht="75" customHeight="1">
      <c r="A426" s="1">
        <f>HYPERLINK("https://www.toolnut.com/irwin-53535-drill-bit.html", "https://www.toolnut.com/irwin-53535-drill-bit.html")</f>
        <v/>
      </c>
      <c r="B426" s="1">
        <f>HYPERLINK("https://www.toolnut.com/irwin-53535-drill-bit.html", "https://www.toolnut.com/irwin-53535-drill-bit.html")</f>
        <v/>
      </c>
      <c r="C426" t="inlineStr">
        <is>
          <t>Irwin 53535 HANSON Spiral Screw Extractor EX-1 - EX-5 5-Piece Set</t>
        </is>
      </c>
      <c r="D426" t="inlineStr">
        <is>
          <t>Irwin Industrial Tools 11117 Pouched Spiral Flute Screw Extractors with Cobalt Alloy Steel Drill Bits Set, 10-Piece</t>
        </is>
      </c>
      <c r="E426" s="1">
        <f>HYPERLINK("https://www.amazon.com/Irwin-Industrial-Tools-11117-Extractors/dp/B000GXBM7Q/ref=sr_1_7?keywords=Irwin+53535+HANSON+Spiral+Screw+Extractor+EX-1+-+EX-5+5-Piece+Set&amp;qid=1695347065&amp;sr=8-7", "https://www.amazon.com/Irwin-Industrial-Tools-11117-Extractors/dp/B000GXBM7Q/ref=sr_1_7?keywords=Irwin+53535+HANSON+Spiral+Screw+Extractor+EX-1+-+EX-5+5-Piece+Set&amp;qid=1695347065&amp;sr=8-7")</f>
        <v/>
      </c>
      <c r="F426" t="inlineStr">
        <is>
          <t>B000GXBM7Q</t>
        </is>
      </c>
      <c r="G426">
        <f>_xlfn.IMAGE("https://www.toolnut.com/media/catalog/product/5/3/53535-irwin_001.jpg?quality=100&amp;bg-color=255,255,255&amp;fit=bounds&amp;height=700&amp;width=700&amp;canvas=700:700&amp;dpr=1 1x")</f>
        <v/>
      </c>
      <c r="H426">
        <f>_xlfn.IMAGE("https://m.media-amazon.com/images/I/71Bm1TyhSnL._AC_UL320_.jpg")</f>
        <v/>
      </c>
      <c r="K426" t="inlineStr">
        <is>
          <t>10.79</t>
        </is>
      </c>
      <c r="L426" t="n">
        <v>26.98</v>
      </c>
      <c r="M426" s="2" t="inlineStr">
        <is>
          <t>150.05%</t>
        </is>
      </c>
      <c r="N426" t="n">
        <v>4.3</v>
      </c>
      <c r="O426" t="n">
        <v>124</v>
      </c>
      <c r="Q426" t="inlineStr">
        <is>
          <t>InStock</t>
        </is>
      </c>
      <c r="R426" t="inlineStr">
        <is>
          <t>undefined</t>
        </is>
      </c>
      <c r="S426" t="inlineStr">
        <is>
          <t>53535-IRWIN</t>
        </is>
      </c>
    </row>
    <row r="427" ht="75" customHeight="1">
      <c r="A427" s="1">
        <f>HYPERLINK("https://www.toolnut.com/irwin-53535-drill-bit.html", "https://www.toolnut.com/irwin-53535-drill-bit.html")</f>
        <v/>
      </c>
      <c r="B427" s="1">
        <f>HYPERLINK("https://www.toolnut.com/irwin-53535-drill-bit.html", "https://www.toolnut.com/irwin-53535-drill-bit.html")</f>
        <v/>
      </c>
      <c r="C427" t="inlineStr">
        <is>
          <t>Irwin 53535 HANSON Spiral Screw Extractor EX-1 - EX-5 5-Piece Set</t>
        </is>
      </c>
      <c r="D427" t="inlineStr">
        <is>
          <t>IRWIN Screw Extractor, Spiral Flute, 6-Piece (53545)</t>
        </is>
      </c>
      <c r="E427" s="1">
        <f>HYPERLINK("https://www.amazon.com/IRWIN-HANSON-Spiral-Extractors-53545/dp/B001D1FXDE/ref=sr_1_3?keywords=Irwin+53535+HANSON+Spiral+Screw+Extractor+EX-1+-+EX-5+5-Piece+Set&amp;qid=1695347065&amp;sr=8-3", "https://www.amazon.com/IRWIN-HANSON-Spiral-Extractors-53545/dp/B001D1FXDE/ref=sr_1_3?keywords=Irwin+53535+HANSON+Spiral+Screw+Extractor+EX-1+-+EX-5+5-Piece+Set&amp;qid=1695347065&amp;sr=8-3")</f>
        <v/>
      </c>
      <c r="F427" t="inlineStr">
        <is>
          <t>B001D1FXDE</t>
        </is>
      </c>
      <c r="G427">
        <f>_xlfn.IMAGE("https://www.toolnut.com/media/catalog/product/5/3/53535-irwin_001.jpg?quality=100&amp;bg-color=255,255,255&amp;fit=bounds&amp;height=700&amp;width=700&amp;canvas=700:700&amp;dpr=1 1x")</f>
        <v/>
      </c>
      <c r="H427">
        <f>_xlfn.IMAGE("https://m.media-amazon.com/images/I/71GBPVhMDCL._AC_UL320_.jpg")</f>
        <v/>
      </c>
      <c r="K427" t="inlineStr">
        <is>
          <t>10.79</t>
        </is>
      </c>
      <c r="L427" t="n">
        <v>18.05</v>
      </c>
      <c r="M427" s="2" t="inlineStr">
        <is>
          <t>67.28%</t>
        </is>
      </c>
      <c r="N427" t="n">
        <v>4.3</v>
      </c>
      <c r="O427" t="n">
        <v>809</v>
      </c>
      <c r="Q427" t="inlineStr">
        <is>
          <t>InStock</t>
        </is>
      </c>
      <c r="R427" t="inlineStr">
        <is>
          <t>undefined</t>
        </is>
      </c>
      <c r="S427" t="inlineStr">
        <is>
          <t>53535-IRWIN</t>
        </is>
      </c>
    </row>
    <row r="428" ht="75" customHeight="1">
      <c r="A428" s="1">
        <f>HYPERLINK("https://www.toolnut.com/irwin-53901-drill-bit.html", "https://www.toolnut.com/irwin-53901-drill-bit.html")</f>
        <v/>
      </c>
      <c r="B428" s="1">
        <f>HYPERLINK("https://www.toolnut.com/irwin-53901-drill-bit.html", "https://www.toolnut.com/irwin-53901-drill-bit.html")</f>
        <v/>
      </c>
      <c r="C428" t="inlineStr">
        <is>
          <t>Irwin 53901 HANSON BOLT-GRIP Impact 1/4-in. Bolt Extractor 3/8-in. Square Drive</t>
        </is>
      </c>
      <c r="D428" t="inlineStr">
        <is>
          <t>IRWIN Tools IMPACT Performance Series BOLT GRIP Bolt Extractor Set, 3/8-inch Square Drive, Drawer, 8-Piece with 1/4-inch Hex Drive to 3/8-inch Square Socket Adapter (1859150)</t>
        </is>
      </c>
      <c r="E428" s="1">
        <f>HYPERLINK("https://www.amazon.com/Tools-Performance-Extractor-8-Piece-1859150/dp/B00LFRUN0O/ref=sr_1_1?keywords=Irwin+53901+HANSON+BOLT-GRIP+Impact+1%2F4-in.+Bolt+Extractor+3%2F8-in.+Square+Drive&amp;qid=1695347063&amp;sr=8-1", "https://www.amazon.com/Tools-Performance-Extractor-8-Piece-1859150/dp/B00LFRUN0O/ref=sr_1_1?keywords=Irwin+53901+HANSON+BOLT-GRIP+Impact+1%2F4-in.+Bolt+Extractor+3%2F8-in.+Square+Drive&amp;qid=1695347063&amp;sr=8-1")</f>
        <v/>
      </c>
      <c r="F428" t="inlineStr">
        <is>
          <t>B00LFRUN0O</t>
        </is>
      </c>
      <c r="G428">
        <f>_xlfn.IMAGE("https://www.toolnut.com/media/catalog/product/5/3/53901-irwin-hanson-screw-bolt-extractors-bolt-extractors-primary.jpg?quality=100&amp;bg-color=255,255,255&amp;fit=bounds&amp;height=700&amp;width=700&amp;canvas=700:700&amp;dpr=1 1x")</f>
        <v/>
      </c>
      <c r="H428">
        <f>_xlfn.IMAGE("https://m.media-amazon.com/images/I/61tmk90eYhL._AC_UL320_.jpg")</f>
        <v/>
      </c>
      <c r="K428" t="inlineStr">
        <is>
          <t>8.99</t>
        </is>
      </c>
      <c r="L428" t="n">
        <v>52.22</v>
      </c>
      <c r="M428" s="2" t="inlineStr">
        <is>
          <t>480.87%</t>
        </is>
      </c>
      <c r="N428" t="n">
        <v>4.6</v>
      </c>
      <c r="O428" t="n">
        <v>168</v>
      </c>
      <c r="Q428" t="inlineStr">
        <is>
          <t>InStock</t>
        </is>
      </c>
      <c r="R428" t="inlineStr">
        <is>
          <t>undefined</t>
        </is>
      </c>
      <c r="S428" t="inlineStr">
        <is>
          <t>53901-IRWIN</t>
        </is>
      </c>
    </row>
    <row r="429" ht="75" customHeight="1">
      <c r="A429" s="1">
        <f>HYPERLINK("https://www.toolnut.com/irwin-53902-drill-bit.html", "https://www.toolnut.com/irwin-53902-drill-bit.html")</f>
        <v/>
      </c>
      <c r="B429" s="1">
        <f>HYPERLINK("https://www.toolnut.com/irwin-53902-drill-bit.html", "https://www.toolnut.com/irwin-53902-drill-bit.html")</f>
        <v/>
      </c>
      <c r="C429" t="inlineStr">
        <is>
          <t>Irwin 53902 HANSON BOLT-GRIP Impact 5/16-in. Bolt Extractor 3/8-in. Square Drive</t>
        </is>
      </c>
      <c r="D429" t="inlineStr">
        <is>
          <t>IRWIN Tools IMPACT Performance Series BOLT GRIP Bolt Extractor Set, 3/8-inch Square Drive, Drawer, 8-Piece with 1/4-inch Hex Drive to 3/8-inch Square Socket Adapter (1859150)</t>
        </is>
      </c>
      <c r="E429" s="1">
        <f>HYPERLINK("https://www.amazon.com/Tools-Performance-Extractor-8-Piece-1859150/dp/B00LFRUN0O/ref=sr_1_1?keywords=Irwin+53902+HANSON+BOLT-GRIP+Impact+5%2F16-in.+Bolt+Extractor+3%2F8-in.+Square+Drive&amp;qid=1695347062&amp;sr=8-1", "https://www.amazon.com/Tools-Performance-Extractor-8-Piece-1859150/dp/B00LFRUN0O/ref=sr_1_1?keywords=Irwin+53902+HANSON+BOLT-GRIP+Impact+5%2F16-in.+Bolt+Extractor+3%2F8-in.+Square+Drive&amp;qid=1695347062&amp;sr=8-1")</f>
        <v/>
      </c>
      <c r="F429" t="inlineStr">
        <is>
          <t>B00LFRUN0O</t>
        </is>
      </c>
      <c r="G429">
        <f>_xlfn.IMAGE("https://www.toolnut.com/media/catalog/product/5/3/53902-irwin_1.jpg?quality=100&amp;bg-color=255,255,255&amp;fit=bounds&amp;height=700&amp;width=700&amp;canvas=700:700&amp;dpr=1 1x")</f>
        <v/>
      </c>
      <c r="H429">
        <f>_xlfn.IMAGE("https://m.media-amazon.com/images/I/61tmk90eYhL._AC_UL320_.jpg")</f>
        <v/>
      </c>
      <c r="K429" t="inlineStr">
        <is>
          <t>8.99</t>
        </is>
      </c>
      <c r="L429" t="n">
        <v>52.22</v>
      </c>
      <c r="M429" s="2" t="inlineStr">
        <is>
          <t>480.87%</t>
        </is>
      </c>
      <c r="N429" t="n">
        <v>4.6</v>
      </c>
      <c r="O429" t="n">
        <v>168</v>
      </c>
      <c r="Q429" t="inlineStr">
        <is>
          <t>InStock</t>
        </is>
      </c>
      <c r="R429" t="inlineStr">
        <is>
          <t>undefined</t>
        </is>
      </c>
      <c r="S429" t="inlineStr">
        <is>
          <t>53902-IRWIN</t>
        </is>
      </c>
    </row>
    <row r="430" ht="75" customHeight="1">
      <c r="A430" s="1">
        <f>HYPERLINK("https://www.toolnut.com/irwin-53905-drill-bit.html", "https://www.toolnut.com/irwin-53905-drill-bit.html")</f>
        <v/>
      </c>
      <c r="B430" s="1">
        <f>HYPERLINK("https://www.toolnut.com/irwin-53905-drill-bit.html", "https://www.toolnut.com/irwin-53905-drill-bit.html")</f>
        <v/>
      </c>
      <c r="C430" t="inlineStr">
        <is>
          <t>Irwin 53905 HANSON BOLT-GRIP Impact 7/16-in. Bolt Extractor 3/8-in. Square Drive</t>
        </is>
      </c>
      <c r="D430" t="inlineStr">
        <is>
          <t>IRWIN Tools IMPACT Performance Series BOLT GRIP Bolt Extractor Set, 3/8-inch Square Drive, Drawer, 8-Piece with 1/4-inch Hex Drive to 3/8-inch Square Socket Adapter (1859150)</t>
        </is>
      </c>
      <c r="E430" s="1">
        <f>HYPERLINK("https://www.amazon.com/Tools-Performance-Extractor-8-Piece-1859150/dp/B00LFRUN0O/ref=sr_1_1?keywords=Irwin+53905+HANSON+BOLT-GRIP+Impact+7%2F16-in.+Bolt+Extractor+3%2F8-in.+Square+Drive&amp;qid=1695347080&amp;sr=8-1", "https://www.amazon.com/Tools-Performance-Extractor-8-Piece-1859150/dp/B00LFRUN0O/ref=sr_1_1?keywords=Irwin+53905+HANSON+BOLT-GRIP+Impact+7%2F16-in.+Bolt+Extractor+3%2F8-in.+Square+Drive&amp;qid=1695347080&amp;sr=8-1")</f>
        <v/>
      </c>
      <c r="F430" t="inlineStr">
        <is>
          <t>B00LFRUN0O</t>
        </is>
      </c>
      <c r="G430">
        <f>_xlfn.IMAGE("https://www.toolnut.com/media/catalog/product/5/3/53905-irwin_1.jpg?quality=100&amp;bg-color=255,255,255&amp;fit=bounds&amp;height=700&amp;width=700&amp;canvas=700:700&amp;dpr=1 1x")</f>
        <v/>
      </c>
      <c r="H430">
        <f>_xlfn.IMAGE("https://m.media-amazon.com/images/I/61tmk90eYhL._AC_UL320_.jpg")</f>
        <v/>
      </c>
      <c r="K430" t="inlineStr">
        <is>
          <t>9.09</t>
        </is>
      </c>
      <c r="L430" t="n">
        <v>52.22</v>
      </c>
      <c r="M430" s="2" t="inlineStr">
        <is>
          <t>474.48%</t>
        </is>
      </c>
      <c r="N430" t="n">
        <v>4.6</v>
      </c>
      <c r="O430" t="n">
        <v>168</v>
      </c>
      <c r="Q430" t="inlineStr">
        <is>
          <t>InStock</t>
        </is>
      </c>
      <c r="R430" t="inlineStr">
        <is>
          <t>undefined</t>
        </is>
      </c>
      <c r="S430" t="inlineStr">
        <is>
          <t>53905-IRWIN</t>
        </is>
      </c>
    </row>
    <row r="431" ht="75" customHeight="1">
      <c r="A431" s="1">
        <f>HYPERLINK("https://www.toolnut.com/irwin-53918-drill-bit.html", "https://www.toolnut.com/irwin-53918-drill-bit.html")</f>
        <v/>
      </c>
      <c r="B431" s="1">
        <f>HYPERLINK("https://www.toolnut.com/irwin-53918-drill-bit.html", "https://www.toolnut.com/irwin-53918-drill-bit.html")</f>
        <v/>
      </c>
      <c r="C431" t="inlineStr">
        <is>
          <t>Irwin 53918 HANSON BOLT-GRIP Impact 1-in. Bolt Extractor 1/2-in. Square Drive</t>
        </is>
      </c>
      <c r="D431" t="inlineStr">
        <is>
          <t>IRWIN Tools IMPACT Performance Series BOLT GRIP Bolt Extractor Set, 3/8-inch Square Drive, Drawer, 8-Piece with 1/4-inch Hex Drive to 3/8-inch Square Socket Adapter (1859150)</t>
        </is>
      </c>
      <c r="E431" s="1">
        <f>HYPERLINK("https://www.amazon.com/Tools-Performance-Extractor-8-Piece-1859150/dp/B00LFRUN0O/ref=sr_1_3?keywords=Irwin+53918+HANSON+BOLT-GRIP+Impact+1-in.+Bolt+Extractor+1%2F2-in.+Square+Drive&amp;qid=1695347071&amp;sr=8-3", "https://www.amazon.com/Tools-Performance-Extractor-8-Piece-1859150/dp/B00LFRUN0O/ref=sr_1_3?keywords=Irwin+53918+HANSON+BOLT-GRIP+Impact+1-in.+Bolt+Extractor+1%2F2-in.+Square+Drive&amp;qid=1695347071&amp;sr=8-3")</f>
        <v/>
      </c>
      <c r="F431" t="inlineStr">
        <is>
          <t>B00LFRUN0O</t>
        </is>
      </c>
      <c r="G431">
        <f>_xlfn.IMAGE("https://www.toolnut.com/media/catalog/product/5/3/53918-irwin_1.jpg?quality=100&amp;bg-color=255,255,255&amp;fit=bounds&amp;height=700&amp;width=700&amp;canvas=700:700&amp;dpr=1 1x")</f>
        <v/>
      </c>
      <c r="H431">
        <f>_xlfn.IMAGE("https://m.media-amazon.com/images/I/61tmk90eYhL._AC_UL320_.jpg")</f>
        <v/>
      </c>
      <c r="K431" t="inlineStr">
        <is>
          <t>18.19</t>
        </is>
      </c>
      <c r="L431" t="n">
        <v>52.22</v>
      </c>
      <c r="M431" s="2" t="inlineStr">
        <is>
          <t>187.08%</t>
        </is>
      </c>
      <c r="N431" t="n">
        <v>4.6</v>
      </c>
      <c r="O431" t="n">
        <v>168</v>
      </c>
      <c r="Q431" t="inlineStr">
        <is>
          <t>InStock</t>
        </is>
      </c>
      <c r="R431" t="inlineStr">
        <is>
          <t>undefined</t>
        </is>
      </c>
      <c r="S431" t="inlineStr">
        <is>
          <t>53918-IRWIN</t>
        </is>
      </c>
    </row>
    <row r="432" ht="75" customHeight="1">
      <c r="A432" s="1">
        <f>HYPERLINK("https://www.toolnut.com/irwin-53918-drill-bit.html", "https://www.toolnut.com/irwin-53918-drill-bit.html")</f>
        <v/>
      </c>
      <c r="B432" s="1">
        <f>HYPERLINK("https://www.toolnut.com/irwin-53918-drill-bit.html", "https://www.toolnut.com/irwin-53918-drill-bit.html")</f>
        <v/>
      </c>
      <c r="C432" t="inlineStr">
        <is>
          <t>Irwin 53918 HANSON BOLT-GRIP Impact 1-in. Bolt Extractor 1/2-in. Square Drive</t>
        </is>
      </c>
      <c r="D432" t="inlineStr">
        <is>
          <t>IRWIN Tools IMPACT Performance Series BOLT GRIP Bolt Extractor Set, 3/8-inch Square Drive, Drawer, 8-Piece with 1/4-inch Hex Drive to 3/8-inch Square Socket Adapter (1859150)</t>
        </is>
      </c>
      <c r="E432" s="1">
        <f>HYPERLINK("https://www.amazon.com/Tools-Performance-Extractor-8-Piece-1859150/dp/B00LFRUN0O/ref=sr_1_3?keywords=Irwin+53918+HANSON+BOLT-GRIP+Impact+1-in.+Bolt+Extractor+1%2F2-in.+Square+Drive&amp;qid=1695347071&amp;sr=8-3", "https://www.amazon.com/Tools-Performance-Extractor-8-Piece-1859150/dp/B00LFRUN0O/ref=sr_1_3?keywords=Irwin+53918+HANSON+BOLT-GRIP+Impact+1-in.+Bolt+Extractor+1%2F2-in.+Square+Drive&amp;qid=1695347071&amp;sr=8-3")</f>
        <v/>
      </c>
      <c r="F432" t="inlineStr">
        <is>
          <t>B00LFRUN0O</t>
        </is>
      </c>
      <c r="G432">
        <f>_xlfn.IMAGE("https://www.toolnut.com/media/catalog/product/5/3/53918-irwin_1.jpg?quality=100&amp;bg-color=255,255,255&amp;fit=bounds&amp;height=700&amp;width=700&amp;canvas=700:700&amp;dpr=1 1x")</f>
        <v/>
      </c>
      <c r="H432">
        <f>_xlfn.IMAGE("https://m.media-amazon.com/images/I/61tmk90eYhL._AC_UL320_.jpg")</f>
        <v/>
      </c>
      <c r="K432" t="inlineStr">
        <is>
          <t>18.19</t>
        </is>
      </c>
      <c r="L432" t="n">
        <v>52.22</v>
      </c>
      <c r="M432" s="2" t="inlineStr">
        <is>
          <t>187.08%</t>
        </is>
      </c>
      <c r="N432" t="n">
        <v>4.6</v>
      </c>
      <c r="O432" t="n">
        <v>168</v>
      </c>
      <c r="Q432" t="inlineStr">
        <is>
          <t>InStock</t>
        </is>
      </c>
      <c r="R432" t="inlineStr">
        <is>
          <t>undefined</t>
        </is>
      </c>
      <c r="S432" t="inlineStr">
        <is>
          <t>53918-IRWIN</t>
        </is>
      </c>
    </row>
    <row r="433" ht="75" customHeight="1">
      <c r="A433" s="1">
        <f>HYPERLINK("https://www.toolnut.com/irwin-87908-drill-bit.html", "https://www.toolnut.com/irwin-87908-drill-bit.html")</f>
        <v/>
      </c>
      <c r="B433" s="1">
        <f>HYPERLINK("https://www.toolnut.com/irwin-87908-drill-bit.html", "https://www.toolnut.com/irwin-87908-drill-bit.html")</f>
        <v/>
      </c>
      <c r="C433" t="inlineStr">
        <is>
          <t>Irwin 87908 Speedbor Short Length Spade Bit 1/2-in.</t>
        </is>
      </c>
      <c r="D433" t="inlineStr">
        <is>
          <t>Speedbor 1891775 Irwin Tools Blue-Groove Spade Bits, 12-Piece, Slim Case</t>
        </is>
      </c>
      <c r="E433" s="1">
        <f>HYPERLINK("https://www.amazon.com/Speedbor-1891775-Irwin-Tools-Blue-Groove/dp/B00LLGSW20/ref=sr_1_10?keywords=Irwin+87908+Speedbor+Short+Length+Spade+Bit+1%2F2-in.&amp;qid=1695347103&amp;sr=8-10", "https://www.amazon.com/Speedbor-1891775-Irwin-Tools-Blue-Groove/dp/B00LLGSW20/ref=sr_1_10?keywords=Irwin+87908+Speedbor+Short+Length+Spade+Bit+1%2F2-in.&amp;qid=1695347103&amp;sr=8-10")</f>
        <v/>
      </c>
      <c r="F433" t="inlineStr">
        <is>
          <t>B00LLGSW20</t>
        </is>
      </c>
      <c r="G433">
        <f>_xlfn.IMAGE("https://www.toolnut.com/media/catalog/product/8/7/87908-irwin_1.jpg?quality=100&amp;bg-color=255,255,255&amp;fit=bounds&amp;height=700&amp;width=700&amp;canvas=700:700&amp;dpr=1 1x")</f>
        <v/>
      </c>
      <c r="H433">
        <f>_xlfn.IMAGE("https://m.media-amazon.com/images/I/61M7RMnqqiL._AC_UL320_.jpg")</f>
        <v/>
      </c>
      <c r="K433" t="inlineStr">
        <is>
          <t>2.59</t>
        </is>
      </c>
      <c r="L433" t="n">
        <v>41.43</v>
      </c>
      <c r="M433" s="2" t="inlineStr">
        <is>
          <t>1499.61%</t>
        </is>
      </c>
      <c r="N433" t="n">
        <v>4.6</v>
      </c>
      <c r="O433" t="n">
        <v>43</v>
      </c>
      <c r="Q433" t="inlineStr">
        <is>
          <t>InStock</t>
        </is>
      </c>
      <c r="R433" t="inlineStr">
        <is>
          <t>undefined</t>
        </is>
      </c>
      <c r="S433" t="inlineStr">
        <is>
          <t>87908-IRWIN</t>
        </is>
      </c>
    </row>
    <row r="434" ht="75" customHeight="1">
      <c r="A434" s="1">
        <f>HYPERLINK("https://www.toolnut.com/irwin-87914-drill-bit.html", "https://www.toolnut.com/irwin-87914-drill-bit.html")</f>
        <v/>
      </c>
      <c r="B434" s="1">
        <f>HYPERLINK("https://www.toolnut.com/irwin-87914-drill-bit.html", "https://www.toolnut.com/irwin-87914-drill-bit.html")</f>
        <v/>
      </c>
      <c r="C434" t="inlineStr">
        <is>
          <t>Irwin 87914 Speedbor Short Length Spade Bit 7/8-in.</t>
        </is>
      </c>
      <c r="D434" t="inlineStr">
        <is>
          <t>Speedbor 1891775 Irwin Tools Blue-Groove Spade Bits, 12-Piece, Slim Case</t>
        </is>
      </c>
      <c r="E434" s="1">
        <f>HYPERLINK("https://www.amazon.com/Speedbor-1891775-Irwin-Tools-Blue-Groove/dp/B00LLGSW20/ref=sr_1_8?keywords=Irwin+87914+Speedbor+Short+Length+Spade+Bit+7%2F8-in.&amp;qid=1695347110&amp;sr=8-8", "https://www.amazon.com/Speedbor-1891775-Irwin-Tools-Blue-Groove/dp/B00LLGSW20/ref=sr_1_8?keywords=Irwin+87914+Speedbor+Short+Length+Spade+Bit+7%2F8-in.&amp;qid=1695347110&amp;sr=8-8")</f>
        <v/>
      </c>
      <c r="F434" t="inlineStr">
        <is>
          <t>B00LLGSW20</t>
        </is>
      </c>
      <c r="G434">
        <f>_xlfn.IMAGE("https://www.toolnut.com/media/catalog/product/8/7/87914-irwin-speedbor-drill-bits-wood-drill-bits-short-length-spade-bit-primary.jpg?quality=100&amp;bg-color=255,255,255&amp;fit=bounds&amp;height=700&amp;width=700&amp;canvas=700:700&amp;dpr=1 1x")</f>
        <v/>
      </c>
      <c r="H434">
        <f>_xlfn.IMAGE("https://m.media-amazon.com/images/I/61M7RMnqqiL._AC_UL320_.jpg")</f>
        <v/>
      </c>
      <c r="K434" t="inlineStr">
        <is>
          <t>2.99</t>
        </is>
      </c>
      <c r="L434" t="n">
        <v>41.43</v>
      </c>
      <c r="M434" s="2" t="inlineStr">
        <is>
          <t>1285.62%</t>
        </is>
      </c>
      <c r="N434" t="n">
        <v>4.6</v>
      </c>
      <c r="O434" t="n">
        <v>43</v>
      </c>
      <c r="Q434" t="inlineStr">
        <is>
          <t>InStock</t>
        </is>
      </c>
      <c r="R434" t="inlineStr">
        <is>
          <t>undefined</t>
        </is>
      </c>
      <c r="S434" t="inlineStr">
        <is>
          <t>87914-IRWIN</t>
        </is>
      </c>
    </row>
    <row r="435" ht="75" customHeight="1">
      <c r="A435" s="1">
        <f>HYPERLINK("https://www.toolnut.com/irwin-87950-drill-bit.html", "https://www.toolnut.com/irwin-87950-drill-bit.html")</f>
        <v/>
      </c>
      <c r="B435" s="1">
        <f>HYPERLINK("https://www.toolnut.com/irwin-87950-drill-bit.html", "https://www.toolnut.com/irwin-87950-drill-bit.html")</f>
        <v/>
      </c>
      <c r="C435" t="inlineStr">
        <is>
          <t>Irwin 87950 Speedbor Short Length Spade Bit 3 Piece Set</t>
        </is>
      </c>
      <c r="D435" t="inlineStr">
        <is>
          <t>IRWIN Tools SPEEDBOR Blue Groove Pro Spade Bit Set with Case, 8-Piece (341008)</t>
        </is>
      </c>
      <c r="E435" s="1">
        <f>HYPERLINK("https://www.amazon.com/IRWIN-SPEEDBOR-Groove-8-Piece-341008/dp/B0000EI9B0/ref=sr_1_5?keywords=Irwin+87950+Speedbor+Short+Length+Spade+Bit+3+Piece+Set&amp;qid=1695347096&amp;sr=8-5", "https://www.amazon.com/IRWIN-SPEEDBOR-Groove-8-Piece-341008/dp/B0000EI9B0/ref=sr_1_5?keywords=Irwin+87950+Speedbor+Short+Length+Spade+Bit+3+Piece+Set&amp;qid=1695347096&amp;sr=8-5")</f>
        <v/>
      </c>
      <c r="F435" t="inlineStr">
        <is>
          <t>B0000EI9B0</t>
        </is>
      </c>
      <c r="G435">
        <f>_xlfn.IMAGE("https://www.toolnut.com/media/catalog/product/8/7/87950-irwin_1.jpg?quality=100&amp;bg-color=255,255,255&amp;fit=bounds&amp;height=700&amp;width=700&amp;canvas=700:700&amp;dpr=1 1x")</f>
        <v/>
      </c>
      <c r="H435">
        <f>_xlfn.IMAGE("https://m.media-amazon.com/images/I/51uxvKVJpIL._AC_UL320_.jpg")</f>
        <v/>
      </c>
      <c r="K435" t="inlineStr">
        <is>
          <t>10.79</t>
        </is>
      </c>
      <c r="L435" t="n">
        <v>38.08</v>
      </c>
      <c r="M435" s="2" t="inlineStr">
        <is>
          <t>252.92%</t>
        </is>
      </c>
      <c r="N435" t="n">
        <v>4.6</v>
      </c>
      <c r="O435" t="n">
        <v>373</v>
      </c>
      <c r="Q435" t="inlineStr">
        <is>
          <t>InStock</t>
        </is>
      </c>
      <c r="R435" t="inlineStr">
        <is>
          <t>undefined</t>
        </is>
      </c>
      <c r="S435" t="inlineStr">
        <is>
          <t>87950-IRWIN</t>
        </is>
      </c>
    </row>
    <row r="436" ht="75" customHeight="1">
      <c r="A436" s="1">
        <f>HYPERLINK("https://www.toolnut.com/irwin-88708-drill-bit.html", "https://www.toolnut.com/irwin-88708-drill-bit.html")</f>
        <v/>
      </c>
      <c r="B436" s="1">
        <f>HYPERLINK("https://www.toolnut.com/irwin-88708-drill-bit.html", "https://www.toolnut.com/irwin-88708-drill-bit.html")</f>
        <v/>
      </c>
      <c r="C436" t="inlineStr">
        <is>
          <t>Irwin 88708 SPEEDBOR Extra-Long Spade Bit 16-in. x 1/2-in.</t>
        </is>
      </c>
      <c r="D436" t="inlineStr">
        <is>
          <t>Irwin Speedbor 88708 1/2" Speedbor 2000 Extra-Long Flat Wood Boring Bit</t>
        </is>
      </c>
      <c r="E436" s="1">
        <f>HYPERLINK("https://www.amazon.com/Irwin-Speedbor-88708-Extra-Long-Boring/dp/B002YDHO4G/ref=sr_1_6?keywords=Irwin+88708+SPEEDBOR+Extra-Long+Spade+Bit+16-in.+x+1%2F2-in.&amp;qid=1695347126&amp;sr=8-6", "https://www.amazon.com/Irwin-Speedbor-88708-Extra-Long-Boring/dp/B002YDHO4G/ref=sr_1_6?keywords=Irwin+88708+SPEEDBOR+Extra-Long+Spade+Bit+16-in.+x+1%2F2-in.&amp;qid=1695347126&amp;sr=8-6")</f>
        <v/>
      </c>
      <c r="F436" t="inlineStr">
        <is>
          <t>B002YDHO4G</t>
        </is>
      </c>
      <c r="G436">
        <f>_xlfn.IMAGE("https://www.toolnut.com/media/catalog/product/8/8/88708-irwin_001.jpg?quality=100&amp;bg-color=255,255,255&amp;fit=bounds&amp;height=700&amp;width=700&amp;canvas=700:700&amp;dpr=1 1x")</f>
        <v/>
      </c>
      <c r="H436">
        <f>_xlfn.IMAGE("https://m.media-amazon.com/images/I/41PmZPehwyS._AC_UL320_.jpg")</f>
        <v/>
      </c>
      <c r="K436" t="inlineStr">
        <is>
          <t>7.99</t>
        </is>
      </c>
      <c r="L436" t="n">
        <v>19.46</v>
      </c>
      <c r="M436" s="2" t="inlineStr">
        <is>
          <t>143.55%</t>
        </is>
      </c>
      <c r="N436" t="n">
        <v>5</v>
      </c>
      <c r="O436" t="n">
        <v>3</v>
      </c>
      <c r="Q436" t="inlineStr">
        <is>
          <t>InStock</t>
        </is>
      </c>
      <c r="R436" t="inlineStr">
        <is>
          <t>undefined</t>
        </is>
      </c>
      <c r="S436" t="inlineStr">
        <is>
          <t>88708-IRWIN</t>
        </is>
      </c>
    </row>
    <row r="437" ht="75" customHeight="1">
      <c r="A437" s="1">
        <f>HYPERLINK("https://www.toolnut.com/irwin-88708-drill-bit.html", "https://www.toolnut.com/irwin-88708-drill-bit.html")</f>
        <v/>
      </c>
      <c r="B437" s="1">
        <f>HYPERLINK("https://www.toolnut.com/irwin-88708-drill-bit.html", "https://www.toolnut.com/irwin-88708-drill-bit.html")</f>
        <v/>
      </c>
      <c r="C437" t="inlineStr">
        <is>
          <t>Irwin 88708 SPEEDBOR Extra-Long Spade Bit 16-in. x 1/2-in.</t>
        </is>
      </c>
      <c r="D437" t="inlineStr">
        <is>
          <t>Irwin Speedbor 88708 1/2" Speedbor 2000 Extra-Long Flat Wood Boring Bit</t>
        </is>
      </c>
      <c r="E437" s="1">
        <f>HYPERLINK("https://www.amazon.com/Irwin-Speedbor-88708-Extra-Long-Boring/dp/B002YDHO4G/ref=sr_1_6?keywords=Irwin+88708+SPEEDBOR+Extra-Long+Spade+Bit+16-in.+x+1%2F2-in.&amp;qid=1695347126&amp;sr=8-6", "https://www.amazon.com/Irwin-Speedbor-88708-Extra-Long-Boring/dp/B002YDHO4G/ref=sr_1_6?keywords=Irwin+88708+SPEEDBOR+Extra-Long+Spade+Bit+16-in.+x+1%2F2-in.&amp;qid=1695347126&amp;sr=8-6")</f>
        <v/>
      </c>
      <c r="F437" t="inlineStr">
        <is>
          <t>B002YDHO4G</t>
        </is>
      </c>
      <c r="G437">
        <f>_xlfn.IMAGE("https://www.toolnut.com/media/catalog/product/8/8/88708-irwin_001.jpg?quality=100&amp;bg-color=255,255,255&amp;fit=bounds&amp;height=700&amp;width=700&amp;canvas=700:700&amp;dpr=1 1x")</f>
        <v/>
      </c>
      <c r="H437">
        <f>_xlfn.IMAGE("https://m.media-amazon.com/images/I/41PmZPehwyS._AC_UL320_.jpg")</f>
        <v/>
      </c>
      <c r="K437" t="inlineStr">
        <is>
          <t>7.99</t>
        </is>
      </c>
      <c r="L437" t="n">
        <v>19.46</v>
      </c>
      <c r="M437" s="2" t="inlineStr">
        <is>
          <t>143.55%</t>
        </is>
      </c>
      <c r="N437" t="n">
        <v>5</v>
      </c>
      <c r="O437" t="n">
        <v>3</v>
      </c>
      <c r="Q437" t="inlineStr">
        <is>
          <t>InStock</t>
        </is>
      </c>
      <c r="R437" t="inlineStr">
        <is>
          <t>undefined</t>
        </is>
      </c>
      <c r="S437" t="inlineStr">
        <is>
          <t>88708-IRWIN</t>
        </is>
      </c>
    </row>
    <row r="438" ht="75" customHeight="1">
      <c r="A438" s="1">
        <f>HYPERLINK("https://www.toolnut.com/irwin-88804-drill-bit.html", "https://www.toolnut.com/irwin-88804-drill-bit.html")</f>
        <v/>
      </c>
      <c r="B438" s="1">
        <f>HYPERLINK("https://www.toolnut.com/irwin-88804-drill-bit.html", "https://www.toolnut.com/irwin-88804-drill-bit.html")</f>
        <v/>
      </c>
      <c r="C438" t="inlineStr">
        <is>
          <t>Irwin 88804 SPEEDBOR Standard Length Spade Bit 6-in. x 1/4-in.</t>
        </is>
      </c>
      <c r="D438" t="inlineStr">
        <is>
          <t>Irwin 341008 8-Pcs 6" x 1/4" Blue-Groove Hex Shank Speedbor Spade Bit Set</t>
        </is>
      </c>
      <c r="E438" s="1">
        <f>HYPERLINK("https://www.amazon.com/Speedbor-341008-Spade-Bit-Sets/dp/B07JG3H3M6/ref=sr_1_7?keywords=Irwin+88804+SPEEDBOR+Standard+Length+Spade+Bit+6-in.+x+1%2F4-in.&amp;qid=1695347089&amp;sr=8-7", "https://www.amazon.com/Speedbor-341008-Spade-Bit-Sets/dp/B07JG3H3M6/ref=sr_1_7?keywords=Irwin+88804+SPEEDBOR+Standard+Length+Spade+Bit+6-in.+x+1%2F4-in.&amp;qid=1695347089&amp;sr=8-7")</f>
        <v/>
      </c>
      <c r="F438" t="inlineStr">
        <is>
          <t>B07JG3H3M6</t>
        </is>
      </c>
      <c r="G438">
        <f>_xlfn.IMAGE("https://www.toolnut.com/media/catalog/product/8/8/88804-irwin_001.jpg?quality=100&amp;bg-color=255,255,255&amp;fit=bounds&amp;height=700&amp;width=700&amp;canvas=700:700&amp;dpr=1 1x")</f>
        <v/>
      </c>
      <c r="H438">
        <f>_xlfn.IMAGE("https://m.media-amazon.com/images/I/51eq9REarDL._AC_UL320_.jpg")</f>
        <v/>
      </c>
      <c r="K438" t="inlineStr">
        <is>
          <t>2.49</t>
        </is>
      </c>
      <c r="L438" t="n">
        <v>40.14</v>
      </c>
      <c r="M438" s="2" t="inlineStr">
        <is>
          <t>1512.05%</t>
        </is>
      </c>
      <c r="N438" t="n">
        <v>3.9</v>
      </c>
      <c r="O438" t="n">
        <v>15</v>
      </c>
      <c r="Q438" t="inlineStr">
        <is>
          <t>InStock</t>
        </is>
      </c>
      <c r="R438" t="inlineStr">
        <is>
          <t>undefined</t>
        </is>
      </c>
      <c r="S438" t="inlineStr">
        <is>
          <t>88804-IRWIN</t>
        </is>
      </c>
    </row>
    <row r="439" ht="75" customHeight="1">
      <c r="A439" s="1">
        <f>HYPERLINK("https://www.toolnut.com/irwin-88824-drill-bit.html", "https://www.toolnut.com/irwin-88824-drill-bit.html")</f>
        <v/>
      </c>
      <c r="B439" s="1">
        <f>HYPERLINK("https://www.toolnut.com/irwin-88824-drill-bit.html", "https://www.toolnut.com/irwin-88824-drill-bit.html")</f>
        <v/>
      </c>
      <c r="C439" t="inlineStr">
        <is>
          <t>Irwin 88824 SPEEDBOR Standard Length Spade Bit 6-in. x 1-1/2-in.</t>
        </is>
      </c>
      <c r="D439" t="inlineStr">
        <is>
          <t>IRWIN SPEEDBOR Drill Bit, 1-1/2-Inch x 6-Inch (3041021) , Black</t>
        </is>
      </c>
      <c r="E439" s="1">
        <f>HYPERLINK("https://www.amazon.com/IRWIN-SPEEDBOR-2-Inch-6-Inch-3041021/dp/B003KGBIX4/ref=sr_1_4?keywords=Irwin+88824+SPEEDBOR+Standard+Length+Spade+Bit+6-in.+x+1-1%2F2-in.&amp;qid=1695347094&amp;sr=8-4", "https://www.amazon.com/IRWIN-SPEEDBOR-2-Inch-6-Inch-3041021/dp/B003KGBIX4/ref=sr_1_4?keywords=Irwin+88824+SPEEDBOR+Standard+Length+Spade+Bit+6-in.+x+1-1%2F2-in.&amp;qid=1695347094&amp;sr=8-4")</f>
        <v/>
      </c>
      <c r="F439" t="inlineStr">
        <is>
          <t>B003KGBIX4</t>
        </is>
      </c>
      <c r="G439">
        <f>_xlfn.IMAGE("https://www.toolnut.com/media/catalog/product/8/8/88824-irwin_001.jpg?quality=100&amp;bg-color=255,255,255&amp;fit=bounds&amp;height=700&amp;width=700&amp;canvas=700:700&amp;dpr=1 1x")</f>
        <v/>
      </c>
      <c r="H439">
        <f>_xlfn.IMAGE("https://m.media-amazon.com/images/I/51UQ6j9p81L._AC_UL320_.jpg")</f>
        <v/>
      </c>
      <c r="K439" t="inlineStr">
        <is>
          <t>4.49</t>
        </is>
      </c>
      <c r="L439" t="n">
        <v>17.75</v>
      </c>
      <c r="M439" s="2" t="inlineStr">
        <is>
          <t>295.32%</t>
        </is>
      </c>
      <c r="N439" t="n">
        <v>4.5</v>
      </c>
      <c r="O439" t="n">
        <v>2175</v>
      </c>
      <c r="Q439" t="inlineStr">
        <is>
          <t>InStock</t>
        </is>
      </c>
      <c r="R439" t="inlineStr">
        <is>
          <t>undefined</t>
        </is>
      </c>
      <c r="S439" t="inlineStr">
        <is>
          <t>88824-IRWIN</t>
        </is>
      </c>
    </row>
    <row r="440" ht="75" customHeight="1">
      <c r="A440" s="1">
        <f>HYPERLINK("https://www.toolnut.com/irwin-91136-drill-bit.html", "https://www.toolnut.com/irwin-91136-drill-bit.html")</f>
        <v/>
      </c>
      <c r="B440" s="1">
        <f>HYPERLINK("https://www.toolnut.com/irwin-91136-drill-bit.html", "https://www.toolnut.com/irwin-91136-drill-bit.html")</f>
        <v/>
      </c>
      <c r="C440" t="inlineStr">
        <is>
          <t>Irwin 91136 Silver &amp; Deming High Speed Steel Fractional 1/2" Reduced Shank Drill Bits 9/16-in.</t>
        </is>
      </c>
      <c r="D440" t="inlineStr">
        <is>
          <t>Irwin 49/64" Silver &amp; Deming High Speed Steel Fractional 1/2" Reduced Shank Drill Bits</t>
        </is>
      </c>
      <c r="E440" s="1">
        <f>HYPERLINK("https://www.amazon.com/Irwin-Silver-Deming-Fractional-Reduced/dp/B000GAURC0/ref=sr_1_1?keywords=Irwin+91136+Silver+%26+Deming+High+Speed+Steel+Fractional+1%2F2%22+Reduced+Shank+Drill+Bits+9%2F16-in.&amp;qid=1695347065&amp;sr=8-1", "https://www.amazon.com/Irwin-Silver-Deming-Fractional-Reduced/dp/B000GAURC0/ref=sr_1_1?keywords=Irwin+91136+Silver+%26+Deming+High+Speed+Steel+Fractional+1%2F2%22+Reduced+Shank+Drill+Bits+9%2F16-in.&amp;qid=1695347065&amp;sr=8-1")</f>
        <v/>
      </c>
      <c r="F440" t="inlineStr">
        <is>
          <t>B000GAURC0</t>
        </is>
      </c>
      <c r="G440">
        <f>_xlfn.IMAGE("https://www.toolnut.com/media/catalog/product/9/1/91136-irwin_1_1.jpg?quality=100&amp;bg-color=255,255,255&amp;fit=bounds&amp;height=700&amp;width=700&amp;canvas=700:700&amp;dpr=1 1x")</f>
        <v/>
      </c>
      <c r="H440">
        <f>_xlfn.IMAGE("https://m.media-amazon.com/images/I/61Dt6h+uCVL._AC_UL320_.jpg")</f>
        <v/>
      </c>
      <c r="K440" t="inlineStr">
        <is>
          <t>16.24</t>
        </is>
      </c>
      <c r="L440" t="n">
        <v>33.4</v>
      </c>
      <c r="M440" s="2" t="inlineStr">
        <is>
          <t>105.67%</t>
        </is>
      </c>
      <c r="N440" t="n">
        <v>5</v>
      </c>
      <c r="O440" t="n">
        <v>3</v>
      </c>
      <c r="Q440" t="inlineStr">
        <is>
          <t>InStock</t>
        </is>
      </c>
      <c r="R440" t="inlineStr">
        <is>
          <t>undefined</t>
        </is>
      </c>
      <c r="S440" t="inlineStr">
        <is>
          <t>91136-IRWIN</t>
        </is>
      </c>
    </row>
    <row r="441" ht="75" customHeight="1">
      <c r="A441" s="1">
        <f>HYPERLINK("https://www.toolnut.com/irwin-91136-drill-bit.html", "https://www.toolnut.com/irwin-91136-drill-bit.html")</f>
        <v/>
      </c>
      <c r="B441" s="1">
        <f>HYPERLINK("https://www.toolnut.com/irwin-91136-drill-bit.html", "https://www.toolnut.com/irwin-91136-drill-bit.html")</f>
        <v/>
      </c>
      <c r="C441" t="inlineStr">
        <is>
          <t>Irwin 91136 Silver &amp; Deming High Speed Steel Fractional 1/2" Reduced Shank Drill Bits 9/16-in.</t>
        </is>
      </c>
      <c r="D441" t="inlineStr">
        <is>
          <t>Irwin 49/64" Silver &amp; Deming High Speed Steel Fractional 1/2" Reduced Shank Drill Bits</t>
        </is>
      </c>
      <c r="E441" s="1">
        <f>HYPERLINK("https://www.amazon.com/Irwin-Silver-Deming-Fractional-Reduced/dp/B000GAURC0/ref=sr_1_1?keywords=Irwin+91136+Silver+%26+Deming+High+Speed+Steel+Fractional+1%2F2%22+Reduced+Shank+Drill+Bits+9%2F16-in.&amp;qid=1695347065&amp;sr=8-1", "https://www.amazon.com/Irwin-Silver-Deming-Fractional-Reduced/dp/B000GAURC0/ref=sr_1_1?keywords=Irwin+91136+Silver+%26+Deming+High+Speed+Steel+Fractional+1%2F2%22+Reduced+Shank+Drill+Bits+9%2F16-in.&amp;qid=1695347065&amp;sr=8-1")</f>
        <v/>
      </c>
      <c r="F441" t="inlineStr">
        <is>
          <t>B000GAURC0</t>
        </is>
      </c>
      <c r="G441">
        <f>_xlfn.IMAGE("https://www.toolnut.com/media/catalog/product/9/1/91136-irwin_1_1.jpg?quality=100&amp;bg-color=255,255,255&amp;fit=bounds&amp;height=700&amp;width=700&amp;canvas=700:700&amp;dpr=1 1x")</f>
        <v/>
      </c>
      <c r="H441">
        <f>_xlfn.IMAGE("https://m.media-amazon.com/images/I/61Dt6h+uCVL._AC_UL320_.jpg")</f>
        <v/>
      </c>
      <c r="K441" t="inlineStr">
        <is>
          <t>16.24</t>
        </is>
      </c>
      <c r="L441" t="n">
        <v>33.4</v>
      </c>
      <c r="M441" s="2" t="inlineStr">
        <is>
          <t>105.67%</t>
        </is>
      </c>
      <c r="N441" t="n">
        <v>5</v>
      </c>
      <c r="O441" t="n">
        <v>3</v>
      </c>
      <c r="Q441" t="inlineStr">
        <is>
          <t>InStock</t>
        </is>
      </c>
      <c r="R441" t="inlineStr">
        <is>
          <t>undefined</t>
        </is>
      </c>
      <c r="S441" t="inlineStr">
        <is>
          <t>91136-IRWIN</t>
        </is>
      </c>
    </row>
    <row r="442" ht="75" customHeight="1">
      <c r="A442" s="1">
        <f>HYPERLINK("https://www.toolnut.com/irwin-91140-drill-bit.html", "https://www.toolnut.com/irwin-91140-drill-bit.html")</f>
        <v/>
      </c>
      <c r="B442" s="1">
        <f>HYPERLINK("https://www.toolnut.com/irwin-91140-drill-bit.html", "https://www.toolnut.com/irwin-91140-drill-bit.html")</f>
        <v/>
      </c>
      <c r="C442" t="inlineStr">
        <is>
          <t>Irwin 91140 Silver &amp; Deming High Speed Steel Fractional 1/2" Reduced Shank Drill Bits 5/8-in.</t>
        </is>
      </c>
      <c r="D442" t="inlineStr">
        <is>
          <t>Irwin 49/64" Silver &amp; Deming High Speed Steel Fractional 1/2" Reduced Shank Drill Bits</t>
        </is>
      </c>
      <c r="E442" s="1">
        <f>HYPERLINK("https://www.amazon.com/Irwin-Silver-Deming-Fractional-Reduced/dp/B000GAURC0/ref=sr_1_1?keywords=Irwin+91140+Silver+%26+Deming+High+Speed+Steel+Fractional+1%2F2%22+Reduced+Shank+Drill+Bits+5%2F8-in.&amp;qid=1695347064&amp;sr=8-1", "https://www.amazon.com/Irwin-Silver-Deming-Fractional-Reduced/dp/B000GAURC0/ref=sr_1_1?keywords=Irwin+91140+Silver+%26+Deming+High+Speed+Steel+Fractional+1%2F2%22+Reduced+Shank+Drill+Bits+5%2F8-in.&amp;qid=1695347064&amp;sr=8-1")</f>
        <v/>
      </c>
      <c r="F442" t="inlineStr">
        <is>
          <t>B000GAURC0</t>
        </is>
      </c>
      <c r="G442">
        <f>_xlfn.IMAGE("https://www.toolnut.com/media/catalog/product/9/1/91140-irwin_1.jpg?quality=100&amp;bg-color=255,255,255&amp;fit=bounds&amp;height=700&amp;width=700&amp;canvas=700:700&amp;dpr=1 1x")</f>
        <v/>
      </c>
      <c r="H442">
        <f>_xlfn.IMAGE("https://m.media-amazon.com/images/I/61Dt6h+uCVL._AC_UL320_.jpg")</f>
        <v/>
      </c>
      <c r="K442" t="inlineStr">
        <is>
          <t>17.99</t>
        </is>
      </c>
      <c r="L442" t="n">
        <v>33.4</v>
      </c>
      <c r="M442" s="2" t="inlineStr">
        <is>
          <t>85.66%</t>
        </is>
      </c>
      <c r="N442" t="n">
        <v>5</v>
      </c>
      <c r="O442" t="n">
        <v>3</v>
      </c>
      <c r="Q442" t="inlineStr">
        <is>
          <t>InStock</t>
        </is>
      </c>
      <c r="R442" t="inlineStr">
        <is>
          <t>undefined</t>
        </is>
      </c>
      <c r="S442" t="inlineStr">
        <is>
          <t>91140-IRWIN</t>
        </is>
      </c>
    </row>
    <row r="443" ht="75" customHeight="1">
      <c r="A443" s="1">
        <f>HYPERLINK("https://www.toolnut.com/irwin-91140-drill-bit.html", "https://www.toolnut.com/irwin-91140-drill-bit.html")</f>
        <v/>
      </c>
      <c r="B443" s="1">
        <f>HYPERLINK("https://www.toolnut.com/irwin-91140-drill-bit.html", "https://www.toolnut.com/irwin-91140-drill-bit.html")</f>
        <v/>
      </c>
      <c r="C443" t="inlineStr">
        <is>
          <t>Irwin 91140 Silver &amp; Deming High Speed Steel Fractional 1/2" Reduced Shank Drill Bits 5/8-in.</t>
        </is>
      </c>
      <c r="D443" t="inlineStr">
        <is>
          <t>Irwin 49/64" Silver &amp; Deming High Speed Steel Fractional 1/2" Reduced Shank Drill Bits</t>
        </is>
      </c>
      <c r="E443" s="1">
        <f>HYPERLINK("https://www.amazon.com/Irwin-Silver-Deming-Fractional-Reduced/dp/B000GAURC0/ref=sr_1_1?keywords=Irwin+91140+Silver+%26+Deming+High+Speed+Steel+Fractional+1%2F2%22+Reduced+Shank+Drill+Bits+5%2F8-in.&amp;qid=1695347064&amp;sr=8-1", "https://www.amazon.com/Irwin-Silver-Deming-Fractional-Reduced/dp/B000GAURC0/ref=sr_1_1?keywords=Irwin+91140+Silver+%26+Deming+High+Speed+Steel+Fractional+1%2F2%22+Reduced+Shank+Drill+Bits+5%2F8-in.&amp;qid=1695347064&amp;sr=8-1")</f>
        <v/>
      </c>
      <c r="F443" t="inlineStr">
        <is>
          <t>B000GAURC0</t>
        </is>
      </c>
      <c r="G443">
        <f>_xlfn.IMAGE("https://www.toolnut.com/media/catalog/product/9/1/91140-irwin_1.jpg?quality=100&amp;bg-color=255,255,255&amp;fit=bounds&amp;height=700&amp;width=700&amp;canvas=700:700&amp;dpr=1 1x")</f>
        <v/>
      </c>
      <c r="H443">
        <f>_xlfn.IMAGE("https://m.media-amazon.com/images/I/61Dt6h+uCVL._AC_UL320_.jpg")</f>
        <v/>
      </c>
      <c r="K443" t="inlineStr">
        <is>
          <t>17.99</t>
        </is>
      </c>
      <c r="L443" t="n">
        <v>33.4</v>
      </c>
      <c r="M443" s="2" t="inlineStr">
        <is>
          <t>85.66%</t>
        </is>
      </c>
      <c r="N443" t="n">
        <v>5</v>
      </c>
      <c r="O443" t="n">
        <v>3</v>
      </c>
      <c r="Q443" t="inlineStr">
        <is>
          <t>InStock</t>
        </is>
      </c>
      <c r="R443" t="inlineStr">
        <is>
          <t>undefined</t>
        </is>
      </c>
      <c r="S443" t="inlineStr">
        <is>
          <t>91140-IRWIN</t>
        </is>
      </c>
    </row>
    <row r="444" ht="75" customHeight="1">
      <c r="A444" s="1">
        <f>HYPERLINK("https://www.toolnut.com/irwin-9742-drill-bit.html", "https://www.toolnut.com/irwin-9742-drill-bit.html")</f>
        <v/>
      </c>
      <c r="B444" s="1">
        <f>HYPERLINK("https://www.toolnut.com/irwin-9742-drill-bit.html", "https://www.toolnut.com/irwin-9742-drill-bit.html")</f>
        <v/>
      </c>
      <c r="C444" t="inlineStr">
        <is>
          <t>Irwin 9742 HANSON Hexagon Metric Dies (HCS) 12 mm - 1.25</t>
        </is>
      </c>
      <c r="D444" t="inlineStr">
        <is>
          <t>Irwin 9742 Hanson 12mm-1.25 Thread 1 HCS Hex Metric Die</t>
        </is>
      </c>
      <c r="E444" s="1">
        <f>HYPERLINK("https://www.amazon.com/Irwin-Hanson-12mm-1-25-Thread-Metric/dp/B005EB8Z7A/ref=sr_1_1?keywords=Irwin+9742+HANSON+Hexagon+Metric+Dies+%28HCS%29+12+mm+-+1.25&amp;qid=1695347079&amp;sr=8-1", "https://www.amazon.com/Irwin-Hanson-12mm-1-25-Thread-Metric/dp/B005EB8Z7A/ref=sr_1_1?keywords=Irwin+9742+HANSON+Hexagon+Metric+Dies+%28HCS%29+12+mm+-+1.25&amp;qid=1695347079&amp;sr=8-1")</f>
        <v/>
      </c>
      <c r="F444" t="inlineStr">
        <is>
          <t>B005EB8Z7A</t>
        </is>
      </c>
      <c r="G444">
        <f>_xlfn.IMAGE("https://www.toolnut.com/media/catalog/product/9/7/9742-irwin-hanson-taps-dies-set-hexagon-metric-dies-hcs-primary.jpg?quality=100&amp;bg-color=255,255,255&amp;fit=bounds&amp;height=700&amp;width=700&amp;canvas=700:700&amp;dpr=1 1x")</f>
        <v/>
      </c>
      <c r="H444">
        <f>_xlfn.IMAGE("https://m.media-amazon.com/images/I/31KjWH1rtFL._AC_UL320_.jpg")</f>
        <v/>
      </c>
      <c r="K444" t="inlineStr">
        <is>
          <t>3.29</t>
        </is>
      </c>
      <c r="L444" t="n">
        <v>23.68</v>
      </c>
      <c r="M444" s="2" t="inlineStr">
        <is>
          <t>619.76%</t>
        </is>
      </c>
      <c r="N444" t="n">
        <v>4.6</v>
      </c>
      <c r="O444" t="n">
        <v>16</v>
      </c>
      <c r="Q444" t="inlineStr">
        <is>
          <t>InStock</t>
        </is>
      </c>
      <c r="R444" t="inlineStr">
        <is>
          <t>undefined</t>
        </is>
      </c>
      <c r="S444" t="inlineStr">
        <is>
          <t>9742-IRWIN</t>
        </is>
      </c>
    </row>
    <row r="445" ht="75" customHeight="1">
      <c r="A445" s="1">
        <f>HYPERLINK("https://www.toolnut.com/klein-tools-31856-kle-1-1-8-inch-carbide-hole-cutter.html", "https://www.toolnut.com/klein-tools-31856-kle-1-1-8-inch-carbide-hole-cutter.html")</f>
        <v/>
      </c>
      <c r="B445" s="1">
        <f>HYPERLINK("https://www.toolnut.com/klein-tools-31856-kle-1-1-8-inch-carbide-hole-cutter.html", "https://www.toolnut.com/klein-tools-31856-kle-1-1-8-inch-carbide-hole-cutter.html")</f>
        <v/>
      </c>
      <c r="C445" t="inlineStr">
        <is>
          <t>Klein Tools 31856 1-1/8-Inch Carbide Hole Cutter</t>
        </is>
      </c>
      <c r="D445" t="inlineStr">
        <is>
          <t>Klein Tools 31873 Heavy Duty Hole Cutter Kit, Includes Carbide Hole Cutters and 2 Pilot Bits in Rust-Proof Molded Plastic Case, 8-Piece</t>
        </is>
      </c>
      <c r="E445" s="1">
        <f>HYPERLINK("https://www.amazon.com/Electricians-8-Piece-Klein-Tools-31873/dp/B003CCRCM2/ref=sr_1_4?keywords=Klein+Tools+31856+1-1%2F8-Inch+Carbide+Hole+Cutter&amp;qid=1695347012&amp;sr=8-4", "https://www.amazon.com/Electricians-8-Piece-Klein-Tools-31873/dp/B003CCRCM2/ref=sr_1_4?keywords=Klein+Tools+31856+1-1%2F8-Inch+Carbide+Hole+Cutter&amp;qid=1695347012&amp;sr=8-4")</f>
        <v/>
      </c>
      <c r="F445" t="inlineStr">
        <is>
          <t>B003CCRCM2</t>
        </is>
      </c>
      <c r="G445">
        <f>_xlfn.IMAGE("https://www.toolnut.com/media/catalog/product/3/1/31856.jpg?quality=100&amp;bg-color=255,255,255&amp;fit=bounds&amp;height=700&amp;width=700&amp;canvas=700:700&amp;dpr=1 1x")</f>
        <v/>
      </c>
      <c r="H445">
        <f>_xlfn.IMAGE("https://m.media-amazon.com/images/I/61G-oQvGZTL._AC_UL320_.jpg")</f>
        <v/>
      </c>
      <c r="K445" t="inlineStr">
        <is>
          <t>35.99</t>
        </is>
      </c>
      <c r="L445" t="n">
        <v>279.99</v>
      </c>
      <c r="M445" s="2" t="inlineStr">
        <is>
          <t>677.97%</t>
        </is>
      </c>
      <c r="N445" t="n">
        <v>4.6</v>
      </c>
      <c r="O445" t="n">
        <v>64</v>
      </c>
      <c r="Q445" t="inlineStr">
        <is>
          <t>InStock</t>
        </is>
      </c>
      <c r="R445" t="inlineStr">
        <is>
          <t>undefined</t>
        </is>
      </c>
      <c r="S445" t="inlineStr">
        <is>
          <t>31856-KLE</t>
        </is>
      </c>
    </row>
    <row r="446" ht="75" customHeight="1">
      <c r="A446" s="1">
        <f>HYPERLINK("https://www.toolnut.com/klein-tools-31856-kle-1-1-8-inch-carbide-hole-cutter.html", "https://www.toolnut.com/klein-tools-31856-kle-1-1-8-inch-carbide-hole-cutter.html")</f>
        <v/>
      </c>
      <c r="B446" s="1">
        <f>HYPERLINK("https://www.toolnut.com/klein-tools-31856-kle-1-1-8-inch-carbide-hole-cutter.html", "https://www.toolnut.com/klein-tools-31856-kle-1-1-8-inch-carbide-hole-cutter.html")</f>
        <v/>
      </c>
      <c r="C446" t="inlineStr">
        <is>
          <t>Klein Tools 31856 1-1/8-Inch Carbide Hole Cutter</t>
        </is>
      </c>
      <c r="D446" t="inlineStr">
        <is>
          <t>Klein Tools 31872 Heavy Duty Hole Cutter Kit, Includes Carbide Hole Cutters and Pilot Bit in Rust-Proof Molded Plastic Case, 4-Piece</t>
        </is>
      </c>
      <c r="E446" s="1">
        <f>HYPERLINK("https://www.amazon.com/Carbide-Cutter-Klein-Tools-31872/dp/B003CCR97A/ref=sr_1_3?keywords=Klein+Tools+31856+1-1%2F8-Inch+Carbide+Hole+Cutter&amp;qid=1695347012&amp;sr=8-3", "https://www.amazon.com/Carbide-Cutter-Klein-Tools-31872/dp/B003CCR97A/ref=sr_1_3?keywords=Klein+Tools+31856+1-1%2F8-Inch+Carbide+Hole+Cutter&amp;qid=1695347012&amp;sr=8-3")</f>
        <v/>
      </c>
      <c r="F446" t="inlineStr">
        <is>
          <t>B003CCR97A</t>
        </is>
      </c>
      <c r="G446">
        <f>_xlfn.IMAGE("https://www.toolnut.com/media/catalog/product/3/1/31856.jpg?quality=100&amp;bg-color=255,255,255&amp;fit=bounds&amp;height=700&amp;width=700&amp;canvas=700:700&amp;dpr=1 1x")</f>
        <v/>
      </c>
      <c r="H446">
        <f>_xlfn.IMAGE("https://m.media-amazon.com/images/I/61oX7BDmtJL._AC_UL320_.jpg")</f>
        <v/>
      </c>
      <c r="K446" t="inlineStr">
        <is>
          <t>35.99</t>
        </is>
      </c>
      <c r="L446" t="n">
        <v>89.98999999999999</v>
      </c>
      <c r="M446" s="2" t="inlineStr">
        <is>
          <t>150.04%</t>
        </is>
      </c>
      <c r="N446" t="n">
        <v>4.7</v>
      </c>
      <c r="O446" t="n">
        <v>930</v>
      </c>
      <c r="Q446" t="inlineStr">
        <is>
          <t>InStock</t>
        </is>
      </c>
      <c r="R446" t="inlineStr">
        <is>
          <t>undefined</t>
        </is>
      </c>
      <c r="S446" t="inlineStr">
        <is>
          <t>31856-KLE</t>
        </is>
      </c>
    </row>
    <row r="447" ht="75" customHeight="1">
      <c r="A447" s="1">
        <f>HYPERLINK("https://www.toolnut.com/klein-tools-31856-kle-1-1-8-inch-carbide-hole-cutter.html", "https://www.toolnut.com/klein-tools-31856-kle-1-1-8-inch-carbide-hole-cutter.html")</f>
        <v/>
      </c>
      <c r="B447" s="1">
        <f>HYPERLINK("https://www.toolnut.com/klein-tools-31856-kle-1-1-8-inch-carbide-hole-cutter.html", "https://www.toolnut.com/klein-tools-31856-kle-1-1-8-inch-carbide-hole-cutter.html")</f>
        <v/>
      </c>
      <c r="C447" t="inlineStr">
        <is>
          <t>Klein Tools 31856 1-1/8-Inch Carbide Hole Cutter</t>
        </is>
      </c>
      <c r="D447" t="inlineStr">
        <is>
          <t>Klein Tools 31872 Heavy Duty Hole Cutter Kit, Includes Carbide Hole Cutters and Pilot Bit in Rust-Proof Molded Plastic Case, 4-Piece</t>
        </is>
      </c>
      <c r="E447" s="1">
        <f>HYPERLINK("https://www.amazon.com/Carbide-Cutter-Klein-Tools-31872/dp/B003CCR97A/ref=sr_1_3?keywords=Klein+Tools+31856+1-1%2F8-Inch+Carbide+Hole+Cutter&amp;qid=1695347012&amp;sr=8-3", "https://www.amazon.com/Carbide-Cutter-Klein-Tools-31872/dp/B003CCR97A/ref=sr_1_3?keywords=Klein+Tools+31856+1-1%2F8-Inch+Carbide+Hole+Cutter&amp;qid=1695347012&amp;sr=8-3")</f>
        <v/>
      </c>
      <c r="F447" t="inlineStr">
        <is>
          <t>B003CCR97A</t>
        </is>
      </c>
      <c r="G447">
        <f>_xlfn.IMAGE("https://www.toolnut.com/media/catalog/product/3/1/31856.jpg?quality=100&amp;bg-color=255,255,255&amp;fit=bounds&amp;height=700&amp;width=700&amp;canvas=700:700&amp;dpr=1 1x")</f>
        <v/>
      </c>
      <c r="H447">
        <f>_xlfn.IMAGE("https://m.media-amazon.com/images/I/61oX7BDmtJL._AC_UL320_.jpg")</f>
        <v/>
      </c>
      <c r="K447" t="inlineStr">
        <is>
          <t>35.99</t>
        </is>
      </c>
      <c r="L447" t="n">
        <v>89.98999999999999</v>
      </c>
      <c r="M447" s="2" t="inlineStr">
        <is>
          <t>150.04%</t>
        </is>
      </c>
      <c r="N447" t="n">
        <v>4.7</v>
      </c>
      <c r="O447" t="n">
        <v>930</v>
      </c>
      <c r="Q447" t="inlineStr">
        <is>
          <t>InStock</t>
        </is>
      </c>
      <c r="R447" t="inlineStr">
        <is>
          <t>undefined</t>
        </is>
      </c>
      <c r="S447" t="inlineStr">
        <is>
          <t>31856-KLE</t>
        </is>
      </c>
    </row>
    <row r="448" ht="75" customHeight="1">
      <c r="A448" s="1">
        <f>HYPERLINK("https://www.toolnut.com/klein-tools-31860-kle-carbide-hole-cutter-1-3-8-inch.html", "https://www.toolnut.com/klein-tools-31860-kle-carbide-hole-cutter-1-3-8-inch.html")</f>
        <v/>
      </c>
      <c r="B448" s="1">
        <f>HYPERLINK("https://www.toolnut.com/klein-tools-31860-kle-carbide-hole-cutter-1-3-8-inch.html", "https://www.toolnut.com/klein-tools-31860-kle-carbide-hole-cutter-1-3-8-inch.html")</f>
        <v/>
      </c>
      <c r="C448" t="inlineStr">
        <is>
          <t>Klein Tools 31860 Carbide Hole Cutter, 1-3/8-Inch</t>
        </is>
      </c>
      <c r="D448" t="inlineStr">
        <is>
          <t>Klein Tools 31873 Heavy Duty Hole Cutter Kit, Includes Carbide Hole Cutters and 2 Pilot Bits in Rust-Proof Molded Plastic Case, 8-Piece</t>
        </is>
      </c>
      <c r="E448" s="1">
        <f>HYPERLINK("https://www.amazon.com/Electricians-8-Piece-Klein-Tools-31873/dp/B003CCRCM2/ref=sr_1_3?keywords=Klein+Tools+31860+Carbide+Hole+Cutter%2C+1-3%2F8-Inch&amp;qid=1695347002&amp;sr=8-3", "https://www.amazon.com/Electricians-8-Piece-Klein-Tools-31873/dp/B003CCRCM2/ref=sr_1_3?keywords=Klein+Tools+31860+Carbide+Hole+Cutter%2C+1-3%2F8-Inch&amp;qid=1695347002&amp;sr=8-3")</f>
        <v/>
      </c>
      <c r="F448" t="inlineStr">
        <is>
          <t>B003CCRCM2</t>
        </is>
      </c>
      <c r="G448">
        <f>_xlfn.IMAGE("https://www.toolnut.com/media/catalog/product/3/1/31860.jpg?quality=100&amp;bg-color=255,255,255&amp;fit=bounds&amp;height=700&amp;width=700&amp;canvas=700:700&amp;dpr=1 1x")</f>
        <v/>
      </c>
      <c r="H448">
        <f>_xlfn.IMAGE("https://m.media-amazon.com/images/I/61G-oQvGZTL._AC_UL320_.jpg")</f>
        <v/>
      </c>
      <c r="K448" t="inlineStr">
        <is>
          <t>37.99</t>
        </is>
      </c>
      <c r="L448" t="n">
        <v>279.99</v>
      </c>
      <c r="M448" s="2" t="inlineStr">
        <is>
          <t>637.01%</t>
        </is>
      </c>
      <c r="N448" t="n">
        <v>4.6</v>
      </c>
      <c r="O448" t="n">
        <v>64</v>
      </c>
      <c r="Q448" t="inlineStr">
        <is>
          <t>InStock</t>
        </is>
      </c>
      <c r="R448" t="inlineStr">
        <is>
          <t>undefined</t>
        </is>
      </c>
      <c r="S448" t="inlineStr">
        <is>
          <t>31860-KLE</t>
        </is>
      </c>
    </row>
    <row r="449" ht="75" customHeight="1">
      <c r="A449" s="1">
        <f>HYPERLINK("https://www.toolnut.com/klein-tools-31860-kle-carbide-hole-cutter-1-3-8-inch.html", "https://www.toolnut.com/klein-tools-31860-kle-carbide-hole-cutter-1-3-8-inch.html")</f>
        <v/>
      </c>
      <c r="B449" s="1">
        <f>HYPERLINK("https://www.toolnut.com/klein-tools-31860-kle-carbide-hole-cutter-1-3-8-inch.html", "https://www.toolnut.com/klein-tools-31860-kle-carbide-hole-cutter-1-3-8-inch.html")</f>
        <v/>
      </c>
      <c r="C449" t="inlineStr">
        <is>
          <t>Klein Tools 31860 Carbide Hole Cutter, 1-3/8-Inch</t>
        </is>
      </c>
      <c r="D449" t="inlineStr">
        <is>
          <t>Klein Tools 31872 Heavy Duty Hole Cutter Kit, Includes Carbide Hole Cutters and Pilot Bit in Rust-Proof Molded Plastic Case, 4-Piece</t>
        </is>
      </c>
      <c r="E449" s="1">
        <f>HYPERLINK("https://www.amazon.com/Carbide-Cutter-Klein-Tools-31872/dp/B003CCR97A/ref=sr_1_2?keywords=Klein+Tools+31860+Carbide+Hole+Cutter%2C+1-3%2F8-Inch&amp;qid=1695347002&amp;sr=8-2", "https://www.amazon.com/Carbide-Cutter-Klein-Tools-31872/dp/B003CCR97A/ref=sr_1_2?keywords=Klein+Tools+31860+Carbide+Hole+Cutter%2C+1-3%2F8-Inch&amp;qid=1695347002&amp;sr=8-2")</f>
        <v/>
      </c>
      <c r="F449" t="inlineStr">
        <is>
          <t>B003CCR97A</t>
        </is>
      </c>
      <c r="G449">
        <f>_xlfn.IMAGE("https://www.toolnut.com/media/catalog/product/3/1/31860.jpg?quality=100&amp;bg-color=255,255,255&amp;fit=bounds&amp;height=700&amp;width=700&amp;canvas=700:700&amp;dpr=1 1x")</f>
        <v/>
      </c>
      <c r="H449">
        <f>_xlfn.IMAGE("https://m.media-amazon.com/images/I/61oX7BDmtJL._AC_UL320_.jpg")</f>
        <v/>
      </c>
      <c r="K449" t="inlineStr">
        <is>
          <t>37.99</t>
        </is>
      </c>
      <c r="L449" t="n">
        <v>89.98999999999999</v>
      </c>
      <c r="M449" s="2" t="inlineStr">
        <is>
          <t>136.88%</t>
        </is>
      </c>
      <c r="N449" t="n">
        <v>4.7</v>
      </c>
      <c r="O449" t="n">
        <v>930</v>
      </c>
      <c r="Q449" t="inlineStr">
        <is>
          <t>InStock</t>
        </is>
      </c>
      <c r="R449" t="inlineStr">
        <is>
          <t>undefined</t>
        </is>
      </c>
      <c r="S449" t="inlineStr">
        <is>
          <t>31860-KLE</t>
        </is>
      </c>
    </row>
    <row r="450" ht="75" customHeight="1">
      <c r="A450" s="1">
        <f>HYPERLINK("https://www.toolnut.com/klein-tools-31860-kle-carbide-hole-cutter-1-3-8-inch.html", "https://www.toolnut.com/klein-tools-31860-kle-carbide-hole-cutter-1-3-8-inch.html")</f>
        <v/>
      </c>
      <c r="B450" s="1">
        <f>HYPERLINK("https://www.toolnut.com/klein-tools-31860-kle-carbide-hole-cutter-1-3-8-inch.html", "https://www.toolnut.com/klein-tools-31860-kle-carbide-hole-cutter-1-3-8-inch.html")</f>
        <v/>
      </c>
      <c r="C450" t="inlineStr">
        <is>
          <t>Klein Tools 31860 Carbide Hole Cutter, 1-3/8-Inch</t>
        </is>
      </c>
      <c r="D450" t="inlineStr">
        <is>
          <t>Klein Tools 31872 Heavy Duty Hole Cutter Kit, Includes Carbide Hole Cutters and Pilot Bit in Rust-Proof Molded Plastic Case, 4-Piece</t>
        </is>
      </c>
      <c r="E450" s="1">
        <f>HYPERLINK("https://www.amazon.com/Carbide-Cutter-Klein-Tools-31872/dp/B003CCR97A/ref=sr_1_2?keywords=Klein+Tools+31860+Carbide+Hole+Cutter%2C+1-3%2F8-Inch&amp;qid=1695347002&amp;sr=8-2", "https://www.amazon.com/Carbide-Cutter-Klein-Tools-31872/dp/B003CCR97A/ref=sr_1_2?keywords=Klein+Tools+31860+Carbide+Hole+Cutter%2C+1-3%2F8-Inch&amp;qid=1695347002&amp;sr=8-2")</f>
        <v/>
      </c>
      <c r="F450" t="inlineStr">
        <is>
          <t>B003CCR97A</t>
        </is>
      </c>
      <c r="G450">
        <f>_xlfn.IMAGE("https://www.toolnut.com/media/catalog/product/3/1/31860.jpg?quality=100&amp;bg-color=255,255,255&amp;fit=bounds&amp;height=700&amp;width=700&amp;canvas=700:700&amp;dpr=1 1x")</f>
        <v/>
      </c>
      <c r="H450">
        <f>_xlfn.IMAGE("https://m.media-amazon.com/images/I/61oX7BDmtJL._AC_UL320_.jpg")</f>
        <v/>
      </c>
      <c r="K450" t="inlineStr">
        <is>
          <t>37.99</t>
        </is>
      </c>
      <c r="L450" t="n">
        <v>89.98999999999999</v>
      </c>
      <c r="M450" s="2" t="inlineStr">
        <is>
          <t>136.88%</t>
        </is>
      </c>
      <c r="N450" t="n">
        <v>4.7</v>
      </c>
      <c r="O450" t="n">
        <v>930</v>
      </c>
      <c r="Q450" t="inlineStr">
        <is>
          <t>InStock</t>
        </is>
      </c>
      <c r="R450" t="inlineStr">
        <is>
          <t>undefined</t>
        </is>
      </c>
      <c r="S450" t="inlineStr">
        <is>
          <t>31860-KLE</t>
        </is>
      </c>
    </row>
    <row r="451" ht="75" customHeight="1">
      <c r="A451" s="1">
        <f>HYPERLINK("https://www.toolnut.com/klein-tools-31866-kle-carbide-hole-cutter-1-3-4-inch.html", "https://www.toolnut.com/klein-tools-31866-kle-carbide-hole-cutter-1-3-4-inch.html")</f>
        <v/>
      </c>
      <c r="B451" s="1">
        <f>HYPERLINK("https://www.toolnut.com/klein-tools-31866-kle-carbide-hole-cutter-1-3-4-inch.html", "https://www.toolnut.com/klein-tools-31866-kle-carbide-hole-cutter-1-3-4-inch.html")</f>
        <v/>
      </c>
      <c r="C451" t="inlineStr">
        <is>
          <t>Klein Tools 31866 Carbide Hole Cutter, 1-3/4-Inch</t>
        </is>
      </c>
      <c r="D451" t="inlineStr">
        <is>
          <t>Klein Tools 31872 Heavy Duty Hole Cutter Kit, Includes Carbide Hole Cutters and Pilot Bit in Rust-Proof Molded Plastic Case, 4-Piece</t>
        </is>
      </c>
      <c r="E451" s="1">
        <f>HYPERLINK("https://www.amazon.com/Carbide-Cutter-Klein-Tools-31872/dp/B003CCR97A/ref=sr_1_2?keywords=Klein+Tools+31866+Carbide+Hole+Cutter%2C+1-3%2F4-Inch&amp;qid=1695347013&amp;sr=8-2", "https://www.amazon.com/Carbide-Cutter-Klein-Tools-31872/dp/B003CCR97A/ref=sr_1_2?keywords=Klein+Tools+31866+Carbide+Hole+Cutter%2C+1-3%2F4-Inch&amp;qid=1695347013&amp;sr=8-2")</f>
        <v/>
      </c>
      <c r="F451" t="inlineStr">
        <is>
          <t>B003CCR97A</t>
        </is>
      </c>
      <c r="G451">
        <f>_xlfn.IMAGE("https://www.toolnut.com/media/catalog/product/3/1/31866.jpg?quality=100&amp;bg-color=255,255,255&amp;fit=bounds&amp;height=700&amp;width=700&amp;canvas=700:700&amp;dpr=1 1x")</f>
        <v/>
      </c>
      <c r="H451">
        <f>_xlfn.IMAGE("https://m.media-amazon.com/images/I/61oX7BDmtJL._AC_UL320_.jpg")</f>
        <v/>
      </c>
      <c r="K451" t="inlineStr">
        <is>
          <t>49.99</t>
        </is>
      </c>
      <c r="L451" t="n">
        <v>89.98999999999999</v>
      </c>
      <c r="M451" s="2" t="inlineStr">
        <is>
          <t>80.02%</t>
        </is>
      </c>
      <c r="N451" t="n">
        <v>4.7</v>
      </c>
      <c r="O451" t="n">
        <v>930</v>
      </c>
      <c r="Q451" t="inlineStr">
        <is>
          <t>InStock</t>
        </is>
      </c>
      <c r="R451" t="inlineStr">
        <is>
          <t>undefined</t>
        </is>
      </c>
      <c r="S451" t="inlineStr">
        <is>
          <t>31866-KLE</t>
        </is>
      </c>
    </row>
    <row r="452" ht="75" customHeight="1">
      <c r="A452" s="1">
        <f>HYPERLINK("https://www.toolnut.com/klein-tools-31866-kle-carbide-hole-cutter-1-3-4-inch.html", "https://www.toolnut.com/klein-tools-31866-kle-carbide-hole-cutter-1-3-4-inch.html")</f>
        <v/>
      </c>
      <c r="B452" s="1">
        <f>HYPERLINK("https://www.toolnut.com/klein-tools-31866-kle-carbide-hole-cutter-1-3-4-inch.html", "https://www.toolnut.com/klein-tools-31866-kle-carbide-hole-cutter-1-3-4-inch.html")</f>
        <v/>
      </c>
      <c r="C452" t="inlineStr">
        <is>
          <t>Klein Tools 31866 Carbide Hole Cutter, 1-3/4-Inch</t>
        </is>
      </c>
      <c r="D452" t="inlineStr">
        <is>
          <t>Klein Tools 31872 Heavy Duty Hole Cutter Kit, Includes Carbide Hole Cutters and Pilot Bit in Rust-Proof Molded Plastic Case, 4-Piece</t>
        </is>
      </c>
      <c r="E452" s="1">
        <f>HYPERLINK("https://www.amazon.com/Carbide-Cutter-Klein-Tools-31872/dp/B003CCR97A/ref=sr_1_2?keywords=Klein+Tools+31866+Carbide+Hole+Cutter%2C+1-3%2F4-Inch&amp;qid=1695347013&amp;sr=8-2", "https://www.amazon.com/Carbide-Cutter-Klein-Tools-31872/dp/B003CCR97A/ref=sr_1_2?keywords=Klein+Tools+31866+Carbide+Hole+Cutter%2C+1-3%2F4-Inch&amp;qid=1695347013&amp;sr=8-2")</f>
        <v/>
      </c>
      <c r="F452" t="inlineStr">
        <is>
          <t>B003CCR97A</t>
        </is>
      </c>
      <c r="G452">
        <f>_xlfn.IMAGE("https://www.toolnut.com/media/catalog/product/3/1/31866.jpg?quality=100&amp;bg-color=255,255,255&amp;fit=bounds&amp;height=700&amp;width=700&amp;canvas=700:700&amp;dpr=1 1x")</f>
        <v/>
      </c>
      <c r="H452">
        <f>_xlfn.IMAGE("https://m.media-amazon.com/images/I/61oX7BDmtJL._AC_UL320_.jpg")</f>
        <v/>
      </c>
      <c r="K452" t="inlineStr">
        <is>
          <t>49.99</t>
        </is>
      </c>
      <c r="L452" t="n">
        <v>89.98999999999999</v>
      </c>
      <c r="M452" s="2" t="inlineStr">
        <is>
          <t>80.02%</t>
        </is>
      </c>
      <c r="N452" t="n">
        <v>4.7</v>
      </c>
      <c r="O452" t="n">
        <v>930</v>
      </c>
      <c r="Q452" t="inlineStr">
        <is>
          <t>InStock</t>
        </is>
      </c>
      <c r="R452" t="inlineStr">
        <is>
          <t>undefined</t>
        </is>
      </c>
      <c r="S452" t="inlineStr">
        <is>
          <t>31866-KLE</t>
        </is>
      </c>
    </row>
    <row r="453" ht="75" customHeight="1">
      <c r="A453" s="1">
        <f>HYPERLINK("https://www.toolnut.com/klein-tools-31870-kle-carbide-hole-cutter-2-1-2-inch.html", "https://www.toolnut.com/klein-tools-31870-kle-carbide-hole-cutter-2-1-2-inch.html")</f>
        <v/>
      </c>
      <c r="B453" s="1">
        <f>HYPERLINK("https://www.toolnut.com/klein-tools-31870-kle-carbide-hole-cutter-2-1-2-inch.html", "https://www.toolnut.com/klein-tools-31870-kle-carbide-hole-cutter-2-1-2-inch.html")</f>
        <v/>
      </c>
      <c r="C453" t="inlineStr">
        <is>
          <t>Klein Tools 31870 Carbide Hole Cutter, 2-1/2-Inch</t>
        </is>
      </c>
      <c r="D453" t="inlineStr">
        <is>
          <t>Klein Tools 31873 Heavy Duty Hole Cutter Kit, Includes Carbide Hole Cutters and 2 Pilot Bits in Rust-Proof Molded Plastic Case, 8-Piece</t>
        </is>
      </c>
      <c r="E453" s="1">
        <f>HYPERLINK("https://www.amazon.com/Electricians-8-Piece-Klein-Tools-31873/dp/B003CCRCM2/ref=sr_1_4?keywords=Klein+Tools+31870+Carbide+Hole+Cutter%2C+2-1%2F2-Inch&amp;qid=1695346997&amp;sr=8-4", "https://www.amazon.com/Electricians-8-Piece-Klein-Tools-31873/dp/B003CCRCM2/ref=sr_1_4?keywords=Klein+Tools+31870+Carbide+Hole+Cutter%2C+2-1%2F2-Inch&amp;qid=1695346997&amp;sr=8-4")</f>
        <v/>
      </c>
      <c r="F453" t="inlineStr">
        <is>
          <t>B003CCRCM2</t>
        </is>
      </c>
      <c r="G453">
        <f>_xlfn.IMAGE("https://www.toolnut.com/media/catalog/product/3/1/31870.jpg?quality=100&amp;bg-color=255,255,255&amp;fit=bounds&amp;height=700&amp;width=700&amp;canvas=700:700&amp;dpr=1 1x")</f>
        <v/>
      </c>
      <c r="H453">
        <f>_xlfn.IMAGE("https://m.media-amazon.com/images/I/61G-oQvGZTL._AC_UL320_.jpg")</f>
        <v/>
      </c>
      <c r="K453" t="inlineStr">
        <is>
          <t>79.99</t>
        </is>
      </c>
      <c r="L453" t="n">
        <v>279.99</v>
      </c>
      <c r="M453" s="2" t="inlineStr">
        <is>
          <t>250.03%</t>
        </is>
      </c>
      <c r="N453" t="n">
        <v>4.6</v>
      </c>
      <c r="O453" t="n">
        <v>64</v>
      </c>
      <c r="Q453" t="inlineStr">
        <is>
          <t>InStock</t>
        </is>
      </c>
      <c r="R453" t="inlineStr">
        <is>
          <t>undefined</t>
        </is>
      </c>
      <c r="S453" t="inlineStr">
        <is>
          <t>31870-KLE</t>
        </is>
      </c>
    </row>
    <row r="454" ht="75" customHeight="1">
      <c r="A454" s="1">
        <f>HYPERLINK("https://www.toolnut.com/klein-tools-31874-kle-replacement-hole-cutter-pilot-bit.html", "https://www.toolnut.com/klein-tools-31874-kle-replacement-hole-cutter-pilot-bit.html")</f>
        <v/>
      </c>
      <c r="B454" s="1">
        <f>HYPERLINK("https://www.toolnut.com/klein-tools-31874-kle-replacement-hole-cutter-pilot-bit.html", "https://www.toolnut.com/klein-tools-31874-kle-replacement-hole-cutter-pilot-bit.html")</f>
        <v/>
      </c>
      <c r="C454" t="inlineStr">
        <is>
          <t>Klein Tools 31874 Replacement Hole Cutter Pilot Bit</t>
        </is>
      </c>
      <c r="D454" t="inlineStr">
        <is>
          <t>Klein Tools 31873 Heavy Duty Hole Cutter Kit, Includes Carbide Hole Cutters and 2 Pilot Bits in Rust-Proof Molded Plastic Case, 8-Piece</t>
        </is>
      </c>
      <c r="E454" s="1">
        <f>HYPERLINK("https://www.amazon.com/Electricians-8-Piece-Klein-Tools-31873/dp/B003CCRCM2/ref=sr_1_7?keywords=Klein+Tools+31874+Replacement+Hole+Cutter+Pilot+Bit&amp;qid=1695347000&amp;sr=8-7", "https://www.amazon.com/Electricians-8-Piece-Klein-Tools-31873/dp/B003CCRCM2/ref=sr_1_7?keywords=Klein+Tools+31874+Replacement+Hole+Cutter+Pilot+Bit&amp;qid=1695347000&amp;sr=8-7")</f>
        <v/>
      </c>
      <c r="F454" t="inlineStr">
        <is>
          <t>B003CCRCM2</t>
        </is>
      </c>
      <c r="G454">
        <f>_xlfn.IMAGE("https://www.toolnut.com/media/catalog/product/3/1/31874.jpg?quality=100&amp;bg-color=255,255,255&amp;fit=bounds&amp;height=700&amp;width=700&amp;canvas=700:700&amp;dpr=1 1x")</f>
        <v/>
      </c>
      <c r="H454">
        <f>_xlfn.IMAGE("https://m.media-amazon.com/images/I/61G-oQvGZTL._AC_UL320_.jpg")</f>
        <v/>
      </c>
      <c r="K454" t="inlineStr">
        <is>
          <t>7.99</t>
        </is>
      </c>
      <c r="L454" t="n">
        <v>279.99</v>
      </c>
      <c r="M454" s="2" t="inlineStr">
        <is>
          <t>3404.26%</t>
        </is>
      </c>
      <c r="N454" t="n">
        <v>4.6</v>
      </c>
      <c r="O454" t="n">
        <v>64</v>
      </c>
      <c r="Q454" t="inlineStr">
        <is>
          <t>InStock</t>
        </is>
      </c>
      <c r="R454" t="inlineStr">
        <is>
          <t>undefined</t>
        </is>
      </c>
      <c r="S454" t="inlineStr">
        <is>
          <t>31874-KLE</t>
        </is>
      </c>
    </row>
    <row r="455" ht="75" customHeight="1">
      <c r="A455" s="1">
        <f>HYPERLINK("https://www.toolnut.com/klein-tools-31874-kle-replacement-hole-cutter-pilot-bit.html", "https://www.toolnut.com/klein-tools-31874-kle-replacement-hole-cutter-pilot-bit.html")</f>
        <v/>
      </c>
      <c r="B455" s="1">
        <f>HYPERLINK("https://www.toolnut.com/klein-tools-31874-kle-replacement-hole-cutter-pilot-bit.html", "https://www.toolnut.com/klein-tools-31874-kle-replacement-hole-cutter-pilot-bit.html")</f>
        <v/>
      </c>
      <c r="C455" t="inlineStr">
        <is>
          <t>Klein Tools 31874 Replacement Hole Cutter Pilot Bit</t>
        </is>
      </c>
      <c r="D455" t="inlineStr">
        <is>
          <t>Klein Tools 31872 Heavy Duty Hole Cutter Kit, Includes Carbide Hole Cutters and Pilot Bit in Rust-Proof Molded Plastic Case, 4-Piece</t>
        </is>
      </c>
      <c r="E455" s="1">
        <f>HYPERLINK("https://www.amazon.com/Carbide-Cutter-Klein-Tools-31872/dp/B003CCR97A/ref=sr_1_5?keywords=Klein+Tools+31874+Replacement+Hole+Cutter+Pilot+Bit&amp;qid=1695347000&amp;sr=8-5", "https://www.amazon.com/Carbide-Cutter-Klein-Tools-31872/dp/B003CCR97A/ref=sr_1_5?keywords=Klein+Tools+31874+Replacement+Hole+Cutter+Pilot+Bit&amp;qid=1695347000&amp;sr=8-5")</f>
        <v/>
      </c>
      <c r="F455" t="inlineStr">
        <is>
          <t>B003CCR97A</t>
        </is>
      </c>
      <c r="G455">
        <f>_xlfn.IMAGE("https://www.toolnut.com/media/catalog/product/3/1/31874.jpg?quality=100&amp;bg-color=255,255,255&amp;fit=bounds&amp;height=700&amp;width=700&amp;canvas=700:700&amp;dpr=1 1x")</f>
        <v/>
      </c>
      <c r="H455">
        <f>_xlfn.IMAGE("https://m.media-amazon.com/images/I/61oX7BDmtJL._AC_UL320_.jpg")</f>
        <v/>
      </c>
      <c r="K455" t="inlineStr">
        <is>
          <t>7.99</t>
        </is>
      </c>
      <c r="L455" t="n">
        <v>89.98999999999999</v>
      </c>
      <c r="M455" s="2" t="inlineStr">
        <is>
          <t>1026.28%</t>
        </is>
      </c>
      <c r="N455" t="n">
        <v>4.7</v>
      </c>
      <c r="O455" t="n">
        <v>930</v>
      </c>
      <c r="Q455" t="inlineStr">
        <is>
          <t>InStock</t>
        </is>
      </c>
      <c r="R455" t="inlineStr">
        <is>
          <t>undefined</t>
        </is>
      </c>
      <c r="S455" t="inlineStr">
        <is>
          <t>31874-KLE</t>
        </is>
      </c>
    </row>
    <row r="456" ht="75" customHeight="1">
      <c r="A456" s="1">
        <f>HYPERLINK("https://www.toolnut.com/klein-tools-31902-kle-bi-metal-hole-saw-kit-8-piece.html", "https://www.toolnut.com/klein-tools-31902-kle-bi-metal-hole-saw-kit-8-piece.html")</f>
        <v/>
      </c>
      <c r="B456" s="1">
        <f>HYPERLINK("https://www.toolnut.com/klein-tools-31902-kle-bi-metal-hole-saw-kit-8-piece.html", "https://www.toolnut.com/klein-tools-31902-kle-bi-metal-hole-saw-kit-8-piece.html")</f>
        <v/>
      </c>
      <c r="C456" t="inlineStr">
        <is>
          <t>Klein Tools 31902 Bi-Metal Hole Saw Kit, 8-Piece</t>
        </is>
      </c>
      <c r="D456" t="inlineStr">
        <is>
          <t>Klein Tools 31873 Heavy Duty Hole Cutter Kit, Includes Carbide Hole Cutters and 2 Pilot Bits in Rust-Proof Molded Plastic Case, 8-Piece</t>
        </is>
      </c>
      <c r="E456" s="1">
        <f>HYPERLINK("https://www.amazon.com/Electricians-8-Piece-Klein-Tools-31873/dp/B003CCRCM2/ref=sr_1_10?keywords=Klein+Tools+31902+Bi-Metal+Hole+Saw+Kit%2C+8-Piece&amp;qid=1695347007&amp;sr=8-10", "https://www.amazon.com/Electricians-8-Piece-Klein-Tools-31873/dp/B003CCRCM2/ref=sr_1_10?keywords=Klein+Tools+31902+Bi-Metal+Hole+Saw+Kit%2C+8-Piece&amp;qid=1695347007&amp;sr=8-10")</f>
        <v/>
      </c>
      <c r="F456" t="inlineStr">
        <is>
          <t>B003CCRCM2</t>
        </is>
      </c>
      <c r="G456">
        <f>_xlfn.IMAGE("https://www.toolnut.com/media/catalog/product/3/1/31902.jpg?quality=100&amp;bg-color=255,255,255&amp;fit=bounds&amp;height=700&amp;width=700&amp;canvas=700:700&amp;dpr=1 1x")</f>
        <v/>
      </c>
      <c r="H456">
        <f>_xlfn.IMAGE("https://m.media-amazon.com/images/I/61G-oQvGZTL._AC_UL320_.jpg")</f>
        <v/>
      </c>
      <c r="K456" t="inlineStr">
        <is>
          <t>74.99</t>
        </is>
      </c>
      <c r="L456" t="n">
        <v>279.99</v>
      </c>
      <c r="M456" s="2" t="inlineStr">
        <is>
          <t>273.37%</t>
        </is>
      </c>
      <c r="N456" t="n">
        <v>4.6</v>
      </c>
      <c r="O456" t="n">
        <v>64</v>
      </c>
      <c r="Q456" t="inlineStr">
        <is>
          <t>InStock</t>
        </is>
      </c>
      <c r="R456" t="inlineStr">
        <is>
          <t>undefined</t>
        </is>
      </c>
      <c r="S456" t="inlineStr">
        <is>
          <t>31902-KLE</t>
        </is>
      </c>
    </row>
    <row r="457" ht="75" customHeight="1">
      <c r="A457" s="1">
        <f>HYPERLINK("https://www.toolnut.com/klein-tools-31905-kle-hole-saw-arbor-with-adapter-3-8-inch.html", "https://www.toolnut.com/klein-tools-31905-kle-hole-saw-arbor-with-adapter-3-8-inch.html")</f>
        <v/>
      </c>
      <c r="B457" s="1">
        <f>HYPERLINK("https://www.toolnut.com/klein-tools-31905-kle-hole-saw-arbor-with-adapter-3-8-inch.html", "https://www.toolnut.com/klein-tools-31905-kle-hole-saw-arbor-with-adapter-3-8-inch.html")</f>
        <v/>
      </c>
      <c r="C457" t="inlineStr">
        <is>
          <t>Klein Tools 31905 Hole Saw Arbor with Adapter, 3/8-Inch</t>
        </is>
      </c>
      <c r="D457" t="inlineStr">
        <is>
          <t>Klein Tools 31906 Hole Saw Arbor with Pins, 7/16-Inch and 31958 Bi-Metal Hole Saw, 3-5/8 Inch - Hole Saw Kit</t>
        </is>
      </c>
      <c r="E457" s="1">
        <f>HYPERLINK("https://www.amazon.com/Klein-Tools-31906-16-Inch-Bi-Metal/dp/B0BVGZ3GN2/ref=sr_1_6?keywords=Klein+Tools+31905+Hole+Saw+Arbor+with+Adapter%2C+3%2F8-Inch&amp;qid=1695347008&amp;sr=8-6", "https://www.amazon.com/Klein-Tools-31906-16-Inch-Bi-Metal/dp/B0BVGZ3GN2/ref=sr_1_6?keywords=Klein+Tools+31905+Hole+Saw+Arbor+with+Adapter%2C+3%2F8-Inch&amp;qid=1695347008&amp;sr=8-6")</f>
        <v/>
      </c>
      <c r="F457" t="inlineStr">
        <is>
          <t>B0BVGZ3GN2</t>
        </is>
      </c>
      <c r="G457">
        <f>_xlfn.IMAGE("https://www.toolnut.com/media/catalog/product/3/1/31905.jpg?quality=100&amp;bg-color=255,255,255&amp;fit=bounds&amp;height=700&amp;width=700&amp;canvas=700:700&amp;dpr=1 1x")</f>
        <v/>
      </c>
      <c r="H457">
        <f>_xlfn.IMAGE("https://m.media-amazon.com/images/I/21IcyNq4gsL._AC_UL320_.jpg")</f>
        <v/>
      </c>
      <c r="K457" t="inlineStr">
        <is>
          <t>9.99</t>
        </is>
      </c>
      <c r="L457" t="n">
        <v>29.98</v>
      </c>
      <c r="M457" s="2" t="inlineStr">
        <is>
          <t>200.10%</t>
        </is>
      </c>
      <c r="N457" t="n">
        <v>4.6</v>
      </c>
      <c r="O457" t="n">
        <v>406</v>
      </c>
      <c r="Q457" t="inlineStr">
        <is>
          <t>InStock</t>
        </is>
      </c>
      <c r="R457" t="inlineStr">
        <is>
          <t>undefined</t>
        </is>
      </c>
      <c r="S457" t="inlineStr">
        <is>
          <t>31905-KLE</t>
        </is>
      </c>
    </row>
    <row r="458" ht="75" customHeight="1">
      <c r="A458" s="1">
        <f>HYPERLINK("https://www.toolnut.com/klein-tools-31906-kle-hole-saw-arbor-with-pins-7-16-inch.html", "https://www.toolnut.com/klein-tools-31906-kle-hole-saw-arbor-with-pins-7-16-inch.html")</f>
        <v/>
      </c>
      <c r="B458" s="1">
        <f>HYPERLINK("https://www.toolnut.com/klein-tools-31906-kle-hole-saw-arbor-with-pins-7-16-inch.html", "https://www.toolnut.com/klein-tools-31906-kle-hole-saw-arbor-with-pins-7-16-inch.html")</f>
        <v/>
      </c>
      <c r="C458" t="inlineStr">
        <is>
          <t>Klein Tools 31906 Hole Saw Arbor With Pins, 7/16-Inch</t>
        </is>
      </c>
      <c r="D458" t="inlineStr">
        <is>
          <t>Klein Tools 31906 Hole Saw Arbor with Pins, 7/16-Inch and 31958 Bi-Metal Hole Saw, 3-5/8 Inch - Hole Saw Kit</t>
        </is>
      </c>
      <c r="E458" s="1">
        <f>HYPERLINK("https://www.amazon.com/Klein-Tools-31906-16-Inch-Bi-Metal/dp/B0BVGZ3GN2/ref=sr_1_2?keywords=Klein+Tools+31906+Hole+Saw+Arbor+With+Pins%2C+7%2F16-Inch&amp;qid=1695347000&amp;sr=8-2", "https://www.amazon.com/Klein-Tools-31906-16-Inch-Bi-Metal/dp/B0BVGZ3GN2/ref=sr_1_2?keywords=Klein+Tools+31906+Hole+Saw+Arbor+With+Pins%2C+7%2F16-Inch&amp;qid=1695347000&amp;sr=8-2")</f>
        <v/>
      </c>
      <c r="F458" t="inlineStr">
        <is>
          <t>B0BVGZ3GN2</t>
        </is>
      </c>
      <c r="G458">
        <f>_xlfn.IMAGE("https://www.toolnut.com/media/catalog/product/3/1/31906.jpg?quality=100&amp;bg-color=255,255,255&amp;fit=bounds&amp;height=700&amp;width=700&amp;canvas=700:700&amp;dpr=1 1x")</f>
        <v/>
      </c>
      <c r="H458">
        <f>_xlfn.IMAGE("https://m.media-amazon.com/images/I/21IcyNq4gsL._AC_UL320_.jpg")</f>
        <v/>
      </c>
      <c r="K458" t="inlineStr">
        <is>
          <t>16.99</t>
        </is>
      </c>
      <c r="L458" t="n">
        <v>29.98</v>
      </c>
      <c r="M458" s="2" t="inlineStr">
        <is>
          <t>76.46%</t>
        </is>
      </c>
      <c r="N458" t="n">
        <v>4.6</v>
      </c>
      <c r="O458" t="n">
        <v>406</v>
      </c>
      <c r="Q458" t="inlineStr">
        <is>
          <t>InStock</t>
        </is>
      </c>
      <c r="R458" t="inlineStr">
        <is>
          <t>undefined</t>
        </is>
      </c>
      <c r="S458" t="inlineStr">
        <is>
          <t>31906-KLE</t>
        </is>
      </c>
    </row>
    <row r="459" ht="75" customHeight="1">
      <c r="A459" s="1">
        <f>HYPERLINK("https://www.toolnut.com/klein-tools-31906-kle-hole-saw-arbor-with-pins-7-16-inch.html", "https://www.toolnut.com/klein-tools-31906-kle-hole-saw-arbor-with-pins-7-16-inch.html")</f>
        <v/>
      </c>
      <c r="B459" s="1">
        <f>HYPERLINK("https://www.toolnut.com/klein-tools-31906-kle-hole-saw-arbor-with-pins-7-16-inch.html", "https://www.toolnut.com/klein-tools-31906-kle-hole-saw-arbor-with-pins-7-16-inch.html")</f>
        <v/>
      </c>
      <c r="C459" t="inlineStr">
        <is>
          <t>Klein Tools 31906 Hole Saw Arbor With Pins, 7/16-Inch</t>
        </is>
      </c>
      <c r="D459" t="inlineStr">
        <is>
          <t>Klein Tools 31906 Hole Saw Arbor with Pins, 7/16-Inch and 31958 Bi-Metal Hole Saw, 3-5/8 Inch - Hole Saw Kit</t>
        </is>
      </c>
      <c r="E459" s="1">
        <f>HYPERLINK("https://www.amazon.com/Klein-Tools-31906-16-Inch-Bi-Metal/dp/B0BVGZ3GN2/ref=sr_1_2?keywords=Klein+Tools+31906+Hole+Saw+Arbor+With+Pins%2C+7%2F16-Inch&amp;qid=1695347000&amp;sr=8-2", "https://www.amazon.com/Klein-Tools-31906-16-Inch-Bi-Metal/dp/B0BVGZ3GN2/ref=sr_1_2?keywords=Klein+Tools+31906+Hole+Saw+Arbor+With+Pins%2C+7%2F16-Inch&amp;qid=1695347000&amp;sr=8-2")</f>
        <v/>
      </c>
      <c r="F459" t="inlineStr">
        <is>
          <t>B0BVGZ3GN2</t>
        </is>
      </c>
      <c r="G459">
        <f>_xlfn.IMAGE("https://www.toolnut.com/media/catalog/product/3/1/31906.jpg?quality=100&amp;bg-color=255,255,255&amp;fit=bounds&amp;height=700&amp;width=700&amp;canvas=700:700&amp;dpr=1 1x")</f>
        <v/>
      </c>
      <c r="H459">
        <f>_xlfn.IMAGE("https://m.media-amazon.com/images/I/21IcyNq4gsL._AC_UL320_.jpg")</f>
        <v/>
      </c>
      <c r="K459" t="inlineStr">
        <is>
          <t>16.99</t>
        </is>
      </c>
      <c r="L459" t="n">
        <v>29.98</v>
      </c>
      <c r="M459" s="2" t="inlineStr">
        <is>
          <t>76.46%</t>
        </is>
      </c>
      <c r="N459" t="n">
        <v>4.6</v>
      </c>
      <c r="O459" t="n">
        <v>406</v>
      </c>
      <c r="Q459" t="inlineStr">
        <is>
          <t>InStock</t>
        </is>
      </c>
      <c r="R459" t="inlineStr">
        <is>
          <t>undefined</t>
        </is>
      </c>
      <c r="S459" t="inlineStr">
        <is>
          <t>31906-KLE</t>
        </is>
      </c>
    </row>
    <row r="460" ht="75" customHeight="1">
      <c r="A460" s="1">
        <f>HYPERLINK("https://www.toolnut.com/klein-tools-31914-kle-bi-metal-hole-saw-7-8-inch.html", "https://www.toolnut.com/klein-tools-31914-kle-bi-metal-hole-saw-7-8-inch.html")</f>
        <v/>
      </c>
      <c r="B460" s="1">
        <f>HYPERLINK("https://www.toolnut.com/klein-tools-31914-kle-bi-metal-hole-saw-7-8-inch.html", "https://www.toolnut.com/klein-tools-31914-kle-bi-metal-hole-saw-7-8-inch.html")</f>
        <v/>
      </c>
      <c r="C460" t="inlineStr">
        <is>
          <t>Klein Tools 31914 Bi-Metal Hole Saw, 7/8-Inch</t>
        </is>
      </c>
      <c r="D460" t="inlineStr">
        <is>
          <t>Klein Tools 31900 Bi-Metal Hole Saw, 6-3/8-Inch, For Drywall-Ceiling Tile-Steel-Wood-Plastic, Stainless Steel, Recessed Lighting</t>
        </is>
      </c>
      <c r="E460" s="1">
        <f>HYPERLINK("https://www.amazon.com/Bi-Metal-8-Inch-Klein-Tools-31900/dp/B0171X0FXU/ref=sr_1_8?keywords=Klein+Tools+31914+Bi-Metal+Hole+Saw%2C+7%2F8-Inch&amp;qid=1695347000&amp;sr=8-8", "https://www.amazon.com/Bi-Metal-8-Inch-Klein-Tools-31900/dp/B0171X0FXU/ref=sr_1_8?keywords=Klein+Tools+31914+Bi-Metal+Hole+Saw%2C+7%2F8-Inch&amp;qid=1695347000&amp;sr=8-8")</f>
        <v/>
      </c>
      <c r="F460" t="inlineStr">
        <is>
          <t>B0171X0FXU</t>
        </is>
      </c>
      <c r="G460">
        <f>_xlfn.IMAGE("https://www.toolnut.com/media/catalog/product/3/1/31914.jpg?quality=100&amp;bg-color=255,255,255&amp;fit=bounds&amp;height=700&amp;width=700&amp;canvas=700:700&amp;dpr=1 1x")</f>
        <v/>
      </c>
      <c r="H460">
        <f>_xlfn.IMAGE("https://m.media-amazon.com/images/I/51mfU+Jrr7L._AC_UL320_.jpg")</f>
        <v/>
      </c>
      <c r="K460" t="inlineStr">
        <is>
          <t>8.99</t>
        </is>
      </c>
      <c r="L460" t="n">
        <v>43.49</v>
      </c>
      <c r="M460" s="2" t="inlineStr">
        <is>
          <t>383.76%</t>
        </is>
      </c>
      <c r="N460" t="n">
        <v>4.5</v>
      </c>
      <c r="O460" t="n">
        <v>211</v>
      </c>
      <c r="Q460" t="inlineStr">
        <is>
          <t>InStock</t>
        </is>
      </c>
      <c r="R460" t="inlineStr">
        <is>
          <t>undefined</t>
        </is>
      </c>
      <c r="S460" t="inlineStr">
        <is>
          <t>31914-KLE</t>
        </is>
      </c>
    </row>
    <row r="461" ht="75" customHeight="1">
      <c r="A461" s="1">
        <f>HYPERLINK("https://www.toolnut.com/klein-tools-31914-kle-bi-metal-hole-saw-7-8-inch.html", "https://www.toolnut.com/klein-tools-31914-kle-bi-metal-hole-saw-7-8-inch.html")</f>
        <v/>
      </c>
      <c r="B461" s="1">
        <f>HYPERLINK("https://www.toolnut.com/klein-tools-31914-kle-bi-metal-hole-saw-7-8-inch.html", "https://www.toolnut.com/klein-tools-31914-kle-bi-metal-hole-saw-7-8-inch.html")</f>
        <v/>
      </c>
      <c r="C461" t="inlineStr">
        <is>
          <t>Klein Tools 31914 Bi-Metal Hole Saw, 7/8-Inch</t>
        </is>
      </c>
      <c r="D461" t="inlineStr">
        <is>
          <t>Klein Tools 31852 Heavy Duty Hole Cutter, 7/8-Inch Carbide Hole Cutter Cuts Stainless Steel, Mild Steel, Iron, Copper, Brass</t>
        </is>
      </c>
      <c r="E461" s="1">
        <f>HYPERLINK("https://www.amazon.com/8-Inch-Carbide-Klein-Tools-31852/dp/B00776T23Q/ref=sr_1_5?keywords=Klein+Tools+31914+Bi-Metal+Hole+Saw%2C+7%2F8-Inch&amp;qid=1695347000&amp;sr=8-5", "https://www.amazon.com/8-Inch-Carbide-Klein-Tools-31852/dp/B00776T23Q/ref=sr_1_5?keywords=Klein+Tools+31914+Bi-Metal+Hole+Saw%2C+7%2F8-Inch&amp;qid=1695347000&amp;sr=8-5")</f>
        <v/>
      </c>
      <c r="F461" t="inlineStr">
        <is>
          <t>B00776T23Q</t>
        </is>
      </c>
      <c r="G461">
        <f>_xlfn.IMAGE("https://www.toolnut.com/media/catalog/product/3/1/31914.jpg?quality=100&amp;bg-color=255,255,255&amp;fit=bounds&amp;height=700&amp;width=700&amp;canvas=700:700&amp;dpr=1 1x")</f>
        <v/>
      </c>
      <c r="H461">
        <f>_xlfn.IMAGE("https://m.media-amazon.com/images/I/41wBUpl7TfL._AC_UL320_.jpg")</f>
        <v/>
      </c>
      <c r="K461" t="inlineStr">
        <is>
          <t>8.99</t>
        </is>
      </c>
      <c r="L461" t="n">
        <v>32.99</v>
      </c>
      <c r="M461" s="2" t="inlineStr">
        <is>
          <t>266.96%</t>
        </is>
      </c>
      <c r="N461" t="n">
        <v>4.5</v>
      </c>
      <c r="O461" t="n">
        <v>473</v>
      </c>
      <c r="Q461" t="inlineStr">
        <is>
          <t>InStock</t>
        </is>
      </c>
      <c r="R461" t="inlineStr">
        <is>
          <t>undefined</t>
        </is>
      </c>
      <c r="S461" t="inlineStr">
        <is>
          <t>31914-KLE</t>
        </is>
      </c>
    </row>
    <row r="462" ht="75" customHeight="1">
      <c r="A462" s="1">
        <f>HYPERLINK("https://www.toolnut.com/klein-tools-31918-kle-bi-metal-hole-saw-1-1-8-inch.html", "https://www.toolnut.com/klein-tools-31918-kle-bi-metal-hole-saw-1-1-8-inch.html")</f>
        <v/>
      </c>
      <c r="B462" s="1">
        <f>HYPERLINK("https://www.toolnut.com/klein-tools-31918-kle-bi-metal-hole-saw-1-1-8-inch.html", "https://www.toolnut.com/klein-tools-31918-kle-bi-metal-hole-saw-1-1-8-inch.html")</f>
        <v/>
      </c>
      <c r="C462" t="inlineStr">
        <is>
          <t>Klein Tools 31918 Bi-Metal Hole Saw, 1-1/8-Inch</t>
        </is>
      </c>
      <c r="D462" t="inlineStr">
        <is>
          <t>Klein Tools 31902 Bi-Metal Hole Saw Kit with Arbor Bits for Cutting Steel, Drywall, Ceiling Tile, Wood, Plastic, 8-Piece</t>
        </is>
      </c>
      <c r="E462" s="1">
        <f>HYPERLINK("https://www.amazon.com/Bi-Metal-8-Piece-Klein-Tools-31902/dp/B014WEBAO4/ref=sr_1_6?keywords=Klein+Tools+31918+Bi-Metal+Hole+Saw%2C+1-1%2F8-Inch&amp;qid=1695347006&amp;sr=8-6", "https://www.amazon.com/Bi-Metal-8-Piece-Klein-Tools-31902/dp/B014WEBAO4/ref=sr_1_6?keywords=Klein+Tools+31918+Bi-Metal+Hole+Saw%2C+1-1%2F8-Inch&amp;qid=1695347006&amp;sr=8-6")</f>
        <v/>
      </c>
      <c r="F462" t="inlineStr">
        <is>
          <t>B014WEBAO4</t>
        </is>
      </c>
      <c r="G462">
        <f>_xlfn.IMAGE("https://www.toolnut.com/media/catalog/product/3/1/31918.jpg?quality=100&amp;bg-color=255,255,255&amp;fit=bounds&amp;height=700&amp;width=700&amp;canvas=700:700&amp;dpr=1 1x")</f>
        <v/>
      </c>
      <c r="H462">
        <f>_xlfn.IMAGE("https://m.media-amazon.com/images/I/51JZIdZrBtL._AC_UL320_.jpg")</f>
        <v/>
      </c>
      <c r="K462" t="inlineStr">
        <is>
          <t>8.99</t>
        </is>
      </c>
      <c r="L462" t="n">
        <v>74.98999999999999</v>
      </c>
      <c r="M462" s="2" t="inlineStr">
        <is>
          <t>734.15%</t>
        </is>
      </c>
      <c r="N462" t="n">
        <v>4.2</v>
      </c>
      <c r="O462" t="n">
        <v>124</v>
      </c>
      <c r="Q462" t="inlineStr">
        <is>
          <t>InStock</t>
        </is>
      </c>
      <c r="R462" t="inlineStr">
        <is>
          <t>undefined</t>
        </is>
      </c>
      <c r="S462" t="inlineStr">
        <is>
          <t>31918-KLE</t>
        </is>
      </c>
    </row>
    <row r="463" ht="75" customHeight="1">
      <c r="A463" s="1">
        <f>HYPERLINK("https://www.toolnut.com/klein-tools-31918-kle-bi-metal-hole-saw-1-1-8-inch.html", "https://www.toolnut.com/klein-tools-31918-kle-bi-metal-hole-saw-1-1-8-inch.html")</f>
        <v/>
      </c>
      <c r="B463" s="1">
        <f>HYPERLINK("https://www.toolnut.com/klein-tools-31918-kle-bi-metal-hole-saw-1-1-8-inch.html", "https://www.toolnut.com/klein-tools-31918-kle-bi-metal-hole-saw-1-1-8-inch.html")</f>
        <v/>
      </c>
      <c r="C463" t="inlineStr">
        <is>
          <t>Klein Tools 31918 Bi-Metal Hole Saw, 1-1/8-Inch</t>
        </is>
      </c>
      <c r="D463" t="inlineStr">
        <is>
          <t>Klein Tools 31856 Heavy Duty Hole Cutter, 1-1/8-Inch Carbide Hole Cutter Cuts Stainless Steel, Mild Steel, Iron, and Copper</t>
        </is>
      </c>
      <c r="E463" s="1">
        <f>HYPERLINK("https://www.amazon.com/8-Inch-Carbide-Klein-Tools-31856/dp/B00776T2XQ/ref=sr_1_2?keywords=Klein+Tools+31918+Bi-Metal+Hole+Saw%2C+1-1%2F8-Inch&amp;qid=1695347006&amp;sr=8-2", "https://www.amazon.com/8-Inch-Carbide-Klein-Tools-31856/dp/B00776T2XQ/ref=sr_1_2?keywords=Klein+Tools+31918+Bi-Metal+Hole+Saw%2C+1-1%2F8-Inch&amp;qid=1695347006&amp;sr=8-2")</f>
        <v/>
      </c>
      <c r="F463" t="inlineStr">
        <is>
          <t>B00776T2XQ</t>
        </is>
      </c>
      <c r="G463">
        <f>_xlfn.IMAGE("https://www.toolnut.com/media/catalog/product/3/1/31918.jpg?quality=100&amp;bg-color=255,255,255&amp;fit=bounds&amp;height=700&amp;width=700&amp;canvas=700:700&amp;dpr=1 1x")</f>
        <v/>
      </c>
      <c r="H463">
        <f>_xlfn.IMAGE("https://m.media-amazon.com/images/I/41TKex1GIjL._AC_UL320_.jpg")</f>
        <v/>
      </c>
      <c r="K463" t="inlineStr">
        <is>
          <t>8.99</t>
        </is>
      </c>
      <c r="L463" t="n">
        <v>34.99</v>
      </c>
      <c r="M463" s="2" t="inlineStr">
        <is>
          <t>289.21%</t>
        </is>
      </c>
      <c r="N463" t="n">
        <v>4.5</v>
      </c>
      <c r="O463" t="n">
        <v>473</v>
      </c>
      <c r="Q463" t="inlineStr">
        <is>
          <t>InStock</t>
        </is>
      </c>
      <c r="R463" t="inlineStr">
        <is>
          <t>undefined</t>
        </is>
      </c>
      <c r="S463" t="inlineStr">
        <is>
          <t>31918-KLE</t>
        </is>
      </c>
    </row>
    <row r="464" ht="75" customHeight="1">
      <c r="A464" s="1">
        <f>HYPERLINK("https://www.toolnut.com/klein-tools-31922-kle-bi-metal-hole-saw-1-3-8-inch.html", "https://www.toolnut.com/klein-tools-31922-kle-bi-metal-hole-saw-1-3-8-inch.html")</f>
        <v/>
      </c>
      <c r="B464" s="1">
        <f>HYPERLINK("https://www.toolnut.com/klein-tools-31922-kle-bi-metal-hole-saw-1-3-8-inch.html", "https://www.toolnut.com/klein-tools-31922-kle-bi-metal-hole-saw-1-3-8-inch.html")</f>
        <v/>
      </c>
      <c r="C464" t="inlineStr">
        <is>
          <t>Klein Tools 31922 Bi-Metal Hole Saw, 1-3/8-Inch</t>
        </is>
      </c>
      <c r="D464" t="inlineStr">
        <is>
          <t>Klein Tools 31902 Bi-Metal Hole Saw Kit with Arbor Bits for Cutting Steel, Drywall, Ceiling Tile, Wood, Plastic, 8-Piece</t>
        </is>
      </c>
      <c r="E464" s="1">
        <f>HYPERLINK("https://www.amazon.com/Bi-Metal-8-Piece-Klein-Tools-31902/dp/B014WEBAO4/ref=sr_1_9?keywords=Klein+Tools+31922+Bi-Metal+Hole+Saw%2C+1-3%2F8-Inch&amp;qid=1695346998&amp;sr=8-9", "https://www.amazon.com/Bi-Metal-8-Piece-Klein-Tools-31902/dp/B014WEBAO4/ref=sr_1_9?keywords=Klein+Tools+31922+Bi-Metal+Hole+Saw%2C+1-3%2F8-Inch&amp;qid=1695346998&amp;sr=8-9")</f>
        <v/>
      </c>
      <c r="F464" t="inlineStr">
        <is>
          <t>B014WEBAO4</t>
        </is>
      </c>
      <c r="G464">
        <f>_xlfn.IMAGE("https://www.toolnut.com/media/catalog/product/3/1/31922.jpg?quality=100&amp;bg-color=255,255,255&amp;fit=bounds&amp;height=700&amp;width=700&amp;canvas=700:700&amp;dpr=1 1x")</f>
        <v/>
      </c>
      <c r="H464">
        <f>_xlfn.IMAGE("https://m.media-amazon.com/images/I/51JZIdZrBtL._AC_UL320_.jpg")</f>
        <v/>
      </c>
      <c r="K464" t="inlineStr">
        <is>
          <t>9.99</t>
        </is>
      </c>
      <c r="L464" t="n">
        <v>74.98999999999999</v>
      </c>
      <c r="M464" s="2" t="inlineStr">
        <is>
          <t>650.65%</t>
        </is>
      </c>
      <c r="N464" t="n">
        <v>4.2</v>
      </c>
      <c r="O464" t="n">
        <v>124</v>
      </c>
      <c r="Q464" t="inlineStr">
        <is>
          <t>InStock</t>
        </is>
      </c>
      <c r="R464" t="inlineStr">
        <is>
          <t>undefined</t>
        </is>
      </c>
      <c r="S464" t="inlineStr">
        <is>
          <t>31922-KLE</t>
        </is>
      </c>
    </row>
    <row r="465" ht="75" customHeight="1">
      <c r="A465" s="1">
        <f>HYPERLINK("https://www.toolnut.com/klein-tools-31922-kle-bi-metal-hole-saw-1-3-8-inch.html", "https://www.toolnut.com/klein-tools-31922-kle-bi-metal-hole-saw-1-3-8-inch.html")</f>
        <v/>
      </c>
      <c r="B465" s="1">
        <f>HYPERLINK("https://www.toolnut.com/klein-tools-31922-kle-bi-metal-hole-saw-1-3-8-inch.html", "https://www.toolnut.com/klein-tools-31922-kle-bi-metal-hole-saw-1-3-8-inch.html")</f>
        <v/>
      </c>
      <c r="C465" t="inlineStr">
        <is>
          <t>Klein Tools 31922 Bi-Metal Hole Saw, 1-3/8-Inch</t>
        </is>
      </c>
      <c r="D465" t="inlineStr">
        <is>
          <t>Klein Tools 31900 Bi-Metal Hole Saw, 6-3/8-Inch, For Drywall-Ceiling Tile-Steel-Wood-Plastic, Stainless Steel, Recessed Lighting</t>
        </is>
      </c>
      <c r="E465" s="1">
        <f>HYPERLINK("https://www.amazon.com/Bi-Metal-8-Inch-Klein-Tools-31900/dp/B0171X0FXU/ref=sr_1_10?keywords=Klein+Tools+31922+Bi-Metal+Hole+Saw%2C+1-3%2F8-Inch&amp;qid=1695346998&amp;sr=8-10", "https://www.amazon.com/Bi-Metal-8-Inch-Klein-Tools-31900/dp/B0171X0FXU/ref=sr_1_10?keywords=Klein+Tools+31922+Bi-Metal+Hole+Saw%2C+1-3%2F8-Inch&amp;qid=1695346998&amp;sr=8-10")</f>
        <v/>
      </c>
      <c r="F465" t="inlineStr">
        <is>
          <t>B0171X0FXU</t>
        </is>
      </c>
      <c r="G465">
        <f>_xlfn.IMAGE("https://www.toolnut.com/media/catalog/product/3/1/31922.jpg?quality=100&amp;bg-color=255,255,255&amp;fit=bounds&amp;height=700&amp;width=700&amp;canvas=700:700&amp;dpr=1 1x")</f>
        <v/>
      </c>
      <c r="H465">
        <f>_xlfn.IMAGE("https://m.media-amazon.com/images/I/51mfU+Jrr7L._AC_UL320_.jpg")</f>
        <v/>
      </c>
      <c r="K465" t="inlineStr">
        <is>
          <t>9.99</t>
        </is>
      </c>
      <c r="L465" t="n">
        <v>43.49</v>
      </c>
      <c r="M465" s="2" t="inlineStr">
        <is>
          <t>335.34%</t>
        </is>
      </c>
      <c r="N465" t="n">
        <v>4.5</v>
      </c>
      <c r="O465" t="n">
        <v>211</v>
      </c>
      <c r="Q465" t="inlineStr">
        <is>
          <t>InStock</t>
        </is>
      </c>
      <c r="R465" t="inlineStr">
        <is>
          <t>undefined</t>
        </is>
      </c>
      <c r="S465" t="inlineStr">
        <is>
          <t>31922-KLE</t>
        </is>
      </c>
    </row>
    <row r="466" ht="75" customHeight="1">
      <c r="A466" s="1">
        <f>HYPERLINK("https://www.toolnut.com/klein-tools-31922-kle-bi-metal-hole-saw-1-3-8-inch.html", "https://www.toolnut.com/klein-tools-31922-kle-bi-metal-hole-saw-1-3-8-inch.html")</f>
        <v/>
      </c>
      <c r="B466" s="1">
        <f>HYPERLINK("https://www.toolnut.com/klein-tools-31922-kle-bi-metal-hole-saw-1-3-8-inch.html", "https://www.toolnut.com/klein-tools-31922-kle-bi-metal-hole-saw-1-3-8-inch.html")</f>
        <v/>
      </c>
      <c r="C466" t="inlineStr">
        <is>
          <t>Klein Tools 31922 Bi-Metal Hole Saw, 1-3/8-Inch</t>
        </is>
      </c>
      <c r="D466" t="inlineStr">
        <is>
          <t>Klein Tools 31860 Heavy Duty Hole Cutter, 1-3/8-Inch Carbide Hole Cutter Cuts Stainless Steel, Mild Steel, Iron, and Copper</t>
        </is>
      </c>
      <c r="E466" s="1">
        <f>HYPERLINK("https://www.amazon.com/Carbide-Cutter-Klein-Tools-31860/dp/B0061J5B2Q/ref=sr_1_3?keywords=Klein+Tools+31922+Bi-Metal+Hole+Saw%2C+1-3%2F8-Inch&amp;qid=1695346998&amp;sr=8-3", "https://www.amazon.com/Carbide-Cutter-Klein-Tools-31860/dp/B0061J5B2Q/ref=sr_1_3?keywords=Klein+Tools+31922+Bi-Metal+Hole+Saw%2C+1-3%2F8-Inch&amp;qid=1695346998&amp;sr=8-3")</f>
        <v/>
      </c>
      <c r="F466" t="inlineStr">
        <is>
          <t>B0061J5B2Q</t>
        </is>
      </c>
      <c r="G466">
        <f>_xlfn.IMAGE("https://www.toolnut.com/media/catalog/product/3/1/31922.jpg?quality=100&amp;bg-color=255,255,255&amp;fit=bounds&amp;height=700&amp;width=700&amp;canvas=700:700&amp;dpr=1 1x")</f>
        <v/>
      </c>
      <c r="H466">
        <f>_xlfn.IMAGE("https://m.media-amazon.com/images/I/71zW61z+LYL._AC_UL320_.jpg")</f>
        <v/>
      </c>
      <c r="K466" t="inlineStr">
        <is>
          <t>9.99</t>
        </is>
      </c>
      <c r="L466" t="n">
        <v>36.99</v>
      </c>
      <c r="M466" s="2" t="inlineStr">
        <is>
          <t>270.27%</t>
        </is>
      </c>
      <c r="N466" t="n">
        <v>4.5</v>
      </c>
      <c r="O466" t="n">
        <v>473</v>
      </c>
      <c r="Q466" t="inlineStr">
        <is>
          <t>InStock</t>
        </is>
      </c>
      <c r="R466" t="inlineStr">
        <is>
          <t>undefined</t>
        </is>
      </c>
      <c r="S466" t="inlineStr">
        <is>
          <t>31922-KLE</t>
        </is>
      </c>
    </row>
    <row r="467" ht="75" customHeight="1">
      <c r="A467" s="1">
        <f>HYPERLINK("https://www.toolnut.com/klein-tools-31932-kle-bi-metal-hole-saw-2-inch.html", "https://www.toolnut.com/klein-tools-31932-kle-bi-metal-hole-saw-2-inch.html")</f>
        <v/>
      </c>
      <c r="B467" s="1">
        <f>HYPERLINK("https://www.toolnut.com/klein-tools-31932-kle-bi-metal-hole-saw-2-inch.html", "https://www.toolnut.com/klein-tools-31932-kle-bi-metal-hole-saw-2-inch.html")</f>
        <v/>
      </c>
      <c r="C467" t="inlineStr">
        <is>
          <t>Klein Tools 31932 Bi-Metal Hole Saw, 2-Inch</t>
        </is>
      </c>
      <c r="D467" t="inlineStr">
        <is>
          <t>Klein Tools 31900 Bi-Metal Hole Saw, 6-3/8-Inch, For Drywall-Ceiling Tile-Steel-Wood-Plastic, Stainless Steel, Recessed Lighting</t>
        </is>
      </c>
      <c r="E467" s="1">
        <f>HYPERLINK("https://www.amazon.com/Bi-Metal-8-Inch-Klein-Tools-31900/dp/B0171X0FXU/ref=sr_1_5?keywords=Klein+Tools+31932+Bi-Metal+Hole+Saw%2C+2-Inch&amp;qid=1695346999&amp;sr=8-5", "https://www.amazon.com/Bi-Metal-8-Inch-Klein-Tools-31900/dp/B0171X0FXU/ref=sr_1_5?keywords=Klein+Tools+31932+Bi-Metal+Hole+Saw%2C+2-Inch&amp;qid=1695346999&amp;sr=8-5")</f>
        <v/>
      </c>
      <c r="F467" t="inlineStr">
        <is>
          <t>B0171X0FXU</t>
        </is>
      </c>
      <c r="G467">
        <f>_xlfn.IMAGE("https://www.toolnut.com/media/catalog/product/3/1/31932.jpg?quality=100&amp;bg-color=255,255,255&amp;fit=bounds&amp;height=700&amp;width=700&amp;canvas=700:700&amp;dpr=1 1x")</f>
        <v/>
      </c>
      <c r="H467">
        <f>_xlfn.IMAGE("https://m.media-amazon.com/images/I/51mfU+Jrr7L._AC_UL320_.jpg")</f>
        <v/>
      </c>
      <c r="K467" t="inlineStr">
        <is>
          <t>11.99</t>
        </is>
      </c>
      <c r="L467" t="n">
        <v>43.49</v>
      </c>
      <c r="M467" s="2" t="inlineStr">
        <is>
          <t>262.72%</t>
        </is>
      </c>
      <c r="N467" t="n">
        <v>4.5</v>
      </c>
      <c r="O467" t="n">
        <v>211</v>
      </c>
      <c r="Q467" t="inlineStr">
        <is>
          <t>InStock</t>
        </is>
      </c>
      <c r="R467" t="inlineStr">
        <is>
          <t>undefined</t>
        </is>
      </c>
      <c r="S467" t="inlineStr">
        <is>
          <t>31932-KLE</t>
        </is>
      </c>
    </row>
    <row r="468" ht="75" customHeight="1">
      <c r="A468" s="1">
        <f>HYPERLINK("https://www.toolnut.com/klein-tools-31932-kle-bi-metal-hole-saw-2-inch.html", "https://www.toolnut.com/klein-tools-31932-kle-bi-metal-hole-saw-2-inch.html")</f>
        <v/>
      </c>
      <c r="B468" s="1">
        <f>HYPERLINK("https://www.toolnut.com/klein-tools-31932-kle-bi-metal-hole-saw-2-inch.html", "https://www.toolnut.com/klein-tools-31932-kle-bi-metal-hole-saw-2-inch.html")</f>
        <v/>
      </c>
      <c r="C468" t="inlineStr">
        <is>
          <t>Klein Tools 31932 Bi-Metal Hole Saw, 2-Inch</t>
        </is>
      </c>
      <c r="D468" t="inlineStr">
        <is>
          <t>LENOX Tools Hole Saw, Bi-Metal, Speed Slot, Arbored, 2-1/2-Inch (1772954)</t>
        </is>
      </c>
      <c r="E468" s="1">
        <f>HYPERLINK("https://www.amazon.com/LENOX-Tools-Bi-Metal-Arbored-Technology/dp/B004YK5DHW/ref=sr_1_10?keywords=Klein+Tools+31932+Bi-Metal+Hole+Saw%2C+2-Inch&amp;qid=1695346999&amp;sr=8-10", "https://www.amazon.com/LENOX-Tools-Bi-Metal-Arbored-Technology/dp/B004YK5DHW/ref=sr_1_10?keywords=Klein+Tools+31932+Bi-Metal+Hole+Saw%2C+2-Inch&amp;qid=1695346999&amp;sr=8-10")</f>
        <v/>
      </c>
      <c r="F468" t="inlineStr">
        <is>
          <t>B004YK5DHW</t>
        </is>
      </c>
      <c r="G468">
        <f>_xlfn.IMAGE("https://www.toolnut.com/media/catalog/product/3/1/31932.jpg?quality=100&amp;bg-color=255,255,255&amp;fit=bounds&amp;height=700&amp;width=700&amp;canvas=700:700&amp;dpr=1 1x")</f>
        <v/>
      </c>
      <c r="H468">
        <f>_xlfn.IMAGE("https://m.media-amazon.com/images/I/71OOVEuCxtL._AC_UL320_.jpg")</f>
        <v/>
      </c>
      <c r="K468" t="inlineStr">
        <is>
          <t>11.99</t>
        </is>
      </c>
      <c r="L468" t="n">
        <v>25.44</v>
      </c>
      <c r="M468" s="2" t="inlineStr">
        <is>
          <t>112.18%</t>
        </is>
      </c>
      <c r="N468" t="n">
        <v>4.7</v>
      </c>
      <c r="O468" t="n">
        <v>517</v>
      </c>
      <c r="Q468" t="inlineStr">
        <is>
          <t>InStock</t>
        </is>
      </c>
      <c r="R468" t="inlineStr">
        <is>
          <t>undefined</t>
        </is>
      </c>
      <c r="S468" t="inlineStr">
        <is>
          <t>31932-KLE</t>
        </is>
      </c>
    </row>
    <row r="469" ht="75" customHeight="1">
      <c r="A469" s="1">
        <f>HYPERLINK("https://www.toolnut.com/klein-tools-31932-kle-bi-metal-hole-saw-2-inch.html", "https://www.toolnut.com/klein-tools-31932-kle-bi-metal-hole-saw-2-inch.html")</f>
        <v/>
      </c>
      <c r="B469" s="1">
        <f>HYPERLINK("https://www.toolnut.com/klein-tools-31932-kle-bi-metal-hole-saw-2-inch.html", "https://www.toolnut.com/klein-tools-31932-kle-bi-metal-hole-saw-2-inch.html")</f>
        <v/>
      </c>
      <c r="C469" t="inlineStr">
        <is>
          <t>Klein Tools 31932 Bi-Metal Hole Saw, 2-Inch</t>
        </is>
      </c>
      <c r="D469" t="inlineStr">
        <is>
          <t>LENOX Tools Hole Saw, Bi-Metal, Speed Slot, Arbored, 2-1/2-Inch (1772954)</t>
        </is>
      </c>
      <c r="E469" s="1">
        <f>HYPERLINK("https://www.amazon.com/LENOX-Tools-Bi-Metal-Arbored-Technology/dp/B004YK5DHW/ref=sr_1_10?keywords=Klein+Tools+31932+Bi-Metal+Hole+Saw%2C+2-Inch&amp;qid=1695346999&amp;sr=8-10", "https://www.amazon.com/LENOX-Tools-Bi-Metal-Arbored-Technology/dp/B004YK5DHW/ref=sr_1_10?keywords=Klein+Tools+31932+Bi-Metal+Hole+Saw%2C+2-Inch&amp;qid=1695346999&amp;sr=8-10")</f>
        <v/>
      </c>
      <c r="F469" t="inlineStr">
        <is>
          <t>B004YK5DHW</t>
        </is>
      </c>
      <c r="G469">
        <f>_xlfn.IMAGE("https://www.toolnut.com/media/catalog/product/3/1/31932.jpg?quality=100&amp;bg-color=255,255,255&amp;fit=bounds&amp;height=700&amp;width=700&amp;canvas=700:700&amp;dpr=1 1x")</f>
        <v/>
      </c>
      <c r="H469">
        <f>_xlfn.IMAGE("https://m.media-amazon.com/images/I/71OOVEuCxtL._AC_UL320_.jpg")</f>
        <v/>
      </c>
      <c r="K469" t="inlineStr">
        <is>
          <t>11.99</t>
        </is>
      </c>
      <c r="L469" t="n">
        <v>25.44</v>
      </c>
      <c r="M469" s="2" t="inlineStr">
        <is>
          <t>112.18%</t>
        </is>
      </c>
      <c r="N469" t="n">
        <v>4.7</v>
      </c>
      <c r="O469" t="n">
        <v>517</v>
      </c>
      <c r="Q469" t="inlineStr">
        <is>
          <t>InStock</t>
        </is>
      </c>
      <c r="R469" t="inlineStr">
        <is>
          <t>undefined</t>
        </is>
      </c>
      <c r="S469" t="inlineStr">
        <is>
          <t>31932-KLE</t>
        </is>
      </c>
    </row>
    <row r="470" ht="75" customHeight="1">
      <c r="A470" s="1">
        <f>HYPERLINK("https://www.toolnut.com/klein-tools-31940-kle-bi-metal-hole-saw-2-1-2-inch.html", "https://www.toolnut.com/klein-tools-31940-kle-bi-metal-hole-saw-2-1-2-inch.html")</f>
        <v/>
      </c>
      <c r="B470" s="1">
        <f>HYPERLINK("https://www.toolnut.com/klein-tools-31940-kle-bi-metal-hole-saw-2-1-2-inch.html", "https://www.toolnut.com/klein-tools-31940-kle-bi-metal-hole-saw-2-1-2-inch.html")</f>
        <v/>
      </c>
      <c r="C470" t="inlineStr">
        <is>
          <t>Klein Tools 31940 Bi-Metal Hole Saw, 2-1/2-Inch</t>
        </is>
      </c>
      <c r="D470" t="inlineStr">
        <is>
          <t>Klein Tools 31870 Heavy Duty Hole Cutter, 2-1/2-Inch Carbide Hole Cutter Cuts Stainless Steel, Mild Steel, Iron, and Copper</t>
        </is>
      </c>
      <c r="E470" s="1">
        <f>HYPERLINK("https://www.amazon.com/Carbide-Cutter-Klein-Tools-31870/dp/B00776T3C6/ref=sr_1_5?keywords=Klein+Tools+31940+Bi-Metal+Hole+Saw%2C+2-1%2F2-Inch&amp;qid=1695346994&amp;sr=8-5", "https://www.amazon.com/Carbide-Cutter-Klein-Tools-31870/dp/B00776T3C6/ref=sr_1_5?keywords=Klein+Tools+31940+Bi-Metal+Hole+Saw%2C+2-1%2F2-Inch&amp;qid=1695346994&amp;sr=8-5")</f>
        <v/>
      </c>
      <c r="F470" t="inlineStr">
        <is>
          <t>B00776T3C6</t>
        </is>
      </c>
      <c r="G470">
        <f>_xlfn.IMAGE("https://www.toolnut.com/media/catalog/product/3/1/31940.jpg?quality=100&amp;bg-color=255,255,255&amp;fit=bounds&amp;height=700&amp;width=700&amp;canvas=700:700&amp;dpr=1 1x")</f>
        <v/>
      </c>
      <c r="H470">
        <f>_xlfn.IMAGE("https://m.media-amazon.com/images/I/41YZKcK6nOL._AC_UL320_.jpg")</f>
        <v/>
      </c>
      <c r="K470" t="inlineStr">
        <is>
          <t>13.99</t>
        </is>
      </c>
      <c r="L470" t="n">
        <v>79.98999999999999</v>
      </c>
      <c r="M470" s="2" t="inlineStr">
        <is>
          <t>471.77%</t>
        </is>
      </c>
      <c r="N470" t="n">
        <v>4.5</v>
      </c>
      <c r="O470" t="n">
        <v>473</v>
      </c>
      <c r="Q470" t="inlineStr">
        <is>
          <t>InStock</t>
        </is>
      </c>
      <c r="R470" t="inlineStr">
        <is>
          <t>undefined</t>
        </is>
      </c>
      <c r="S470" t="inlineStr">
        <is>
          <t>31940-KLE</t>
        </is>
      </c>
    </row>
    <row r="471" ht="75" customHeight="1">
      <c r="A471" s="1">
        <f>HYPERLINK("https://www.toolnut.com/klein-tools-31940-kle-bi-metal-hole-saw-2-1-2-inch.html", "https://www.toolnut.com/klein-tools-31940-kle-bi-metal-hole-saw-2-1-2-inch.html")</f>
        <v/>
      </c>
      <c r="B471" s="1">
        <f>HYPERLINK("https://www.toolnut.com/klein-tools-31940-kle-bi-metal-hole-saw-2-1-2-inch.html", "https://www.toolnut.com/klein-tools-31940-kle-bi-metal-hole-saw-2-1-2-inch.html")</f>
        <v/>
      </c>
      <c r="C471" t="inlineStr">
        <is>
          <t>Klein Tools 31940 Bi-Metal Hole Saw, 2-1/2-Inch</t>
        </is>
      </c>
      <c r="D471" t="inlineStr">
        <is>
          <t>LENOX Tools Hole Saw, Bi-Metal, Speed Slot, Arbored, 2-1/2-Inch (1772954)</t>
        </is>
      </c>
      <c r="E471" s="1">
        <f>HYPERLINK("https://www.amazon.com/LENOX-Tools-Bi-Metal-Arbored-Technology/dp/B004YK5DHW/ref=sr_1_3?keywords=Klein+Tools+31940+Bi-Metal+Hole+Saw%2C+2-1%2F2-Inch&amp;qid=1695346994&amp;sr=8-3", "https://www.amazon.com/LENOX-Tools-Bi-Metal-Arbored-Technology/dp/B004YK5DHW/ref=sr_1_3?keywords=Klein+Tools+31940+Bi-Metal+Hole+Saw%2C+2-1%2F2-Inch&amp;qid=1695346994&amp;sr=8-3")</f>
        <v/>
      </c>
      <c r="F471" t="inlineStr">
        <is>
          <t>B004YK5DHW</t>
        </is>
      </c>
      <c r="G471">
        <f>_xlfn.IMAGE("https://www.toolnut.com/media/catalog/product/3/1/31940.jpg?quality=100&amp;bg-color=255,255,255&amp;fit=bounds&amp;height=700&amp;width=700&amp;canvas=700:700&amp;dpr=1 1x")</f>
        <v/>
      </c>
      <c r="H471">
        <f>_xlfn.IMAGE("https://m.media-amazon.com/images/I/71OOVEuCxtL._AC_UL320_.jpg")</f>
        <v/>
      </c>
      <c r="K471" t="inlineStr">
        <is>
          <t>13.99</t>
        </is>
      </c>
      <c r="L471" t="n">
        <v>25.44</v>
      </c>
      <c r="M471" s="2" t="inlineStr">
        <is>
          <t>81.84%</t>
        </is>
      </c>
      <c r="N471" t="n">
        <v>4.7</v>
      </c>
      <c r="O471" t="n">
        <v>517</v>
      </c>
      <c r="Q471" t="inlineStr">
        <is>
          <t>InStock</t>
        </is>
      </c>
      <c r="R471" t="inlineStr">
        <is>
          <t>undefined</t>
        </is>
      </c>
      <c r="S471" t="inlineStr">
        <is>
          <t>31940-KLE</t>
        </is>
      </c>
    </row>
    <row r="472" ht="75" customHeight="1">
      <c r="A472" s="1">
        <f>HYPERLINK("https://www.toolnut.com/klein-tools-31940-kle-bi-metal-hole-saw-2-1-2-inch.html", "https://www.toolnut.com/klein-tools-31940-kle-bi-metal-hole-saw-2-1-2-inch.html")</f>
        <v/>
      </c>
      <c r="B472" s="1">
        <f>HYPERLINK("https://www.toolnut.com/klein-tools-31940-kle-bi-metal-hole-saw-2-1-2-inch.html", "https://www.toolnut.com/klein-tools-31940-kle-bi-metal-hole-saw-2-1-2-inch.html")</f>
        <v/>
      </c>
      <c r="C472" t="inlineStr">
        <is>
          <t>Klein Tools 31940 Bi-Metal Hole Saw, 2-1/2-Inch</t>
        </is>
      </c>
      <c r="D472" t="inlineStr">
        <is>
          <t>LENOX Tools Hole Saw, Bi-Metal, Speed Slot, Arbored, 2-1/2-Inch (1772954)</t>
        </is>
      </c>
      <c r="E472" s="1">
        <f>HYPERLINK("https://www.amazon.com/LENOX-Tools-Bi-Metal-Arbored-Technology/dp/B004YK5DHW/ref=sr_1_3?keywords=Klein+Tools+31940+Bi-Metal+Hole+Saw%2C+2-1%2F2-Inch&amp;qid=1695346994&amp;sr=8-3", "https://www.amazon.com/LENOX-Tools-Bi-Metal-Arbored-Technology/dp/B004YK5DHW/ref=sr_1_3?keywords=Klein+Tools+31940+Bi-Metal+Hole+Saw%2C+2-1%2F2-Inch&amp;qid=1695346994&amp;sr=8-3")</f>
        <v/>
      </c>
      <c r="F472" t="inlineStr">
        <is>
          <t>B004YK5DHW</t>
        </is>
      </c>
      <c r="G472">
        <f>_xlfn.IMAGE("https://www.toolnut.com/media/catalog/product/3/1/31940.jpg?quality=100&amp;bg-color=255,255,255&amp;fit=bounds&amp;height=700&amp;width=700&amp;canvas=700:700&amp;dpr=1 1x")</f>
        <v/>
      </c>
      <c r="H472">
        <f>_xlfn.IMAGE("https://m.media-amazon.com/images/I/71OOVEuCxtL._AC_UL320_.jpg")</f>
        <v/>
      </c>
      <c r="K472" t="inlineStr">
        <is>
          <t>13.99</t>
        </is>
      </c>
      <c r="L472" t="n">
        <v>25.44</v>
      </c>
      <c r="M472" s="2" t="inlineStr">
        <is>
          <t>81.84%</t>
        </is>
      </c>
      <c r="N472" t="n">
        <v>4.7</v>
      </c>
      <c r="O472" t="n">
        <v>517</v>
      </c>
      <c r="Q472" t="inlineStr">
        <is>
          <t>InStock</t>
        </is>
      </c>
      <c r="R472" t="inlineStr">
        <is>
          <t>undefined</t>
        </is>
      </c>
      <c r="S472" t="inlineStr">
        <is>
          <t>31940-KLE</t>
        </is>
      </c>
    </row>
    <row r="473" ht="75" customHeight="1">
      <c r="A473" s="1">
        <f>HYPERLINK("https://www.toolnut.com/klein-tools-31944-kle-bi-metal-hole-saw-2-3-4-inch.html", "https://www.toolnut.com/klein-tools-31944-kle-bi-metal-hole-saw-2-3-4-inch.html")</f>
        <v/>
      </c>
      <c r="B473" s="1">
        <f>HYPERLINK("https://www.toolnut.com/klein-tools-31944-kle-bi-metal-hole-saw-2-3-4-inch.html", "https://www.toolnut.com/klein-tools-31944-kle-bi-metal-hole-saw-2-3-4-inch.html")</f>
        <v/>
      </c>
      <c r="C473" t="inlineStr">
        <is>
          <t>Klein Tools 31944 Bi-Metal Hole Saw, 2-3/4-Inch</t>
        </is>
      </c>
      <c r="D473" t="inlineStr">
        <is>
          <t>Klein Tools 31900 Bi-Metal Hole Saw, 6-3/8-Inch, For Drywall-Ceiling Tile-Steel-Wood-Plastic, Stainless Steel, Recessed Lighting</t>
        </is>
      </c>
      <c r="E473" s="1">
        <f>HYPERLINK("https://www.amazon.com/Bi-Metal-8-Inch-Klein-Tools-31900/dp/B0171X0FXU/ref=sr_1_4?keywords=Klein+Tools+31944+Bi-Metal+Hole+Saw%2C+2-3%2F4-Inch&amp;qid=1695346995&amp;sr=8-4", "https://www.amazon.com/Bi-Metal-8-Inch-Klein-Tools-31900/dp/B0171X0FXU/ref=sr_1_4?keywords=Klein+Tools+31944+Bi-Metal+Hole+Saw%2C+2-3%2F4-Inch&amp;qid=1695346995&amp;sr=8-4")</f>
        <v/>
      </c>
      <c r="F473" t="inlineStr">
        <is>
          <t>B0171X0FXU</t>
        </is>
      </c>
      <c r="G473">
        <f>_xlfn.IMAGE("https://www.toolnut.com/media/catalog/product/3/1/31944.jpg?quality=100&amp;bg-color=255,255,255&amp;fit=bounds&amp;height=700&amp;width=700&amp;canvas=700:700&amp;dpr=1 1x")</f>
        <v/>
      </c>
      <c r="H473">
        <f>_xlfn.IMAGE("https://m.media-amazon.com/images/I/51mfU+Jrr7L._AC_UL320_.jpg")</f>
        <v/>
      </c>
      <c r="K473" t="inlineStr">
        <is>
          <t>13.99</t>
        </is>
      </c>
      <c r="L473" t="n">
        <v>43.49</v>
      </c>
      <c r="M473" s="2" t="inlineStr">
        <is>
          <t>210.86%</t>
        </is>
      </c>
      <c r="N473" t="n">
        <v>4.5</v>
      </c>
      <c r="O473" t="n">
        <v>211</v>
      </c>
      <c r="Q473" t="inlineStr">
        <is>
          <t>InStock</t>
        </is>
      </c>
      <c r="R473" t="inlineStr">
        <is>
          <t>undefined</t>
        </is>
      </c>
      <c r="S473" t="inlineStr">
        <is>
          <t>31944-KLE</t>
        </is>
      </c>
    </row>
    <row r="474" ht="75" customHeight="1">
      <c r="A474" s="1">
        <f>HYPERLINK("https://www.toolnut.com/klein-tools-31944-kle-bi-metal-hole-saw-2-3-4-inch.html", "https://www.toolnut.com/klein-tools-31944-kle-bi-metal-hole-saw-2-3-4-inch.html")</f>
        <v/>
      </c>
      <c r="B474" s="1">
        <f>HYPERLINK("https://www.toolnut.com/klein-tools-31944-kle-bi-metal-hole-saw-2-3-4-inch.html", "https://www.toolnut.com/klein-tools-31944-kle-bi-metal-hole-saw-2-3-4-inch.html")</f>
        <v/>
      </c>
      <c r="C474" t="inlineStr">
        <is>
          <t>Klein Tools 31944 Bi-Metal Hole Saw, 2-3/4-Inch</t>
        </is>
      </c>
      <c r="D474" t="inlineStr">
        <is>
          <t>LENOX Tools Hole Saw, Bi-Metal, Speed Slot, Arbored, 2-1/2-Inch (1772954)</t>
        </is>
      </c>
      <c r="E474" s="1">
        <f>HYPERLINK("https://www.amazon.com/LENOX-Tools-Bi-Metal-Arbored-Technology/dp/B004YK5DHW/ref=sr_1_9?keywords=Klein+Tools+31944+Bi-Metal+Hole+Saw%2C+2-3%2F4-Inch&amp;qid=1695346995&amp;sr=8-9", "https://www.amazon.com/LENOX-Tools-Bi-Metal-Arbored-Technology/dp/B004YK5DHW/ref=sr_1_9?keywords=Klein+Tools+31944+Bi-Metal+Hole+Saw%2C+2-3%2F4-Inch&amp;qid=1695346995&amp;sr=8-9")</f>
        <v/>
      </c>
      <c r="F474" t="inlineStr">
        <is>
          <t>B004YK5DHW</t>
        </is>
      </c>
      <c r="G474">
        <f>_xlfn.IMAGE("https://www.toolnut.com/media/catalog/product/3/1/31944.jpg?quality=100&amp;bg-color=255,255,255&amp;fit=bounds&amp;height=700&amp;width=700&amp;canvas=700:700&amp;dpr=1 1x")</f>
        <v/>
      </c>
      <c r="H474">
        <f>_xlfn.IMAGE("https://m.media-amazon.com/images/I/71OOVEuCxtL._AC_UL320_.jpg")</f>
        <v/>
      </c>
      <c r="K474" t="inlineStr">
        <is>
          <t>13.99</t>
        </is>
      </c>
      <c r="L474" t="n">
        <v>25.44</v>
      </c>
      <c r="M474" s="2" t="inlineStr">
        <is>
          <t>81.84%</t>
        </is>
      </c>
      <c r="N474" t="n">
        <v>4.7</v>
      </c>
      <c r="O474" t="n">
        <v>517</v>
      </c>
      <c r="Q474" t="inlineStr">
        <is>
          <t>InStock</t>
        </is>
      </c>
      <c r="R474" t="inlineStr">
        <is>
          <t>undefined</t>
        </is>
      </c>
      <c r="S474" t="inlineStr">
        <is>
          <t>31944-KLE</t>
        </is>
      </c>
    </row>
    <row r="475" ht="75" customHeight="1">
      <c r="A475" s="1">
        <f>HYPERLINK("https://www.toolnut.com/klein-tools-31944-kle-bi-metal-hole-saw-2-3-4-inch.html", "https://www.toolnut.com/klein-tools-31944-kle-bi-metal-hole-saw-2-3-4-inch.html")</f>
        <v/>
      </c>
      <c r="B475" s="1">
        <f>HYPERLINK("https://www.toolnut.com/klein-tools-31944-kle-bi-metal-hole-saw-2-3-4-inch.html", "https://www.toolnut.com/klein-tools-31944-kle-bi-metal-hole-saw-2-3-4-inch.html")</f>
        <v/>
      </c>
      <c r="C475" t="inlineStr">
        <is>
          <t>Klein Tools 31944 Bi-Metal Hole Saw, 2-3/4-Inch</t>
        </is>
      </c>
      <c r="D475" t="inlineStr">
        <is>
          <t>LENOX Tools Hole Saw, Bi-Metal, Speed Slot, Arbored, 2-1/2-Inch (1772954)</t>
        </is>
      </c>
      <c r="E475" s="1">
        <f>HYPERLINK("https://www.amazon.com/LENOX-Tools-Bi-Metal-Arbored-Technology/dp/B004YK5DHW/ref=sr_1_9?keywords=Klein+Tools+31944+Bi-Metal+Hole+Saw%2C+2-3%2F4-Inch&amp;qid=1695346995&amp;sr=8-9", "https://www.amazon.com/LENOX-Tools-Bi-Metal-Arbored-Technology/dp/B004YK5DHW/ref=sr_1_9?keywords=Klein+Tools+31944+Bi-Metal+Hole+Saw%2C+2-3%2F4-Inch&amp;qid=1695346995&amp;sr=8-9")</f>
        <v/>
      </c>
      <c r="F475" t="inlineStr">
        <is>
          <t>B004YK5DHW</t>
        </is>
      </c>
      <c r="G475">
        <f>_xlfn.IMAGE("https://www.toolnut.com/media/catalog/product/3/1/31944.jpg?quality=100&amp;bg-color=255,255,255&amp;fit=bounds&amp;height=700&amp;width=700&amp;canvas=700:700&amp;dpr=1 1x")</f>
        <v/>
      </c>
      <c r="H475">
        <f>_xlfn.IMAGE("https://m.media-amazon.com/images/I/71OOVEuCxtL._AC_UL320_.jpg")</f>
        <v/>
      </c>
      <c r="K475" t="inlineStr">
        <is>
          <t>13.99</t>
        </is>
      </c>
      <c r="L475" t="n">
        <v>25.44</v>
      </c>
      <c r="M475" s="2" t="inlineStr">
        <is>
          <t>81.84%</t>
        </is>
      </c>
      <c r="N475" t="n">
        <v>4.7</v>
      </c>
      <c r="O475" t="n">
        <v>517</v>
      </c>
      <c r="Q475" t="inlineStr">
        <is>
          <t>InStock</t>
        </is>
      </c>
      <c r="R475" t="inlineStr">
        <is>
          <t>undefined</t>
        </is>
      </c>
      <c r="S475" t="inlineStr">
        <is>
          <t>31944-KLE</t>
        </is>
      </c>
    </row>
    <row r="476" ht="75" customHeight="1">
      <c r="A476" s="1">
        <f>HYPERLINK("https://www.toolnut.com/klein-tools-31948-kle-bi-metal-hole-saw-3-inch.html", "https://www.toolnut.com/klein-tools-31948-kle-bi-metal-hole-saw-3-inch.html")</f>
        <v/>
      </c>
      <c r="B476" s="1">
        <f>HYPERLINK("https://www.toolnut.com/klein-tools-31948-kle-bi-metal-hole-saw-3-inch.html", "https://www.toolnut.com/klein-tools-31948-kle-bi-metal-hole-saw-3-inch.html")</f>
        <v/>
      </c>
      <c r="C476" t="inlineStr">
        <is>
          <t>Klein Tools 31948 Bi-Metal Hole Saw, 3-Inch</t>
        </is>
      </c>
      <c r="D476" t="inlineStr">
        <is>
          <t>Klein Tools 31900 Bi-Metal Hole Saw, 6-3/8-Inch, For Drywall-Ceiling Tile-Steel-Wood-Plastic, Stainless Steel, Recessed Lighting</t>
        </is>
      </c>
      <c r="E476" s="1">
        <f>HYPERLINK("https://www.amazon.com/Bi-Metal-8-Inch-Klein-Tools-31900/dp/B0171X0FXU/ref=sr_1_5?keywords=Klein+Tools+31948+Bi-Metal+Hole+Saw%2C+3-Inch&amp;qid=1695347051&amp;sr=8-5", "https://www.amazon.com/Bi-Metal-8-Inch-Klein-Tools-31900/dp/B0171X0FXU/ref=sr_1_5?keywords=Klein+Tools+31948+Bi-Metal+Hole+Saw%2C+3-Inch&amp;qid=1695347051&amp;sr=8-5")</f>
        <v/>
      </c>
      <c r="F476" t="inlineStr">
        <is>
          <t>B0171X0FXU</t>
        </is>
      </c>
      <c r="G476">
        <f>_xlfn.IMAGE("https://www.toolnut.com/media/catalog/product/3/1/31948.jpg?quality=100&amp;bg-color=255,255,255&amp;fit=bounds&amp;height=700&amp;width=700&amp;canvas=700:700&amp;dpr=1 1x")</f>
        <v/>
      </c>
      <c r="H476">
        <f>_xlfn.IMAGE("https://m.media-amazon.com/images/I/51mfU+Jrr7L._AC_UL320_.jpg")</f>
        <v/>
      </c>
      <c r="K476" t="inlineStr">
        <is>
          <t>14.99</t>
        </is>
      </c>
      <c r="L476" t="n">
        <v>43.49</v>
      </c>
      <c r="M476" s="2" t="inlineStr">
        <is>
          <t>190.13%</t>
        </is>
      </c>
      <c r="N476" t="n">
        <v>4.5</v>
      </c>
      <c r="O476" t="n">
        <v>211</v>
      </c>
      <c r="Q476" t="inlineStr">
        <is>
          <t>InStock</t>
        </is>
      </c>
      <c r="R476" t="inlineStr">
        <is>
          <t>undefined</t>
        </is>
      </c>
      <c r="S476" t="inlineStr">
        <is>
          <t>31948-KLE</t>
        </is>
      </c>
    </row>
    <row r="477" ht="75" customHeight="1">
      <c r="A477" s="1">
        <f>HYPERLINK("https://www.toolnut.com/klein-tools-31958-kle-bi-metal-hole-saw-3-5-8-inch.html", "https://www.toolnut.com/klein-tools-31958-kle-bi-metal-hole-saw-3-5-8-inch.html")</f>
        <v/>
      </c>
      <c r="B477" s="1">
        <f>HYPERLINK("https://www.toolnut.com/klein-tools-31958-kle-bi-metal-hole-saw-3-5-8-inch.html", "https://www.toolnut.com/klein-tools-31958-kle-bi-metal-hole-saw-3-5-8-inch.html")</f>
        <v/>
      </c>
      <c r="C477" t="inlineStr">
        <is>
          <t>Klein Tools 31958 Bi-Metal Hole Saw, 3-5/8-Inch</t>
        </is>
      </c>
      <c r="D477" t="inlineStr">
        <is>
          <t>Klein Tools 31900 Bi-Metal Hole Saw, 6-3/8-Inch, For Drywall-Ceiling Tile-Steel-Wood-Plastic, Stainless Steel, Recessed Lighting</t>
        </is>
      </c>
      <c r="E477" s="1">
        <f>HYPERLINK("https://www.amazon.com/Bi-Metal-8-Inch-Klein-Tools-31900/dp/B0171X0FXU/ref=sr_1_4?keywords=Klein+Tools+31958+Bi-Metal+Hole+Saw%2C+3-5%2F8-Inch&amp;qid=1695346994&amp;sr=8-4", "https://www.amazon.com/Bi-Metal-8-Inch-Klein-Tools-31900/dp/B0171X0FXU/ref=sr_1_4?keywords=Klein+Tools+31958+Bi-Metal+Hole+Saw%2C+3-5%2F8-Inch&amp;qid=1695346994&amp;sr=8-4")</f>
        <v/>
      </c>
      <c r="F477" t="inlineStr">
        <is>
          <t>B0171X0FXU</t>
        </is>
      </c>
      <c r="G477">
        <f>_xlfn.IMAGE("https://www.toolnut.com/media/catalog/product/3/1/31958.jpg?quality=100&amp;bg-color=255,255,255&amp;fit=bounds&amp;height=700&amp;width=700&amp;canvas=700:700")</f>
        <v/>
      </c>
      <c r="H477">
        <f>_xlfn.IMAGE("https://m.media-amazon.com/images/I/51mfU+Jrr7L._AC_UL320_.jpg")</f>
        <v/>
      </c>
      <c r="K477" t="inlineStr">
        <is>
          <t>14.99</t>
        </is>
      </c>
      <c r="L477" t="n">
        <v>43.49</v>
      </c>
      <c r="M477" s="2" t="inlineStr">
        <is>
          <t>190.13%</t>
        </is>
      </c>
      <c r="N477" t="n">
        <v>4.5</v>
      </c>
      <c r="O477" t="n">
        <v>211</v>
      </c>
      <c r="Q477" t="inlineStr">
        <is>
          <t>InStock</t>
        </is>
      </c>
      <c r="R477" t="inlineStr">
        <is>
          <t>undefined</t>
        </is>
      </c>
      <c r="S477" t="inlineStr">
        <is>
          <t>31958-KLE</t>
        </is>
      </c>
    </row>
    <row r="478" ht="75" customHeight="1">
      <c r="A478" s="1">
        <f>HYPERLINK("https://www.toolnut.com/klein-tools-31958-kle-bi-metal-hole-saw-3-5-8-inch.html", "https://www.toolnut.com/klein-tools-31958-kle-bi-metal-hole-saw-3-5-8-inch.html")</f>
        <v/>
      </c>
      <c r="B478" s="1">
        <f>HYPERLINK("https://www.toolnut.com/klein-tools-31958-kle-bi-metal-hole-saw-3-5-8-inch.html", "https://www.toolnut.com/klein-tools-31958-kle-bi-metal-hole-saw-3-5-8-inch.html")</f>
        <v/>
      </c>
      <c r="C478" t="inlineStr">
        <is>
          <t>Klein Tools 31958 Bi-Metal Hole Saw, 3-5/8-Inch</t>
        </is>
      </c>
      <c r="D478" t="inlineStr">
        <is>
          <t>Klein Tools 31906 Hole Saw Arbor with Pins, 7/16-Inch and 31958 Bi-Metal Hole Saw, 3-5/8 Inch - Hole Saw Kit</t>
        </is>
      </c>
      <c r="E478" s="1">
        <f>HYPERLINK("https://www.amazon.com/Klein-Tools-31906-16-Inch-Bi-Metal/dp/B0BVGZ3GN2/ref=sr_1_2?keywords=Klein+Tools+31958+Bi-Metal+Hole+Saw%2C+3-5%2F8-Inch&amp;qid=1695346994&amp;sr=8-2", "https://www.amazon.com/Klein-Tools-31906-16-Inch-Bi-Metal/dp/B0BVGZ3GN2/ref=sr_1_2?keywords=Klein+Tools+31958+Bi-Metal+Hole+Saw%2C+3-5%2F8-Inch&amp;qid=1695346994&amp;sr=8-2")</f>
        <v/>
      </c>
      <c r="F478" t="inlineStr">
        <is>
          <t>B0BVGZ3GN2</t>
        </is>
      </c>
      <c r="G478">
        <f>_xlfn.IMAGE("https://www.toolnut.com/media/catalog/product/3/1/31958.jpg?quality=100&amp;bg-color=255,255,255&amp;fit=bounds&amp;height=700&amp;width=700&amp;canvas=700:700")</f>
        <v/>
      </c>
      <c r="H478">
        <f>_xlfn.IMAGE("https://m.media-amazon.com/images/I/21IcyNq4gsL._AC_UL320_.jpg")</f>
        <v/>
      </c>
      <c r="K478" t="inlineStr">
        <is>
          <t>14.99</t>
        </is>
      </c>
      <c r="L478" t="n">
        <v>29.98</v>
      </c>
      <c r="M478" s="2" t="inlineStr">
        <is>
          <t>100.00%</t>
        </is>
      </c>
      <c r="N478" t="n">
        <v>4.6</v>
      </c>
      <c r="O478" t="n">
        <v>406</v>
      </c>
      <c r="Q478" t="inlineStr">
        <is>
          <t>InStock</t>
        </is>
      </c>
      <c r="R478" t="inlineStr">
        <is>
          <t>undefined</t>
        </is>
      </c>
      <c r="S478" t="inlineStr">
        <is>
          <t>31958-KLE</t>
        </is>
      </c>
    </row>
    <row r="479" ht="75" customHeight="1">
      <c r="A479" s="1">
        <f>HYPERLINK("https://www.toolnut.com/klein-tools-31958-kle-bi-metal-hole-saw-3-5-8-inch.html", "https://www.toolnut.com/klein-tools-31958-kle-bi-metal-hole-saw-3-5-8-inch.html")</f>
        <v/>
      </c>
      <c r="B479" s="1">
        <f>HYPERLINK("https://www.toolnut.com/klein-tools-31958-kle-bi-metal-hole-saw-3-5-8-inch.html", "https://www.toolnut.com/klein-tools-31958-kle-bi-metal-hole-saw-3-5-8-inch.html")</f>
        <v/>
      </c>
      <c r="C479" t="inlineStr">
        <is>
          <t>Klein Tools 31958 Bi-Metal Hole Saw, 3-5/8-Inch</t>
        </is>
      </c>
      <c r="D479" t="inlineStr">
        <is>
          <t>Klein Tools 31558 Bi-Metal Hole Saw, 3-5/8-Inch</t>
        </is>
      </c>
      <c r="E479" s="1">
        <f>HYPERLINK("https://www.amazon.com/Klein-Tools-31558-Bi-Metal-8-Inch/dp/B0009OODC8/ref=sr_1_3?keywords=Klein+Tools+31958+Bi-Metal+Hole+Saw%2C+3-5%2F8-Inch&amp;qid=1695346994&amp;sr=8-3", "https://www.amazon.com/Klein-Tools-31558-Bi-Metal-8-Inch/dp/B0009OODC8/ref=sr_1_3?keywords=Klein+Tools+31958+Bi-Metal+Hole+Saw%2C+3-5%2F8-Inch&amp;qid=1695346994&amp;sr=8-3")</f>
        <v/>
      </c>
      <c r="F479" t="inlineStr">
        <is>
          <t>B0009OODC8</t>
        </is>
      </c>
      <c r="G479">
        <f>_xlfn.IMAGE("https://www.toolnut.com/media/catalog/product/3/1/31958.jpg?quality=100&amp;bg-color=255,255,255&amp;fit=bounds&amp;height=700&amp;width=700&amp;canvas=700:700")</f>
        <v/>
      </c>
      <c r="H479">
        <f>_xlfn.IMAGE("https://m.media-amazon.com/images/I/51IORHMARGS._AC_UL320_.jpg")</f>
        <v/>
      </c>
      <c r="K479" t="inlineStr">
        <is>
          <t>14.99</t>
        </is>
      </c>
      <c r="L479" t="n">
        <v>28.99</v>
      </c>
      <c r="M479" s="2" t="inlineStr">
        <is>
          <t>93.40%</t>
        </is>
      </c>
      <c r="N479" t="n">
        <v>5</v>
      </c>
      <c r="O479" t="n">
        <v>5</v>
      </c>
      <c r="Q479" t="inlineStr">
        <is>
          <t>InStock</t>
        </is>
      </c>
      <c r="R479" t="inlineStr">
        <is>
          <t>undefined</t>
        </is>
      </c>
      <c r="S479" t="inlineStr">
        <is>
          <t>31958-KLE</t>
        </is>
      </c>
    </row>
    <row r="480" ht="75" customHeight="1">
      <c r="A480" s="1">
        <f>HYPERLINK("https://www.toolnut.com/klein-tools-31958-kle-bi-metal-hole-saw-3-5-8-inch.html", "https://www.toolnut.com/klein-tools-31958-kle-bi-metal-hole-saw-3-5-8-inch.html")</f>
        <v/>
      </c>
      <c r="B480" s="1">
        <f>HYPERLINK("https://www.toolnut.com/klein-tools-31958-kle-bi-metal-hole-saw-3-5-8-inch.html", "https://www.toolnut.com/klein-tools-31958-kle-bi-metal-hole-saw-3-5-8-inch.html")</f>
        <v/>
      </c>
      <c r="C480" t="inlineStr">
        <is>
          <t>Klein Tools 31958 Bi-Metal Hole Saw, 3-5/8-Inch</t>
        </is>
      </c>
      <c r="D480" t="inlineStr">
        <is>
          <t>Klein Tools 31900 Bi-Metal Hole Saw, 6-3/8-Inch, For Drywall-Ceiling Tile-Steel-Wood-Plastic, Stainless Steel, Recessed Lighting</t>
        </is>
      </c>
      <c r="E480" s="1">
        <f>HYPERLINK("https://www.amazon.com/Bi-Metal-8-Inch-Klein-Tools-31900/dp/B0171X0FXU/ref=sr_1_4?keywords=Klein+Tools+31958+Bi-Metal+Hole+Saw%2C+3-5%2F8-Inch&amp;qid=1695346994&amp;sr=8-4", "https://www.amazon.com/Bi-Metal-8-Inch-Klein-Tools-31900/dp/B0171X0FXU/ref=sr_1_4?keywords=Klein+Tools+31958+Bi-Metal+Hole+Saw%2C+3-5%2F8-Inch&amp;qid=1695346994&amp;sr=8-4")</f>
        <v/>
      </c>
      <c r="F480" t="inlineStr">
        <is>
          <t>B0171X0FXU</t>
        </is>
      </c>
      <c r="G480">
        <f>_xlfn.IMAGE("https://www.toolnut.com/media/catalog/product/3/1/31958.jpg?quality=100&amp;bg-color=255,255,255&amp;fit=bounds&amp;height=700&amp;width=700&amp;canvas=700:700")</f>
        <v/>
      </c>
      <c r="H480">
        <f>_xlfn.IMAGE("https://m.media-amazon.com/images/I/51mfU+Jrr7L._AC_UL320_.jpg")</f>
        <v/>
      </c>
      <c r="K480" t="inlineStr">
        <is>
          <t>14.99</t>
        </is>
      </c>
      <c r="L480" t="n">
        <v>43.49</v>
      </c>
      <c r="M480" s="2" t="inlineStr">
        <is>
          <t>190.13%</t>
        </is>
      </c>
      <c r="N480" t="n">
        <v>4.5</v>
      </c>
      <c r="O480" t="n">
        <v>211</v>
      </c>
      <c r="Q480" t="inlineStr">
        <is>
          <t>InStock</t>
        </is>
      </c>
      <c r="R480" t="inlineStr">
        <is>
          <t>undefined</t>
        </is>
      </c>
      <c r="S480" t="inlineStr">
        <is>
          <t>31958-KLE</t>
        </is>
      </c>
    </row>
    <row r="481" ht="75" customHeight="1">
      <c r="A481" s="1">
        <f>HYPERLINK("https://www.toolnut.com/klein-tools-31958-kle-bi-metal-hole-saw-3-5-8-inch.html", "https://www.toolnut.com/klein-tools-31958-kle-bi-metal-hole-saw-3-5-8-inch.html")</f>
        <v/>
      </c>
      <c r="B481" s="1">
        <f>HYPERLINK("https://www.toolnut.com/klein-tools-31958-kle-bi-metal-hole-saw-3-5-8-inch.html", "https://www.toolnut.com/klein-tools-31958-kle-bi-metal-hole-saw-3-5-8-inch.html")</f>
        <v/>
      </c>
      <c r="C481" t="inlineStr">
        <is>
          <t>Klein Tools 31958 Bi-Metal Hole Saw, 3-5/8-Inch</t>
        </is>
      </c>
      <c r="D481" t="inlineStr">
        <is>
          <t>Klein Tools 31906 Hole Saw Arbor with Pins, 7/16-Inch and 31958 Bi-Metal Hole Saw, 3-5/8 Inch - Hole Saw Kit</t>
        </is>
      </c>
      <c r="E481" s="1">
        <f>HYPERLINK("https://www.amazon.com/Klein-Tools-31906-16-Inch-Bi-Metal/dp/B0BVGZ3GN2/ref=sr_1_2?keywords=Klein+Tools+31958+Bi-Metal+Hole+Saw%2C+3-5%2F8-Inch&amp;qid=1695346994&amp;sr=8-2", "https://www.amazon.com/Klein-Tools-31906-16-Inch-Bi-Metal/dp/B0BVGZ3GN2/ref=sr_1_2?keywords=Klein+Tools+31958+Bi-Metal+Hole+Saw%2C+3-5%2F8-Inch&amp;qid=1695346994&amp;sr=8-2")</f>
        <v/>
      </c>
      <c r="F481" t="inlineStr">
        <is>
          <t>B0BVGZ3GN2</t>
        </is>
      </c>
      <c r="G481">
        <f>_xlfn.IMAGE("https://www.toolnut.com/media/catalog/product/3/1/31958.jpg?quality=100&amp;bg-color=255,255,255&amp;fit=bounds&amp;height=700&amp;width=700&amp;canvas=700:700")</f>
        <v/>
      </c>
      <c r="H481">
        <f>_xlfn.IMAGE("https://m.media-amazon.com/images/I/21IcyNq4gsL._AC_UL320_.jpg")</f>
        <v/>
      </c>
      <c r="K481" t="inlineStr">
        <is>
          <t>14.99</t>
        </is>
      </c>
      <c r="L481" t="n">
        <v>29.98</v>
      </c>
      <c r="M481" s="2" t="inlineStr">
        <is>
          <t>100.00%</t>
        </is>
      </c>
      <c r="N481" t="n">
        <v>4.6</v>
      </c>
      <c r="O481" t="n">
        <v>406</v>
      </c>
      <c r="Q481" t="inlineStr">
        <is>
          <t>InStock</t>
        </is>
      </c>
      <c r="R481" t="inlineStr">
        <is>
          <t>undefined</t>
        </is>
      </c>
      <c r="S481" t="inlineStr">
        <is>
          <t>31958-KLE</t>
        </is>
      </c>
    </row>
    <row r="482" ht="75" customHeight="1">
      <c r="A482" s="1">
        <f>HYPERLINK("https://www.toolnut.com/klein-tools-31958-kle-bi-metal-hole-saw-3-5-8-inch.html", "https://www.toolnut.com/klein-tools-31958-kle-bi-metal-hole-saw-3-5-8-inch.html")</f>
        <v/>
      </c>
      <c r="B482" s="1">
        <f>HYPERLINK("https://www.toolnut.com/klein-tools-31958-kle-bi-metal-hole-saw-3-5-8-inch.html", "https://www.toolnut.com/klein-tools-31958-kle-bi-metal-hole-saw-3-5-8-inch.html")</f>
        <v/>
      </c>
      <c r="C482" t="inlineStr">
        <is>
          <t>Klein Tools 31958 Bi-Metal Hole Saw, 3-5/8-Inch</t>
        </is>
      </c>
      <c r="D482" t="inlineStr">
        <is>
          <t>Klein Tools 31558 Bi-Metal Hole Saw, 3-5/8-Inch</t>
        </is>
      </c>
      <c r="E482" s="1">
        <f>HYPERLINK("https://www.amazon.com/Klein-Tools-31558-Bi-Metal-8-Inch/dp/B0009OODC8/ref=sr_1_3?keywords=Klein+Tools+31958+Bi-Metal+Hole+Saw%2C+3-5%2F8-Inch&amp;qid=1695346994&amp;sr=8-3", "https://www.amazon.com/Klein-Tools-31558-Bi-Metal-8-Inch/dp/B0009OODC8/ref=sr_1_3?keywords=Klein+Tools+31958+Bi-Metal+Hole+Saw%2C+3-5%2F8-Inch&amp;qid=1695346994&amp;sr=8-3")</f>
        <v/>
      </c>
      <c r="F482" t="inlineStr">
        <is>
          <t>B0009OODC8</t>
        </is>
      </c>
      <c r="G482">
        <f>_xlfn.IMAGE("https://www.toolnut.com/media/catalog/product/3/1/31958.jpg?quality=100&amp;bg-color=255,255,255&amp;fit=bounds&amp;height=700&amp;width=700&amp;canvas=700:700")</f>
        <v/>
      </c>
      <c r="H482">
        <f>_xlfn.IMAGE("https://m.media-amazon.com/images/I/51IORHMARGS._AC_UL320_.jpg")</f>
        <v/>
      </c>
      <c r="K482" t="inlineStr">
        <is>
          <t>14.99</t>
        </is>
      </c>
      <c r="L482" t="n">
        <v>28.99</v>
      </c>
      <c r="M482" s="2" t="inlineStr">
        <is>
          <t>93.40%</t>
        </is>
      </c>
      <c r="N482" t="n">
        <v>5</v>
      </c>
      <c r="O482" t="n">
        <v>5</v>
      </c>
      <c r="Q482" t="inlineStr">
        <is>
          <t>InStock</t>
        </is>
      </c>
      <c r="R482" t="inlineStr">
        <is>
          <t>undefined</t>
        </is>
      </c>
      <c r="S482" t="inlineStr">
        <is>
          <t>31958-KLE</t>
        </is>
      </c>
    </row>
    <row r="483" ht="75" customHeight="1">
      <c r="A483" s="1">
        <f>HYPERLINK("https://www.toolnut.com/klein-tools-31972-kle-bi-metal-hole-saw-4-1-2-inch.html", "https://www.toolnut.com/klein-tools-31972-kle-bi-metal-hole-saw-4-1-2-inch.html")</f>
        <v/>
      </c>
      <c r="B483" s="1">
        <f>HYPERLINK("https://www.toolnut.com/klein-tools-31972-kle-bi-metal-hole-saw-4-1-2-inch.html", "https://www.toolnut.com/klein-tools-31972-kle-bi-metal-hole-saw-4-1-2-inch.html")</f>
        <v/>
      </c>
      <c r="C483" t="inlineStr">
        <is>
          <t>Klein Tools 31972 Bi-Metal Hole Saw, 4-1/2-Inch</t>
        </is>
      </c>
      <c r="D483" t="inlineStr">
        <is>
          <t>LENOX Tools Hole Saw, Bi-Metal, Speed Slot, 4-1/2-Inch (1772075)</t>
        </is>
      </c>
      <c r="E483" s="1">
        <f>HYPERLINK("https://www.amazon.com/LENOX-Tools-Bi-Metal-Speed-Technology/dp/B004UUGQZE/ref=sr_1_8?keywords=Klein+Tools+31972+Bi-Metal+Hole+Saw%2C+4-1%2F2-Inch&amp;qid=1695346994&amp;sr=8-8", "https://www.amazon.com/LENOX-Tools-Bi-Metal-Speed-Technology/dp/B004UUGQZE/ref=sr_1_8?keywords=Klein+Tools+31972+Bi-Metal+Hole+Saw%2C+4-1%2F2-Inch&amp;qid=1695346994&amp;sr=8-8")</f>
        <v/>
      </c>
      <c r="F483" t="inlineStr">
        <is>
          <t>B004UUGQZE</t>
        </is>
      </c>
      <c r="G483">
        <f>_xlfn.IMAGE("https://www.toolnut.com/media/catalog/product/3/1/31972.jpg?quality=100&amp;bg-color=255,255,255&amp;fit=bounds&amp;height=700&amp;width=700&amp;canvas=700:700&amp;dpr=1 1x")</f>
        <v/>
      </c>
      <c r="H483">
        <f>_xlfn.IMAGE("https://m.media-amazon.com/images/I/91LavMIWIjL._AC_UL320_.jpg")</f>
        <v/>
      </c>
      <c r="K483" t="inlineStr">
        <is>
          <t>27.99</t>
        </is>
      </c>
      <c r="L483" t="n">
        <v>52.19</v>
      </c>
      <c r="M483" s="2" t="inlineStr">
        <is>
          <t>86.46%</t>
        </is>
      </c>
      <c r="N483" t="n">
        <v>4.3</v>
      </c>
      <c r="O483" t="n">
        <v>37</v>
      </c>
      <c r="Q483" t="inlineStr">
        <is>
          <t>InStock</t>
        </is>
      </c>
      <c r="R483" t="inlineStr">
        <is>
          <t>undefined</t>
        </is>
      </c>
      <c r="S483" t="inlineStr">
        <is>
          <t>31972-KLE</t>
        </is>
      </c>
    </row>
    <row r="484" ht="75" customHeight="1">
      <c r="A484" s="1">
        <f>HYPERLINK("https://www.toolnut.com/klein-tools-31972-kle-bi-metal-hole-saw-4-1-2-inch.html", "https://www.toolnut.com/klein-tools-31972-kle-bi-metal-hole-saw-4-1-2-inch.html")</f>
        <v/>
      </c>
      <c r="B484" s="1">
        <f>HYPERLINK("https://www.toolnut.com/klein-tools-31972-kle-bi-metal-hole-saw-4-1-2-inch.html", "https://www.toolnut.com/klein-tools-31972-kle-bi-metal-hole-saw-4-1-2-inch.html")</f>
        <v/>
      </c>
      <c r="C484" t="inlineStr">
        <is>
          <t>Klein Tools 31972 Bi-Metal Hole Saw, 4-1/2-Inch</t>
        </is>
      </c>
      <c r="D484" t="inlineStr">
        <is>
          <t>LENOX Tools Hole Saw, Bi-Metal, Speed Slot, 4-1/2-Inch (1772075)</t>
        </is>
      </c>
      <c r="E484" s="1">
        <f>HYPERLINK("https://www.amazon.com/LENOX-Tools-Bi-Metal-Speed-Technology/dp/B004UUGQZE/ref=sr_1_8?keywords=Klein+Tools+31972+Bi-Metal+Hole+Saw%2C+4-1%2F2-Inch&amp;qid=1695346994&amp;sr=8-8", "https://www.amazon.com/LENOX-Tools-Bi-Metal-Speed-Technology/dp/B004UUGQZE/ref=sr_1_8?keywords=Klein+Tools+31972+Bi-Metal+Hole+Saw%2C+4-1%2F2-Inch&amp;qid=1695346994&amp;sr=8-8")</f>
        <v/>
      </c>
      <c r="F484" t="inlineStr">
        <is>
          <t>B004UUGQZE</t>
        </is>
      </c>
      <c r="G484">
        <f>_xlfn.IMAGE("https://www.toolnut.com/media/catalog/product/3/1/31972.jpg?quality=100&amp;bg-color=255,255,255&amp;fit=bounds&amp;height=700&amp;width=700&amp;canvas=700:700&amp;dpr=1 1x")</f>
        <v/>
      </c>
      <c r="H484">
        <f>_xlfn.IMAGE("https://m.media-amazon.com/images/I/91LavMIWIjL._AC_UL320_.jpg")</f>
        <v/>
      </c>
      <c r="K484" t="inlineStr">
        <is>
          <t>27.99</t>
        </is>
      </c>
      <c r="L484" t="n">
        <v>52.19</v>
      </c>
      <c r="M484" s="2" t="inlineStr">
        <is>
          <t>86.46%</t>
        </is>
      </c>
      <c r="N484" t="n">
        <v>4.3</v>
      </c>
      <c r="O484" t="n">
        <v>37</v>
      </c>
      <c r="Q484" t="inlineStr">
        <is>
          <t>InStock</t>
        </is>
      </c>
      <c r="R484" t="inlineStr">
        <is>
          <t>undefined</t>
        </is>
      </c>
      <c r="S484" t="inlineStr">
        <is>
          <t>31972-KLE</t>
        </is>
      </c>
    </row>
    <row r="485" ht="75" customHeight="1">
      <c r="A485" s="1">
        <f>HYPERLINK("https://www.toolnut.com/klein-tools-32905-kle-electrician-s-hole-saw-kit-with-arbor-3-piece.html", "https://www.toolnut.com/klein-tools-32905-kle-electrician-s-hole-saw-kit-with-arbor-3-piece.html")</f>
        <v/>
      </c>
      <c r="B485" s="1">
        <f>HYPERLINK("https://www.toolnut.com/klein-tools-32905-kle-electrician-s-hole-saw-kit-with-arbor-3-piece.html", "https://www.toolnut.com/klein-tools-32905-kle-electrician-s-hole-saw-kit-with-arbor-3-piece.html")</f>
        <v/>
      </c>
      <c r="C485" t="inlineStr">
        <is>
          <t>Klein Tools 32905 Electrician's Hole Saw Kit with Arbor 3-Piece</t>
        </is>
      </c>
      <c r="D485" t="inlineStr">
        <is>
          <t>Klein Tools 31902 Bi-Metal Hole Saw Kit with Arbor Bits for Cutting Steel, Drywall, Ceiling Tile, Wood, Plastic, 8-Piece</t>
        </is>
      </c>
      <c r="E485" s="1">
        <f>HYPERLINK("https://www.amazon.com/Bi-Metal-8-Piece-Klein-Tools-31902/dp/B014WEBAO4/ref=sr_1_2?keywords=Klein+Tools+32905+Electrician%27s+Hole+Saw+Kit+with+Arbor+3-Piece&amp;qid=1695346988&amp;sr=8-2", "https://www.amazon.com/Bi-Metal-8-Piece-Klein-Tools-31902/dp/B014WEBAO4/ref=sr_1_2?keywords=Klein+Tools+32905+Electrician%27s+Hole+Saw+Kit+with+Arbor+3-Piece&amp;qid=1695346988&amp;sr=8-2")</f>
        <v/>
      </c>
      <c r="F485" t="inlineStr">
        <is>
          <t>B014WEBAO4</t>
        </is>
      </c>
      <c r="G485">
        <f>_xlfn.IMAGE("https://www.toolnut.com/media/catalog/product/3/2/32905.jpg?quality=100&amp;bg-color=255,255,255&amp;fit=bounds&amp;height=700&amp;width=700&amp;canvas=700:700&amp;dpr=1 1x")</f>
        <v/>
      </c>
      <c r="H485">
        <f>_xlfn.IMAGE("https://m.media-amazon.com/images/I/51JZIdZrBtL._AC_UL320_.jpg")</f>
        <v/>
      </c>
      <c r="K485" t="inlineStr">
        <is>
          <t>28.99</t>
        </is>
      </c>
      <c r="L485" t="n">
        <v>74.98999999999999</v>
      </c>
      <c r="M485" s="2" t="inlineStr">
        <is>
          <t>158.68%</t>
        </is>
      </c>
      <c r="N485" t="n">
        <v>4.2</v>
      </c>
      <c r="O485" t="n">
        <v>124</v>
      </c>
      <c r="Q485" t="inlineStr">
        <is>
          <t>InStock</t>
        </is>
      </c>
      <c r="R485" t="inlineStr">
        <is>
          <t>undefined</t>
        </is>
      </c>
      <c r="S485" t="inlineStr">
        <is>
          <t>32905-KLE</t>
        </is>
      </c>
    </row>
    <row r="486" ht="75" customHeight="1">
      <c r="A486" s="1">
        <f>HYPERLINK("https://www.toolnut.com/klein-tools-32905-kle-electrician-s-hole-saw-kit-with-arbor-3-piece.html", "https://www.toolnut.com/klein-tools-32905-kle-electrician-s-hole-saw-kit-with-arbor-3-piece.html")</f>
        <v/>
      </c>
      <c r="B486" s="1">
        <f>HYPERLINK("https://www.toolnut.com/klein-tools-32905-kle-electrician-s-hole-saw-kit-with-arbor-3-piece.html", "https://www.toolnut.com/klein-tools-32905-kle-electrician-s-hole-saw-kit-with-arbor-3-piece.html")</f>
        <v/>
      </c>
      <c r="C486" t="inlineStr">
        <is>
          <t>Klein Tools 32905 Electrician's Hole Saw Kit with Arbor 3-Piece</t>
        </is>
      </c>
      <c r="D486" t="inlineStr">
        <is>
          <t>Klein Tools 31902 Bi-Metal Hole Saw Kit with Arbor Bits for Cutting Steel, Drywall, Ceiling Tile, Wood, Plastic, 8-Piece</t>
        </is>
      </c>
      <c r="E486" s="1">
        <f>HYPERLINK("https://www.amazon.com/Bi-Metal-8-Piece-Klein-Tools-31902/dp/B014WEBAO4/ref=sr_1_2?keywords=Klein+Tools+32905+Electrician%27s+Hole+Saw+Kit+with+Arbor+3-Piece&amp;qid=1695346988&amp;sr=8-2", "https://www.amazon.com/Bi-Metal-8-Piece-Klein-Tools-31902/dp/B014WEBAO4/ref=sr_1_2?keywords=Klein+Tools+32905+Electrician%27s+Hole+Saw+Kit+with+Arbor+3-Piece&amp;qid=1695346988&amp;sr=8-2")</f>
        <v/>
      </c>
      <c r="F486" t="inlineStr">
        <is>
          <t>B014WEBAO4</t>
        </is>
      </c>
      <c r="G486">
        <f>_xlfn.IMAGE("https://www.toolnut.com/media/catalog/product/3/2/32905.jpg?quality=100&amp;bg-color=255,255,255&amp;fit=bounds&amp;height=700&amp;width=700&amp;canvas=700:700&amp;dpr=1 1x")</f>
        <v/>
      </c>
      <c r="H486">
        <f>_xlfn.IMAGE("https://m.media-amazon.com/images/I/51JZIdZrBtL._AC_UL320_.jpg")</f>
        <v/>
      </c>
      <c r="K486" t="inlineStr">
        <is>
          <t>28.99</t>
        </is>
      </c>
      <c r="L486" t="n">
        <v>74.98999999999999</v>
      </c>
      <c r="M486" s="2" t="inlineStr">
        <is>
          <t>158.68%</t>
        </is>
      </c>
      <c r="N486" t="n">
        <v>4.2</v>
      </c>
      <c r="O486" t="n">
        <v>124</v>
      </c>
      <c r="Q486" t="inlineStr">
        <is>
          <t>InStock</t>
        </is>
      </c>
      <c r="R486" t="inlineStr">
        <is>
          <t>undefined</t>
        </is>
      </c>
      <c r="S486" t="inlineStr">
        <is>
          <t>32905-KLE</t>
        </is>
      </c>
    </row>
    <row r="487" ht="75" customHeight="1">
      <c r="A487" s="1">
        <f>HYPERLINK("https://www.toolnut.com/klein-tools-ktsb01-kle-step-drill-bit-double-fluted-1-1-8-to-1-2-inch.html", "https://www.toolnut.com/klein-tools-ktsb01-kle-step-drill-bit-double-fluted-1-1-8-to-1-2-inch.html")</f>
        <v/>
      </c>
      <c r="B487" s="1">
        <f>HYPERLINK("https://www.toolnut.com/klein-tools-ktsb01-kle-step-drill-bit-double-fluted-1-1-8-to-1-2-inch.html", "https://www.toolnut.com/klein-tools-ktsb01-kle-step-drill-bit-double-fluted-1-1-8-to-1-2-inch.html")</f>
        <v/>
      </c>
      <c r="C487" t="inlineStr">
        <is>
          <t>Klein Tools KTSB01 Step Drill Bit Double-Fluted #1, 1/8 to 1/2-Inch</t>
        </is>
      </c>
      <c r="D487" t="inlineStr">
        <is>
          <t>Klein Tools 25951 Electrician's Step Drill Bit Set, Spiral Double Fluted, Titanium Nitride Coating, 1/4-Inch Impact Shank, Case, 3-Piece</t>
        </is>
      </c>
      <c r="E487" s="1">
        <f>HYPERLINK("https://www.amazon.com/Klein-Tools-25951-Electricians-Titanium/dp/B0BLFRJLDX/ref=sr_1_2?keywords=Klein+Tools+KTSB01+Step+Drill+Bit+Double-Fluted&amp;qid=1695346992&amp;sr=8-2", "https://www.amazon.com/Klein-Tools-25951-Electricians-Titanium/dp/B0BLFRJLDX/ref=sr_1_2?keywords=Klein+Tools+KTSB01+Step+Drill+Bit+Double-Fluted&amp;qid=1695346992&amp;sr=8-2")</f>
        <v/>
      </c>
      <c r="F487" t="inlineStr">
        <is>
          <t>B0BLFRJLDX</t>
        </is>
      </c>
      <c r="G487">
        <f>_xlfn.IMAGE("https://www.toolnut.com/media/catalog/product/k/t/ktsb01.jpg?quality=100&amp;bg-color=255,255,255&amp;fit=bounds&amp;height=700&amp;width=700&amp;canvas=700:700&amp;dpr=1 1x")</f>
        <v/>
      </c>
      <c r="H487">
        <f>_xlfn.IMAGE("https://m.media-amazon.com/images/I/61dZd3WvlgL._AC_UY218_.jpg")</f>
        <v/>
      </c>
      <c r="K487" t="inlineStr">
        <is>
          <t>26.99</t>
        </is>
      </c>
      <c r="L487" t="n">
        <v>99.98999999999999</v>
      </c>
      <c r="M487" s="2" t="inlineStr">
        <is>
          <t>270.47%</t>
        </is>
      </c>
      <c r="N487" t="n">
        <v>3.8</v>
      </c>
      <c r="O487" t="n">
        <v>6</v>
      </c>
      <c r="Q487" t="inlineStr">
        <is>
          <t>InStock</t>
        </is>
      </c>
      <c r="R487" t="inlineStr">
        <is>
          <t>undefined</t>
        </is>
      </c>
      <c r="S487" t="inlineStr">
        <is>
          <t>KTSB01-KLE</t>
        </is>
      </c>
    </row>
    <row r="488" ht="75" customHeight="1">
      <c r="A488" s="1">
        <f>HYPERLINK("https://www.toolnut.com/klein-tools-ktsb03-kle-step-drill-bit-double-fluted-3-1-4-to-3-4-inch.html", "https://www.toolnut.com/klein-tools-ktsb03-kle-step-drill-bit-double-fluted-3-1-4-to-3-4-inch.html")</f>
        <v/>
      </c>
      <c r="B488" s="1">
        <f>HYPERLINK("https://www.toolnut.com/klein-tools-ktsb03-kle-step-drill-bit-double-fluted-3-1-4-to-3-4-inch.html", "https://www.toolnut.com/klein-tools-ktsb03-kle-step-drill-bit-double-fluted-3-1-4-to-3-4-inch.html")</f>
        <v/>
      </c>
      <c r="C488" t="inlineStr">
        <is>
          <t>Klein Tools KTSB03 Step Drill Bit Double Fluted #3, 1/4 to 3/4-Inch</t>
        </is>
      </c>
      <c r="D488" t="inlineStr">
        <is>
          <t>Klein Tools 25951 Electrician's Step Drill Bit Set, Spiral Double Fluted, Titanium Nitride Coating, 1/4-Inch Impact Shank, Case, 3-Piece</t>
        </is>
      </c>
      <c r="E488" s="1">
        <f>HYPERLINK("https://www.amazon.com/Klein-Tools-25951-Electricians-Titanium/dp/B0BLFRJLDX/ref=sr_1_2?keywords=Klein+Tools+KTSB03+Step+Drill+Bit+Double+Fluted&amp;qid=1695346985&amp;sr=8-2", "https://www.amazon.com/Klein-Tools-25951-Electricians-Titanium/dp/B0BLFRJLDX/ref=sr_1_2?keywords=Klein+Tools+KTSB03+Step+Drill+Bit+Double+Fluted&amp;qid=1695346985&amp;sr=8-2")</f>
        <v/>
      </c>
      <c r="F488" t="inlineStr">
        <is>
          <t>B0BLFRJLDX</t>
        </is>
      </c>
      <c r="G488">
        <f>_xlfn.IMAGE("https://www.toolnut.com/media/catalog/product/k/t/ktsb03.jpg?quality=100&amp;bg-color=255,255,255&amp;fit=bounds&amp;height=700&amp;width=700&amp;canvas=700:700&amp;dpr=1 1x")</f>
        <v/>
      </c>
      <c r="H488">
        <f>_xlfn.IMAGE("https://m.media-amazon.com/images/I/61dZd3WvlgL._AC_UY218_.jpg")</f>
        <v/>
      </c>
      <c r="K488" t="inlineStr">
        <is>
          <t>34.99</t>
        </is>
      </c>
      <c r="L488" t="n">
        <v>99.98999999999999</v>
      </c>
      <c r="M488" s="2" t="inlineStr">
        <is>
          <t>185.77%</t>
        </is>
      </c>
      <c r="N488" t="n">
        <v>3.8</v>
      </c>
      <c r="O488" t="n">
        <v>6</v>
      </c>
      <c r="Q488" t="inlineStr">
        <is>
          <t>InStock</t>
        </is>
      </c>
      <c r="R488" t="inlineStr">
        <is>
          <t>undefined</t>
        </is>
      </c>
      <c r="S488" t="inlineStr">
        <is>
          <t>KTSB03-KLE</t>
        </is>
      </c>
    </row>
    <row r="489" ht="75" customHeight="1">
      <c r="A489" s="1">
        <f>HYPERLINK("https://www.toolnut.com/klein-tools-ktsb03-kle-step-drill-bit-double-fluted-3-1-4-to-3-4-inch.html", "https://www.toolnut.com/klein-tools-ktsb03-kle-step-drill-bit-double-fluted-3-1-4-to-3-4-inch.html")</f>
        <v/>
      </c>
      <c r="B489" s="1">
        <f>HYPERLINK("https://www.toolnut.com/klein-tools-ktsb03-kle-step-drill-bit-double-fluted-3-1-4-to-3-4-inch.html", "https://www.toolnut.com/klein-tools-ktsb03-kle-step-drill-bit-double-fluted-3-1-4-to-3-4-inch.html")</f>
        <v/>
      </c>
      <c r="C489" t="inlineStr">
        <is>
          <t>Klein Tools KTSB03 Step Drill Bit Double Fluted #3, 1/4 to 3/4-Inch</t>
        </is>
      </c>
      <c r="D489" t="inlineStr">
        <is>
          <t>Klein Tools 25951 Electrician's Step Drill Bit Set, Spiral Double Fluted, Titanium Nitride Coating, 1/4-Inch Impact Shank, Case, 3-Piece</t>
        </is>
      </c>
      <c r="E489" s="1">
        <f>HYPERLINK("https://www.amazon.com/Klein-Tools-25951-Electricians-Titanium/dp/B0BLFRJLDX/ref=sr_1_2?keywords=Klein+Tools+KTSB03+Step+Drill+Bit+Double+Fluted&amp;qid=1695346985&amp;sr=8-2", "https://www.amazon.com/Klein-Tools-25951-Electricians-Titanium/dp/B0BLFRJLDX/ref=sr_1_2?keywords=Klein+Tools+KTSB03+Step+Drill+Bit+Double+Fluted&amp;qid=1695346985&amp;sr=8-2")</f>
        <v/>
      </c>
      <c r="F489" t="inlineStr">
        <is>
          <t>B0BLFRJLDX</t>
        </is>
      </c>
      <c r="G489">
        <f>_xlfn.IMAGE("https://www.toolnut.com/media/catalog/product/k/t/ktsb03.jpg?quality=100&amp;bg-color=255,255,255&amp;fit=bounds&amp;height=700&amp;width=700&amp;canvas=700:700&amp;dpr=1 1x")</f>
        <v/>
      </c>
      <c r="H489">
        <f>_xlfn.IMAGE("https://m.media-amazon.com/images/I/61dZd3WvlgL._AC_UY218_.jpg")</f>
        <v/>
      </c>
      <c r="K489" t="inlineStr">
        <is>
          <t>34.99</t>
        </is>
      </c>
      <c r="L489" t="n">
        <v>99.98999999999999</v>
      </c>
      <c r="M489" s="2" t="inlineStr">
        <is>
          <t>185.77%</t>
        </is>
      </c>
      <c r="N489" t="n">
        <v>3.8</v>
      </c>
      <c r="O489" t="n">
        <v>6</v>
      </c>
      <c r="Q489" t="inlineStr">
        <is>
          <t>InStock</t>
        </is>
      </c>
      <c r="R489" t="inlineStr">
        <is>
          <t>undefined</t>
        </is>
      </c>
      <c r="S489" t="inlineStr">
        <is>
          <t>KTSB03-KLE</t>
        </is>
      </c>
    </row>
    <row r="490" ht="75" customHeight="1">
      <c r="A490" s="1">
        <f>HYPERLINK("https://www.toolnut.com/kreg-tool-kma3210-kreg-1-4-shelf-pin-drill-bit.html", "https://www.toolnut.com/kreg-tool-kma3210-kreg-1-4-shelf-pin-drill-bit.html")</f>
        <v/>
      </c>
      <c r="B490" s="1">
        <f>HYPERLINK("https://www.toolnut.com/kreg-tool-kma3210-kreg-1-4-shelf-pin-drill-bit.html", "https://www.toolnut.com/kreg-tool-kma3210-kreg-1-4-shelf-pin-drill-bit.html")</f>
        <v/>
      </c>
      <c r="C490" t="inlineStr">
        <is>
          <t>Kreg Tool Kma3210 Kreg 1/4" Shelf Pin Drill Bit</t>
        </is>
      </c>
      <c r="D490" t="inlineStr">
        <is>
          <t>Kreg KMA3225 Shelf-Pin Jig 1/4" (6 mm) - Shelf Pin Drilling Jig - Create Perfect Holes for Wobble-Free Shelves - Drill Guide for Straight Holes</t>
        </is>
      </c>
      <c r="E490" s="1">
        <f>HYPERLINK("https://www.amazon.com/Kreg-KMA3225-Shelf-Pin-Jig/dp/B09V8BN6W9/ref=sr_1_3?keywords=Kreg+Tool+Kma3210+Kreg+1%2F4%22+Shelf+Pin+Drill+Bit&amp;qid=1695346970&amp;sr=8-3", "https://www.amazon.com/Kreg-KMA3225-Shelf-Pin-Jig/dp/B09V8BN6W9/ref=sr_1_3?keywords=Kreg+Tool+Kma3210+Kreg+1%2F4%22+Shelf+Pin+Drill+Bit&amp;qid=1695346970&amp;sr=8-3")</f>
        <v/>
      </c>
      <c r="F490" t="inlineStr">
        <is>
          <t>B09V8BN6W9</t>
        </is>
      </c>
      <c r="G490">
        <f>_xlfn.IMAGE("https://www.toolnut.com/media/catalog/product/k/r/kreg_tool-kma3210-1.jpg?quality=100&amp;bg-color=255,255,255&amp;fit=bounds&amp;height=700&amp;width=700&amp;canvas=700:700&amp;dpr=1 1x")</f>
        <v/>
      </c>
      <c r="H490">
        <f>_xlfn.IMAGE("https://m.media-amazon.com/images/I/71q6iGruwQL._AC_UL320_.jpg")</f>
        <v/>
      </c>
      <c r="K490" t="inlineStr">
        <is>
          <t>9.99</t>
        </is>
      </c>
      <c r="L490" t="n">
        <v>39</v>
      </c>
      <c r="M490" s="2" t="inlineStr">
        <is>
          <t>290.39%</t>
        </is>
      </c>
      <c r="N490" t="n">
        <v>4.7</v>
      </c>
      <c r="O490" t="n">
        <v>435</v>
      </c>
      <c r="Q490" t="inlineStr">
        <is>
          <t>InStock</t>
        </is>
      </c>
      <c r="R490" t="inlineStr">
        <is>
          <t>undefined</t>
        </is>
      </c>
      <c r="S490" t="inlineStr">
        <is>
          <t>KMA3210</t>
        </is>
      </c>
    </row>
    <row r="491" ht="75" customHeight="1">
      <c r="A491" s="1">
        <f>HYPERLINK("https://www.toolnut.com/lenox-23932-9-in-1-screwdriver-12-inch.html", "https://www.toolnut.com/lenox-23932-9-in-1-screwdriver-12-inch.html")</f>
        <v/>
      </c>
      <c r="B491" s="1">
        <f>HYPERLINK("https://www.toolnut.com/lenox-23932-9-in-1-screwdriver-12-inch.html", "https://www.toolnut.com/lenox-23932-9-in-1-screwdriver-12-inch.html")</f>
        <v/>
      </c>
      <c r="C491" t="inlineStr">
        <is>
          <t>Lenox 23932 9-in-1 Screwdriver, 12-inch</t>
        </is>
      </c>
      <c r="D491" t="inlineStr">
        <is>
          <t>LENOX Tools Multi Screwdriver, Extending from 5 to 11 Inch, 5-Piece (LXHT60925)</t>
        </is>
      </c>
      <c r="E491" s="1">
        <f>HYPERLINK("https://www.amazon.com/Lenox-Extending-Multi-BIT-Driver-LXHT60925/dp/B081K1XK61/ref=sr_1_7?keywords=Lenox+23932+9-in-1+Screwdriver%2C+12-inch&amp;qid=1695346652&amp;sr=8-7", "https://www.amazon.com/Lenox-Extending-Multi-BIT-Driver-LXHT60925/dp/B081K1XK61/ref=sr_1_7?keywords=Lenox+23932+9-in-1+Screwdriver%2C+12-inch&amp;qid=1695346652&amp;sr=8-7")</f>
        <v/>
      </c>
      <c r="F491" t="inlineStr">
        <is>
          <t>B081K1XK61</t>
        </is>
      </c>
      <c r="G491">
        <f>_xlfn.IMAGE("https://www.toolnut.com/media/catalog/product/l/e/lenox-23932-1.jpg?quality=100&amp;bg-color=255,255,255&amp;fit=bounds&amp;height=700&amp;width=700&amp;canvas=700:700&amp;dpr=1 1x")</f>
        <v/>
      </c>
      <c r="H491">
        <f>_xlfn.IMAGE("https://m.media-amazon.com/images/I/51mc7ato7aL._AC_UL320_.jpg")</f>
        <v/>
      </c>
      <c r="K491" t="inlineStr">
        <is>
          <t>10.79</t>
        </is>
      </c>
      <c r="L491" t="n">
        <v>19.82</v>
      </c>
      <c r="M491" s="2" t="inlineStr">
        <is>
          <t>83.69%</t>
        </is>
      </c>
      <c r="N491" t="n">
        <v>4.5</v>
      </c>
      <c r="O491" t="n">
        <v>28</v>
      </c>
      <c r="Q491" t="inlineStr">
        <is>
          <t>InStock</t>
        </is>
      </c>
      <c r="R491" t="inlineStr">
        <is>
          <t>undefined</t>
        </is>
      </c>
      <c r="S491" t="inlineStr">
        <is>
          <t>23932-Lenox</t>
        </is>
      </c>
    </row>
    <row r="492" ht="75" customHeight="1">
      <c r="A492" s="1">
        <f>HYPERLINK("https://www.toolnut.com/lenox-30881vb1-vari-bit-vb1-step-drill-bits-1-8-inch-to-1-2-inch.html", "https://www.toolnut.com/lenox-30881vb1-vari-bit-vb1-step-drill-bits-1-8-inch-to-1-2-inch.html")</f>
        <v/>
      </c>
      <c r="B492" s="1">
        <f>HYPERLINK("https://www.toolnut.com/lenox-30881vb1-vari-bit-vb1-step-drill-bits-1-8-inch-to-1-2-inch.html", "https://www.toolnut.com/lenox-30881vb1-vari-bit-vb1-step-drill-bits-1-8-inch-to-1-2-inch.html")</f>
        <v/>
      </c>
      <c r="C492" t="inlineStr">
        <is>
          <t>Lenox 30881VB1 Vari-Bit VB1 Step Drill Bits, 1/8-inch to 1/2-inch</t>
        </is>
      </c>
      <c r="D492" t="inlineStr">
        <is>
          <t>LENOX Step Drill Bit, 7/8-Inch to 1-3/8-Inch with 3/8-Inch Shank (30912VB12)</t>
        </is>
      </c>
      <c r="E492" s="1">
        <f>HYPERLINK("https://www.amazon.com/Lenox-30912-VB12-Vari-Bit-8-Inch-32-Inch/dp/B0002438NA/ref=sr_1_5?keywords=Lenox+30881VB1+Vari-Bit+VB1+Step+Drill+Bits%2C+1%2F8-inch+to+1%2F2-inch&amp;qid=1695347185&amp;sr=8-5", "https://www.amazon.com/Lenox-30912-VB12-Vari-Bit-8-Inch-32-Inch/dp/B0002438NA/ref=sr_1_5?keywords=Lenox+30881VB1+Vari-Bit+VB1+Step+Drill+Bits%2C+1%2F8-inch+to+1%2F2-inch&amp;qid=1695347185&amp;sr=8-5")</f>
        <v/>
      </c>
      <c r="F492" t="inlineStr">
        <is>
          <t>B0002438NA</t>
        </is>
      </c>
      <c r="G492">
        <f>_xlfn.IMAGE("https://www.toolnut.com/media/catalog/product/l/e/lenox-30881vb1-1.jpg?quality=100&amp;bg-color=255,255,255&amp;fit=bounds&amp;height=700&amp;width=700&amp;canvas=700:700&amp;dpr=1 1x")</f>
        <v/>
      </c>
      <c r="H492">
        <f>_xlfn.IMAGE("https://m.media-amazon.com/images/I/51fkO8jNy8L._AC_UY218_.jpg")</f>
        <v/>
      </c>
      <c r="K492" t="inlineStr">
        <is>
          <t>26.99</t>
        </is>
      </c>
      <c r="L492" t="n">
        <v>47</v>
      </c>
      <c r="M492" s="2" t="inlineStr">
        <is>
          <t>74.14%</t>
        </is>
      </c>
      <c r="N492" t="n">
        <v>4.8</v>
      </c>
      <c r="O492" t="n">
        <v>78</v>
      </c>
      <c r="Q492" t="inlineStr">
        <is>
          <t>InStock</t>
        </is>
      </c>
      <c r="R492" t="inlineStr">
        <is>
          <t>undefined</t>
        </is>
      </c>
      <c r="S492" t="inlineStr">
        <is>
          <t>30881VB1-Lenox</t>
        </is>
      </c>
    </row>
    <row r="493" ht="75" customHeight="1">
      <c r="A493" s="1">
        <f>HYPERLINK("https://www.toolnut.com/lenox-30881vb1-vari-bit-vb1-step-drill-bits-1-8-inch-to-1-2-inch.html", "https://www.toolnut.com/lenox-30881vb1-vari-bit-vb1-step-drill-bits-1-8-inch-to-1-2-inch.html")</f>
        <v/>
      </c>
      <c r="B493" s="1">
        <f>HYPERLINK("https://www.toolnut.com/lenox-30881vb1-vari-bit-vb1-step-drill-bits-1-8-inch-to-1-2-inch.html", "https://www.toolnut.com/lenox-30881vb1-vari-bit-vb1-step-drill-bits-1-8-inch-to-1-2-inch.html")</f>
        <v/>
      </c>
      <c r="C493" t="inlineStr">
        <is>
          <t>Lenox 30881VB1 Vari-Bit VB1 Step Drill Bits, 1/8-inch to 1/2-inch</t>
        </is>
      </c>
      <c r="D493" t="inlineStr">
        <is>
          <t>LENOX Step Drill Bit, 7/8-Inch to 1-3/8-Inch with 3/8-Inch Shank (30912VB12)</t>
        </is>
      </c>
      <c r="E493" s="1">
        <f>HYPERLINK("https://www.amazon.com/Lenox-30912-VB12-Vari-Bit-8-Inch-32-Inch/dp/B0002438NA/ref=sr_1_5?keywords=Lenox+30881VB1+Vari-Bit+VB1+Step+Drill+Bits%2C+1%2F8-inch+to+1%2F2-inch&amp;qid=1695347185&amp;sr=8-5", "https://www.amazon.com/Lenox-30912-VB12-Vari-Bit-8-Inch-32-Inch/dp/B0002438NA/ref=sr_1_5?keywords=Lenox+30881VB1+Vari-Bit+VB1+Step+Drill+Bits%2C+1%2F8-inch+to+1%2F2-inch&amp;qid=1695347185&amp;sr=8-5")</f>
        <v/>
      </c>
      <c r="F493" t="inlineStr">
        <is>
          <t>B0002438NA</t>
        </is>
      </c>
      <c r="G493">
        <f>_xlfn.IMAGE("https://www.toolnut.com/media/catalog/product/l/e/lenox-30881vb1-1.jpg?quality=100&amp;bg-color=255,255,255&amp;fit=bounds&amp;height=700&amp;width=700&amp;canvas=700:700&amp;dpr=1 1x")</f>
        <v/>
      </c>
      <c r="H493">
        <f>_xlfn.IMAGE("https://m.media-amazon.com/images/I/51fkO8jNy8L._AC_UY218_.jpg")</f>
        <v/>
      </c>
      <c r="K493" t="inlineStr">
        <is>
          <t>26.99</t>
        </is>
      </c>
      <c r="L493" t="n">
        <v>47</v>
      </c>
      <c r="M493" s="2" t="inlineStr">
        <is>
          <t>74.14%</t>
        </is>
      </c>
      <c r="N493" t="n">
        <v>4.8</v>
      </c>
      <c r="O493" t="n">
        <v>78</v>
      </c>
      <c r="Q493" t="inlineStr">
        <is>
          <t>InStock</t>
        </is>
      </c>
      <c r="R493" t="inlineStr">
        <is>
          <t>undefined</t>
        </is>
      </c>
      <c r="S493" t="inlineStr">
        <is>
          <t>30881VB1-Lenox</t>
        </is>
      </c>
    </row>
    <row r="494" ht="75" customHeight="1">
      <c r="A494" s="1">
        <f>HYPERLINK("https://www.toolnut.com/lenox-30925vbx8-vari-bit-8-inch-step-drill-bit-extension-3-8-inch-shank.html", "https://www.toolnut.com/lenox-30925vbx8-vari-bit-8-inch-step-drill-bit-extension-3-8-inch-shank.html")</f>
        <v/>
      </c>
      <c r="B494" s="1">
        <f>HYPERLINK("https://www.toolnut.com/lenox-30925vbx8-vari-bit-8-inch-step-drill-bit-extension-3-8-inch-shank.html", "https://www.toolnut.com/lenox-30925vbx8-vari-bit-8-inch-step-drill-bit-extension-3-8-inch-shank.html")</f>
        <v/>
      </c>
      <c r="C494" t="inlineStr">
        <is>
          <t>Lenox 30925VBX8 Vari-Bit 8-Inch Step Drill Bit Extension, 3/8-Inch Shank</t>
        </is>
      </c>
      <c r="D494" t="inlineStr">
        <is>
          <t>LENOX Tools Step Drill Bit, 1/4-to-3/4-Inch (30883VB3)</t>
        </is>
      </c>
      <c r="E494" s="1">
        <f>HYPERLINK("https://www.amazon.com/Lenox-30883-VB3-Vari-Bit-4-Inch-8-Inch/dp/B0002438LW/ref=sr_1_10?keywords=Lenox+30925VBX8+Vari-Bit+8-Inch+Step+Drill+Bit+Extension%2C+3%2F8-Inch+Shank&amp;qid=1695347191&amp;sr=8-10", "https://www.amazon.com/Lenox-30883-VB3-Vari-Bit-4-Inch-8-Inch/dp/B0002438LW/ref=sr_1_10?keywords=Lenox+30925VBX8+Vari-Bit+8-Inch+Step+Drill+Bit+Extension%2C+3%2F8-Inch+Shank&amp;qid=1695347191&amp;sr=8-10")</f>
        <v/>
      </c>
      <c r="F494" t="inlineStr">
        <is>
          <t>B0002438LW</t>
        </is>
      </c>
      <c r="G494">
        <f>_xlfn.IMAGE("https://www.toolnut.com/media/catalog/product/l/e/lenox-30925vbx8-1.jpg?quality=100&amp;bg-color=255,255,255&amp;fit=bounds&amp;height=700&amp;width=700&amp;canvas=700:700&amp;dpr=1 1x")</f>
        <v/>
      </c>
      <c r="H494">
        <f>_xlfn.IMAGE("https://m.media-amazon.com/images/I/313S0f3TK3L._AC_UY218_.jpg")</f>
        <v/>
      </c>
      <c r="K494" t="inlineStr">
        <is>
          <t>25.99</t>
        </is>
      </c>
      <c r="L494" t="n">
        <v>48.77</v>
      </c>
      <c r="M494" s="2" t="inlineStr">
        <is>
          <t>87.65%</t>
        </is>
      </c>
      <c r="N494" t="n">
        <v>4.1</v>
      </c>
      <c r="O494" t="n">
        <v>23</v>
      </c>
      <c r="Q494" t="inlineStr">
        <is>
          <t>InStock</t>
        </is>
      </c>
      <c r="R494" t="inlineStr">
        <is>
          <t>undefined</t>
        </is>
      </c>
      <c r="S494" t="inlineStr">
        <is>
          <t>30925VBX8-Lenox</t>
        </is>
      </c>
    </row>
    <row r="495" ht="75" customHeight="1">
      <c r="A495" s="1">
        <f>HYPERLINK("https://www.toolnut.com/lenox-30925vbx8-vari-bit-8-inch-step-drill-bit-extension-3-8-inch-shank.html", "https://www.toolnut.com/lenox-30925vbx8-vari-bit-8-inch-step-drill-bit-extension-3-8-inch-shank.html")</f>
        <v/>
      </c>
      <c r="B495" s="1">
        <f>HYPERLINK("https://www.toolnut.com/lenox-30925vbx8-vari-bit-8-inch-step-drill-bit-extension-3-8-inch-shank.html", "https://www.toolnut.com/lenox-30925vbx8-vari-bit-8-inch-step-drill-bit-extension-3-8-inch-shank.html")</f>
        <v/>
      </c>
      <c r="C495" t="inlineStr">
        <is>
          <t>Lenox 30925VBX8 Vari-Bit 8-Inch Step Drill Bit Extension, 3/8-Inch Shank</t>
        </is>
      </c>
      <c r="D495" t="inlineStr">
        <is>
          <t>LENOX Step Drill Bit, 7/8-Inch to 1-3/8-Inch with 3/8-Inch Shank (30912VB12)</t>
        </is>
      </c>
      <c r="E495" s="1">
        <f>HYPERLINK("https://www.amazon.com/Lenox-30912-VB12-Vari-Bit-8-Inch-32-Inch/dp/B0002438NA/ref=sr_1_1?keywords=Lenox+30925VBX8+Vari-Bit+8-Inch+Step+Drill+Bit+Extension%2C+3%2F8-Inch+Shank&amp;qid=1695347191&amp;sr=8-1", "https://www.amazon.com/Lenox-30912-VB12-Vari-Bit-8-Inch-32-Inch/dp/B0002438NA/ref=sr_1_1?keywords=Lenox+30925VBX8+Vari-Bit+8-Inch+Step+Drill+Bit+Extension%2C+3%2F8-Inch+Shank&amp;qid=1695347191&amp;sr=8-1")</f>
        <v/>
      </c>
      <c r="F495" t="inlineStr">
        <is>
          <t>B0002438NA</t>
        </is>
      </c>
      <c r="G495">
        <f>_xlfn.IMAGE("https://www.toolnut.com/media/catalog/product/l/e/lenox-30925vbx8-1.jpg?quality=100&amp;bg-color=255,255,255&amp;fit=bounds&amp;height=700&amp;width=700&amp;canvas=700:700&amp;dpr=1 1x")</f>
        <v/>
      </c>
      <c r="H495">
        <f>_xlfn.IMAGE("https://m.media-amazon.com/images/I/51fkO8jNy8L._AC_UY218_.jpg")</f>
        <v/>
      </c>
      <c r="K495" t="inlineStr">
        <is>
          <t>25.99</t>
        </is>
      </c>
      <c r="L495" t="n">
        <v>47</v>
      </c>
      <c r="M495" s="2" t="inlineStr">
        <is>
          <t>80.84%</t>
        </is>
      </c>
      <c r="N495" t="n">
        <v>4.8</v>
      </c>
      <c r="O495" t="n">
        <v>78</v>
      </c>
      <c r="Q495" t="inlineStr">
        <is>
          <t>InStock</t>
        </is>
      </c>
      <c r="R495" t="inlineStr">
        <is>
          <t>undefined</t>
        </is>
      </c>
      <c r="S495" t="inlineStr">
        <is>
          <t>30925VBX8-Lenox</t>
        </is>
      </c>
    </row>
    <row r="496" ht="75" customHeight="1">
      <c r="A496" s="1">
        <f>HYPERLINK("https://www.toolnut.com/lenox-30925vbx8-vari-bit-8-inch-step-drill-bit-extension-3-8-inch-shank.html", "https://www.toolnut.com/lenox-30925vbx8-vari-bit-8-inch-step-drill-bit-extension-3-8-inch-shank.html")</f>
        <v/>
      </c>
      <c r="B496" s="1">
        <f>HYPERLINK("https://www.toolnut.com/lenox-30925vbx8-vari-bit-8-inch-step-drill-bit-extension-3-8-inch-shank.html", "https://www.toolnut.com/lenox-30925vbx8-vari-bit-8-inch-step-drill-bit-extension-3-8-inch-shank.html")</f>
        <v/>
      </c>
      <c r="C496" t="inlineStr">
        <is>
          <t>Lenox 30925VBX8 Vari-Bit 8-Inch Step Drill Bit Extension, 3/8-Inch Shank</t>
        </is>
      </c>
      <c r="D496" t="inlineStr">
        <is>
          <t>LENOX Tools Step Drill Bit, 1/4-to-3/4-Inch (30883VB3)</t>
        </is>
      </c>
      <c r="E496" s="1">
        <f>HYPERLINK("https://www.amazon.com/Lenox-30883-VB3-Vari-Bit-4-Inch-8-Inch/dp/B0002438LW/ref=sr_1_10?keywords=Lenox+30925VBX8+Vari-Bit+8-Inch+Step+Drill+Bit+Extension%2C+3%2F8-Inch+Shank&amp;qid=1695347191&amp;sr=8-10", "https://www.amazon.com/Lenox-30883-VB3-Vari-Bit-4-Inch-8-Inch/dp/B0002438LW/ref=sr_1_10?keywords=Lenox+30925VBX8+Vari-Bit+8-Inch+Step+Drill+Bit+Extension%2C+3%2F8-Inch+Shank&amp;qid=1695347191&amp;sr=8-10")</f>
        <v/>
      </c>
      <c r="F496" t="inlineStr">
        <is>
          <t>B0002438LW</t>
        </is>
      </c>
      <c r="G496">
        <f>_xlfn.IMAGE("https://www.toolnut.com/media/catalog/product/l/e/lenox-30925vbx8-1.jpg?quality=100&amp;bg-color=255,255,255&amp;fit=bounds&amp;height=700&amp;width=700&amp;canvas=700:700&amp;dpr=1 1x")</f>
        <v/>
      </c>
      <c r="H496">
        <f>_xlfn.IMAGE("https://m.media-amazon.com/images/I/313S0f3TK3L._AC_UY218_.jpg")</f>
        <v/>
      </c>
      <c r="K496" t="inlineStr">
        <is>
          <t>25.99</t>
        </is>
      </c>
      <c r="L496" t="n">
        <v>48.77</v>
      </c>
      <c r="M496" s="2" t="inlineStr">
        <is>
          <t>87.65%</t>
        </is>
      </c>
      <c r="N496" t="n">
        <v>4.1</v>
      </c>
      <c r="O496" t="n">
        <v>23</v>
      </c>
      <c r="Q496" t="inlineStr">
        <is>
          <t>InStock</t>
        </is>
      </c>
      <c r="R496" t="inlineStr">
        <is>
          <t>undefined</t>
        </is>
      </c>
      <c r="S496" t="inlineStr">
        <is>
          <t>30925VBX8-Lenox</t>
        </is>
      </c>
    </row>
    <row r="497" ht="75" customHeight="1">
      <c r="A497" s="1">
        <f>HYPERLINK("https://www.toolnut.com/lenox-30925vbx8-vari-bit-8-inch-step-drill-bit-extension-3-8-inch-shank.html", "https://www.toolnut.com/lenox-30925vbx8-vari-bit-8-inch-step-drill-bit-extension-3-8-inch-shank.html")</f>
        <v/>
      </c>
      <c r="B497" s="1">
        <f>HYPERLINK("https://www.toolnut.com/lenox-30925vbx8-vari-bit-8-inch-step-drill-bit-extension-3-8-inch-shank.html", "https://www.toolnut.com/lenox-30925vbx8-vari-bit-8-inch-step-drill-bit-extension-3-8-inch-shank.html")</f>
        <v/>
      </c>
      <c r="C497" t="inlineStr">
        <is>
          <t>Lenox 30925VBX8 Vari-Bit 8-Inch Step Drill Bit Extension, 3/8-Inch Shank</t>
        </is>
      </c>
      <c r="D497" t="inlineStr">
        <is>
          <t>LENOX Step Drill Bit, 7/8-Inch to 1-3/8-Inch with 3/8-Inch Shank (30912VB12)</t>
        </is>
      </c>
      <c r="E497" s="1">
        <f>HYPERLINK("https://www.amazon.com/Lenox-30912-VB12-Vari-Bit-8-Inch-32-Inch/dp/B0002438NA/ref=sr_1_1?keywords=Lenox+30925VBX8+Vari-Bit+8-Inch+Step+Drill+Bit+Extension%2C+3%2F8-Inch+Shank&amp;qid=1695347191&amp;sr=8-1", "https://www.amazon.com/Lenox-30912-VB12-Vari-Bit-8-Inch-32-Inch/dp/B0002438NA/ref=sr_1_1?keywords=Lenox+30925VBX8+Vari-Bit+8-Inch+Step+Drill+Bit+Extension%2C+3%2F8-Inch+Shank&amp;qid=1695347191&amp;sr=8-1")</f>
        <v/>
      </c>
      <c r="F497" t="inlineStr">
        <is>
          <t>B0002438NA</t>
        </is>
      </c>
      <c r="G497">
        <f>_xlfn.IMAGE("https://www.toolnut.com/media/catalog/product/l/e/lenox-30925vbx8-1.jpg?quality=100&amp;bg-color=255,255,255&amp;fit=bounds&amp;height=700&amp;width=700&amp;canvas=700:700&amp;dpr=1 1x")</f>
        <v/>
      </c>
      <c r="H497">
        <f>_xlfn.IMAGE("https://m.media-amazon.com/images/I/51fkO8jNy8L._AC_UY218_.jpg")</f>
        <v/>
      </c>
      <c r="K497" t="inlineStr">
        <is>
          <t>25.99</t>
        </is>
      </c>
      <c r="L497" t="n">
        <v>47</v>
      </c>
      <c r="M497" s="2" t="inlineStr">
        <is>
          <t>80.84%</t>
        </is>
      </c>
      <c r="N497" t="n">
        <v>4.8</v>
      </c>
      <c r="O497" t="n">
        <v>78</v>
      </c>
      <c r="Q497" t="inlineStr">
        <is>
          <t>InStock</t>
        </is>
      </c>
      <c r="R497" t="inlineStr">
        <is>
          <t>undefined</t>
        </is>
      </c>
      <c r="S497" t="inlineStr">
        <is>
          <t>30925VBX8-Lenox</t>
        </is>
      </c>
    </row>
    <row r="498" ht="75" customHeight="1">
      <c r="A498" s="1">
        <f>HYPERLINK("https://www.toolnut.com/lenox-lxah9334mmpb-3-3-4-in-carbide-tipped-hole-saw-pilot-drill-bit-1-4-in-shank.html", "https://www.toolnut.com/lenox-lxah9334mmpb-3-3-4-in-carbide-tipped-hole-saw-pilot-drill-bit-1-4-in-shank.html")</f>
        <v/>
      </c>
      <c r="B498" s="1">
        <f>HYPERLINK("https://www.toolnut.com/lenox-lxah9334mmpb-3-3-4-in-carbide-tipped-hole-saw-pilot-drill-bit-1-4-in-shank.html", "https://www.toolnut.com/lenox-lxah9334mmpb-3-3-4-in-carbide-tipped-hole-saw-pilot-drill-bit-1-4-in-shank.html")</f>
        <v/>
      </c>
      <c r="C498" t="inlineStr">
        <is>
          <t>Lenox LXAH9334MMPB 3-3/4 in. Carbide Tipped Hole Saw Pilot Drill Bit, 1/4 in. Shank</t>
        </is>
      </c>
      <c r="D498" t="inlineStr">
        <is>
          <t>Lenox Tools 1779805 6L Quick Change Arbor with 3-1/4-Inch Pilot Drill Bit for Hole Saws</t>
        </is>
      </c>
      <c r="E498" s="1">
        <f>HYPERLINK("https://www.amazon.com/Lenox-Tools-1779805-Change-4-Inch/dp/B004CELTXC/ref=sr_1_8?keywords=Lenox+LXAH9334MMPB+3-3%2F4+in.+Carbide+Tipped+Hole+Saw+Pilot+Drill+Bit%2C+1%2F4+in.+Shank&amp;qid=1695346978&amp;sr=8-8", "https://www.amazon.com/Lenox-Tools-1779805-Change-4-Inch/dp/B004CELTXC/ref=sr_1_8?keywords=Lenox+LXAH9334MMPB+3-3%2F4+in.+Carbide+Tipped+Hole+Saw+Pilot+Drill+Bit%2C+1%2F4+in.+Shank&amp;qid=1695346978&amp;sr=8-8")</f>
        <v/>
      </c>
      <c r="F498" t="inlineStr">
        <is>
          <t>B004CELTXC</t>
        </is>
      </c>
      <c r="G498">
        <f>_xlfn.IMAGE("https://www.toolnut.com/media/catalog/product/l/x/lxah9334mmpb-1.jpg?quality=100&amp;bg-color=255,255,255&amp;fit=bounds&amp;height=700&amp;width=700&amp;canvas=700:700&amp;dpr=1 1x")</f>
        <v/>
      </c>
      <c r="H498">
        <f>_xlfn.IMAGE("https://m.media-amazon.com/images/I/41oM98-GA3L._AC_UL320_.jpg")</f>
        <v/>
      </c>
      <c r="K498" t="inlineStr">
        <is>
          <t>5.99</t>
        </is>
      </c>
      <c r="L498" t="n">
        <v>19.75</v>
      </c>
      <c r="M498" s="2" t="inlineStr">
        <is>
          <t>229.72%</t>
        </is>
      </c>
      <c r="N498" t="n">
        <v>4.5</v>
      </c>
      <c r="O498" t="n">
        <v>153</v>
      </c>
      <c r="Q498" t="inlineStr">
        <is>
          <t>InStock</t>
        </is>
      </c>
      <c r="R498" t="inlineStr">
        <is>
          <t>undefined</t>
        </is>
      </c>
      <c r="S498" t="inlineStr">
        <is>
          <t>LXAH9334MMPB</t>
        </is>
      </c>
    </row>
    <row r="499" ht="75" customHeight="1">
      <c r="A499" s="1">
        <f>HYPERLINK("https://www.toolnut.com/lenox-lxah9334spb-3-3-4-in-self-feed-hole-saw-pilot-drill-bit-1-4-in-shank.html", "https://www.toolnut.com/lenox-lxah9334spb-3-3-4-in-self-feed-hole-saw-pilot-drill-bit-1-4-in-shank.html")</f>
        <v/>
      </c>
      <c r="B499" s="1">
        <f>HYPERLINK("https://www.toolnut.com/lenox-lxah9334spb-3-3-4-in-self-feed-hole-saw-pilot-drill-bit-1-4-in-shank.html", "https://www.toolnut.com/lenox-lxah9334spb-3-3-4-in-self-feed-hole-saw-pilot-drill-bit-1-4-in-shank.html")</f>
        <v/>
      </c>
      <c r="C499" t="inlineStr">
        <is>
          <t>Lenox LXAH9334SPB 3-3/4 in. Self-Feed Hole Saw Pilot Drill Bit. 1/4 in. Shank</t>
        </is>
      </c>
      <c r="D499" t="inlineStr">
        <is>
          <t>Lenox Tools 1779670 6L Snap Back Arbor with 3-1/4-Inch Pilot Drill Bit for Hole Saws</t>
        </is>
      </c>
      <c r="E499" s="1">
        <f>HYPERLINK("https://www.amazon.com/Lenox-Tools-1779670-Arbor-4-Inch/dp/B0058I0LV2/ref=sr_1_4?keywords=Lenox+LXAH9334SPB+3-3%2F4+in.+Self-Feed+Hole+Saw+Pilot+Drill+Bit.+1%2F4+in.+Shank&amp;qid=1695346982&amp;sr=8-4", "https://www.amazon.com/Lenox-Tools-1779670-Arbor-4-Inch/dp/B0058I0LV2/ref=sr_1_4?keywords=Lenox+LXAH9334SPB+3-3%2F4+in.+Self-Feed+Hole+Saw+Pilot+Drill+Bit.+1%2F4+in.+Shank&amp;qid=1695346982&amp;sr=8-4")</f>
        <v/>
      </c>
      <c r="F499" t="inlineStr">
        <is>
          <t>B0058I0LV2</t>
        </is>
      </c>
      <c r="G499">
        <f>_xlfn.IMAGE("https://www.toolnut.com/media/catalog/product/l/x/lxah9334spb-1.jpg?quality=100&amp;bg-color=255,255,255&amp;fit=bounds&amp;height=700&amp;width=700&amp;canvas=700:700&amp;dpr=1 1x")</f>
        <v/>
      </c>
      <c r="H499">
        <f>_xlfn.IMAGE("https://m.media-amazon.com/images/I/41U-reFwUSL._AC_UL320_.jpg")</f>
        <v/>
      </c>
      <c r="K499" t="inlineStr">
        <is>
          <t>4.99</t>
        </is>
      </c>
      <c r="L499" t="n">
        <v>23.31</v>
      </c>
      <c r="M499" s="2" t="inlineStr">
        <is>
          <t>367.13%</t>
        </is>
      </c>
      <c r="N499" t="n">
        <v>4.6</v>
      </c>
      <c r="O499" t="n">
        <v>89</v>
      </c>
      <c r="Q499" t="inlineStr">
        <is>
          <t>InStock</t>
        </is>
      </c>
      <c r="R499" t="inlineStr">
        <is>
          <t>undefined</t>
        </is>
      </c>
      <c r="S499" t="inlineStr">
        <is>
          <t>LXAH9334SPB</t>
        </is>
      </c>
    </row>
    <row r="500" ht="75" customHeight="1">
      <c r="A500" s="1">
        <f>HYPERLINK("https://www.toolnut.com/lenox-lxah9334spb-3-3-4-in-self-feed-hole-saw-pilot-drill-bit-1-4-in-shank.html", "https://www.toolnut.com/lenox-lxah9334spb-3-3-4-in-self-feed-hole-saw-pilot-drill-bit-1-4-in-shank.html")</f>
        <v/>
      </c>
      <c r="B500" s="1">
        <f>HYPERLINK("https://www.toolnut.com/lenox-lxah9334spb-3-3-4-in-self-feed-hole-saw-pilot-drill-bit-1-4-in-shank.html", "https://www.toolnut.com/lenox-lxah9334spb-3-3-4-in-self-feed-hole-saw-pilot-drill-bit-1-4-in-shank.html")</f>
        <v/>
      </c>
      <c r="C500" t="inlineStr">
        <is>
          <t>Lenox LXAH9334SPB 3-3/4 in. Self-Feed Hole Saw Pilot Drill Bit. 1/4 in. Shank</t>
        </is>
      </c>
      <c r="D500" t="inlineStr">
        <is>
          <t>Lenox Tools 1779802 3L Arbor with 3-1/4-Inch Pilot Drill Bit for Hole Saws</t>
        </is>
      </c>
      <c r="E500" s="1">
        <f>HYPERLINK("https://www.amazon.com/Lenox-Tools-1779802-Arbor-4-Inch/dp/B004C1OPJK/ref=sr_1_5?keywords=Lenox+LXAH9334SPB+3-3%2F4+in.+Self-Feed+Hole+Saw+Pilot+Drill+Bit.+1%2F4+in.+Shank&amp;qid=1695346982&amp;sr=8-5", "https://www.amazon.com/Lenox-Tools-1779802-Arbor-4-Inch/dp/B004C1OPJK/ref=sr_1_5?keywords=Lenox+LXAH9334SPB+3-3%2F4+in.+Self-Feed+Hole+Saw+Pilot+Drill+Bit.+1%2F4+in.+Shank&amp;qid=1695346982&amp;sr=8-5")</f>
        <v/>
      </c>
      <c r="F500" t="inlineStr">
        <is>
          <t>B004C1OPJK</t>
        </is>
      </c>
      <c r="G500">
        <f>_xlfn.IMAGE("https://www.toolnut.com/media/catalog/product/l/x/lxah9334spb-1.jpg?quality=100&amp;bg-color=255,255,255&amp;fit=bounds&amp;height=700&amp;width=700&amp;canvas=700:700&amp;dpr=1 1x")</f>
        <v/>
      </c>
      <c r="H500">
        <f>_xlfn.IMAGE("https://m.media-amazon.com/images/I/41r5hrOyXjL._AC_UL320_.jpg")</f>
        <v/>
      </c>
      <c r="K500" t="inlineStr">
        <is>
          <t>4.99</t>
        </is>
      </c>
      <c r="L500" t="n">
        <v>20.74</v>
      </c>
      <c r="M500" s="2" t="inlineStr">
        <is>
          <t>315.63%</t>
        </is>
      </c>
      <c r="N500" t="n">
        <v>4.6</v>
      </c>
      <c r="O500" t="n">
        <v>156</v>
      </c>
      <c r="Q500" t="inlineStr">
        <is>
          <t>InStock</t>
        </is>
      </c>
      <c r="R500" t="inlineStr">
        <is>
          <t>undefined</t>
        </is>
      </c>
      <c r="S500" t="inlineStr">
        <is>
          <t>LXAH9334SPB</t>
        </is>
      </c>
    </row>
    <row r="501" ht="75" customHeight="1">
      <c r="A501" s="1">
        <f>HYPERLINK("https://www.toolnut.com/lenox-lxah9334spb-3-3-4-in-self-feed-hole-saw-pilot-drill-bit-1-4-in-shank.html", "https://www.toolnut.com/lenox-lxah9334spb-3-3-4-in-self-feed-hole-saw-pilot-drill-bit-1-4-in-shank.html")</f>
        <v/>
      </c>
      <c r="B501" s="1">
        <f>HYPERLINK("https://www.toolnut.com/lenox-lxah9334spb-3-3-4-in-self-feed-hole-saw-pilot-drill-bit-1-4-in-shank.html", "https://www.toolnut.com/lenox-lxah9334spb-3-3-4-in-self-feed-hole-saw-pilot-drill-bit-1-4-in-shank.html")</f>
        <v/>
      </c>
      <c r="C501" t="inlineStr">
        <is>
          <t>Lenox LXAH9334SPB 3-3/4 in. Self-Feed Hole Saw Pilot Drill Bit. 1/4 in. Shank</t>
        </is>
      </c>
      <c r="D501" t="inlineStr">
        <is>
          <t>Lenox Tools 1779805 6L Quick Change Arbor with 3-1/4-Inch Pilot Drill Bit for Hole Saws</t>
        </is>
      </c>
      <c r="E501" s="1">
        <f>HYPERLINK("https://www.amazon.com/Lenox-Tools-1779805-Change-4-Inch/dp/B004CELTXC/ref=sr_1_3?keywords=Lenox+LXAH9334SPB+3-3%2F4+in.+Self-Feed+Hole+Saw+Pilot+Drill+Bit.+1%2F4+in.+Shank&amp;qid=1695346982&amp;sr=8-3", "https://www.amazon.com/Lenox-Tools-1779805-Change-4-Inch/dp/B004CELTXC/ref=sr_1_3?keywords=Lenox+LXAH9334SPB+3-3%2F4+in.+Self-Feed+Hole+Saw+Pilot+Drill+Bit.+1%2F4+in.+Shank&amp;qid=1695346982&amp;sr=8-3")</f>
        <v/>
      </c>
      <c r="F501" t="inlineStr">
        <is>
          <t>B004CELTXC</t>
        </is>
      </c>
      <c r="G501">
        <f>_xlfn.IMAGE("https://www.toolnut.com/media/catalog/product/l/x/lxah9334spb-1.jpg?quality=100&amp;bg-color=255,255,255&amp;fit=bounds&amp;height=700&amp;width=700&amp;canvas=700:700&amp;dpr=1 1x")</f>
        <v/>
      </c>
      <c r="H501">
        <f>_xlfn.IMAGE("https://m.media-amazon.com/images/I/41oM98-GA3L._AC_UL320_.jpg")</f>
        <v/>
      </c>
      <c r="K501" t="inlineStr">
        <is>
          <t>4.99</t>
        </is>
      </c>
      <c r="L501" t="n">
        <v>19.75</v>
      </c>
      <c r="M501" s="2" t="inlineStr">
        <is>
          <t>295.79%</t>
        </is>
      </c>
      <c r="N501" t="n">
        <v>4.5</v>
      </c>
      <c r="O501" t="n">
        <v>153</v>
      </c>
      <c r="Q501" t="inlineStr">
        <is>
          <t>InStock</t>
        </is>
      </c>
      <c r="R501" t="inlineStr">
        <is>
          <t>undefined</t>
        </is>
      </c>
      <c r="S501" t="inlineStr">
        <is>
          <t>LXAH9334SPB</t>
        </is>
      </c>
    </row>
    <row r="502" ht="75" customHeight="1">
      <c r="A502" s="1">
        <f>HYPERLINK("https://www.toolnut.com/lenox-lxah99314ctpb-3-3-4-in-hole-saw-pilot-drill-bit-1-4-in-shank.html", "https://www.toolnut.com/lenox-lxah99314ctpb-3-3-4-in-hole-saw-pilot-drill-bit-1-4-in-shank.html")</f>
        <v/>
      </c>
      <c r="B502" s="1">
        <f>HYPERLINK("https://www.toolnut.com/lenox-lxah99314ctpb-3-3-4-in-hole-saw-pilot-drill-bit-1-4-in-shank.html", "https://www.toolnut.com/lenox-lxah99314ctpb-3-3-4-in-hole-saw-pilot-drill-bit-1-4-in-shank.html")</f>
        <v/>
      </c>
      <c r="C502" t="inlineStr">
        <is>
          <t>Lenox LXAH99314CTPB 3-3/4 in. Hole Saw Pilot Drill Bit, 1/4 in. Shank</t>
        </is>
      </c>
      <c r="D502" t="inlineStr">
        <is>
          <t>Lenox Tools 1779670 6L Snap Back Arbor with 3-1/4-Inch Pilot Drill Bit for Hole Saws</t>
        </is>
      </c>
      <c r="E502" s="1">
        <f>HYPERLINK("https://www.amazon.com/Lenox-Tools-1779670-Arbor-4-Inch/dp/B0058I0LV2/ref=sr_1_6?keywords=Lenox+LXAH99314CTPB+3-3%2F4+in.+Hole+Saw+Pilot+Drill+Bit%2C+1%2F4+in.+Shank&amp;qid=1695346985&amp;sr=8-6", "https://www.amazon.com/Lenox-Tools-1779670-Arbor-4-Inch/dp/B0058I0LV2/ref=sr_1_6?keywords=Lenox+LXAH99314CTPB+3-3%2F4+in.+Hole+Saw+Pilot+Drill+Bit%2C+1%2F4+in.+Shank&amp;qid=1695346985&amp;sr=8-6")</f>
        <v/>
      </c>
      <c r="F502" t="inlineStr">
        <is>
          <t>B0058I0LV2</t>
        </is>
      </c>
      <c r="G502">
        <f>_xlfn.IMAGE("https://www.toolnut.com/media/catalog/product/l/x/lxah99314ctpb-1.jpg?quality=100&amp;bg-color=255,255,255&amp;fit=bounds&amp;height=700&amp;width=700&amp;canvas=700:700&amp;dpr=1 1x")</f>
        <v/>
      </c>
      <c r="H502">
        <f>_xlfn.IMAGE("https://m.media-amazon.com/images/I/41U-reFwUSL._AC_UL320_.jpg")</f>
        <v/>
      </c>
      <c r="K502" t="inlineStr">
        <is>
          <t>6.99</t>
        </is>
      </c>
      <c r="L502" t="n">
        <v>26.11</v>
      </c>
      <c r="M502" s="2" t="inlineStr">
        <is>
          <t>273.53%</t>
        </is>
      </c>
      <c r="N502" t="n">
        <v>4.6</v>
      </c>
      <c r="O502" t="n">
        <v>89</v>
      </c>
      <c r="Q502" t="inlineStr">
        <is>
          <t>InStock</t>
        </is>
      </c>
      <c r="R502" t="inlineStr">
        <is>
          <t>undefined</t>
        </is>
      </c>
      <c r="S502" t="inlineStr">
        <is>
          <t>LXAH99314CTPB</t>
        </is>
      </c>
    </row>
    <row r="503" ht="75" customHeight="1">
      <c r="A503" s="1">
        <f>HYPERLINK("https://www.toolnut.com/lenox-lxah99314ctpb-3-3-4-in-hole-saw-pilot-drill-bit-1-4-in-shank.html", "https://www.toolnut.com/lenox-lxah99314ctpb-3-3-4-in-hole-saw-pilot-drill-bit-1-4-in-shank.html")</f>
        <v/>
      </c>
      <c r="B503" s="1">
        <f>HYPERLINK("https://www.toolnut.com/lenox-lxah99314ctpb-3-3-4-in-hole-saw-pilot-drill-bit-1-4-in-shank.html", "https://www.toolnut.com/lenox-lxah99314ctpb-3-3-4-in-hole-saw-pilot-drill-bit-1-4-in-shank.html")</f>
        <v/>
      </c>
      <c r="C503" t="inlineStr">
        <is>
          <t>Lenox LXAH99314CTPB 3-3/4 in. Hole Saw Pilot Drill Bit, 1/4 in. Shank</t>
        </is>
      </c>
      <c r="D503" t="inlineStr">
        <is>
          <t>ASNOMY Tungsten Carbide Tipped Hole Saw Drill Bit for Hard Metal, 3-1/4 Inch T.C.T Hole Saw Cutter with 2pcs Titanium-Plated Pilot Drill bit for Metal, Steel, Iron, Wood, Plastic</t>
        </is>
      </c>
      <c r="E503" s="1">
        <f>HYPERLINK("https://www.amazon.com/ASNOMY-Tungsten-Carbide-Titanium-Plated-Plastic/dp/B0BY8PDKMQ/ref=sr_1_9?keywords=Lenox+LXAH99314CTPB+3-3%2F4+in.+Hole+Saw+Pilot+Drill+Bit%2C+1%2F4+in.+Shank&amp;qid=1695346985&amp;sr=8-9", "https://www.amazon.com/ASNOMY-Tungsten-Carbide-Titanium-Plated-Plastic/dp/B0BY8PDKMQ/ref=sr_1_9?keywords=Lenox+LXAH99314CTPB+3-3%2F4+in.+Hole+Saw+Pilot+Drill+Bit%2C+1%2F4+in.+Shank&amp;qid=1695346985&amp;sr=8-9")</f>
        <v/>
      </c>
      <c r="F503" t="inlineStr">
        <is>
          <t>B0BY8PDKMQ</t>
        </is>
      </c>
      <c r="G503">
        <f>_xlfn.IMAGE("https://www.toolnut.com/media/catalog/product/l/x/lxah99314ctpb-1.jpg?quality=100&amp;bg-color=255,255,255&amp;fit=bounds&amp;height=700&amp;width=700&amp;canvas=700:700&amp;dpr=1 1x")</f>
        <v/>
      </c>
      <c r="H503">
        <f>_xlfn.IMAGE("https://m.media-amazon.com/images/I/51CKygXHu8L._AC_UL320_.jpg")</f>
        <v/>
      </c>
      <c r="K503" t="inlineStr">
        <is>
          <t>6.99</t>
        </is>
      </c>
      <c r="L503" t="n">
        <v>20.99</v>
      </c>
      <c r="M503" s="2" t="inlineStr">
        <is>
          <t>200.29%</t>
        </is>
      </c>
      <c r="N503" t="n">
        <v>4.3</v>
      </c>
      <c r="O503" t="n">
        <v>904</v>
      </c>
      <c r="Q503" t="inlineStr">
        <is>
          <t>InStock</t>
        </is>
      </c>
      <c r="R503" t="inlineStr">
        <is>
          <t>undefined</t>
        </is>
      </c>
      <c r="S503" t="inlineStr">
        <is>
          <t>LXAH99314CTPB</t>
        </is>
      </c>
    </row>
    <row r="504" ht="75" customHeight="1">
      <c r="A504" s="1">
        <f>HYPERLINK("https://www.toolnut.com/lenox-lxah99314ctpb-3-3-4-in-hole-saw-pilot-drill-bit-1-4-in-shank.html", "https://www.toolnut.com/lenox-lxah99314ctpb-3-3-4-in-hole-saw-pilot-drill-bit-1-4-in-shank.html")</f>
        <v/>
      </c>
      <c r="B504" s="1">
        <f>HYPERLINK("https://www.toolnut.com/lenox-lxah99314ctpb-3-3-4-in-hole-saw-pilot-drill-bit-1-4-in-shank.html", "https://www.toolnut.com/lenox-lxah99314ctpb-3-3-4-in-hole-saw-pilot-drill-bit-1-4-in-shank.html")</f>
        <v/>
      </c>
      <c r="C504" t="inlineStr">
        <is>
          <t>Lenox LXAH99314CTPB 3-3/4 in. Hole Saw Pilot Drill Bit, 1/4 in. Shank</t>
        </is>
      </c>
      <c r="D504" t="inlineStr">
        <is>
          <t>Lenox Tools 1779802 3L Arbor with 3-1/4-Inch Pilot Drill Bit for Hole Saws</t>
        </is>
      </c>
      <c r="E504" s="1">
        <f>HYPERLINK("https://www.amazon.com/Lenox-Tools-1779802-Arbor-4-Inch/dp/B004C1OPJK/ref=sr_1_7?keywords=Lenox+LXAH99314CTPB+3-3%2F4+in.+Hole+Saw+Pilot+Drill+Bit%2C+1%2F4+in.+Shank&amp;qid=1695346985&amp;sr=8-7", "https://www.amazon.com/Lenox-Tools-1779802-Arbor-4-Inch/dp/B004C1OPJK/ref=sr_1_7?keywords=Lenox+LXAH99314CTPB+3-3%2F4+in.+Hole+Saw+Pilot+Drill+Bit%2C+1%2F4+in.+Shank&amp;qid=1695346985&amp;sr=8-7")</f>
        <v/>
      </c>
      <c r="F504" t="inlineStr">
        <is>
          <t>B004C1OPJK</t>
        </is>
      </c>
      <c r="G504">
        <f>_xlfn.IMAGE("https://www.toolnut.com/media/catalog/product/l/x/lxah99314ctpb-1.jpg?quality=100&amp;bg-color=255,255,255&amp;fit=bounds&amp;height=700&amp;width=700&amp;canvas=700:700&amp;dpr=1 1x")</f>
        <v/>
      </c>
      <c r="H504">
        <f>_xlfn.IMAGE("https://m.media-amazon.com/images/I/41r5hrOyXjL._AC_UL320_.jpg")</f>
        <v/>
      </c>
      <c r="K504" t="inlineStr">
        <is>
          <t>6.99</t>
        </is>
      </c>
      <c r="L504" t="n">
        <v>20.74</v>
      </c>
      <c r="M504" s="2" t="inlineStr">
        <is>
          <t>196.71%</t>
        </is>
      </c>
      <c r="N504" t="n">
        <v>4.6</v>
      </c>
      <c r="O504" t="n">
        <v>156</v>
      </c>
      <c r="Q504" t="inlineStr">
        <is>
          <t>InStock</t>
        </is>
      </c>
      <c r="R504" t="inlineStr">
        <is>
          <t>undefined</t>
        </is>
      </c>
      <c r="S504" t="inlineStr">
        <is>
          <t>LXAH99314CTPB</t>
        </is>
      </c>
    </row>
    <row r="505" ht="75" customHeight="1">
      <c r="A505" s="1">
        <f>HYPERLINK("https://www.toolnut.com/lenox-lxah99314ctpb-3-3-4-in-hole-saw-pilot-drill-bit-1-4-in-shank.html", "https://www.toolnut.com/lenox-lxah99314ctpb-3-3-4-in-hole-saw-pilot-drill-bit-1-4-in-shank.html")</f>
        <v/>
      </c>
      <c r="B505" s="1">
        <f>HYPERLINK("https://www.toolnut.com/lenox-lxah99314ctpb-3-3-4-in-hole-saw-pilot-drill-bit-1-4-in-shank.html", "https://www.toolnut.com/lenox-lxah99314ctpb-3-3-4-in-hole-saw-pilot-drill-bit-1-4-in-shank.html")</f>
        <v/>
      </c>
      <c r="C505" t="inlineStr">
        <is>
          <t>Lenox LXAH99314CTPB 3-3/4 in. Hole Saw Pilot Drill Bit, 1/4 in. Shank</t>
        </is>
      </c>
      <c r="D505" t="inlineStr">
        <is>
          <t>Lenox Tools 1779805 6L Quick Change Arbor with 3-1/4-Inch Pilot Drill Bit for Hole Saws</t>
        </is>
      </c>
      <c r="E505" s="1">
        <f>HYPERLINK("https://www.amazon.com/Lenox-Tools-1779805-Change-4-Inch/dp/B004CELTXC/ref=sr_1_4?keywords=Lenox+LXAH99314CTPB+3-3%2F4+in.+Hole+Saw+Pilot+Drill+Bit%2C+1%2F4+in.+Shank&amp;qid=1695346985&amp;sr=8-4", "https://www.amazon.com/Lenox-Tools-1779805-Change-4-Inch/dp/B004CELTXC/ref=sr_1_4?keywords=Lenox+LXAH99314CTPB+3-3%2F4+in.+Hole+Saw+Pilot+Drill+Bit%2C+1%2F4+in.+Shank&amp;qid=1695346985&amp;sr=8-4")</f>
        <v/>
      </c>
      <c r="F505" t="inlineStr">
        <is>
          <t>B004CELTXC</t>
        </is>
      </c>
      <c r="G505">
        <f>_xlfn.IMAGE("https://www.toolnut.com/media/catalog/product/l/x/lxah99314ctpb-1.jpg?quality=100&amp;bg-color=255,255,255&amp;fit=bounds&amp;height=700&amp;width=700&amp;canvas=700:700&amp;dpr=1 1x")</f>
        <v/>
      </c>
      <c r="H505">
        <f>_xlfn.IMAGE("https://m.media-amazon.com/images/I/41oM98-GA3L._AC_UL320_.jpg")</f>
        <v/>
      </c>
      <c r="K505" t="inlineStr">
        <is>
          <t>6.99</t>
        </is>
      </c>
      <c r="L505" t="n">
        <v>19.75</v>
      </c>
      <c r="M505" s="2" t="inlineStr">
        <is>
          <t>182.55%</t>
        </is>
      </c>
      <c r="N505" t="n">
        <v>4.5</v>
      </c>
      <c r="O505" t="n">
        <v>153</v>
      </c>
      <c r="Q505" t="inlineStr">
        <is>
          <t>InStock</t>
        </is>
      </c>
      <c r="R505" t="inlineStr">
        <is>
          <t>undefined</t>
        </is>
      </c>
      <c r="S505" t="inlineStr">
        <is>
          <t>LXAH99314CTPB</t>
        </is>
      </c>
    </row>
    <row r="506" ht="75" customHeight="1">
      <c r="A506" s="1">
        <f>HYPERLINK("https://www.toolnut.com/lenox-lxah99314ctpb-3-3-4-in-hole-saw-pilot-drill-bit-1-4-in-shank.html", "https://www.toolnut.com/lenox-lxah99314ctpb-3-3-4-in-hole-saw-pilot-drill-bit-1-4-in-shank.html")</f>
        <v/>
      </c>
      <c r="B506" s="1">
        <f>HYPERLINK("https://www.toolnut.com/lenox-lxah99314ctpb-3-3-4-in-hole-saw-pilot-drill-bit-1-4-in-shank.html", "https://www.toolnut.com/lenox-lxah99314ctpb-3-3-4-in-hole-saw-pilot-drill-bit-1-4-in-shank.html")</f>
        <v/>
      </c>
      <c r="C506" t="inlineStr">
        <is>
          <t>Lenox LXAH99314CTPB 3-3/4 in. Hole Saw Pilot Drill Bit, 1/4 in. Shank</t>
        </is>
      </c>
      <c r="D506" t="inlineStr">
        <is>
          <t>Lenox Tools 1779805 6L Quick Change Arbor with 3-1/4-Inch Pilot Drill Bit for Hole Saws</t>
        </is>
      </c>
      <c r="E506" s="1">
        <f>HYPERLINK("https://www.amazon.com/Lenox-Tools-1779805-Change-4-Inch/dp/B004CELTXC/ref=sr_1_4?keywords=Lenox+LXAH99314CTPB+3-3%2F4+in.+Hole+Saw+Pilot+Drill+Bit%2C+1%2F4+in.+Shank&amp;qid=1695346985&amp;sr=8-4", "https://www.amazon.com/Lenox-Tools-1779805-Change-4-Inch/dp/B004CELTXC/ref=sr_1_4?keywords=Lenox+LXAH99314CTPB+3-3%2F4+in.+Hole+Saw+Pilot+Drill+Bit%2C+1%2F4+in.+Shank&amp;qid=1695346985&amp;sr=8-4")</f>
        <v/>
      </c>
      <c r="F506" t="inlineStr">
        <is>
          <t>B004CELTXC</t>
        </is>
      </c>
      <c r="G506">
        <f>_xlfn.IMAGE("https://www.toolnut.com/media/catalog/product/l/x/lxah99314ctpb-1.jpg?quality=100&amp;bg-color=255,255,255&amp;fit=bounds&amp;height=700&amp;width=700&amp;canvas=700:700&amp;dpr=1 1x")</f>
        <v/>
      </c>
      <c r="H506">
        <f>_xlfn.IMAGE("https://m.media-amazon.com/images/I/41oM98-GA3L._AC_UL320_.jpg")</f>
        <v/>
      </c>
      <c r="K506" t="inlineStr">
        <is>
          <t>6.99</t>
        </is>
      </c>
      <c r="L506" t="n">
        <v>19.75</v>
      </c>
      <c r="M506" s="2" t="inlineStr">
        <is>
          <t>182.55%</t>
        </is>
      </c>
      <c r="N506" t="n">
        <v>4.5</v>
      </c>
      <c r="O506" t="n">
        <v>153</v>
      </c>
      <c r="Q506" t="inlineStr">
        <is>
          <t>InStock</t>
        </is>
      </c>
      <c r="R506" t="inlineStr">
        <is>
          <t>undefined</t>
        </is>
      </c>
      <c r="S506" t="inlineStr">
        <is>
          <t>LXAH99314CTPB</t>
        </is>
      </c>
    </row>
    <row r="507" ht="75" customHeight="1">
      <c r="A507" s="1">
        <f>HYPERLINK("https://www.toolnut.com/lenox-lxah99314pb-3-3-4-in-hole-saw-pilot-drill-bit-1-4-in-shank.html", "https://www.toolnut.com/lenox-lxah99314pb-3-3-4-in-hole-saw-pilot-drill-bit-1-4-in-shank.html")</f>
        <v/>
      </c>
      <c r="B507" s="1">
        <f>HYPERLINK("https://www.toolnut.com/lenox-lxah99314pb-3-3-4-in-hole-saw-pilot-drill-bit-1-4-in-shank.html", "https://www.toolnut.com/lenox-lxah99314pb-3-3-4-in-hole-saw-pilot-drill-bit-1-4-in-shank.html")</f>
        <v/>
      </c>
      <c r="C507" t="inlineStr">
        <is>
          <t>Lenox LXAH99314PB 3-3/4 in. Hole Saw Pilot Drill Bit, 1/4 in. Shank</t>
        </is>
      </c>
      <c r="D507" t="inlineStr">
        <is>
          <t>Lenox Tools 1779670 6L Snap Back Arbor with 3-1/4-Inch Pilot Drill Bit for Hole Saws</t>
        </is>
      </c>
      <c r="E507" s="1">
        <f>HYPERLINK("https://www.amazon.com/Lenox-Tools-1779670-Arbor-4-Inch/dp/B0058I0LV2/ref=sr_1_5?keywords=Lenox+LXAH99314PB+3-3%2F4+in.+Hole+Saw+Pilot+Drill+Bit%2C+1%2F4+in.+Shank&amp;qid=1695346976&amp;sr=8-5", "https://www.amazon.com/Lenox-Tools-1779670-Arbor-4-Inch/dp/B0058I0LV2/ref=sr_1_5?keywords=Lenox+LXAH99314PB+3-3%2F4+in.+Hole+Saw+Pilot+Drill+Bit%2C+1%2F4+in.+Shank&amp;qid=1695346976&amp;sr=8-5")</f>
        <v/>
      </c>
      <c r="F507" t="inlineStr">
        <is>
          <t>B0058I0LV2</t>
        </is>
      </c>
      <c r="G507">
        <f>_xlfn.IMAGE("https://www.toolnut.com/media/catalog/product/l/x/lxah99314pb-1.jpg?quality=100&amp;bg-color=255,255,255&amp;fit=bounds&amp;height=700&amp;width=700&amp;canvas=700:700&amp;dpr=1 1x")</f>
        <v/>
      </c>
      <c r="H507">
        <f>_xlfn.IMAGE("https://m.media-amazon.com/images/I/41U-reFwUSL._AC_UL320_.jpg")</f>
        <v/>
      </c>
      <c r="K507" t="inlineStr">
        <is>
          <t>3.99</t>
        </is>
      </c>
      <c r="L507" t="n">
        <v>26.11</v>
      </c>
      <c r="M507" s="2" t="inlineStr">
        <is>
          <t>554.39%</t>
        </is>
      </c>
      <c r="N507" t="n">
        <v>4.6</v>
      </c>
      <c r="O507" t="n">
        <v>89</v>
      </c>
      <c r="Q507" t="inlineStr">
        <is>
          <t>InStock</t>
        </is>
      </c>
      <c r="R507" t="inlineStr">
        <is>
          <t>undefined</t>
        </is>
      </c>
      <c r="S507" t="inlineStr">
        <is>
          <t>LXAH99314PB</t>
        </is>
      </c>
    </row>
    <row r="508" ht="75" customHeight="1">
      <c r="A508" s="1">
        <f>HYPERLINK("https://www.toolnut.com/lenox-lxah99314pb-3-3-4-in-hole-saw-pilot-drill-bit-1-4-in-shank.html", "https://www.toolnut.com/lenox-lxah99314pb-3-3-4-in-hole-saw-pilot-drill-bit-1-4-in-shank.html")</f>
        <v/>
      </c>
      <c r="B508" s="1">
        <f>HYPERLINK("https://www.toolnut.com/lenox-lxah99314pb-3-3-4-in-hole-saw-pilot-drill-bit-1-4-in-shank.html", "https://www.toolnut.com/lenox-lxah99314pb-3-3-4-in-hole-saw-pilot-drill-bit-1-4-in-shank.html")</f>
        <v/>
      </c>
      <c r="C508" t="inlineStr">
        <is>
          <t>Lenox LXAH99314PB 3-3/4 in. Hole Saw Pilot Drill Bit, 1/4 in. Shank</t>
        </is>
      </c>
      <c r="D508" t="inlineStr">
        <is>
          <t>ASNOMY Tungsten Carbide Tipped Hole Saw Drill Bit for Hard Metal, 3-1/4 Inch T.C.T Hole Saw Cutter with 2pcs Titanium-Plated Pilot Drill bit for Metal, Steel, Iron, Wood, Plastic</t>
        </is>
      </c>
      <c r="E508" s="1">
        <f>HYPERLINK("https://www.amazon.com/ASNOMY-Tungsten-Carbide-Titanium-Plated-Plastic/dp/B0BY8PDKMQ/ref=sr_1_8?keywords=Lenox+LXAH99314PB+3-3%2F4+in.+Hole+Saw+Pilot+Drill+Bit%2C+1%2F4+in.+Shank&amp;qid=1695346976&amp;sr=8-8", "https://www.amazon.com/ASNOMY-Tungsten-Carbide-Titanium-Plated-Plastic/dp/B0BY8PDKMQ/ref=sr_1_8?keywords=Lenox+LXAH99314PB+3-3%2F4+in.+Hole+Saw+Pilot+Drill+Bit%2C+1%2F4+in.+Shank&amp;qid=1695346976&amp;sr=8-8")</f>
        <v/>
      </c>
      <c r="F508" t="inlineStr">
        <is>
          <t>B0BY8PDKMQ</t>
        </is>
      </c>
      <c r="G508">
        <f>_xlfn.IMAGE("https://www.toolnut.com/media/catalog/product/l/x/lxah99314pb-1.jpg?quality=100&amp;bg-color=255,255,255&amp;fit=bounds&amp;height=700&amp;width=700&amp;canvas=700:700&amp;dpr=1 1x")</f>
        <v/>
      </c>
      <c r="H508">
        <f>_xlfn.IMAGE("https://m.media-amazon.com/images/I/51CKygXHu8L._AC_UL320_.jpg")</f>
        <v/>
      </c>
      <c r="K508" t="inlineStr">
        <is>
          <t>3.99</t>
        </is>
      </c>
      <c r="L508" t="n">
        <v>20.99</v>
      </c>
      <c r="M508" s="2" t="inlineStr">
        <is>
          <t>426.07%</t>
        </is>
      </c>
      <c r="N508" t="n">
        <v>4.3</v>
      </c>
      <c r="O508" t="n">
        <v>904</v>
      </c>
      <c r="Q508" t="inlineStr">
        <is>
          <t>InStock</t>
        </is>
      </c>
      <c r="R508" t="inlineStr">
        <is>
          <t>undefined</t>
        </is>
      </c>
      <c r="S508" t="inlineStr">
        <is>
          <t>LXAH99314PB</t>
        </is>
      </c>
    </row>
    <row r="509" ht="75" customHeight="1">
      <c r="A509" s="1">
        <f>HYPERLINK("https://www.toolnut.com/lenox-lxah99314pb-3-3-4-in-hole-saw-pilot-drill-bit-1-4-in-shank.html", "https://www.toolnut.com/lenox-lxah99314pb-3-3-4-in-hole-saw-pilot-drill-bit-1-4-in-shank.html")</f>
        <v/>
      </c>
      <c r="B509" s="1">
        <f>HYPERLINK("https://www.toolnut.com/lenox-lxah99314pb-3-3-4-in-hole-saw-pilot-drill-bit-1-4-in-shank.html", "https://www.toolnut.com/lenox-lxah99314pb-3-3-4-in-hole-saw-pilot-drill-bit-1-4-in-shank.html")</f>
        <v/>
      </c>
      <c r="C509" t="inlineStr">
        <is>
          <t>Lenox LXAH99314PB 3-3/4 in. Hole Saw Pilot Drill Bit, 1/4 in. Shank</t>
        </is>
      </c>
      <c r="D509" t="inlineStr">
        <is>
          <t>Lenox Tools 1779802 3L Arbor with 3-1/4-Inch Pilot Drill Bit for Hole Saws</t>
        </is>
      </c>
      <c r="E509" s="1">
        <f>HYPERLINK("https://www.amazon.com/Lenox-Tools-1779802-Arbor-4-Inch/dp/B004C1OPJK/ref=sr_1_7?keywords=Lenox+LXAH99314PB+3-3%2F4+in.+Hole+Saw+Pilot+Drill+Bit%2C+1%2F4+in.+Shank&amp;qid=1695346976&amp;sr=8-7", "https://www.amazon.com/Lenox-Tools-1779802-Arbor-4-Inch/dp/B004C1OPJK/ref=sr_1_7?keywords=Lenox+LXAH99314PB+3-3%2F4+in.+Hole+Saw+Pilot+Drill+Bit%2C+1%2F4+in.+Shank&amp;qid=1695346976&amp;sr=8-7")</f>
        <v/>
      </c>
      <c r="F509" t="inlineStr">
        <is>
          <t>B004C1OPJK</t>
        </is>
      </c>
      <c r="G509">
        <f>_xlfn.IMAGE("https://www.toolnut.com/media/catalog/product/l/x/lxah99314pb-1.jpg?quality=100&amp;bg-color=255,255,255&amp;fit=bounds&amp;height=700&amp;width=700&amp;canvas=700:700&amp;dpr=1 1x")</f>
        <v/>
      </c>
      <c r="H509">
        <f>_xlfn.IMAGE("https://m.media-amazon.com/images/I/41r5hrOyXjL._AC_UL320_.jpg")</f>
        <v/>
      </c>
      <c r="K509" t="inlineStr">
        <is>
          <t>3.99</t>
        </is>
      </c>
      <c r="L509" t="n">
        <v>20.74</v>
      </c>
      <c r="M509" s="2" t="inlineStr">
        <is>
          <t>419.80%</t>
        </is>
      </c>
      <c r="N509" t="n">
        <v>4.6</v>
      </c>
      <c r="O509" t="n">
        <v>156</v>
      </c>
      <c r="Q509" t="inlineStr">
        <is>
          <t>InStock</t>
        </is>
      </c>
      <c r="R509" t="inlineStr">
        <is>
          <t>undefined</t>
        </is>
      </c>
      <c r="S509" t="inlineStr">
        <is>
          <t>LXAH99314PB</t>
        </is>
      </c>
    </row>
    <row r="510" ht="75" customHeight="1">
      <c r="A510" s="1">
        <f>HYPERLINK("https://www.toolnut.com/lenox-lxah99314pb-3-3-4-in-hole-saw-pilot-drill-bit-1-4-in-shank.html", "https://www.toolnut.com/lenox-lxah99314pb-3-3-4-in-hole-saw-pilot-drill-bit-1-4-in-shank.html")</f>
        <v/>
      </c>
      <c r="B510" s="1">
        <f>HYPERLINK("https://www.toolnut.com/lenox-lxah99314pb-3-3-4-in-hole-saw-pilot-drill-bit-1-4-in-shank.html", "https://www.toolnut.com/lenox-lxah99314pb-3-3-4-in-hole-saw-pilot-drill-bit-1-4-in-shank.html")</f>
        <v/>
      </c>
      <c r="C510" t="inlineStr">
        <is>
          <t>Lenox LXAH99314PB 3-3/4 in. Hole Saw Pilot Drill Bit, 1/4 in. Shank</t>
        </is>
      </c>
      <c r="D510" t="inlineStr">
        <is>
          <t>Lenox Tools 1779805 6L Quick Change Arbor with 3-1/4-Inch Pilot Drill Bit for Hole Saws</t>
        </is>
      </c>
      <c r="E510" s="1">
        <f>HYPERLINK("https://www.amazon.com/Lenox-Tools-1779805-Change-4-Inch/dp/B004CELTXC/ref=sr_1_3?keywords=Lenox+LXAH99314PB+3-3%2F4+in.+Hole+Saw+Pilot+Drill+Bit%2C+1%2F4+in.+Shank&amp;qid=1695346976&amp;sr=8-3", "https://www.amazon.com/Lenox-Tools-1779805-Change-4-Inch/dp/B004CELTXC/ref=sr_1_3?keywords=Lenox+LXAH99314PB+3-3%2F4+in.+Hole+Saw+Pilot+Drill+Bit%2C+1%2F4+in.+Shank&amp;qid=1695346976&amp;sr=8-3")</f>
        <v/>
      </c>
      <c r="F510" t="inlineStr">
        <is>
          <t>B004CELTXC</t>
        </is>
      </c>
      <c r="G510">
        <f>_xlfn.IMAGE("https://www.toolnut.com/media/catalog/product/l/x/lxah99314pb-1.jpg?quality=100&amp;bg-color=255,255,255&amp;fit=bounds&amp;height=700&amp;width=700&amp;canvas=700:700&amp;dpr=1 1x")</f>
        <v/>
      </c>
      <c r="H510">
        <f>_xlfn.IMAGE("https://m.media-amazon.com/images/I/41oM98-GA3L._AC_UL320_.jpg")</f>
        <v/>
      </c>
      <c r="K510" t="inlineStr">
        <is>
          <t>3.99</t>
        </is>
      </c>
      <c r="L510" t="n">
        <v>19.75</v>
      </c>
      <c r="M510" s="2" t="inlineStr">
        <is>
          <t>394.99%</t>
        </is>
      </c>
      <c r="N510" t="n">
        <v>4.5</v>
      </c>
      <c r="O510" t="n">
        <v>153</v>
      </c>
      <c r="Q510" t="inlineStr">
        <is>
          <t>InStock</t>
        </is>
      </c>
      <c r="R510" t="inlineStr">
        <is>
          <t>undefined</t>
        </is>
      </c>
      <c r="S510" t="inlineStr">
        <is>
          <t>LXAH99314PB</t>
        </is>
      </c>
    </row>
    <row r="511" ht="75" customHeight="1">
      <c r="A511" s="1">
        <f>HYPERLINK("https://www.toolnut.com/lenox-lxah99414ctpb-4-1-4-in-hole-saw-pilot-drill-bit-3-8-in-shank.html", "https://www.toolnut.com/lenox-lxah99414ctpb-4-1-4-in-hole-saw-pilot-drill-bit-3-8-in-shank.html")</f>
        <v/>
      </c>
      <c r="B511" s="1">
        <f>HYPERLINK("https://www.toolnut.com/lenox-lxah99414ctpb-4-1-4-in-hole-saw-pilot-drill-bit-3-8-in-shank.html", "https://www.toolnut.com/lenox-lxah99414ctpb-4-1-4-in-hole-saw-pilot-drill-bit-3-8-in-shank.html")</f>
        <v/>
      </c>
      <c r="C511" t="inlineStr">
        <is>
          <t>Lenox LXAH99414CTPB 4-1/4 in. Hole Saw Pilot Drill Bit, 3/8 in. Shank</t>
        </is>
      </c>
      <c r="D511" t="inlineStr">
        <is>
          <t>Lenox Tools 1779802 3L Arbor with 3-1/4-Inch Pilot Drill Bit for Hole Saws</t>
        </is>
      </c>
      <c r="E511" s="1">
        <f>HYPERLINK("https://www.amazon.com/Lenox-Tools-1779802-Arbor-4-Inch/dp/B004C1OPJK/ref=sr_1_4?keywords=Lenox+LXAH99414CTPB+4-1%2F4+in.+Hole+Saw+Pilot+Drill+Bit%2C+3%2F8+in.+Shank&amp;qid=1695346971&amp;sr=8-4", "https://www.amazon.com/Lenox-Tools-1779802-Arbor-4-Inch/dp/B004C1OPJK/ref=sr_1_4?keywords=Lenox+LXAH99414CTPB+4-1%2F4+in.+Hole+Saw+Pilot+Drill+Bit%2C+3%2F8+in.+Shank&amp;qid=1695346971&amp;sr=8-4")</f>
        <v/>
      </c>
      <c r="F511" t="inlineStr">
        <is>
          <t>B004C1OPJK</t>
        </is>
      </c>
      <c r="G511">
        <f>_xlfn.IMAGE("https://www.toolnut.com/media/catalog/product/l/x/lxah99414ctpb-2.jpg?quality=100&amp;bg-color=255,255,255&amp;fit=bounds&amp;height=700&amp;width=700&amp;canvas=700:700&amp;dpr=1 1x")</f>
        <v/>
      </c>
      <c r="H511">
        <f>_xlfn.IMAGE("https://m.media-amazon.com/images/I/41r5hrOyXjL._AC_UL320_.jpg")</f>
        <v/>
      </c>
      <c r="K511" t="inlineStr">
        <is>
          <t>6.99</t>
        </is>
      </c>
      <c r="L511" t="n">
        <v>20.74</v>
      </c>
      <c r="M511" s="2" t="inlineStr">
        <is>
          <t>196.71%</t>
        </is>
      </c>
      <c r="N511" t="n">
        <v>4.6</v>
      </c>
      <c r="O511" t="n">
        <v>156</v>
      </c>
      <c r="Q511" t="inlineStr">
        <is>
          <t>InStock</t>
        </is>
      </c>
      <c r="R511" t="inlineStr">
        <is>
          <t>undefined</t>
        </is>
      </c>
      <c r="S511" t="inlineStr">
        <is>
          <t>LXAH99414CTPB</t>
        </is>
      </c>
    </row>
    <row r="512" ht="75" customHeight="1">
      <c r="A512" s="1">
        <f>HYPERLINK("https://www.toolnut.com/lenox-lxah99414ctpb-4-1-4-in-hole-saw-pilot-drill-bit-3-8-in-shank.html", "https://www.toolnut.com/lenox-lxah99414ctpb-4-1-4-in-hole-saw-pilot-drill-bit-3-8-in-shank.html")</f>
        <v/>
      </c>
      <c r="B512" s="1">
        <f>HYPERLINK("https://www.toolnut.com/lenox-lxah99414ctpb-4-1-4-in-hole-saw-pilot-drill-bit-3-8-in-shank.html", "https://www.toolnut.com/lenox-lxah99414ctpb-4-1-4-in-hole-saw-pilot-drill-bit-3-8-in-shank.html")</f>
        <v/>
      </c>
      <c r="C512" t="inlineStr">
        <is>
          <t>Lenox LXAH99414CTPB 4-1/4 in. Hole Saw Pilot Drill Bit, 3/8 in. Shank</t>
        </is>
      </c>
      <c r="D512" t="inlineStr">
        <is>
          <t>Lenox Tools 1779670 6L Snap Back Arbor with 3-1/4-Inch Pilot Drill Bit for Hole Saws</t>
        </is>
      </c>
      <c r="E512" s="1">
        <f>HYPERLINK("https://www.amazon.com/Lenox-Tools-1779670-Arbor-4-Inch/dp/B0058I0LV2/ref=sr_1_5?keywords=Lenox+LXAH99414CTPB+4-1%2F4+in.+Hole+Saw+Pilot+Drill+Bit%2C+3%2F8+in.+Shank&amp;qid=1695346971&amp;sr=8-5", "https://www.amazon.com/Lenox-Tools-1779670-Arbor-4-Inch/dp/B0058I0LV2/ref=sr_1_5?keywords=Lenox+LXAH99414CTPB+4-1%2F4+in.+Hole+Saw+Pilot+Drill+Bit%2C+3%2F8+in.+Shank&amp;qid=1695346971&amp;sr=8-5")</f>
        <v/>
      </c>
      <c r="F512" t="inlineStr">
        <is>
          <t>B0058I0LV2</t>
        </is>
      </c>
      <c r="G512">
        <f>_xlfn.IMAGE("https://www.toolnut.com/media/catalog/product/l/x/lxah99414ctpb-2.jpg?quality=100&amp;bg-color=255,255,255&amp;fit=bounds&amp;height=700&amp;width=700&amp;canvas=700:700&amp;dpr=1 1x")</f>
        <v/>
      </c>
      <c r="H512">
        <f>_xlfn.IMAGE("https://m.media-amazon.com/images/I/41U-reFwUSL._AC_UL320_.jpg")</f>
        <v/>
      </c>
      <c r="K512" t="inlineStr">
        <is>
          <t>6.99</t>
        </is>
      </c>
      <c r="L512" t="n">
        <v>20.65</v>
      </c>
      <c r="M512" s="2" t="inlineStr">
        <is>
          <t>195.42%</t>
        </is>
      </c>
      <c r="N512" t="n">
        <v>4.6</v>
      </c>
      <c r="O512" t="n">
        <v>89</v>
      </c>
      <c r="Q512" t="inlineStr">
        <is>
          <t>InStock</t>
        </is>
      </c>
      <c r="R512" t="inlineStr">
        <is>
          <t>undefined</t>
        </is>
      </c>
      <c r="S512" t="inlineStr">
        <is>
          <t>LXAH99414CTPB</t>
        </is>
      </c>
    </row>
    <row r="513" ht="75" customHeight="1">
      <c r="A513" s="1">
        <f>HYPERLINK("https://www.toolnut.com/lenox-lxah99414ctpb-4-1-4-in-hole-saw-pilot-drill-bit-3-8-in-shank.html", "https://www.toolnut.com/lenox-lxah99414ctpb-4-1-4-in-hole-saw-pilot-drill-bit-3-8-in-shank.html")</f>
        <v/>
      </c>
      <c r="B513" s="1">
        <f>HYPERLINK("https://www.toolnut.com/lenox-lxah99414ctpb-4-1-4-in-hole-saw-pilot-drill-bit-3-8-in-shank.html", "https://www.toolnut.com/lenox-lxah99414ctpb-4-1-4-in-hole-saw-pilot-drill-bit-3-8-in-shank.html")</f>
        <v/>
      </c>
      <c r="C513" t="inlineStr">
        <is>
          <t>Lenox LXAH99414CTPB 4-1/4 in. Hole Saw Pilot Drill Bit, 3/8 in. Shank</t>
        </is>
      </c>
      <c r="D513" t="inlineStr">
        <is>
          <t>Lenox Tools 1779805 6L Quick Change Arbor with 3-1/4-Inch Pilot Drill Bit for Hole Saws</t>
        </is>
      </c>
      <c r="E513" s="1">
        <f>HYPERLINK("https://www.amazon.com/Lenox-Tools-1779805-Change-4-Inch/dp/B004CELTXC/ref=sr_1_3?keywords=Lenox+LXAH99414CTPB+4-1%2F4+in.+Hole+Saw+Pilot+Drill+Bit%2C+3%2F8+in.+Shank&amp;qid=1695346971&amp;sr=8-3", "https://www.amazon.com/Lenox-Tools-1779805-Change-4-Inch/dp/B004CELTXC/ref=sr_1_3?keywords=Lenox+LXAH99414CTPB+4-1%2F4+in.+Hole+Saw+Pilot+Drill+Bit%2C+3%2F8+in.+Shank&amp;qid=1695346971&amp;sr=8-3")</f>
        <v/>
      </c>
      <c r="F513" t="inlineStr">
        <is>
          <t>B004CELTXC</t>
        </is>
      </c>
      <c r="G513">
        <f>_xlfn.IMAGE("https://www.toolnut.com/media/catalog/product/l/x/lxah99414ctpb-2.jpg?quality=100&amp;bg-color=255,255,255&amp;fit=bounds&amp;height=700&amp;width=700&amp;canvas=700:700&amp;dpr=1 1x")</f>
        <v/>
      </c>
      <c r="H513">
        <f>_xlfn.IMAGE("https://m.media-amazon.com/images/I/41oM98-GA3L._AC_UL320_.jpg")</f>
        <v/>
      </c>
      <c r="K513" t="inlineStr">
        <is>
          <t>6.99</t>
        </is>
      </c>
      <c r="L513" t="n">
        <v>19.75</v>
      </c>
      <c r="M513" s="2" t="inlineStr">
        <is>
          <t>182.55%</t>
        </is>
      </c>
      <c r="N513" t="n">
        <v>4.5</v>
      </c>
      <c r="O513" t="n">
        <v>153</v>
      </c>
      <c r="Q513" t="inlineStr">
        <is>
          <t>InStock</t>
        </is>
      </c>
      <c r="R513" t="inlineStr">
        <is>
          <t>undefined</t>
        </is>
      </c>
      <c r="S513" t="inlineStr">
        <is>
          <t>LXAH99414CTPB</t>
        </is>
      </c>
    </row>
    <row r="514" ht="75" customHeight="1">
      <c r="A514" s="1">
        <f>HYPERLINK("https://www.toolnut.com/lenox-lxah99414ctpb-4-1-4-in-hole-saw-pilot-drill-bit-3-8-in-shank.html", "https://www.toolnut.com/lenox-lxah99414ctpb-4-1-4-in-hole-saw-pilot-drill-bit-3-8-in-shank.html")</f>
        <v/>
      </c>
      <c r="B514" s="1">
        <f>HYPERLINK("https://www.toolnut.com/lenox-lxah99414ctpb-4-1-4-in-hole-saw-pilot-drill-bit-3-8-in-shank.html", "https://www.toolnut.com/lenox-lxah99414ctpb-4-1-4-in-hole-saw-pilot-drill-bit-3-8-in-shank.html")</f>
        <v/>
      </c>
      <c r="C514" t="inlineStr">
        <is>
          <t>Lenox LXAH99414CTPB 4-1/4 in. Hole Saw Pilot Drill Bit, 3/8 in. Shank</t>
        </is>
      </c>
      <c r="D514" t="inlineStr">
        <is>
          <t>Lenox Tools 1779805 6L Quick Change Arbor with 3-1/4-Inch Pilot Drill Bit for Hole Saws</t>
        </is>
      </c>
      <c r="E514" s="1">
        <f>HYPERLINK("https://www.amazon.com/Lenox-Tools-1779805-Change-4-Inch/dp/B004CELTXC/ref=sr_1_3?keywords=Lenox+LXAH99414CTPB+4-1%2F4+in.+Hole+Saw+Pilot+Drill+Bit%2C+3%2F8+in.+Shank&amp;qid=1695346971&amp;sr=8-3", "https://www.amazon.com/Lenox-Tools-1779805-Change-4-Inch/dp/B004CELTXC/ref=sr_1_3?keywords=Lenox+LXAH99414CTPB+4-1%2F4+in.+Hole+Saw+Pilot+Drill+Bit%2C+3%2F8+in.+Shank&amp;qid=1695346971&amp;sr=8-3")</f>
        <v/>
      </c>
      <c r="F514" t="inlineStr">
        <is>
          <t>B004CELTXC</t>
        </is>
      </c>
      <c r="G514">
        <f>_xlfn.IMAGE("https://www.toolnut.com/media/catalog/product/l/x/lxah99414ctpb-2.jpg?quality=100&amp;bg-color=255,255,255&amp;fit=bounds&amp;height=700&amp;width=700&amp;canvas=700:700&amp;dpr=1 1x")</f>
        <v/>
      </c>
      <c r="H514">
        <f>_xlfn.IMAGE("https://m.media-amazon.com/images/I/41oM98-GA3L._AC_UL320_.jpg")</f>
        <v/>
      </c>
      <c r="K514" t="inlineStr">
        <is>
          <t>6.99</t>
        </is>
      </c>
      <c r="L514" t="n">
        <v>19.75</v>
      </c>
      <c r="M514" s="2" t="inlineStr">
        <is>
          <t>182.55%</t>
        </is>
      </c>
      <c r="N514" t="n">
        <v>4.5</v>
      </c>
      <c r="O514" t="n">
        <v>153</v>
      </c>
      <c r="Q514" t="inlineStr">
        <is>
          <t>InStock</t>
        </is>
      </c>
      <c r="R514" t="inlineStr">
        <is>
          <t>undefined</t>
        </is>
      </c>
      <c r="S514" t="inlineStr">
        <is>
          <t>LXAH99414CTPB</t>
        </is>
      </c>
    </row>
    <row r="515" ht="75" customHeight="1">
      <c r="A515" s="1">
        <f>HYPERLINK("https://www.toolnut.com/makita-a-96095-5-7-8-in-32t-metal-general-purpose-carbide-tipped-saw-blade.html", "https://www.toolnut.com/makita-a-96095-5-7-8-in-32t-metal-general-purpose-carbide-tipped-saw-blade.html")</f>
        <v/>
      </c>
      <c r="B515" s="1">
        <f>HYPERLINK("https://www.toolnut.com/makita-a-96095-5-7-8-in-32t-metal-general-purpose-carbide-tipped-saw-blade.html", "https://www.toolnut.com/makita-a-96095-5-7-8-in-32t-metal-general-purpose-carbide-tipped-saw-blade.html")</f>
        <v/>
      </c>
      <c r="C515" t="inlineStr">
        <is>
          <t>Makita A-96095 5-7/8 in. 32T Metal/General Purpose Carbide-Tipped Saw Blade</t>
        </is>
      </c>
      <c r="D515" t="inlineStr">
        <is>
          <t>Makita B-69250 5-7/8" 48T Carbide-Tipped Max Efficiency Saw Blade, Thin Metal</t>
        </is>
      </c>
      <c r="E515" s="1">
        <f>HYPERLINK("https://www.amazon.com/Makita-B-69250-Carbide-Tipped-Efficiency-Blade/dp/B0843HJ61B/ref=sr_1_6?keywords=Makita+A-96095+5-7%2F8+in.+32T+Metal%2FGeneral+Purpose+Carbide-Tipped+Saw+Blade&amp;qid=1695346735&amp;sr=8-6", "https://www.amazon.com/Makita-B-69250-Carbide-Tipped-Efficiency-Blade/dp/B0843HJ61B/ref=sr_1_6?keywords=Makita+A-96095+5-7%2F8+in.+32T+Metal%2FGeneral+Purpose+Carbide-Tipped+Saw+Blade&amp;qid=1695346735&amp;sr=8-6")</f>
        <v/>
      </c>
      <c r="F515" t="inlineStr">
        <is>
          <t>B0843HJ61B</t>
        </is>
      </c>
      <c r="G515">
        <f>_xlfn.IMAGE("https://www.toolnut.com/media/catalog/product/m/a/makita-a-96095-1_1.jpg?quality=100&amp;bg-color=255,255,255&amp;fit=bounds&amp;height=700&amp;width=700&amp;canvas=700:700&amp;dpr=1 1x")</f>
        <v/>
      </c>
      <c r="H515">
        <f>_xlfn.IMAGE("https://m.media-amazon.com/images/I/71En-EBvF6L._AC_UL320_.jpg")</f>
        <v/>
      </c>
      <c r="K515" t="inlineStr">
        <is>
          <t>34.97</t>
        </is>
      </c>
      <c r="L515" t="n">
        <v>69.83</v>
      </c>
      <c r="M515" s="2" t="inlineStr">
        <is>
          <t>99.69%</t>
        </is>
      </c>
      <c r="N515" t="n">
        <v>4</v>
      </c>
      <c r="O515" t="n">
        <v>9</v>
      </c>
      <c r="Q515" t="inlineStr">
        <is>
          <t>InStock</t>
        </is>
      </c>
      <c r="R515" t="inlineStr">
        <is>
          <t>undefined</t>
        </is>
      </c>
      <c r="S515" t="inlineStr">
        <is>
          <t>A-96095</t>
        </is>
      </c>
    </row>
    <row r="516" ht="75" customHeight="1">
      <c r="A516" s="1">
        <f>HYPERLINK("https://www.toolnut.com/makita-b-62963-25t-carbide-tipped-max-efficiency-circular-saw-blade-framing.html", "https://www.toolnut.com/makita-b-62963-25t-carbide-tipped-max-efficiency-circular-saw-blade-framing.html")</f>
        <v/>
      </c>
      <c r="B516" s="1">
        <f>HYPERLINK("https://www.toolnut.com/makita-b-62963-25t-carbide-tipped-max-efficiency-circular-saw-blade-framing.html", "https://www.toolnut.com/makita-b-62963-25t-carbide-tipped-max-efficiency-circular-saw-blade-framing.html")</f>
        <v/>
      </c>
      <c r="C516" t="inlineStr">
        <is>
          <t>Makita B-62963 6-1/2-Inch 25T Carbide-Tipped Max Efficiency Circular Saw Blade, Framing</t>
        </is>
      </c>
      <c r="D516" t="inlineStr">
        <is>
          <t>Makita B-61656-10 24T Carbide-Tipped Max Efficiency Circular Saw Blade, Framing, 7-1/4"</t>
        </is>
      </c>
      <c r="E516" s="1">
        <f>HYPERLINK("https://www.amazon.com/Makita-B-61656-10-Carbide-Tipped-Efficiency-Circular/dp/B07BHTL8QW/ref=sr_1_2?keywords=Makita+B-62963+6-1%2F2-Inch+25T+Carbide-Tipped+Max+Efficiency+Circular+Saw+Blade%2C+Framing&amp;qid=1695346719&amp;sr=8-2", "https://www.amazon.com/Makita-B-61656-10-Carbide-Tipped-Efficiency-Circular/dp/B07BHTL8QW/ref=sr_1_2?keywords=Makita+B-62963+6-1%2F2-Inch+25T+Carbide-Tipped+Max+Efficiency+Circular+Saw+Blade%2C+Framing&amp;qid=1695346719&amp;sr=8-2")</f>
        <v/>
      </c>
      <c r="F516" t="inlineStr">
        <is>
          <t>B07BHTL8QW</t>
        </is>
      </c>
      <c r="G516">
        <f>_xlfn.IMAGE("https://www.toolnut.com/media/catalog/product/m/a/makita-b-62963-1.jpg?quality=100&amp;bg-color=255,255,255&amp;fit=bounds&amp;height=700&amp;width=700&amp;canvas=700:700&amp;dpr=1 1x")</f>
        <v/>
      </c>
      <c r="H516">
        <f>_xlfn.IMAGE("https://m.media-amazon.com/images/I/81mhoVxYQ-L._AC_UL320_.jpg")</f>
        <v/>
      </c>
      <c r="K516" t="inlineStr">
        <is>
          <t>20.97</t>
        </is>
      </c>
      <c r="L516" t="n">
        <v>87.95</v>
      </c>
      <c r="M516" s="2" t="inlineStr">
        <is>
          <t>319.41%</t>
        </is>
      </c>
      <c r="N516" t="n">
        <v>4.6</v>
      </c>
      <c r="O516" t="n">
        <v>1078</v>
      </c>
      <c r="Q516" t="inlineStr">
        <is>
          <t>InStock</t>
        </is>
      </c>
      <c r="R516" t="inlineStr">
        <is>
          <t>undefined</t>
        </is>
      </c>
      <c r="S516" t="inlineStr">
        <is>
          <t>B-62963</t>
        </is>
      </c>
    </row>
    <row r="517" ht="75" customHeight="1">
      <c r="A517" s="1">
        <f>HYPERLINK("https://www.toolnut.com/makita-b-62963-25t-carbide-tipped-max-efficiency-circular-saw-blade-framing.html", "https://www.toolnut.com/makita-b-62963-25t-carbide-tipped-max-efficiency-circular-saw-blade-framing.html")</f>
        <v/>
      </c>
      <c r="B517" s="1">
        <f>HYPERLINK("https://www.toolnut.com/makita-b-62963-25t-carbide-tipped-max-efficiency-circular-saw-blade-framing.html", "https://www.toolnut.com/makita-b-62963-25t-carbide-tipped-max-efficiency-circular-saw-blade-framing.html")</f>
        <v/>
      </c>
      <c r="C517" t="inlineStr">
        <is>
          <t>Makita B-62963 6-1/2-Inch 25T Carbide-Tipped Max Efficiency Circular Saw Blade, Framing</t>
        </is>
      </c>
      <c r="D517" t="inlineStr">
        <is>
          <t>Makita E-01965 9-1/4" 24T Carbide-Tipped Max Efficiency Circular Saw Blade, Framing</t>
        </is>
      </c>
      <c r="E517" s="1">
        <f>HYPERLINK("https://www.amazon.com/Makita-Carbide-Tipped-Efficiency-Circular-Framing/dp/B0843GSSSF/ref=sr_1_6?keywords=Makita+B-62963+6-1%2F2-Inch+25T+Carbide-Tipped+Max+Efficiency+Circular+Saw+Blade%2C+Framing&amp;qid=1695346719&amp;sr=8-6", "https://www.amazon.com/Makita-Carbide-Tipped-Efficiency-Circular-Framing/dp/B0843GSSSF/ref=sr_1_6?keywords=Makita+B-62963+6-1%2F2-Inch+25T+Carbide-Tipped+Max+Efficiency+Circular+Saw+Blade%2C+Framing&amp;qid=1695346719&amp;sr=8-6")</f>
        <v/>
      </c>
      <c r="F517" t="inlineStr">
        <is>
          <t>B0843GSSSF</t>
        </is>
      </c>
      <c r="G517">
        <f>_xlfn.IMAGE("https://www.toolnut.com/media/catalog/product/m/a/makita-b-62963-1.jpg?quality=100&amp;bg-color=255,255,255&amp;fit=bounds&amp;height=700&amp;width=700&amp;canvas=700:700&amp;dpr=1 1x")</f>
        <v/>
      </c>
      <c r="H517">
        <f>_xlfn.IMAGE("https://m.media-amazon.com/images/I/71EaggaE10L._AC_UL320_.jpg")</f>
        <v/>
      </c>
      <c r="K517" t="inlineStr">
        <is>
          <t>20.97</t>
        </is>
      </c>
      <c r="L517" t="n">
        <v>50.22</v>
      </c>
      <c r="M517" s="2" t="inlineStr">
        <is>
          <t>139.48%</t>
        </is>
      </c>
      <c r="N517" t="n">
        <v>4.2</v>
      </c>
      <c r="O517" t="n">
        <v>21</v>
      </c>
      <c r="Q517" t="inlineStr">
        <is>
          <t>InStock</t>
        </is>
      </c>
      <c r="R517" t="inlineStr">
        <is>
          <t>undefined</t>
        </is>
      </c>
      <c r="S517" t="inlineStr">
        <is>
          <t>B-62963</t>
        </is>
      </c>
    </row>
    <row r="518" ht="75" customHeight="1">
      <c r="A518" s="1">
        <f>HYPERLINK("https://www.toolnut.com/makita-d-67022-6-1-2-24t-carbide-tipped-circular-saw-blade-general-purpose.html", "https://www.toolnut.com/makita-d-67022-6-1-2-24t-carbide-tipped-circular-saw-blade-general-purpose.html")</f>
        <v/>
      </c>
      <c r="B518" s="1">
        <f>HYPERLINK("https://www.toolnut.com/makita-d-67022-6-1-2-24t-carbide-tipped-circular-saw-blade-general-purpose.html", "https://www.toolnut.com/makita-d-67022-6-1-2-24t-carbide-tipped-circular-saw-blade-general-purpose.html")</f>
        <v/>
      </c>
      <c r="C518" t="inlineStr">
        <is>
          <t>Makita D-67022 6-1/2-Inch 24T Carbide-Tipped Circular Saw Blade, General Purpose</t>
        </is>
      </c>
      <c r="D518" t="inlineStr">
        <is>
          <t>Makita 721107-6A 4-3/8" 24T Carbide-Tipped Circular Saw Blade, General Purpose</t>
        </is>
      </c>
      <c r="E518" s="1">
        <f>HYPERLINK("https://www.amazon.com/Makita-721107-6A-8-Inch-Tooth-Blade/dp/B0007SXH7S/ref=sr_1_7?keywords=Makita+D-67022+6-1%2F2-Inch+24T+Carbide-Tipped+Circular+Saw+Blade%2C+General+Purpose&amp;qid=1695346731&amp;sr=8-7", "https://www.amazon.com/Makita-721107-6A-8-Inch-Tooth-Blade/dp/B0007SXH7S/ref=sr_1_7?keywords=Makita+D-67022+6-1%2F2-Inch+24T+Carbide-Tipped+Circular+Saw+Blade%2C+General+Purpose&amp;qid=1695346731&amp;sr=8-7")</f>
        <v/>
      </c>
      <c r="F518" t="inlineStr">
        <is>
          <t>B0007SXH7S</t>
        </is>
      </c>
      <c r="G518">
        <f>_xlfn.IMAGE("https://www.toolnut.com/media/catalog/product/m/a/makita_d-67022_product_shot.jpg?quality=100&amp;bg-color=255,255,255&amp;fit=bounds&amp;height=700&amp;width=700&amp;canvas=700:700&amp;dpr=1 1x")</f>
        <v/>
      </c>
      <c r="H518">
        <f>_xlfn.IMAGE("https://m.media-amazon.com/images/I/71yDFH6wipL._AC_UL320_.jpg")</f>
        <v/>
      </c>
      <c r="K518" t="inlineStr">
        <is>
          <t>11.97</t>
        </is>
      </c>
      <c r="L518" t="n">
        <v>43.74</v>
      </c>
      <c r="M518" s="2" t="inlineStr">
        <is>
          <t>265.41%</t>
        </is>
      </c>
      <c r="N518" t="n">
        <v>4.6</v>
      </c>
      <c r="O518" t="n">
        <v>21</v>
      </c>
      <c r="Q518" t="inlineStr">
        <is>
          <t>InStock</t>
        </is>
      </c>
      <c r="R518" t="inlineStr">
        <is>
          <t>undefined</t>
        </is>
      </c>
      <c r="S518" t="inlineStr">
        <is>
          <t>D-67022</t>
        </is>
      </c>
    </row>
    <row r="519" ht="75" customHeight="1">
      <c r="A519" s="1">
        <f>HYPERLINK("https://www.toolnut.com/makita-d-67038-6-1-2-40t-carbide-tipped-circular-saw-blade-fine-finish.html", "https://www.toolnut.com/makita-d-67038-6-1-2-40t-carbide-tipped-circular-saw-blade-fine-finish.html")</f>
        <v/>
      </c>
      <c r="B519" s="1">
        <f>HYPERLINK("https://www.toolnut.com/makita-d-67038-6-1-2-40t-carbide-tipped-circular-saw-blade-fine-finish.html", "https://www.toolnut.com/makita-d-67038-6-1-2-40t-carbide-tipped-circular-saw-blade-fine-finish.html")</f>
        <v/>
      </c>
      <c r="C519" t="inlineStr">
        <is>
          <t>Makita D-67038 6-1/2-Inch 40T Carbide-Tipped Circular Saw Blade, Fine Finish</t>
        </is>
      </c>
      <c r="D519" t="inlineStr">
        <is>
          <t>Makita 721251-A 7-1/4" 40T Carbide-Tipped Circular Saw Blade, Fine Crosscutting</t>
        </is>
      </c>
      <c r="E519" s="1">
        <f>HYPERLINK("https://www.amazon.com/Makita-721251-4-Inch-Carbide-Blade/dp/B000244XAC/ref=sr_1_6?keywords=Makita+D-67038+6-1%2F2-Inch+40T+Carbide-Tipped+Circular+Saw+Blade%2C+Fine+Finish&amp;qid=1695346710&amp;sr=8-6", "https://www.amazon.com/Makita-721251-4-Inch-Carbide-Blade/dp/B000244XAC/ref=sr_1_6?keywords=Makita+D-67038+6-1%2F2-Inch+40T+Carbide-Tipped+Circular+Saw+Blade%2C+Fine+Finish&amp;qid=1695346710&amp;sr=8-6")</f>
        <v/>
      </c>
      <c r="F519" t="inlineStr">
        <is>
          <t>B000244XAC</t>
        </is>
      </c>
      <c r="G519">
        <f>_xlfn.IMAGE("https://www.toolnut.com/media/catalog/product/m/a/makita_d-67038_product_shot.jpg?quality=100&amp;bg-color=255,255,255&amp;fit=bounds&amp;height=700&amp;width=700&amp;canvas=700:700&amp;dpr=1 1x")</f>
        <v/>
      </c>
      <c r="H519">
        <f>_xlfn.IMAGE("https://m.media-amazon.com/images/I/819NOjPNElL._AC_UL320_.jpg")</f>
        <v/>
      </c>
      <c r="K519" t="inlineStr">
        <is>
          <t>12.97</t>
        </is>
      </c>
      <c r="L519" t="n">
        <v>23.47</v>
      </c>
      <c r="M519" s="2" t="inlineStr">
        <is>
          <t>80.96%</t>
        </is>
      </c>
      <c r="N519" t="n">
        <v>4.4</v>
      </c>
      <c r="O519" t="n">
        <v>37</v>
      </c>
      <c r="Q519" t="inlineStr">
        <is>
          <t>InStock</t>
        </is>
      </c>
      <c r="R519" t="inlineStr">
        <is>
          <t>undefined</t>
        </is>
      </c>
      <c r="S519" t="inlineStr">
        <is>
          <t>D-67038</t>
        </is>
      </c>
    </row>
    <row r="520" ht="75" customHeight="1">
      <c r="A520" s="1">
        <f>HYPERLINK("https://www.toolnut.com/makita-d-67038-6-1-2-40t-carbide-tipped-circular-saw-blade-fine-finish.html", "https://www.toolnut.com/makita-d-67038-6-1-2-40t-carbide-tipped-circular-saw-blade-fine-finish.html")</f>
        <v/>
      </c>
      <c r="B520" s="1">
        <f>HYPERLINK("https://www.toolnut.com/makita-d-67038-6-1-2-40t-carbide-tipped-circular-saw-blade-fine-finish.html", "https://www.toolnut.com/makita-d-67038-6-1-2-40t-carbide-tipped-circular-saw-blade-fine-finish.html")</f>
        <v/>
      </c>
      <c r="C520" t="inlineStr">
        <is>
          <t>Makita D-67038 6-1/2-Inch 40T Carbide-Tipped Circular Saw Blade, Fine Finish</t>
        </is>
      </c>
      <c r="D520" t="inlineStr">
        <is>
          <t>Makita T-01410 6-1/2" 40T Carbide-Tipped Circular Saw Blade, Fine Crosscutting</t>
        </is>
      </c>
      <c r="E520" s="1">
        <f>HYPERLINK("https://www.amazon.com/Makita-T-01410-Crosscutting-Carbide-Tipped-Blade/dp/B017GQJG9Q/ref=sr_1_3?keywords=Makita+D-67038+6-1%2F2-Inch+40T+Carbide-Tipped+Circular+Saw+Blade%2C+Fine+Finish&amp;qid=1695346710&amp;sr=8-3", "https://www.amazon.com/Makita-T-01410-Crosscutting-Carbide-Tipped-Blade/dp/B017GQJG9Q/ref=sr_1_3?keywords=Makita+D-67038+6-1%2F2-Inch+40T+Carbide-Tipped+Circular+Saw+Blade%2C+Fine+Finish&amp;qid=1695346710&amp;sr=8-3")</f>
        <v/>
      </c>
      <c r="F520" t="inlineStr">
        <is>
          <t>B017GQJG9Q</t>
        </is>
      </c>
      <c r="G520">
        <f>_xlfn.IMAGE("https://www.toolnut.com/media/catalog/product/m/a/makita_d-67038_product_shot.jpg?quality=100&amp;bg-color=255,255,255&amp;fit=bounds&amp;height=700&amp;width=700&amp;canvas=700:700&amp;dpr=1 1x")</f>
        <v/>
      </c>
      <c r="H520">
        <f>_xlfn.IMAGE("https://m.media-amazon.com/images/I/616k3Xj4c0L._AC_UL320_.jpg")</f>
        <v/>
      </c>
      <c r="K520" t="inlineStr">
        <is>
          <t>12.97</t>
        </is>
      </c>
      <c r="L520" t="n">
        <v>22.94</v>
      </c>
      <c r="M520" s="2" t="inlineStr">
        <is>
          <t>76.87%</t>
        </is>
      </c>
      <c r="N520" t="n">
        <v>4.7</v>
      </c>
      <c r="O520" t="n">
        <v>1694</v>
      </c>
      <c r="Q520" t="inlineStr">
        <is>
          <t>InStock</t>
        </is>
      </c>
      <c r="R520" t="inlineStr">
        <is>
          <t>undefined</t>
        </is>
      </c>
      <c r="S520" t="inlineStr">
        <is>
          <t>D-67038</t>
        </is>
      </c>
    </row>
    <row r="521" ht="75" customHeight="1">
      <c r="A521" s="1">
        <f>HYPERLINK("https://www.toolnut.com/makita-d-67044-7-1-4-40t-carbide-tipped-circular-saw-blade-fine-crosscutting.html", "https://www.toolnut.com/makita-d-67044-7-1-4-40t-carbide-tipped-circular-saw-blade-fine-crosscutting.html")</f>
        <v/>
      </c>
      <c r="B521" s="1">
        <f>HYPERLINK("https://www.toolnut.com/makita-d-67044-7-1-4-40t-carbide-tipped-circular-saw-blade-fine-crosscutting.html", "https://www.toolnut.com/makita-d-67044-7-1-4-40t-carbide-tipped-circular-saw-blade-fine-crosscutting.html")</f>
        <v/>
      </c>
      <c r="C521" t="inlineStr">
        <is>
          <t>Makita D-67044 7-1/4-Inch 40T Carbide-Tipped Circular Saw Blade, Fine Crosscutting</t>
        </is>
      </c>
      <c r="D521" t="inlineStr">
        <is>
          <t>Makita B-68585 7-1/4" 45T Carbide-Tipped Max Efficiency Saw Blade, Fine Crosscutting</t>
        </is>
      </c>
      <c r="E521" s="1">
        <f>HYPERLINK("https://www.amazon.com/Makita-B-68585-Carbide-Tipped-Efficiency-Crosscutting/dp/B0843H1PFQ/ref=sr_1_9?keywords=Makita+D-67044+7-1%2F4-Inch+40T+Carbide-Tipped+Circular+Saw+Blade%2C+Fine+Crosscutting&amp;qid=1695346743&amp;sr=8-9", "https://www.amazon.com/Makita-B-68585-Carbide-Tipped-Efficiency-Crosscutting/dp/B0843H1PFQ/ref=sr_1_9?keywords=Makita+D-67044+7-1%2F4-Inch+40T+Carbide-Tipped+Circular+Saw+Blade%2C+Fine+Crosscutting&amp;qid=1695346743&amp;sr=8-9")</f>
        <v/>
      </c>
      <c r="F521" t="inlineStr">
        <is>
          <t>B0843H1PFQ</t>
        </is>
      </c>
      <c r="G521">
        <f>_xlfn.IMAGE("https://www.toolnut.com/media/catalog/product/m/a/makita_d-67044_product_shot.jpg?quality=100&amp;bg-color=255,255,255&amp;fit=bounds&amp;height=700&amp;width=700&amp;canvas=700:700&amp;dpr=1 1x")</f>
        <v/>
      </c>
      <c r="H521">
        <f>_xlfn.IMAGE("https://m.media-amazon.com/images/I/81mDOqgVYXL._AC_UL320_.jpg")</f>
        <v/>
      </c>
      <c r="K521" t="inlineStr">
        <is>
          <t>13.99</t>
        </is>
      </c>
      <c r="L521" t="n">
        <v>27.23</v>
      </c>
      <c r="M521" s="2" t="inlineStr">
        <is>
          <t>94.64%</t>
        </is>
      </c>
      <c r="N521" t="n">
        <v>4.7</v>
      </c>
      <c r="O521" t="n">
        <v>34</v>
      </c>
      <c r="Q521" t="inlineStr">
        <is>
          <t>InStock</t>
        </is>
      </c>
      <c r="R521" t="inlineStr">
        <is>
          <t>undefined</t>
        </is>
      </c>
      <c r="S521" t="inlineStr">
        <is>
          <t>D-67044</t>
        </is>
      </c>
    </row>
    <row r="522" ht="75" customHeight="1">
      <c r="A522" s="1">
        <f>HYPERLINK("https://www.toolnut.com/makita-d-67044-7-1-4-40t-carbide-tipped-circular-saw-blade-fine-crosscutting.html", "https://www.toolnut.com/makita-d-67044-7-1-4-40t-carbide-tipped-circular-saw-blade-fine-crosscutting.html")</f>
        <v/>
      </c>
      <c r="B522" s="1">
        <f>HYPERLINK("https://www.toolnut.com/makita-d-67044-7-1-4-40t-carbide-tipped-circular-saw-blade-fine-crosscutting.html", "https://www.toolnut.com/makita-d-67044-7-1-4-40t-carbide-tipped-circular-saw-blade-fine-crosscutting.html")</f>
        <v/>
      </c>
      <c r="C522" t="inlineStr">
        <is>
          <t>Makita D-67044 7-1/4-Inch 40T Carbide-Tipped Circular Saw Blade, Fine Crosscutting</t>
        </is>
      </c>
      <c r="D522" t="inlineStr">
        <is>
          <t>Makita 721251-A 7-1/4" 40T Carbide-Tipped Circular Saw Blade, Fine Crosscutting</t>
        </is>
      </c>
      <c r="E522" s="1">
        <f>HYPERLINK("https://www.amazon.com/Makita-721251-4-Inch-Carbide-Blade/dp/B000244XAC/ref=sr_1_2?keywords=Makita+D-67044+7-1%2F4-Inch+40T+Carbide-Tipped+Circular+Saw+Blade%2C+Fine+Crosscutting&amp;qid=1695346743&amp;sr=8-2", "https://www.amazon.com/Makita-721251-4-Inch-Carbide-Blade/dp/B000244XAC/ref=sr_1_2?keywords=Makita+D-67044+7-1%2F4-Inch+40T+Carbide-Tipped+Circular+Saw+Blade%2C+Fine+Crosscutting&amp;qid=1695346743&amp;sr=8-2")</f>
        <v/>
      </c>
      <c r="F522" t="inlineStr">
        <is>
          <t>B000244XAC</t>
        </is>
      </c>
      <c r="G522">
        <f>_xlfn.IMAGE("https://www.toolnut.com/media/catalog/product/m/a/makita_d-67044_product_shot.jpg?quality=100&amp;bg-color=255,255,255&amp;fit=bounds&amp;height=700&amp;width=700&amp;canvas=700:700&amp;dpr=1 1x")</f>
        <v/>
      </c>
      <c r="H522">
        <f>_xlfn.IMAGE("https://m.media-amazon.com/images/I/819NOjPNElL._AC_UL320_.jpg")</f>
        <v/>
      </c>
      <c r="K522" t="inlineStr">
        <is>
          <t>13.99</t>
        </is>
      </c>
      <c r="L522" t="n">
        <v>23.47</v>
      </c>
      <c r="M522" s="2" t="inlineStr">
        <is>
          <t>67.76%</t>
        </is>
      </c>
      <c r="N522" t="n">
        <v>4.4</v>
      </c>
      <c r="O522" t="n">
        <v>37</v>
      </c>
      <c r="Q522" t="inlineStr">
        <is>
          <t>InStock</t>
        </is>
      </c>
      <c r="R522" t="inlineStr">
        <is>
          <t>undefined</t>
        </is>
      </c>
      <c r="S522" t="inlineStr">
        <is>
          <t>D-67044</t>
        </is>
      </c>
    </row>
    <row r="523" ht="75" customHeight="1">
      <c r="A523" s="1">
        <f>HYPERLINK("https://www.toolnut.com/makita-e-07381-earth-auger-pin.html", "https://www.toolnut.com/makita-e-07381-earth-auger-pin.html")</f>
        <v/>
      </c>
      <c r="B523" s="1">
        <f>HYPERLINK("https://www.toolnut.com/makita-e-07381-earth-auger-pin.html", "https://www.toolnut.com/makita-e-07381-earth-auger-pin.html")</f>
        <v/>
      </c>
      <c r="C523" t="inlineStr">
        <is>
          <t>Makita E-07381 Earth Auger Pin</t>
        </is>
      </c>
      <c r="D523" t="inlineStr">
        <is>
          <t>Makita E-07319 Earth Auger Bit 200 x 800 and Pin</t>
        </is>
      </c>
      <c r="E523" s="1">
        <f>HYPERLINK("https://www.amazon.com/Makita-E-07319-Earth-Auger-bit/dp/B08PDMXYWL/ref=sr_1_3?keywords=Makita+E-07381+Earth+Auger+Pin&amp;qid=1695347156&amp;sr=8-3", "https://www.amazon.com/Makita-E-07319-Earth-Auger-bit/dp/B08PDMXYWL/ref=sr_1_3?keywords=Makita+E-07381+Earth+Auger+Pin&amp;qid=1695347156&amp;sr=8-3")</f>
        <v/>
      </c>
      <c r="F523" t="inlineStr">
        <is>
          <t>B08PDMXYWL</t>
        </is>
      </c>
      <c r="G523">
        <f>_xlfn.IMAGE("https://www.toolnut.com/media/catalog/product/m/a/makita_e-07381_package_shot.jpg?quality=100&amp;bg-color=255,255,255&amp;fit=bounds&amp;height=700&amp;width=700&amp;canvas=700:700&amp;dpr=1 1x")</f>
        <v/>
      </c>
      <c r="H523">
        <f>_xlfn.IMAGE("https://m.media-amazon.com/images/I/51Io01mYK1L._AC_UL320_.jpg")</f>
        <v/>
      </c>
      <c r="K523" t="inlineStr">
        <is>
          <t>8.97</t>
        </is>
      </c>
      <c r="L523" t="n">
        <v>297.05</v>
      </c>
      <c r="M523" s="2" t="inlineStr">
        <is>
          <t>3211.59%</t>
        </is>
      </c>
      <c r="N523" t="n">
        <v>4.5</v>
      </c>
      <c r="O523" t="n">
        <v>8</v>
      </c>
      <c r="Q523" t="inlineStr">
        <is>
          <t>InStock</t>
        </is>
      </c>
      <c r="R523" t="inlineStr">
        <is>
          <t>undefined</t>
        </is>
      </c>
      <c r="S523" t="inlineStr">
        <is>
          <t>E-07381</t>
        </is>
      </c>
    </row>
    <row r="524" ht="75" customHeight="1">
      <c r="A524" s="1">
        <f>HYPERLINK("https://www.toolnut.com/makita-e-07381-earth-auger-pin.html", "https://www.toolnut.com/makita-e-07381-earth-auger-pin.html")</f>
        <v/>
      </c>
      <c r="B524" s="1">
        <f>HYPERLINK("https://www.toolnut.com/makita-e-07381-earth-auger-pin.html", "https://www.toolnut.com/makita-e-07381-earth-auger-pin.html")</f>
        <v/>
      </c>
      <c r="C524" t="inlineStr">
        <is>
          <t>Makita E-07381 Earth Auger Pin</t>
        </is>
      </c>
      <c r="D524" t="inlineStr">
        <is>
          <t>Makita E-07303 Earth Auger Bit 150 x 800 &amp; Pin</t>
        </is>
      </c>
      <c r="E524" s="1">
        <f>HYPERLINK("https://www.amazon.com/Makita-07303-Earth-Auger-Bit/dp/B093BY122M/ref=sr_1_2?keywords=Makita+E-07381+Earth+Auger+Pin&amp;qid=1695347156&amp;sr=8-2", "https://www.amazon.com/Makita-07303-Earth-Auger-Bit/dp/B093BY122M/ref=sr_1_2?keywords=Makita+E-07381+Earth+Auger+Pin&amp;qid=1695347156&amp;sr=8-2")</f>
        <v/>
      </c>
      <c r="F524" t="inlineStr">
        <is>
          <t>B093BY122M</t>
        </is>
      </c>
      <c r="G524">
        <f>_xlfn.IMAGE("https://www.toolnut.com/media/catalog/product/m/a/makita_e-07381_package_shot.jpg?quality=100&amp;bg-color=255,255,255&amp;fit=bounds&amp;height=700&amp;width=700&amp;canvas=700:700&amp;dpr=1 1x")</f>
        <v/>
      </c>
      <c r="H524">
        <f>_xlfn.IMAGE("https://m.media-amazon.com/images/I/51poLgS+keL._AC_UL320_.jpg")</f>
        <v/>
      </c>
      <c r="K524" t="inlineStr">
        <is>
          <t>8.97</t>
        </is>
      </c>
      <c r="L524" t="n">
        <v>222.13</v>
      </c>
      <c r="M524" s="2" t="inlineStr">
        <is>
          <t>2376.37%</t>
        </is>
      </c>
      <c r="N524" t="n">
        <v>4.8</v>
      </c>
      <c r="O524" t="n">
        <v>7</v>
      </c>
      <c r="Q524" t="inlineStr">
        <is>
          <t>InStock</t>
        </is>
      </c>
      <c r="R524" t="inlineStr">
        <is>
          <t>undefined</t>
        </is>
      </c>
      <c r="S524" t="inlineStr">
        <is>
          <t>E-07381</t>
        </is>
      </c>
    </row>
    <row r="525" ht="75" customHeight="1">
      <c r="A525" s="1">
        <f>HYPERLINK("https://www.toolnut.com/makita-e-07381-earth-auger-pin.html", "https://www.toolnut.com/makita-e-07381-earth-auger-pin.html")</f>
        <v/>
      </c>
      <c r="B525" s="1">
        <f>HYPERLINK("https://www.toolnut.com/makita-e-07381-earth-auger-pin.html", "https://www.toolnut.com/makita-e-07381-earth-auger-pin.html")</f>
        <v/>
      </c>
      <c r="C525" t="inlineStr">
        <is>
          <t>Makita E-07381 Earth Auger Pin</t>
        </is>
      </c>
      <c r="D525" t="inlineStr">
        <is>
          <t>Makita E-07381 Earth Auger Pin</t>
        </is>
      </c>
      <c r="E525" s="1">
        <f>HYPERLINK("https://www.amazon.com/Makita-07381-Earth-Auger-Teal/dp/B08VZVV47P/ref=sr_1_1?keywords=Makita+E-07381+Earth+Auger+Pin&amp;qid=1695347156&amp;sr=8-1", "https://www.amazon.com/Makita-07381-Earth-Auger-Teal/dp/B08VZVV47P/ref=sr_1_1?keywords=Makita+E-07381+Earth+Auger+Pin&amp;qid=1695347156&amp;sr=8-1")</f>
        <v/>
      </c>
      <c r="F525" t="inlineStr">
        <is>
          <t>B08VZVV47P</t>
        </is>
      </c>
      <c r="G525">
        <f>_xlfn.IMAGE("https://www.toolnut.com/media/catalog/product/m/a/makita_e-07381_package_shot.jpg?quality=100&amp;bg-color=255,255,255&amp;fit=bounds&amp;height=700&amp;width=700&amp;canvas=700:700&amp;dpr=1 1x")</f>
        <v/>
      </c>
      <c r="H525">
        <f>_xlfn.IMAGE("https://m.media-amazon.com/images/I/61SNHkGuFIS._AC_UL320_.jpg")</f>
        <v/>
      </c>
      <c r="K525" t="inlineStr">
        <is>
          <t>8.97</t>
        </is>
      </c>
      <c r="L525" t="n">
        <v>15.99</v>
      </c>
      <c r="M525" s="2" t="inlineStr">
        <is>
          <t>78.26%</t>
        </is>
      </c>
      <c r="N525" t="n">
        <v>5</v>
      </c>
      <c r="O525" t="n">
        <v>1</v>
      </c>
      <c r="Q525" t="inlineStr">
        <is>
          <t>InStock</t>
        </is>
      </c>
      <c r="R525" t="inlineStr">
        <is>
          <t>undefined</t>
        </is>
      </c>
      <c r="S525" t="inlineStr">
        <is>
          <t>E-07381</t>
        </is>
      </c>
    </row>
    <row r="526" ht="75" customHeight="1">
      <c r="A526" s="1">
        <f>HYPERLINK("https://www.toolnut.com/makita-e-07381-earth-auger-pin.html", "https://www.toolnut.com/makita-e-07381-earth-auger-pin.html")</f>
        <v/>
      </c>
      <c r="B526" s="1">
        <f>HYPERLINK("https://www.toolnut.com/makita-e-07381-earth-auger-pin.html", "https://www.toolnut.com/makita-e-07381-earth-auger-pin.html")</f>
        <v/>
      </c>
      <c r="C526" t="inlineStr">
        <is>
          <t>Makita E-07381 Earth Auger Pin</t>
        </is>
      </c>
      <c r="D526" t="inlineStr">
        <is>
          <t>Makita E-07381 Earth Auger Pin</t>
        </is>
      </c>
      <c r="E526" s="1">
        <f>HYPERLINK("https://www.amazon.com/Makita-07381-Earth-Auger-Teal/dp/B08VZVV47P/ref=sr_1_1?keywords=Makita+E-07381+Earth+Auger+Pin&amp;qid=1695347156&amp;sr=8-1", "https://www.amazon.com/Makita-07381-Earth-Auger-Teal/dp/B08VZVV47P/ref=sr_1_1?keywords=Makita+E-07381+Earth+Auger+Pin&amp;qid=1695347156&amp;sr=8-1")</f>
        <v/>
      </c>
      <c r="F526" t="inlineStr">
        <is>
          <t>B08VZVV47P</t>
        </is>
      </c>
      <c r="G526">
        <f>_xlfn.IMAGE("https://www.toolnut.com/media/catalog/product/m/a/makita_e-07381_package_shot.jpg?quality=100&amp;bg-color=255,255,255&amp;fit=bounds&amp;height=700&amp;width=700&amp;canvas=700:700&amp;dpr=1 1x")</f>
        <v/>
      </c>
      <c r="H526">
        <f>_xlfn.IMAGE("https://m.media-amazon.com/images/I/61SNHkGuFIS._AC_UL320_.jpg")</f>
        <v/>
      </c>
      <c r="K526" t="inlineStr">
        <is>
          <t>8.97</t>
        </is>
      </c>
      <c r="L526" t="n">
        <v>15.99</v>
      </c>
      <c r="M526" s="2" t="inlineStr">
        <is>
          <t>78.26%</t>
        </is>
      </c>
      <c r="N526" t="n">
        <v>5</v>
      </c>
      <c r="O526" t="n">
        <v>1</v>
      </c>
      <c r="Q526" t="inlineStr">
        <is>
          <t>InStock</t>
        </is>
      </c>
      <c r="R526" t="inlineStr">
        <is>
          <t>undefined</t>
        </is>
      </c>
      <c r="S526" t="inlineStr">
        <is>
          <t>E-07381</t>
        </is>
      </c>
    </row>
    <row r="527" ht="75" customHeight="1">
      <c r="A527" s="1">
        <f>HYPERLINK("https://www.toolnut.com/makita-e-10643-5-pc-assorted-carbide-tipped-percussion-masonry-hammer-drill-bit-set.html", "https://www.toolnut.com/makita-e-10643-5-pc-assorted-carbide-tipped-percussion-masonry-hammer-drill-bit-set.html")</f>
        <v/>
      </c>
      <c r="B527" s="1">
        <f>HYPERLINK("https://www.toolnut.com/makita-e-10643-5-pc-assorted-carbide-tipped-percussion-masonry-hammer-drill-bit-set.html", "https://www.toolnut.com/makita-e-10643-5-pc-assorted-carbide-tipped-percussion-masonry-hammer-drill-bit-set.html")</f>
        <v/>
      </c>
      <c r="C527" t="inlineStr">
        <is>
          <t>Makita E-10643 5 Pc. Assorted Carbide Tipped Percussion Masonry Hammer Drill Bit Set</t>
        </is>
      </c>
      <c r="D527" t="inlineStr">
        <is>
          <t>Makita E-10659 7 Pc. Assorted Carbide Tipped Percussion Masonry Hammer Drill Bit Set</t>
        </is>
      </c>
      <c r="E527" s="1">
        <f>HYPERLINK("https://www.amazon.com/Makita-Assorted-Carbide-Percussion-Masonry/dp/B092C7PL3M/ref=sr_1_2?keywords=Makita+E-10643+5+Pc.+Assorted+Carbide+Tipped+Percussion+Masonry+Hammer+Drill+Bit+Set&amp;qid=1695347041&amp;sr=8-2", "https://www.amazon.com/Makita-Assorted-Carbide-Percussion-Masonry/dp/B092C7PL3M/ref=sr_1_2?keywords=Makita+E-10643+5+Pc.+Assorted+Carbide+Tipped+Percussion+Masonry+Hammer+Drill+Bit+Set&amp;qid=1695347041&amp;sr=8-2")</f>
        <v/>
      </c>
      <c r="F527" t="inlineStr">
        <is>
          <t>B092C7PL3M</t>
        </is>
      </c>
      <c r="G527">
        <f>_xlfn.IMAGE("https://www.toolnut.com/media/catalog/product/m/a/makita_e-10643_product_shot.jpg?quality=100&amp;bg-color=255,255,255&amp;fit=bounds&amp;height=700&amp;width=700&amp;canvas=700:700&amp;dpr=1 1x")</f>
        <v/>
      </c>
      <c r="H527">
        <f>_xlfn.IMAGE("https://m.media-amazon.com/images/I/61vQRXdUi-L._AC_UL320_.jpg")</f>
        <v/>
      </c>
      <c r="K527" t="inlineStr">
        <is>
          <t>11.97</t>
        </is>
      </c>
      <c r="L527" t="n">
        <v>19.95</v>
      </c>
      <c r="M527" s="2" t="inlineStr">
        <is>
          <t>66.67%</t>
        </is>
      </c>
      <c r="N527" t="n">
        <v>5</v>
      </c>
      <c r="O527" t="n">
        <v>3</v>
      </c>
      <c r="Q527" t="inlineStr">
        <is>
          <t>InStock</t>
        </is>
      </c>
      <c r="R527" t="inlineStr">
        <is>
          <t>undefined</t>
        </is>
      </c>
      <c r="S527" t="inlineStr">
        <is>
          <t>E-10643</t>
        </is>
      </c>
    </row>
    <row r="528" ht="75" customHeight="1">
      <c r="A528" s="1">
        <f>HYPERLINK("https://www.toolnut.com/makita-e-10643-5-pc-assorted-carbide-tipped-percussion-masonry-hammer-drill-bit-set.html", "https://www.toolnut.com/makita-e-10643-5-pc-assorted-carbide-tipped-percussion-masonry-hammer-drill-bit-set.html")</f>
        <v/>
      </c>
      <c r="B528" s="1">
        <f>HYPERLINK("https://www.toolnut.com/makita-e-10643-5-pc-assorted-carbide-tipped-percussion-masonry-hammer-drill-bit-set.html", "https://www.toolnut.com/makita-e-10643-5-pc-assorted-carbide-tipped-percussion-masonry-hammer-drill-bit-set.html")</f>
        <v/>
      </c>
      <c r="C528" t="inlineStr">
        <is>
          <t>Makita E-10643 5 Pc. Assorted Carbide Tipped Percussion Masonry Hammer Drill Bit Set</t>
        </is>
      </c>
      <c r="D528" t="inlineStr">
        <is>
          <t>Makita E-10659 7 Pc. Assorted Carbide Tipped Percussion Masonry Hammer Drill Bit Set</t>
        </is>
      </c>
      <c r="E528" s="1">
        <f>HYPERLINK("https://www.amazon.com/Makita-Assorted-Carbide-Percussion-Masonry/dp/B092C7PL3M/ref=sr_1_2?keywords=Makita+E-10643+5+Pc.+Assorted+Carbide+Tipped+Percussion+Masonry+Hammer+Drill+Bit+Set&amp;qid=1695347041&amp;sr=8-2", "https://www.amazon.com/Makita-Assorted-Carbide-Percussion-Masonry/dp/B092C7PL3M/ref=sr_1_2?keywords=Makita+E-10643+5+Pc.+Assorted+Carbide+Tipped+Percussion+Masonry+Hammer+Drill+Bit+Set&amp;qid=1695347041&amp;sr=8-2")</f>
        <v/>
      </c>
      <c r="F528" t="inlineStr">
        <is>
          <t>B092C7PL3M</t>
        </is>
      </c>
      <c r="G528">
        <f>_xlfn.IMAGE("https://www.toolnut.com/media/catalog/product/m/a/makita_e-10643_product_shot.jpg?quality=100&amp;bg-color=255,255,255&amp;fit=bounds&amp;height=700&amp;width=700&amp;canvas=700:700&amp;dpr=1 1x")</f>
        <v/>
      </c>
      <c r="H528">
        <f>_xlfn.IMAGE("https://m.media-amazon.com/images/I/61vQRXdUi-L._AC_UL320_.jpg")</f>
        <v/>
      </c>
      <c r="K528" t="inlineStr">
        <is>
          <t>11.97</t>
        </is>
      </c>
      <c r="L528" t="n">
        <v>19.95</v>
      </c>
      <c r="M528" s="2" t="inlineStr">
        <is>
          <t>66.67%</t>
        </is>
      </c>
      <c r="N528" t="n">
        <v>5</v>
      </c>
      <c r="O528" t="n">
        <v>3</v>
      </c>
      <c r="Q528" t="inlineStr">
        <is>
          <t>InStock</t>
        </is>
      </c>
      <c r="R528" t="inlineStr">
        <is>
          <t>undefined</t>
        </is>
      </c>
      <c r="S528" t="inlineStr">
        <is>
          <t>E-10643</t>
        </is>
      </c>
    </row>
    <row r="529" ht="75" customHeight="1">
      <c r="A529" s="1">
        <f>HYPERLINK("https://www.toolnut.com/makita-t-01404-6-1-2-in-24t-carbide-tipped-circular-saw-blade-framing.html", "https://www.toolnut.com/makita-t-01404-6-1-2-in-24t-carbide-tipped-circular-saw-blade-framing.html")</f>
        <v/>
      </c>
      <c r="B529" s="1">
        <f>HYPERLINK("https://www.toolnut.com/makita-t-01404-6-1-2-in-24t-carbide-tipped-circular-saw-blade-framing.html", "https://www.toolnut.com/makita-t-01404-6-1-2-in-24t-carbide-tipped-circular-saw-blade-framing.html")</f>
        <v/>
      </c>
      <c r="C529" t="inlineStr">
        <is>
          <t>Makita T-01404 6-1/2 In. 24T Carbide-Tipped Circular Saw Blade, Framing</t>
        </is>
      </c>
      <c r="D529" t="inlineStr">
        <is>
          <t>Makita B-61656-10 24T Carbide-Tipped Max Efficiency Circular Saw Blade, Framing, 7-1/4"</t>
        </is>
      </c>
      <c r="E529" s="1">
        <f>HYPERLINK("https://www.amazon.com/Makita-B-61656-10-Carbide-Tipped-Efficiency-Circular/dp/B07BHTL8QW/ref=sr_1_6?keywords=Makita+T-01404+6-1%2F2+In.+24T+Carbide-Tipped+Circular+Saw+Blade%2C+Framing&amp;qid=1695346708&amp;sr=8-6", "https://www.amazon.com/Makita-B-61656-10-Carbide-Tipped-Efficiency-Circular/dp/B07BHTL8QW/ref=sr_1_6?keywords=Makita+T-01404+6-1%2F2+In.+24T+Carbide-Tipped+Circular+Saw+Blade%2C+Framing&amp;qid=1695346708&amp;sr=8-6")</f>
        <v/>
      </c>
      <c r="F529" t="inlineStr">
        <is>
          <t>B07BHTL8QW</t>
        </is>
      </c>
      <c r="G529">
        <f>_xlfn.IMAGE("https://www.toolnut.com/media/catalog/product/m/a/makita-t-01404-1.jpg?quality=100&amp;bg-color=255,255,255&amp;fit=bounds&amp;height=700&amp;width=700&amp;canvas=700:700&amp;dpr=1 1x")</f>
        <v/>
      </c>
      <c r="H529">
        <f>_xlfn.IMAGE("https://m.media-amazon.com/images/I/81mhoVxYQ-L._AC_UL320_.jpg")</f>
        <v/>
      </c>
      <c r="K529" t="inlineStr">
        <is>
          <t>13.77</t>
        </is>
      </c>
      <c r="L529" t="n">
        <v>87.95</v>
      </c>
      <c r="M529" s="2" t="inlineStr">
        <is>
          <t>538.71%</t>
        </is>
      </c>
      <c r="N529" t="n">
        <v>4.6</v>
      </c>
      <c r="O529" t="n">
        <v>1078</v>
      </c>
      <c r="Q529" t="inlineStr">
        <is>
          <t>InStock</t>
        </is>
      </c>
      <c r="R529" t="inlineStr">
        <is>
          <t>undefined</t>
        </is>
      </c>
      <c r="S529" t="inlineStr">
        <is>
          <t>T-01404</t>
        </is>
      </c>
    </row>
    <row r="530" ht="75" customHeight="1">
      <c r="A530" s="1">
        <f>HYPERLINK("https://www.toolnut.com/makita-t-01426-6-1-2-in-carbide-tipped-circular-saw-blade-2-pieces.html", "https://www.toolnut.com/makita-t-01426-6-1-2-in-carbide-tipped-circular-saw-blade-2-pieces.html")</f>
        <v/>
      </c>
      <c r="B530" s="1">
        <f>HYPERLINK("https://www.toolnut.com/makita-t-01426-6-1-2-in-carbide-tipped-circular-saw-blade-2-pieces.html", "https://www.toolnut.com/makita-t-01426-6-1-2-in-carbide-tipped-circular-saw-blade-2-pieces.html")</f>
        <v/>
      </c>
      <c r="C530" t="inlineStr">
        <is>
          <t>Makita T-01426 6-1/2 in. Carbide-Tipped Circular Saw Blade (2-Pieces)</t>
        </is>
      </c>
      <c r="D530" t="inlineStr">
        <is>
          <t>Makita A-99948 6-1/2" 64T Carbide-Tipped UltraThin Kerf Saw Blade</t>
        </is>
      </c>
      <c r="E530" s="1">
        <f>HYPERLINK("https://www.amazon.com/Makita-99948-Carbide-Tipped-UltraThin-Blade/dp/B07BHSX7L6/ref=sr_1_5?keywords=Makita+T-01426+6-1%2F2+in.+Carbide-Tipped+Circular+Saw+Blade+%282-Pieces%29&amp;qid=1695346737&amp;sr=8-5", "https://www.amazon.com/Makita-99948-Carbide-Tipped-UltraThin-Blade/dp/B07BHSX7L6/ref=sr_1_5?keywords=Makita+T-01426+6-1%2F2+in.+Carbide-Tipped+Circular+Saw+Blade+%282-Pieces%29&amp;qid=1695346737&amp;sr=8-5")</f>
        <v/>
      </c>
      <c r="F530" t="inlineStr">
        <is>
          <t>B07BHSX7L6</t>
        </is>
      </c>
      <c r="G530">
        <f>_xlfn.IMAGE("https://www.toolnut.com/media/catalog/product/m/a/makita-t-01426-1.jpg?quality=100&amp;bg-color=255,255,255&amp;fit=bounds&amp;height=700&amp;width=700&amp;canvas=700:700&amp;dpr=1 1x")</f>
        <v/>
      </c>
      <c r="H530">
        <f>_xlfn.IMAGE("https://m.media-amazon.com/images/I/718r0eLUxjL._AC_UL320_.jpg")</f>
        <v/>
      </c>
      <c r="K530" t="inlineStr">
        <is>
          <t>22.97</t>
        </is>
      </c>
      <c r="L530" t="n">
        <v>55.19</v>
      </c>
      <c r="M530" s="2" t="inlineStr">
        <is>
          <t>140.27%</t>
        </is>
      </c>
      <c r="N530" t="n">
        <v>4.7</v>
      </c>
      <c r="O530" t="n">
        <v>108</v>
      </c>
      <c r="Q530" t="inlineStr">
        <is>
          <t>InStock</t>
        </is>
      </c>
      <c r="R530" t="inlineStr">
        <is>
          <t>undefined</t>
        </is>
      </c>
      <c r="S530" t="inlineStr">
        <is>
          <t>T-01426</t>
        </is>
      </c>
    </row>
    <row r="531" ht="75" customHeight="1">
      <c r="A531" s="1">
        <f>HYPERLINK("https://www.toolnut.com/metabo-hpt-725611m-5-piece-drill-bit-set.html", "https://www.toolnut.com/metabo-hpt-725611m-5-piece-drill-bit-set.html")</f>
        <v/>
      </c>
      <c r="B531" s="1">
        <f>HYPERLINK("https://www.toolnut.com/metabo-hpt-725611m-5-piece-drill-bit-set.html", "https://www.toolnut.com/metabo-hpt-725611m-5-piece-drill-bit-set.html")</f>
        <v/>
      </c>
      <c r="C531" t="inlineStr">
        <is>
          <t>Metabo HPT 725611M 5 Piece Drill Bit Set</t>
        </is>
      </c>
      <c r="D531" t="inlineStr">
        <is>
          <t>Metabo 626707000 55 Piece Drill and Bit Accessory Set</t>
        </is>
      </c>
      <c r="E531" s="1">
        <f>HYPERLINK("https://www.amazon.com/Metabo-86-Piece-Bit-Set/dp/B00FNBMYBY/ref=sr_1_9?keywords=Metabo+HPT+725611M+5+Piece+Drill+Bit+Set&amp;qid=1695347035&amp;sr=8-9", "https://www.amazon.com/Metabo-86-Piece-Bit-Set/dp/B00FNBMYBY/ref=sr_1_9?keywords=Metabo+HPT+725611M+5+Piece+Drill+Bit+Set&amp;qid=1695347035&amp;sr=8-9")</f>
        <v/>
      </c>
      <c r="F531" t="inlineStr">
        <is>
          <t>B00FNBMYBY</t>
        </is>
      </c>
      <c r="G531">
        <f>_xlfn.IMAGE("https://www.toolnut.com/media/catalog/product/m/e/metabo-hpt-725611m-1.jpg?quality=100&amp;bg-color=255,255,255&amp;fit=bounds&amp;height=700&amp;width=700&amp;canvas=700:700&amp;dpr=1 1x")</f>
        <v/>
      </c>
      <c r="H531">
        <f>_xlfn.IMAGE("https://m.media-amazon.com/images/I/61EDmFUB4pL._AC_UL320_.jpg")</f>
        <v/>
      </c>
      <c r="K531" t="inlineStr">
        <is>
          <t>38.97</t>
        </is>
      </c>
      <c r="L531" t="n">
        <v>67.38</v>
      </c>
      <c r="M531" s="2" t="inlineStr">
        <is>
          <t>72.90%</t>
        </is>
      </c>
      <c r="N531" t="n">
        <v>4.6</v>
      </c>
      <c r="O531" t="n">
        <v>360</v>
      </c>
      <c r="Q531" t="inlineStr">
        <is>
          <t>InStock</t>
        </is>
      </c>
      <c r="R531" t="inlineStr">
        <is>
          <t>undefined</t>
        </is>
      </c>
      <c r="S531" t="inlineStr">
        <is>
          <t>725611M</t>
        </is>
      </c>
    </row>
    <row r="532" ht="75" customHeight="1">
      <c r="A532" s="1">
        <f>HYPERLINK("https://www.toolnut.com/metabo-hpt-725611m-5-piece-drill-bit-set.html", "https://www.toolnut.com/metabo-hpt-725611m-5-piece-drill-bit-set.html")</f>
        <v/>
      </c>
      <c r="B532" s="1">
        <f>HYPERLINK("https://www.toolnut.com/metabo-hpt-725611m-5-piece-drill-bit-set.html", "https://www.toolnut.com/metabo-hpt-725611m-5-piece-drill-bit-set.html")</f>
        <v/>
      </c>
      <c r="C532" t="inlineStr">
        <is>
          <t>Metabo HPT 725611M 5 Piece Drill Bit Set</t>
        </is>
      </c>
      <c r="D532" t="inlineStr">
        <is>
          <t>Metabo 626707000 55 Piece Drill and Bit Accessory Set</t>
        </is>
      </c>
      <c r="E532" s="1">
        <f>HYPERLINK("https://www.amazon.com/Metabo-86-Piece-Bit-Set/dp/B00FNBMYBY/ref=sr_1_9?keywords=Metabo+HPT+725611M+5+Piece+Drill+Bit+Set&amp;qid=1695347035&amp;sr=8-9", "https://www.amazon.com/Metabo-86-Piece-Bit-Set/dp/B00FNBMYBY/ref=sr_1_9?keywords=Metabo+HPT+725611M+5+Piece+Drill+Bit+Set&amp;qid=1695347035&amp;sr=8-9")</f>
        <v/>
      </c>
      <c r="F532" t="inlineStr">
        <is>
          <t>B00FNBMYBY</t>
        </is>
      </c>
      <c r="G532">
        <f>_xlfn.IMAGE("https://www.toolnut.com/media/catalog/product/m/e/metabo-hpt-725611m-1.jpg?quality=100&amp;bg-color=255,255,255&amp;fit=bounds&amp;height=700&amp;width=700&amp;canvas=700:700&amp;dpr=1 1x")</f>
        <v/>
      </c>
      <c r="H532">
        <f>_xlfn.IMAGE("https://m.media-amazon.com/images/I/61EDmFUB4pL._AC_UL320_.jpg")</f>
        <v/>
      </c>
      <c r="K532" t="inlineStr">
        <is>
          <t>38.97</t>
        </is>
      </c>
      <c r="L532" t="n">
        <v>67.38</v>
      </c>
      <c r="M532" s="2" t="inlineStr">
        <is>
          <t>72.90%</t>
        </is>
      </c>
      <c r="N532" t="n">
        <v>4.6</v>
      </c>
      <c r="O532" t="n">
        <v>360</v>
      </c>
      <c r="Q532" t="inlineStr">
        <is>
          <t>InStock</t>
        </is>
      </c>
      <c r="R532" t="inlineStr">
        <is>
          <t>undefined</t>
        </is>
      </c>
      <c r="S532" t="inlineStr">
        <is>
          <t>725611M</t>
        </is>
      </c>
    </row>
    <row r="533" ht="75" customHeight="1">
      <c r="A533" s="1">
        <f>HYPERLINK("https://www.toolnut.com/milwaukee-48-08-0905-12v-20-oz-aluminum-barrel-sausage-conversion-kit.html", "https://www.toolnut.com/milwaukee-48-08-0905-12v-20-oz-aluminum-barrel-sausage-conversion-kit.html")</f>
        <v/>
      </c>
      <c r="B533" s="1">
        <f>HYPERLINK("https://www.toolnut.com/milwaukee-48-08-0905-12v-20-oz-aluminum-barrel-sausage-conversion-kit.html", "https://www.toolnut.com/milwaukee-48-08-0905-12v-20-oz-aluminum-barrel-sausage-conversion-kit.html")</f>
        <v/>
      </c>
      <c r="C533" t="inlineStr">
        <is>
          <t>Milwaukee 48-08-0905 12V 20 oz Aluminum Barrel Sausage Conversion Kit</t>
        </is>
      </c>
      <c r="D533" t="inlineStr">
        <is>
          <t>48-08-0905 M12 20oz Aluminum Barrel Sausage Conversion Kit Fits For Milwaukee Tools Replacement, 12V Silicon Gun For M12 PCG/310C</t>
        </is>
      </c>
      <c r="E533" s="1">
        <f>HYPERLINK("https://www.amazon.com/Fortool-48-08-0905-Conversion-Milwaukee-Replacement/dp/B09Y8XX27C/ref=sr_1_1?keywords=Milwaukee+48-08-0905+12V+20+oz+Aluminum+Barrel+Sausage+Conversion+Kit&amp;qid=1695346639&amp;sr=8-1", "https://www.amazon.com/Fortool-48-08-0905-Conversion-Milwaukee-Replacement/dp/B09Y8XX27C/ref=sr_1_1?keywords=Milwaukee+48-08-0905+12V+20+oz+Aluminum+Barrel+Sausage+Conversion+Kit&amp;qid=1695346639&amp;sr=8-1")</f>
        <v/>
      </c>
      <c r="F533" t="inlineStr">
        <is>
          <t>B09Y8XX27C</t>
        </is>
      </c>
      <c r="G533">
        <f>_xlfn.IMAGE("https://www.toolnut.com/media/catalog/product/4/8/48-08-0905-1.jpg?quality=100&amp;bg-color=255,255,255&amp;fit=bounds&amp;height=700&amp;width=700&amp;canvas=700:700&amp;dpr=1 1x")</f>
        <v/>
      </c>
      <c r="H533">
        <f>_xlfn.IMAGE("https://m.media-amazon.com/images/I/61RGPa4xA-L._AC_UL320_.jpg")</f>
        <v/>
      </c>
      <c r="K533" t="inlineStr">
        <is>
          <t>53.99</t>
        </is>
      </c>
      <c r="L533" t="n">
        <v>105.49</v>
      </c>
      <c r="M533" s="2" t="inlineStr">
        <is>
          <t>95.39%</t>
        </is>
      </c>
      <c r="N533" t="n">
        <v>5</v>
      </c>
      <c r="O533" t="n">
        <v>3</v>
      </c>
      <c r="Q533" t="inlineStr">
        <is>
          <t>InStock</t>
        </is>
      </c>
      <c r="R533" t="inlineStr">
        <is>
          <t>undefined</t>
        </is>
      </c>
      <c r="S533" t="inlineStr">
        <is>
          <t>48-08-0905</t>
        </is>
      </c>
    </row>
    <row r="534" ht="75" customHeight="1">
      <c r="A534" s="1">
        <f>HYPERLINK("https://www.toolnut.com/milwaukee-48-08-1093-20oz-aluminum-sausage-conversion-kit.html", "https://www.toolnut.com/milwaukee-48-08-1093-20oz-aluminum-sausage-conversion-kit.html")</f>
        <v/>
      </c>
      <c r="B534" s="1">
        <f>HYPERLINK("https://www.toolnut.com/milwaukee-48-08-1093-20oz-aluminum-sausage-conversion-kit.html", "https://www.toolnut.com/milwaukee-48-08-1093-20oz-aluminum-sausage-conversion-kit.html")</f>
        <v/>
      </c>
      <c r="C534" t="inlineStr">
        <is>
          <t>Milwaukee 48-08-1093 20oz Aluminum Sausage Conversion Kit</t>
        </is>
      </c>
      <c r="D534" t="inlineStr">
        <is>
          <t>48-08-0905 M12 20oz Aluminum Barrel Sausage Conversion Kit Fits For Milwaukee Tools Replacement, 12V Silicon Gun For M12 PCG/310C</t>
        </is>
      </c>
      <c r="E534" s="1">
        <f>HYPERLINK("https://www.amazon.com/Fortool-48-08-0905-Conversion-Milwaukee-Replacement/dp/B09Y8XX27C/ref=sr_1_6?keywords=Milwaukee+48-08-1093+20oz+Aluminum+Sausage+Conversion+Kit&amp;qid=1695346627&amp;sr=8-6", "https://www.amazon.com/Fortool-48-08-0905-Conversion-Milwaukee-Replacement/dp/B09Y8XX27C/ref=sr_1_6?keywords=Milwaukee+48-08-1093+20oz+Aluminum+Sausage+Conversion+Kit&amp;qid=1695346627&amp;sr=8-6")</f>
        <v/>
      </c>
      <c r="F534" t="inlineStr">
        <is>
          <t>B09Y8XX27C</t>
        </is>
      </c>
      <c r="G534">
        <f>_xlfn.IMAGE("https://www.toolnut.com/media/catalog/product/4/8/48-08-1093-1.jpg?quality=100&amp;bg-color=255,255,255&amp;fit=bounds&amp;height=700&amp;width=700&amp;canvas=700:700&amp;dpr=1 1x")</f>
        <v/>
      </c>
      <c r="H534">
        <f>_xlfn.IMAGE("https://m.media-amazon.com/images/I/61RGPa4xA-L._AC_UL320_.jpg")</f>
        <v/>
      </c>
      <c r="K534" t="inlineStr">
        <is>
          <t>49.99</t>
        </is>
      </c>
      <c r="L534" t="n">
        <v>105.49</v>
      </c>
      <c r="M534" s="2" t="inlineStr">
        <is>
          <t>111.02%</t>
        </is>
      </c>
      <c r="N534" t="n">
        <v>5</v>
      </c>
      <c r="O534" t="n">
        <v>3</v>
      </c>
      <c r="Q534" t="inlineStr">
        <is>
          <t>InStock</t>
        </is>
      </c>
      <c r="R534" t="inlineStr">
        <is>
          <t>undefined</t>
        </is>
      </c>
      <c r="S534" t="inlineStr">
        <is>
          <t>48-08-1093</t>
        </is>
      </c>
    </row>
    <row r="535" ht="75" customHeight="1">
      <c r="A535" s="1">
        <f>HYPERLINK("https://www.toolnut.com/milwaukee-48-08-1095-quart-carriage-conversion-kit.html", "https://www.toolnut.com/milwaukee-48-08-1095-quart-carriage-conversion-kit.html")</f>
        <v/>
      </c>
      <c r="B535" s="1">
        <f>HYPERLINK("https://www.toolnut.com/milwaukee-48-08-1095-quart-carriage-conversion-kit.html", "https://www.toolnut.com/milwaukee-48-08-1095-quart-carriage-conversion-kit.html")</f>
        <v/>
      </c>
      <c r="C535" t="inlineStr">
        <is>
          <t>Milwaukee 48-08-1095 Quart Carriage Conversion Kit</t>
        </is>
      </c>
      <c r="D535" t="inlineStr">
        <is>
          <t>Milwaukee 48-08-1095 M18 Quart Carriage Conversion Kit</t>
        </is>
      </c>
      <c r="E535" s="1">
        <f>HYPERLINK("https://www.amazon.com/Milwaukee-48-08-1095-Quart-Carriage-Conversion/dp/B07FB1F75M/ref=sr_1_1?keywords=Milwaukee+48-08-1095+Quart+Carriage+Conversion+Kit&amp;qid=1695346621&amp;sr=8-1", "https://www.amazon.com/Milwaukee-48-08-1095-Quart-Carriage-Conversion/dp/B07FB1F75M/ref=sr_1_1?keywords=Milwaukee+48-08-1095+Quart+Carriage+Conversion+Kit&amp;qid=1695346621&amp;sr=8-1")</f>
        <v/>
      </c>
      <c r="F535" t="inlineStr">
        <is>
          <t>B07FB1F75M</t>
        </is>
      </c>
      <c r="G535">
        <f>_xlfn.IMAGE("https://www.toolnut.com/media/catalog/product/4/8/48-08-1095-1.jpg?quality=100&amp;bg-color=255,255,255&amp;fit=bounds&amp;height=700&amp;width=700&amp;canvas=700:700&amp;dpr=1 1x")</f>
        <v/>
      </c>
      <c r="H535">
        <f>_xlfn.IMAGE("https://m.media-amazon.com/images/I/41X2IBo3PwL._AC_UL320_.jpg")</f>
        <v/>
      </c>
      <c r="K535" t="inlineStr">
        <is>
          <t>39.54</t>
        </is>
      </c>
      <c r="L535" t="n">
        <v>64.91</v>
      </c>
      <c r="M535" s="2" t="inlineStr">
        <is>
          <t>64.16%</t>
        </is>
      </c>
      <c r="N535" t="n">
        <v>5</v>
      </c>
      <c r="O535" t="n">
        <v>8</v>
      </c>
      <c r="Q535" t="inlineStr">
        <is>
          <t>OutOfStock</t>
        </is>
      </c>
      <c r="R535" t="inlineStr">
        <is>
          <t>undefined</t>
        </is>
      </c>
      <c r="S535" t="inlineStr">
        <is>
          <t>48-08-1095</t>
        </is>
      </c>
    </row>
    <row r="536" ht="75" customHeight="1">
      <c r="A536" s="1">
        <f>HYPERLINK("https://www.toolnut.com/milwaukee-48-20-3965-sds-max-4ct-mx4-1-1-8-x-8-x-13.html", "https://www.toolnut.com/milwaukee-48-20-3965-sds-max-4ct-mx4-1-1-8-x-8-x-13.html")</f>
        <v/>
      </c>
      <c r="B536" s="1">
        <f>HYPERLINK("https://www.toolnut.com/milwaukee-48-20-3965-sds-max-4ct-mx4-1-1-8-x-8-x-13.html", "https://www.toolnut.com/milwaukee-48-20-3965-sds-max-4ct-mx4-1-1-8-x-8-x-13.html")</f>
        <v/>
      </c>
      <c r="C536" t="inlineStr">
        <is>
          <t>Milwaukee 48-20-3965 SDS MAX 4CT MX4 1-1/8" X 8" X 13"</t>
        </is>
      </c>
      <c r="D536" t="inlineStr">
        <is>
          <t>Milwaukee 48-20-5436 SDS-Max 1-Piece Core 5" x 11-3/8"</t>
        </is>
      </c>
      <c r="E536" s="1">
        <f>HYPERLINK("https://www.amazon.com/Milwaukee-48-20-5436-SDS-Max-1-Piece-Core/dp/B00LP4AC7G/ref=sr_1_10?keywords=Milwaukee+48-20-3965+SDS+MAX+4CT+MX4+1-1%2F8%22+X+8%22+X+13%22&amp;qid=1695347016&amp;sr=8-10", "https://www.amazon.com/Milwaukee-48-20-5436-SDS-Max-1-Piece-Core/dp/B00LP4AC7G/ref=sr_1_10?keywords=Milwaukee+48-20-3965+SDS+MAX+4CT+MX4+1-1%2F8%22+X+8%22+X+13%22&amp;qid=1695347016&amp;sr=8-10")</f>
        <v/>
      </c>
      <c r="F536" t="inlineStr">
        <is>
          <t>B00LP4AC7G</t>
        </is>
      </c>
      <c r="G536">
        <f>_xlfn.IMAGE("https://www.toolnut.com/media/catalog/product/4/8/48-20-3965_1.jpg?quality=100&amp;bg-color=255,255,255&amp;fit=bounds&amp;height=700&amp;width=700&amp;canvas=700:700&amp;dpr=1 1x")</f>
        <v/>
      </c>
      <c r="H536">
        <f>_xlfn.IMAGE("https://m.media-amazon.com/images/I/312EMn6L+xL._AC_UL320_.jpg")</f>
        <v/>
      </c>
      <c r="K536" t="inlineStr">
        <is>
          <t>56.97</t>
        </is>
      </c>
      <c r="L536" t="n">
        <v>256.14</v>
      </c>
      <c r="M536" s="2" t="inlineStr">
        <is>
          <t>349.61%</t>
        </is>
      </c>
      <c r="N536" t="n">
        <v>5</v>
      </c>
      <c r="O536" t="n">
        <v>2</v>
      </c>
      <c r="Q536" t="inlineStr">
        <is>
          <t>InStock</t>
        </is>
      </c>
      <c r="R536" t="inlineStr">
        <is>
          <t>undefined</t>
        </is>
      </c>
      <c r="S536" t="inlineStr">
        <is>
          <t>48-20-3965</t>
        </is>
      </c>
    </row>
    <row r="537" ht="75" customHeight="1">
      <c r="A537" s="1">
        <f>HYPERLINK("https://www.toolnut.com/milwaukee-48-20-7490-5pc-sds-plus-bit-kit.html", "https://www.toolnut.com/milwaukee-48-20-7490-5pc-sds-plus-bit-kit.html")</f>
        <v/>
      </c>
      <c r="B537" s="1">
        <f>HYPERLINK("https://www.toolnut.com/milwaukee-48-20-7490-5pc-sds-plus-bit-kit.html", "https://www.toolnut.com/milwaukee-48-20-7490-5pc-sds-plus-bit-kit.html")</f>
        <v/>
      </c>
      <c r="C537" t="inlineStr">
        <is>
          <t>Milwaukee 48-20-7490 5-Piece SDS-PLUS Bit Kit</t>
        </is>
      </c>
      <c r="D537" t="inlineStr">
        <is>
          <t>Milwaukee 48-20-7499 SDS-Plus 4Ct Mx4 Kit (6-Piece)</t>
        </is>
      </c>
      <c r="E537" s="1">
        <f>HYPERLINK("https://www.amazon.com/Milwaukee-48-20-7499-SDS-Plus-4Ct-6-Piece/dp/B01G48W62Q/ref=sr_1_2?keywords=Milwaukee+48-20-7490+5-Piece+SDS-PLUS+Bit+Kit&amp;qid=1695346861&amp;sr=8-2", "https://www.amazon.com/Milwaukee-48-20-7499-SDS-Plus-4Ct-6-Piece/dp/B01G48W62Q/ref=sr_1_2?keywords=Milwaukee+48-20-7490+5-Piece+SDS-PLUS+Bit+Kit&amp;qid=1695346861&amp;sr=8-2")</f>
        <v/>
      </c>
      <c r="F537" t="inlineStr">
        <is>
          <t>B01G48W62Q</t>
        </is>
      </c>
      <c r="G537">
        <f>_xlfn.IMAGE("https://www.toolnut.com/media/catalog/product/4/8/48-20-7490-1.jpg?quality=100&amp;bg-color=255,255,255&amp;fit=bounds&amp;height=700&amp;width=700&amp;canvas=700:700&amp;dpr=1 1x")</f>
        <v/>
      </c>
      <c r="H537">
        <f>_xlfn.IMAGE("https://m.media-amazon.com/images/I/81jxqDVUHIL._AC_UL320_.jpg")</f>
        <v/>
      </c>
      <c r="K537" t="inlineStr">
        <is>
          <t>24.99</t>
        </is>
      </c>
      <c r="L537" t="n">
        <v>68.39</v>
      </c>
      <c r="M537" s="2" t="inlineStr">
        <is>
          <t>173.67%</t>
        </is>
      </c>
      <c r="N537" t="n">
        <v>4.8</v>
      </c>
      <c r="O537" t="n">
        <v>6</v>
      </c>
      <c r="Q537" t="inlineStr">
        <is>
          <t>InStock</t>
        </is>
      </c>
      <c r="R537" t="inlineStr">
        <is>
          <t>undefined</t>
        </is>
      </c>
      <c r="S537" t="inlineStr">
        <is>
          <t>48-20-7490</t>
        </is>
      </c>
    </row>
    <row r="538" ht="75" customHeight="1">
      <c r="A538" s="1">
        <f>HYPERLINK("https://www.toolnut.com/milwaukee-48-20-7490-5pc-sds-plus-bit-kit.html", "https://www.toolnut.com/milwaukee-48-20-7490-5pc-sds-plus-bit-kit.html")</f>
        <v/>
      </c>
      <c r="B538" s="1">
        <f>HYPERLINK("https://www.toolnut.com/milwaukee-48-20-7490-5pc-sds-plus-bit-kit.html", "https://www.toolnut.com/milwaukee-48-20-7490-5pc-sds-plus-bit-kit.html")</f>
        <v/>
      </c>
      <c r="C538" t="inlineStr">
        <is>
          <t>Milwaukee 48-20-7490 5-Piece SDS-PLUS Bit Kit</t>
        </is>
      </c>
      <c r="D538" t="inlineStr">
        <is>
          <t>Milwaukee 48-20-5230 2-9/16 Carbide SDS-Plus Masonry Core Bit</t>
        </is>
      </c>
      <c r="E538" s="1">
        <f>HYPERLINK("https://www.amazon.com/Milwaukee-48-20-5230-Carbide-SDS-Plus-Masonry/dp/B07B4VGQMS/ref=sr_1_5?keywords=Milwaukee+48-20-7490+5-Piece+SDS-PLUS+Bit+Kit&amp;qid=1695346861&amp;sr=8-5", "https://www.amazon.com/Milwaukee-48-20-5230-Carbide-SDS-Plus-Masonry/dp/B07B4VGQMS/ref=sr_1_5?keywords=Milwaukee+48-20-7490+5-Piece+SDS-PLUS+Bit+Kit&amp;qid=1695346861&amp;sr=8-5")</f>
        <v/>
      </c>
      <c r="F538" t="inlineStr">
        <is>
          <t>B07B4VGQMS</t>
        </is>
      </c>
      <c r="G538">
        <f>_xlfn.IMAGE("https://www.toolnut.com/media/catalog/product/4/8/48-20-7490-1.jpg?quality=100&amp;bg-color=255,255,255&amp;fit=bounds&amp;height=700&amp;width=700&amp;canvas=700:700&amp;dpr=1 1x")</f>
        <v/>
      </c>
      <c r="H538">
        <f>_xlfn.IMAGE("https://m.media-amazon.com/images/I/61elPku-1uL._AC_UL320_.jpg")</f>
        <v/>
      </c>
      <c r="K538" t="inlineStr">
        <is>
          <t>24.99</t>
        </is>
      </c>
      <c r="L538" t="n">
        <v>48</v>
      </c>
      <c r="M538" s="2" t="inlineStr">
        <is>
          <t>92.08%</t>
        </is>
      </c>
      <c r="N538" t="n">
        <v>4</v>
      </c>
      <c r="O538" t="n">
        <v>10</v>
      </c>
      <c r="Q538" t="inlineStr">
        <is>
          <t>InStock</t>
        </is>
      </c>
      <c r="R538" t="inlineStr">
        <is>
          <t>undefined</t>
        </is>
      </c>
      <c r="S538" t="inlineStr">
        <is>
          <t>48-20-7490</t>
        </is>
      </c>
    </row>
    <row r="539" ht="75" customHeight="1">
      <c r="A539" s="1">
        <f>HYPERLINK("https://www.toolnut.com/milwaukee-48-20-7490-5pc-sds-plus-bit-kit.html", "https://www.toolnut.com/milwaukee-48-20-7490-5pc-sds-plus-bit-kit.html")</f>
        <v/>
      </c>
      <c r="B539" s="1">
        <f>HYPERLINK("https://www.toolnut.com/milwaukee-48-20-7490-5pc-sds-plus-bit-kit.html", "https://www.toolnut.com/milwaukee-48-20-7490-5pc-sds-plus-bit-kit.html")</f>
        <v/>
      </c>
      <c r="C539" t="inlineStr">
        <is>
          <t>Milwaukee 48-20-7490 5-Piece SDS-PLUS Bit Kit</t>
        </is>
      </c>
      <c r="D539" t="inlineStr">
        <is>
          <t>Milwaukee 48-20-7499 SDS-Plus 4Ct Mx4 Kit (6-Piece)</t>
        </is>
      </c>
      <c r="E539" s="1">
        <f>HYPERLINK("https://www.amazon.com/Milwaukee-48-20-7499-SDS-Plus-4Ct-6-Piece/dp/B01G48W62Q/ref=sr_1_2?keywords=Milwaukee+48-20-7490+5-Piece+SDS-PLUS+Bit+Kit&amp;qid=1695346861&amp;sr=8-2", "https://www.amazon.com/Milwaukee-48-20-7499-SDS-Plus-4Ct-6-Piece/dp/B01G48W62Q/ref=sr_1_2?keywords=Milwaukee+48-20-7490+5-Piece+SDS-PLUS+Bit+Kit&amp;qid=1695346861&amp;sr=8-2")</f>
        <v/>
      </c>
      <c r="F539" t="inlineStr">
        <is>
          <t>B01G48W62Q</t>
        </is>
      </c>
      <c r="G539">
        <f>_xlfn.IMAGE("https://www.toolnut.com/media/catalog/product/4/8/48-20-7490-1.jpg?quality=100&amp;bg-color=255,255,255&amp;fit=bounds&amp;height=700&amp;width=700&amp;canvas=700:700&amp;dpr=1 1x")</f>
        <v/>
      </c>
      <c r="H539">
        <f>_xlfn.IMAGE("https://m.media-amazon.com/images/I/81jxqDVUHIL._AC_UL320_.jpg")</f>
        <v/>
      </c>
      <c r="K539" t="inlineStr">
        <is>
          <t>24.99</t>
        </is>
      </c>
      <c r="L539" t="n">
        <v>68.39</v>
      </c>
      <c r="M539" s="2" t="inlineStr">
        <is>
          <t>173.67%</t>
        </is>
      </c>
      <c r="N539" t="n">
        <v>4.8</v>
      </c>
      <c r="O539" t="n">
        <v>6</v>
      </c>
      <c r="Q539" t="inlineStr">
        <is>
          <t>InStock</t>
        </is>
      </c>
      <c r="R539" t="inlineStr">
        <is>
          <t>undefined</t>
        </is>
      </c>
      <c r="S539" t="inlineStr">
        <is>
          <t>48-20-7490</t>
        </is>
      </c>
    </row>
    <row r="540" ht="75" customHeight="1">
      <c r="A540" s="1">
        <f>HYPERLINK("https://www.toolnut.com/milwaukee-48-20-7490-5pc-sds-plus-bit-kit.html", "https://www.toolnut.com/milwaukee-48-20-7490-5pc-sds-plus-bit-kit.html")</f>
        <v/>
      </c>
      <c r="B540" s="1">
        <f>HYPERLINK("https://www.toolnut.com/milwaukee-48-20-7490-5pc-sds-plus-bit-kit.html", "https://www.toolnut.com/milwaukee-48-20-7490-5pc-sds-plus-bit-kit.html")</f>
        <v/>
      </c>
      <c r="C540" t="inlineStr">
        <is>
          <t>Milwaukee 48-20-7490 5-Piece SDS-PLUS Bit Kit</t>
        </is>
      </c>
      <c r="D540" t="inlineStr">
        <is>
          <t>Milwaukee 48-20-5230 2-9/16 Carbide SDS-Plus Masonry Core Bit</t>
        </is>
      </c>
      <c r="E540" s="1">
        <f>HYPERLINK("https://www.amazon.com/Milwaukee-48-20-5230-Carbide-SDS-Plus-Masonry/dp/B07B4VGQMS/ref=sr_1_5?keywords=Milwaukee+48-20-7490+5-Piece+SDS-PLUS+Bit+Kit&amp;qid=1695346861&amp;sr=8-5", "https://www.amazon.com/Milwaukee-48-20-5230-Carbide-SDS-Plus-Masonry/dp/B07B4VGQMS/ref=sr_1_5?keywords=Milwaukee+48-20-7490+5-Piece+SDS-PLUS+Bit+Kit&amp;qid=1695346861&amp;sr=8-5")</f>
        <v/>
      </c>
      <c r="F540" t="inlineStr">
        <is>
          <t>B07B4VGQMS</t>
        </is>
      </c>
      <c r="G540">
        <f>_xlfn.IMAGE("https://www.toolnut.com/media/catalog/product/4/8/48-20-7490-1.jpg?quality=100&amp;bg-color=255,255,255&amp;fit=bounds&amp;height=700&amp;width=700&amp;canvas=700:700&amp;dpr=1 1x")</f>
        <v/>
      </c>
      <c r="H540">
        <f>_xlfn.IMAGE("https://m.media-amazon.com/images/I/61elPku-1uL._AC_UL320_.jpg")</f>
        <v/>
      </c>
      <c r="K540" t="inlineStr">
        <is>
          <t>24.99</t>
        </is>
      </c>
      <c r="L540" t="n">
        <v>48</v>
      </c>
      <c r="M540" s="2" t="inlineStr">
        <is>
          <t>92.08%</t>
        </is>
      </c>
      <c r="N540" t="n">
        <v>4</v>
      </c>
      <c r="O540" t="n">
        <v>10</v>
      </c>
      <c r="Q540" t="inlineStr">
        <is>
          <t>InStock</t>
        </is>
      </c>
      <c r="R540" t="inlineStr">
        <is>
          <t>undefined</t>
        </is>
      </c>
      <c r="S540" t="inlineStr">
        <is>
          <t>48-20-7490</t>
        </is>
      </c>
    </row>
    <row r="541" ht="75" customHeight="1">
      <c r="A541" s="1">
        <f>HYPERLINK("https://www.toolnut.com/milwaukee-48-22-1540-fastback-5-in-1-folding-knife.html", "https://www.toolnut.com/milwaukee-48-22-1540-fastback-5-in-1-folding-knife.html")</f>
        <v/>
      </c>
      <c r="B541" s="1">
        <f>HYPERLINK("https://www.toolnut.com/milwaukee-48-22-1540-fastback-5-in-1-folding-knife.html", "https://www.toolnut.com/milwaukee-48-22-1540-fastback-5-in-1-folding-knife.html")</f>
        <v/>
      </c>
      <c r="C541" t="inlineStr">
        <is>
          <t>Milwaukee 48-22-1540 FASTBACK 5-in-1 Folding Knife</t>
        </is>
      </c>
      <c r="D541" t="inlineStr">
        <is>
          <t>For Milwaukee 48-22-1540 FASTBACK 5 in 1 Folding Pocket Knife Length 8.75 in Height 1 in Width 2 in</t>
        </is>
      </c>
      <c r="E541" s="1">
        <f>HYPERLINK("https://www.amazon.com/SHISHUVIN-Milwaukee-48-22-1540-FASTBACK-Folding/dp/B0C1RJSRPR/ref=sr_1_3?keywords=Milwaukee+48-22-1540+FASTBACK+5-in-1+Folding+Knife&amp;qid=1695346637&amp;sr=8-3", "https://www.amazon.com/SHISHUVIN-Milwaukee-48-22-1540-FASTBACK-Folding/dp/B0C1RJSRPR/ref=sr_1_3?keywords=Milwaukee+48-22-1540+FASTBACK+5-in-1+Folding+Knife&amp;qid=1695346637&amp;sr=8-3")</f>
        <v/>
      </c>
      <c r="F541" t="inlineStr">
        <is>
          <t>B0C1RJSRPR</t>
        </is>
      </c>
      <c r="G541">
        <f>_xlfn.IMAGE("https://www.toolnut.com/media/catalog/product/4/8/48-22-1540-1.jpg?quality=100&amp;bg-color=255,255,255&amp;fit=bounds&amp;height=700&amp;width=700&amp;canvas=700:700&amp;dpr=1 1x")</f>
        <v/>
      </c>
      <c r="H541">
        <f>_xlfn.IMAGE("https://m.media-amazon.com/images/I/413xL6xnD1L._AC_UL320_.jpg")</f>
        <v/>
      </c>
      <c r="K541" t="inlineStr">
        <is>
          <t>24.97</t>
        </is>
      </c>
      <c r="L541" t="n">
        <v>47</v>
      </c>
      <c r="M541" s="2" t="inlineStr">
        <is>
          <t>88.23%</t>
        </is>
      </c>
      <c r="N541" t="n">
        <v>5</v>
      </c>
      <c r="O541" t="n">
        <v>1</v>
      </c>
      <c r="Q541" t="inlineStr">
        <is>
          <t>InStock</t>
        </is>
      </c>
      <c r="R541" t="inlineStr">
        <is>
          <t>undefined</t>
        </is>
      </c>
      <c r="S541" t="inlineStr">
        <is>
          <t>48-22-1540</t>
        </is>
      </c>
    </row>
    <row r="542" ht="75" customHeight="1">
      <c r="A542" s="1">
        <f>HYPERLINK("https://www.toolnut.com/milwaukee-48-22-2111-4-piece-multi-bit-replacement-set.html", "https://www.toolnut.com/milwaukee-48-22-2111-4-piece-multi-bit-replacement-set.html")</f>
        <v/>
      </c>
      <c r="B542" s="1">
        <f>HYPERLINK("https://www.toolnut.com/milwaukee-48-22-2111-4-piece-multi-bit-replacement-set.html", "https://www.toolnut.com/milwaukee-48-22-2111-4-piece-multi-bit-replacement-set.html")</f>
        <v/>
      </c>
      <c r="C542" t="inlineStr">
        <is>
          <t>Milwaukee 48-22-2111 4-Piece Multi-Bit Replacement Set</t>
        </is>
      </c>
      <c r="D542" t="inlineStr">
        <is>
          <t>Milwaukee 48-32-4016 Automotive Shockwave Kit 22 Piece Automotive Impact Driver Bit Set</t>
        </is>
      </c>
      <c r="E542" s="1">
        <f>HYPERLINK("https://www.amazon.com/Milwaukee-48-32-4016-Automotive-Shockwave-Impact/dp/B074HG7KXR/ref=sr_1_8?keywords=Milwaukee+48-22-2111+4-Piece+Multi-Bit+Replacement+Set&amp;qid=1695347152&amp;sr=8-8", "https://www.amazon.com/Milwaukee-48-32-4016-Automotive-Shockwave-Impact/dp/B074HG7KXR/ref=sr_1_8?keywords=Milwaukee+48-22-2111+4-Piece+Multi-Bit+Replacement+Set&amp;qid=1695347152&amp;sr=8-8")</f>
        <v/>
      </c>
      <c r="F542" t="inlineStr">
        <is>
          <t>B074HG7KXR</t>
        </is>
      </c>
      <c r="G542">
        <f>_xlfn.IMAGE("https://www.toolnut.com/media/catalog/product/4/8/48-22-2111_1.jpg?quality=100&amp;bg-color=255,255,255&amp;fit=bounds&amp;height=700&amp;width=700&amp;canvas=700:700&amp;dpr=1 1x")</f>
        <v/>
      </c>
      <c r="H542">
        <f>_xlfn.IMAGE("https://m.media-amazon.com/images/I/81fSCaDu-qL._AC_UL320_.jpg")</f>
        <v/>
      </c>
      <c r="K542" t="inlineStr">
        <is>
          <t>9.99</t>
        </is>
      </c>
      <c r="L542" t="n">
        <v>27.99</v>
      </c>
      <c r="M542" s="2" t="inlineStr">
        <is>
          <t>180.18%</t>
        </is>
      </c>
      <c r="N542" t="n">
        <v>4.8</v>
      </c>
      <c r="O542" t="n">
        <v>123</v>
      </c>
      <c r="Q542" t="inlineStr">
        <is>
          <t>InStock</t>
        </is>
      </c>
      <c r="R542" t="inlineStr">
        <is>
          <t>undefined</t>
        </is>
      </c>
      <c r="S542" t="inlineStr">
        <is>
          <t>48-22-2111</t>
        </is>
      </c>
    </row>
    <row r="543" ht="75" customHeight="1">
      <c r="A543" s="1">
        <f>HYPERLINK("https://www.toolnut.com/milwaukee-48-22-2111-4-piece-multi-bit-replacement-set.html", "https://www.toolnut.com/milwaukee-48-22-2111-4-piece-multi-bit-replacement-set.html")</f>
        <v/>
      </c>
      <c r="B543" s="1">
        <f>HYPERLINK("https://www.toolnut.com/milwaukee-48-22-2111-4-piece-multi-bit-replacement-set.html", "https://www.toolnut.com/milwaukee-48-22-2111-4-piece-multi-bit-replacement-set.html")</f>
        <v/>
      </c>
      <c r="C543" t="inlineStr">
        <is>
          <t>Milwaukee 48-22-2111 4-Piece Multi-Bit Replacement Set</t>
        </is>
      </c>
      <c r="D543" t="inlineStr">
        <is>
          <t>Milwaukee 48-32-4016 Automotive Shockwave Kit 22 Piece Automotive Impact Driver Bit Set</t>
        </is>
      </c>
      <c r="E543" s="1">
        <f>HYPERLINK("https://www.amazon.com/Milwaukee-48-32-4016-Automotive-Shockwave-Impact/dp/B074HG7KXR/ref=sr_1_8?keywords=Milwaukee+48-22-2111+4-Piece+Multi-Bit+Replacement+Set&amp;qid=1695347152&amp;sr=8-8", "https://www.amazon.com/Milwaukee-48-32-4016-Automotive-Shockwave-Impact/dp/B074HG7KXR/ref=sr_1_8?keywords=Milwaukee+48-22-2111+4-Piece+Multi-Bit+Replacement+Set&amp;qid=1695347152&amp;sr=8-8")</f>
        <v/>
      </c>
      <c r="F543" t="inlineStr">
        <is>
          <t>B074HG7KXR</t>
        </is>
      </c>
      <c r="G543">
        <f>_xlfn.IMAGE("https://www.toolnut.com/media/catalog/product/4/8/48-22-2111_1.jpg?quality=100&amp;bg-color=255,255,255&amp;fit=bounds&amp;height=700&amp;width=700&amp;canvas=700:700&amp;dpr=1 1x")</f>
        <v/>
      </c>
      <c r="H543">
        <f>_xlfn.IMAGE("https://m.media-amazon.com/images/I/81fSCaDu-qL._AC_UL320_.jpg")</f>
        <v/>
      </c>
      <c r="K543" t="inlineStr">
        <is>
          <t>9.99</t>
        </is>
      </c>
      <c r="L543" t="n">
        <v>27.99</v>
      </c>
      <c r="M543" s="2" t="inlineStr">
        <is>
          <t>180.18%</t>
        </is>
      </c>
      <c r="N543" t="n">
        <v>4.8</v>
      </c>
      <c r="O543" t="n">
        <v>123</v>
      </c>
      <c r="Q543" t="inlineStr">
        <is>
          <t>InStock</t>
        </is>
      </c>
      <c r="R543" t="inlineStr">
        <is>
          <t>undefined</t>
        </is>
      </c>
      <c r="S543" t="inlineStr">
        <is>
          <t>48-22-2111</t>
        </is>
      </c>
    </row>
    <row r="544" ht="75" customHeight="1">
      <c r="A544" s="1">
        <f>HYPERLINK("https://www.toolnut.com/milwaukee-48-22-2132-9-in-1-square-drive-multi-bit-driver.html", "https://www.toolnut.com/milwaukee-48-22-2132-9-in-1-square-drive-multi-bit-driver.html")</f>
        <v/>
      </c>
      <c r="B544" s="1">
        <f>HYPERLINK("https://www.toolnut.com/milwaukee-48-22-2132-9-in-1-square-drive-multi-bit-driver.html", "https://www.toolnut.com/milwaukee-48-22-2132-9-in-1-square-drive-multi-bit-driver.html")</f>
        <v/>
      </c>
      <c r="C544" t="inlineStr">
        <is>
          <t>Milwaukee 48-22-2132 9-In-1 Square Drive Multi-Bit Driver</t>
        </is>
      </c>
      <c r="D544" t="inlineStr">
        <is>
          <t>Milwaukee 11-in-1 Multi-Tip Screwdriver with Square Drive Bits and 13-in-1 Multi-Tip Cushion Grip Screwdriver Sets (48-22-2880-2761)</t>
        </is>
      </c>
      <c r="E544" s="1">
        <f>HYPERLINK("https://www.amazon.com/Milwaukee-Multi-Tip-Screwdriver-Cushion-48-22-2880-2761/dp/B0BS435YZ2/ref=sr_1_2?keywords=Milwaukee+48-22-2132+9-In-1+Square+Drive+Multi-Bit+Driver&amp;qid=1695346856&amp;sr=8-2", "https://www.amazon.com/Milwaukee-Multi-Tip-Screwdriver-Cushion-48-22-2880-2761/dp/B0BS435YZ2/ref=sr_1_2?keywords=Milwaukee+48-22-2132+9-In-1+Square+Drive+Multi-Bit+Driver&amp;qid=1695346856&amp;sr=8-2")</f>
        <v/>
      </c>
      <c r="F544" t="inlineStr">
        <is>
          <t>B0BS435YZ2</t>
        </is>
      </c>
      <c r="G544">
        <f>_xlfn.IMAGE("https://www.toolnut.com/media/catalog/product/4/8/48-22-2132_1.jpg?quality=100&amp;bg-color=255,255,255&amp;fit=bounds&amp;height=700&amp;width=700&amp;canvas=700:700&amp;dpr=1 1x")</f>
        <v/>
      </c>
      <c r="H544">
        <f>_xlfn.IMAGE("https://m.media-amazon.com/images/I/6147KLqShzL._AC_UL320_.jpg")</f>
        <v/>
      </c>
      <c r="K544" t="inlineStr">
        <is>
          <t>15.97</t>
        </is>
      </c>
      <c r="L544" t="n">
        <v>40.99</v>
      </c>
      <c r="M544" s="2" t="inlineStr">
        <is>
          <t>156.67%</t>
        </is>
      </c>
      <c r="N544" t="n">
        <v>5</v>
      </c>
      <c r="O544" t="n">
        <v>4</v>
      </c>
      <c r="Q544" t="inlineStr">
        <is>
          <t>InStock</t>
        </is>
      </c>
      <c r="R544" t="inlineStr">
        <is>
          <t>undefined</t>
        </is>
      </c>
      <c r="S544" t="inlineStr">
        <is>
          <t>48-22-2132</t>
        </is>
      </c>
    </row>
    <row r="545" ht="75" customHeight="1">
      <c r="A545" s="1">
        <f>HYPERLINK("https://www.toolnut.com/milwaukee-48-22-2132-9-in-1-square-drive-multi-bit-driver.html", "https://www.toolnut.com/milwaukee-48-22-2132-9-in-1-square-drive-multi-bit-driver.html")</f>
        <v/>
      </c>
      <c r="B545" s="1">
        <f>HYPERLINK("https://www.toolnut.com/milwaukee-48-22-2132-9-in-1-square-drive-multi-bit-driver.html", "https://www.toolnut.com/milwaukee-48-22-2132-9-in-1-square-drive-multi-bit-driver.html")</f>
        <v/>
      </c>
      <c r="C545" t="inlineStr">
        <is>
          <t>Milwaukee 48-22-2132 9-In-1 Square Drive Multi-Bit Driver</t>
        </is>
      </c>
      <c r="D545" t="inlineStr">
        <is>
          <t>48-22-2330 for Milwaukee 8-in-1 Compact Ratcheting Multi-Bit Screwdriver</t>
        </is>
      </c>
      <c r="E545" s="1">
        <f>HYPERLINK("https://www.amazon.com/48-22-2330-Milwaukee-Ratcheting-Multi-Bit-Screwdriver/dp/B0C2VXJ8ZN/ref=sr_1_6?keywords=Milwaukee+48-22-2132+9-In-1+Square+Drive+Multi-Bit+Driver&amp;qid=1695346856&amp;sr=8-6", "https://www.amazon.com/48-22-2330-Milwaukee-Ratcheting-Multi-Bit-Screwdriver/dp/B0C2VXJ8ZN/ref=sr_1_6?keywords=Milwaukee+48-22-2132+9-In-1+Square+Drive+Multi-Bit+Driver&amp;qid=1695346856&amp;sr=8-6")</f>
        <v/>
      </c>
      <c r="F545" t="inlineStr">
        <is>
          <t>B0C2VXJ8ZN</t>
        </is>
      </c>
      <c r="G545">
        <f>_xlfn.IMAGE("https://www.toolnut.com/media/catalog/product/4/8/48-22-2132_1.jpg?quality=100&amp;bg-color=255,255,255&amp;fit=bounds&amp;height=700&amp;width=700&amp;canvas=700:700&amp;dpr=1 1x")</f>
        <v/>
      </c>
      <c r="H545">
        <f>_xlfn.IMAGE("https://m.media-amazon.com/images/I/51NHRcqTkvL._AC_UL320_.jpg")</f>
        <v/>
      </c>
      <c r="K545" t="inlineStr">
        <is>
          <t>15.97</t>
        </is>
      </c>
      <c r="L545" t="n">
        <v>33.32</v>
      </c>
      <c r="M545" s="2" t="inlineStr">
        <is>
          <t>108.64%</t>
        </is>
      </c>
      <c r="N545" t="n">
        <v>5</v>
      </c>
      <c r="O545" t="n">
        <v>1</v>
      </c>
      <c r="Q545" t="inlineStr">
        <is>
          <t>InStock</t>
        </is>
      </c>
      <c r="R545" t="inlineStr">
        <is>
          <t>undefined</t>
        </is>
      </c>
      <c r="S545" t="inlineStr">
        <is>
          <t>48-22-2132</t>
        </is>
      </c>
    </row>
    <row r="546" ht="75" customHeight="1">
      <c r="A546" s="1">
        <f>HYPERLINK("https://www.toolnut.com/milwaukee-48-22-2132-9-in-1-square-drive-multi-bit-driver.html", "https://www.toolnut.com/milwaukee-48-22-2132-9-in-1-square-drive-multi-bit-driver.html")</f>
        <v/>
      </c>
      <c r="B546" s="1">
        <f>HYPERLINK("https://www.toolnut.com/milwaukee-48-22-2132-9-in-1-square-drive-multi-bit-driver.html", "https://www.toolnut.com/milwaukee-48-22-2132-9-in-1-square-drive-multi-bit-driver.html")</f>
        <v/>
      </c>
      <c r="C546" t="inlineStr">
        <is>
          <t>Milwaukee 48-22-2132 9-In-1 Square Drive Multi-Bit Driver</t>
        </is>
      </c>
      <c r="D546" t="inlineStr">
        <is>
          <t>Milwaukee 11-in-1 Multi-Tip Screwdriver with Square Drive Bits and 13-in-1 Multi-Tip Cushion Grip Screwdriver Sets (48-22-2880-2761)</t>
        </is>
      </c>
      <c r="E546" s="1">
        <f>HYPERLINK("https://www.amazon.com/Milwaukee-Multi-Tip-Screwdriver-Cushion-48-22-2880-2761/dp/B0BS435YZ2/ref=sr_1_2?keywords=Milwaukee+48-22-2132+9-In-1+Square+Drive+Multi-Bit+Driver&amp;qid=1695346856&amp;sr=8-2", "https://www.amazon.com/Milwaukee-Multi-Tip-Screwdriver-Cushion-48-22-2880-2761/dp/B0BS435YZ2/ref=sr_1_2?keywords=Milwaukee+48-22-2132+9-In-1+Square+Drive+Multi-Bit+Driver&amp;qid=1695346856&amp;sr=8-2")</f>
        <v/>
      </c>
      <c r="F546" t="inlineStr">
        <is>
          <t>B0BS435YZ2</t>
        </is>
      </c>
      <c r="G546">
        <f>_xlfn.IMAGE("https://www.toolnut.com/media/catalog/product/4/8/48-22-2132_1.jpg?quality=100&amp;bg-color=255,255,255&amp;fit=bounds&amp;height=700&amp;width=700&amp;canvas=700:700&amp;dpr=1 1x")</f>
        <v/>
      </c>
      <c r="H546">
        <f>_xlfn.IMAGE("https://m.media-amazon.com/images/I/6147KLqShzL._AC_UL320_.jpg")</f>
        <v/>
      </c>
      <c r="K546" t="inlineStr">
        <is>
          <t>15.97</t>
        </is>
      </c>
      <c r="L546" t="n">
        <v>40.99</v>
      </c>
      <c r="M546" s="2" t="inlineStr">
        <is>
          <t>156.67%</t>
        </is>
      </c>
      <c r="N546" t="n">
        <v>5</v>
      </c>
      <c r="O546" t="n">
        <v>4</v>
      </c>
      <c r="Q546" t="inlineStr">
        <is>
          <t>InStock</t>
        </is>
      </c>
      <c r="R546" t="inlineStr">
        <is>
          <t>undefined</t>
        </is>
      </c>
      <c r="S546" t="inlineStr">
        <is>
          <t>48-22-2132</t>
        </is>
      </c>
    </row>
    <row r="547" ht="75" customHeight="1">
      <c r="A547" s="1">
        <f>HYPERLINK("https://www.toolnut.com/milwaukee-48-22-2132-9-in-1-square-drive-multi-bit-driver.html", "https://www.toolnut.com/milwaukee-48-22-2132-9-in-1-square-drive-multi-bit-driver.html")</f>
        <v/>
      </c>
      <c r="B547" s="1">
        <f>HYPERLINK("https://www.toolnut.com/milwaukee-48-22-2132-9-in-1-square-drive-multi-bit-driver.html", "https://www.toolnut.com/milwaukee-48-22-2132-9-in-1-square-drive-multi-bit-driver.html")</f>
        <v/>
      </c>
      <c r="C547" t="inlineStr">
        <is>
          <t>Milwaukee 48-22-2132 9-In-1 Square Drive Multi-Bit Driver</t>
        </is>
      </c>
      <c r="D547" t="inlineStr">
        <is>
          <t>48-22-2330 for Milwaukee 8-in-1 Compact Ratcheting Multi-Bit Screwdriver</t>
        </is>
      </c>
      <c r="E547" s="1">
        <f>HYPERLINK("https://www.amazon.com/48-22-2330-Milwaukee-Ratcheting-Multi-Bit-Screwdriver/dp/B0C2VXJ8ZN/ref=sr_1_6?keywords=Milwaukee+48-22-2132+9-In-1+Square+Drive+Multi-Bit+Driver&amp;qid=1695346856&amp;sr=8-6", "https://www.amazon.com/48-22-2330-Milwaukee-Ratcheting-Multi-Bit-Screwdriver/dp/B0C2VXJ8ZN/ref=sr_1_6?keywords=Milwaukee+48-22-2132+9-In-1+Square+Drive+Multi-Bit+Driver&amp;qid=1695346856&amp;sr=8-6")</f>
        <v/>
      </c>
      <c r="F547" t="inlineStr">
        <is>
          <t>B0C2VXJ8ZN</t>
        </is>
      </c>
      <c r="G547">
        <f>_xlfn.IMAGE("https://www.toolnut.com/media/catalog/product/4/8/48-22-2132_1.jpg?quality=100&amp;bg-color=255,255,255&amp;fit=bounds&amp;height=700&amp;width=700&amp;canvas=700:700&amp;dpr=1 1x")</f>
        <v/>
      </c>
      <c r="H547">
        <f>_xlfn.IMAGE("https://m.media-amazon.com/images/I/51NHRcqTkvL._AC_UL320_.jpg")</f>
        <v/>
      </c>
      <c r="K547" t="inlineStr">
        <is>
          <t>15.97</t>
        </is>
      </c>
      <c r="L547" t="n">
        <v>33.32</v>
      </c>
      <c r="M547" s="2" t="inlineStr">
        <is>
          <t>108.64%</t>
        </is>
      </c>
      <c r="N547" t="n">
        <v>5</v>
      </c>
      <c r="O547" t="n">
        <v>1</v>
      </c>
      <c r="Q547" t="inlineStr">
        <is>
          <t>InStock</t>
        </is>
      </c>
      <c r="R547" t="inlineStr">
        <is>
          <t>undefined</t>
        </is>
      </c>
      <c r="S547" t="inlineStr">
        <is>
          <t>48-22-2132</t>
        </is>
      </c>
    </row>
    <row r="548" ht="75" customHeight="1">
      <c r="A548" s="1">
        <f>HYPERLINK("https://www.toolnut.com/milwaukee-48-22-2322-9-in-1-square-drive-ratcheting-multi-bit-driver.html", "https://www.toolnut.com/milwaukee-48-22-2322-9-in-1-square-drive-ratcheting-multi-bit-driver.html")</f>
        <v/>
      </c>
      <c r="B548" s="1">
        <f>HYPERLINK("https://www.toolnut.com/milwaukee-48-22-2322-9-in-1-square-drive-ratcheting-multi-bit-driver.html", "https://www.toolnut.com/milwaukee-48-22-2322-9-in-1-square-drive-ratcheting-multi-bit-driver.html")</f>
        <v/>
      </c>
      <c r="C548" t="inlineStr">
        <is>
          <t>Milwaukee 48-22-2322 9-In-1 Square Drive Ratcheting Multi-Bit Driver</t>
        </is>
      </c>
      <c r="D548" t="inlineStr">
        <is>
          <t>Milwaukee 11-in-1 Multi-Tip Screwdriver with Square Drive Bits and 13-in-1 Multi-Tip Cushion Grip Screwdriver Sets (48-22-2880-2761)</t>
        </is>
      </c>
      <c r="E548" s="1">
        <f>HYPERLINK("https://www.amazon.com/Milwaukee-Multi-Tip-Screwdriver-Cushion-48-22-2880-2761/dp/B0BS435YZ2/ref=sr_1_4?keywords=Milwaukee+48-22-2322+9-In-1+Square+Drive+Ratcheting+Multi-Bit+Driver&amp;qid=1695346857&amp;sr=8-4", "https://www.amazon.com/Milwaukee-Multi-Tip-Screwdriver-Cushion-48-22-2880-2761/dp/B0BS435YZ2/ref=sr_1_4?keywords=Milwaukee+48-22-2322+9-In-1+Square+Drive+Ratcheting+Multi-Bit+Driver&amp;qid=1695346857&amp;sr=8-4")</f>
        <v/>
      </c>
      <c r="F548" t="inlineStr">
        <is>
          <t>B0BS435YZ2</t>
        </is>
      </c>
      <c r="G548">
        <f>_xlfn.IMAGE("https://www.toolnut.com/media/catalog/product/4/8/48-22-2322_1.jpg?quality=100&amp;bg-color=255,255,255&amp;fit=bounds&amp;height=700&amp;width=700&amp;canvas=700:700&amp;dpr=1 1x")</f>
        <v/>
      </c>
      <c r="H548">
        <f>_xlfn.IMAGE("https://m.media-amazon.com/images/I/6147KLqShzL._AC_UL320_.jpg")</f>
        <v/>
      </c>
      <c r="K548" t="inlineStr">
        <is>
          <t>16.97</t>
        </is>
      </c>
      <c r="L548" t="n">
        <v>40.99</v>
      </c>
      <c r="M548" s="2" t="inlineStr">
        <is>
          <t>141.54%</t>
        </is>
      </c>
      <c r="N548" t="n">
        <v>5</v>
      </c>
      <c r="O548" t="n">
        <v>4</v>
      </c>
      <c r="Q548" t="inlineStr">
        <is>
          <t>InStock</t>
        </is>
      </c>
      <c r="R548" t="inlineStr">
        <is>
          <t>undefined</t>
        </is>
      </c>
      <c r="S548" t="inlineStr">
        <is>
          <t>48-22-2322</t>
        </is>
      </c>
    </row>
    <row r="549" ht="75" customHeight="1">
      <c r="A549" s="1">
        <f>HYPERLINK("https://www.toolnut.com/milwaukee-48-22-2322-9-in-1-square-drive-ratcheting-multi-bit-driver.html", "https://www.toolnut.com/milwaukee-48-22-2322-9-in-1-square-drive-ratcheting-multi-bit-driver.html")</f>
        <v/>
      </c>
      <c r="B549" s="1">
        <f>HYPERLINK("https://www.toolnut.com/milwaukee-48-22-2322-9-in-1-square-drive-ratcheting-multi-bit-driver.html", "https://www.toolnut.com/milwaukee-48-22-2322-9-in-1-square-drive-ratcheting-multi-bit-driver.html")</f>
        <v/>
      </c>
      <c r="C549" t="inlineStr">
        <is>
          <t>Milwaukee 48-22-2322 9-In-1 Square Drive Ratcheting Multi-Bit Driver</t>
        </is>
      </c>
      <c r="D549" t="inlineStr">
        <is>
          <t>48-22-2330 for Milwaukee 8-in-1 Compact Ratcheting Multi-Bit Screwdriver</t>
        </is>
      </c>
      <c r="E549" s="1">
        <f>HYPERLINK("https://www.amazon.com/48-22-2330-Milwaukee-Ratcheting-Multi-Bit-Screwdriver/dp/B0C2VXJ8ZN/ref=sr_1_3?keywords=Milwaukee+48-22-2322+9-In-1+Square+Drive+Ratcheting+Multi-Bit+Driver&amp;qid=1695346857&amp;sr=8-3", "https://www.amazon.com/48-22-2330-Milwaukee-Ratcheting-Multi-Bit-Screwdriver/dp/B0C2VXJ8ZN/ref=sr_1_3?keywords=Milwaukee+48-22-2322+9-In-1+Square+Drive+Ratcheting+Multi-Bit+Driver&amp;qid=1695346857&amp;sr=8-3")</f>
        <v/>
      </c>
      <c r="F549" t="inlineStr">
        <is>
          <t>B0C2VXJ8ZN</t>
        </is>
      </c>
      <c r="G549">
        <f>_xlfn.IMAGE("https://www.toolnut.com/media/catalog/product/4/8/48-22-2322_1.jpg?quality=100&amp;bg-color=255,255,255&amp;fit=bounds&amp;height=700&amp;width=700&amp;canvas=700:700&amp;dpr=1 1x")</f>
        <v/>
      </c>
      <c r="H549">
        <f>_xlfn.IMAGE("https://m.media-amazon.com/images/I/51NHRcqTkvL._AC_UL320_.jpg")</f>
        <v/>
      </c>
      <c r="K549" t="inlineStr">
        <is>
          <t>16.97</t>
        </is>
      </c>
      <c r="L549" t="n">
        <v>33.32</v>
      </c>
      <c r="M549" s="2" t="inlineStr">
        <is>
          <t>96.35%</t>
        </is>
      </c>
      <c r="N549" t="n">
        <v>5</v>
      </c>
      <c r="O549" t="n">
        <v>1</v>
      </c>
      <c r="Q549" t="inlineStr">
        <is>
          <t>InStock</t>
        </is>
      </c>
      <c r="R549" t="inlineStr">
        <is>
          <t>undefined</t>
        </is>
      </c>
      <c r="S549" t="inlineStr">
        <is>
          <t>48-22-2322</t>
        </is>
      </c>
    </row>
    <row r="550" ht="75" customHeight="1">
      <c r="A550" s="1">
        <f>HYPERLINK("https://www.toolnut.com/milwaukee-48-22-2322-9-in-1-square-drive-ratcheting-multi-bit-driver.html", "https://www.toolnut.com/milwaukee-48-22-2322-9-in-1-square-drive-ratcheting-multi-bit-driver.html")</f>
        <v/>
      </c>
      <c r="B550" s="1">
        <f>HYPERLINK("https://www.toolnut.com/milwaukee-48-22-2322-9-in-1-square-drive-ratcheting-multi-bit-driver.html", "https://www.toolnut.com/milwaukee-48-22-2322-9-in-1-square-drive-ratcheting-multi-bit-driver.html")</f>
        <v/>
      </c>
      <c r="C550" t="inlineStr">
        <is>
          <t>Milwaukee 48-22-2322 9-In-1 Square Drive Ratcheting Multi-Bit Driver</t>
        </is>
      </c>
      <c r="D550" t="inlineStr">
        <is>
          <t>Milwaukee 11-in-1 Multi-Tip Screwdriver with Square Drive Bits and 13-in-1 Multi-Tip Cushion Grip Screwdriver Sets (48-22-2880-2761)</t>
        </is>
      </c>
      <c r="E550" s="1">
        <f>HYPERLINK("https://www.amazon.com/Milwaukee-Multi-Tip-Screwdriver-Cushion-48-22-2880-2761/dp/B0BS435YZ2/ref=sr_1_4?keywords=Milwaukee+48-22-2322+9-In-1+Square+Drive+Ratcheting+Multi-Bit+Driver&amp;qid=1695346857&amp;sr=8-4", "https://www.amazon.com/Milwaukee-Multi-Tip-Screwdriver-Cushion-48-22-2880-2761/dp/B0BS435YZ2/ref=sr_1_4?keywords=Milwaukee+48-22-2322+9-In-1+Square+Drive+Ratcheting+Multi-Bit+Driver&amp;qid=1695346857&amp;sr=8-4")</f>
        <v/>
      </c>
      <c r="F550" t="inlineStr">
        <is>
          <t>B0BS435YZ2</t>
        </is>
      </c>
      <c r="G550">
        <f>_xlfn.IMAGE("https://www.toolnut.com/media/catalog/product/4/8/48-22-2322_1.jpg?quality=100&amp;bg-color=255,255,255&amp;fit=bounds&amp;height=700&amp;width=700&amp;canvas=700:700&amp;dpr=1 1x")</f>
        <v/>
      </c>
      <c r="H550">
        <f>_xlfn.IMAGE("https://m.media-amazon.com/images/I/6147KLqShzL._AC_UL320_.jpg")</f>
        <v/>
      </c>
      <c r="K550" t="inlineStr">
        <is>
          <t>16.97</t>
        </is>
      </c>
      <c r="L550" t="n">
        <v>40.99</v>
      </c>
      <c r="M550" s="2" t="inlineStr">
        <is>
          <t>141.54%</t>
        </is>
      </c>
      <c r="N550" t="n">
        <v>5</v>
      </c>
      <c r="O550" t="n">
        <v>4</v>
      </c>
      <c r="Q550" t="inlineStr">
        <is>
          <t>InStock</t>
        </is>
      </c>
      <c r="R550" t="inlineStr">
        <is>
          <t>undefined</t>
        </is>
      </c>
      <c r="S550" t="inlineStr">
        <is>
          <t>48-22-2322</t>
        </is>
      </c>
    </row>
    <row r="551" ht="75" customHeight="1">
      <c r="A551" s="1">
        <f>HYPERLINK("https://www.toolnut.com/milwaukee-48-22-2322-9-in-1-square-drive-ratcheting-multi-bit-driver.html", "https://www.toolnut.com/milwaukee-48-22-2322-9-in-1-square-drive-ratcheting-multi-bit-driver.html")</f>
        <v/>
      </c>
      <c r="B551" s="1">
        <f>HYPERLINK("https://www.toolnut.com/milwaukee-48-22-2322-9-in-1-square-drive-ratcheting-multi-bit-driver.html", "https://www.toolnut.com/milwaukee-48-22-2322-9-in-1-square-drive-ratcheting-multi-bit-driver.html")</f>
        <v/>
      </c>
      <c r="C551" t="inlineStr">
        <is>
          <t>Milwaukee 48-22-2322 9-In-1 Square Drive Ratcheting Multi-Bit Driver</t>
        </is>
      </c>
      <c r="D551" t="inlineStr">
        <is>
          <t>48-22-2330 for Milwaukee 8-in-1 Compact Ratcheting Multi-Bit Screwdriver</t>
        </is>
      </c>
      <c r="E551" s="1">
        <f>HYPERLINK("https://www.amazon.com/48-22-2330-Milwaukee-Ratcheting-Multi-Bit-Screwdriver/dp/B0C2VXJ8ZN/ref=sr_1_3?keywords=Milwaukee+48-22-2322+9-In-1+Square+Drive+Ratcheting+Multi-Bit+Driver&amp;qid=1695346857&amp;sr=8-3", "https://www.amazon.com/48-22-2330-Milwaukee-Ratcheting-Multi-Bit-Screwdriver/dp/B0C2VXJ8ZN/ref=sr_1_3?keywords=Milwaukee+48-22-2322+9-In-1+Square+Drive+Ratcheting+Multi-Bit+Driver&amp;qid=1695346857&amp;sr=8-3")</f>
        <v/>
      </c>
      <c r="F551" t="inlineStr">
        <is>
          <t>B0C2VXJ8ZN</t>
        </is>
      </c>
      <c r="G551">
        <f>_xlfn.IMAGE("https://www.toolnut.com/media/catalog/product/4/8/48-22-2322_1.jpg?quality=100&amp;bg-color=255,255,255&amp;fit=bounds&amp;height=700&amp;width=700&amp;canvas=700:700&amp;dpr=1 1x")</f>
        <v/>
      </c>
      <c r="H551">
        <f>_xlfn.IMAGE("https://m.media-amazon.com/images/I/51NHRcqTkvL._AC_UL320_.jpg")</f>
        <v/>
      </c>
      <c r="K551" t="inlineStr">
        <is>
          <t>16.97</t>
        </is>
      </c>
      <c r="L551" t="n">
        <v>33.32</v>
      </c>
      <c r="M551" s="2" t="inlineStr">
        <is>
          <t>96.35%</t>
        </is>
      </c>
      <c r="N551" t="n">
        <v>5</v>
      </c>
      <c r="O551" t="n">
        <v>1</v>
      </c>
      <c r="Q551" t="inlineStr">
        <is>
          <t>InStock</t>
        </is>
      </c>
      <c r="R551" t="inlineStr">
        <is>
          <t>undefined</t>
        </is>
      </c>
      <c r="S551" t="inlineStr">
        <is>
          <t>48-22-2322</t>
        </is>
      </c>
    </row>
    <row r="552" ht="75" customHeight="1">
      <c r="A552" s="1">
        <f>HYPERLINK("https://www.toolnut.com/milwaukee-48-22-3982-100-bold-line-kit-w-blue-chalk.html", "https://www.toolnut.com/milwaukee-48-22-3982-100-bold-line-kit-w-blue-chalk.html")</f>
        <v/>
      </c>
      <c r="B552" s="1">
        <f>HYPERLINK("https://www.toolnut.com/milwaukee-48-22-3982-100-bold-line-kit-w-blue-chalk.html", "https://www.toolnut.com/milwaukee-48-22-3982-100-bold-line-kit-w-blue-chalk.html")</f>
        <v/>
      </c>
      <c r="C552" t="inlineStr">
        <is>
          <t>Milwaukee 48-22-3982 100' Bold Line Kit w/ Blue Chalk</t>
        </is>
      </c>
      <c r="D552" t="inlineStr">
        <is>
          <t>For Milwaukee 48-22-3982 100-Ft Bold Line Chalk N Reel with 3-Oz Blue Chalk</t>
        </is>
      </c>
      <c r="E552" s="1">
        <f>HYPERLINK("https://www.amazon.com/Milwaukee-48-22-3982-100-Ft-Bold-Chalk/dp/B0BZBR9P2L/ref=sr_1_1?keywords=Milwaukee+48-22-3982+100%27+Bold+Line+Kit+w%2F+Blue+Chalk&amp;qid=1695346631&amp;sr=8-1", "https://www.amazon.com/Milwaukee-48-22-3982-100-Ft-Bold-Chalk/dp/B0BZBR9P2L/ref=sr_1_1?keywords=Milwaukee+48-22-3982+100%27+Bold+Line+Kit+w%2F+Blue+Chalk&amp;qid=1695346631&amp;sr=8-1")</f>
        <v/>
      </c>
      <c r="F552" t="inlineStr">
        <is>
          <t>B0BZBR9P2L</t>
        </is>
      </c>
      <c r="G552">
        <f>_xlfn.IMAGE("https://www.toolnut.com/media/catalog/product/m/i/milwaukee-48-22-3982-1.jpg?quality=100&amp;bg-color=255,255,255&amp;fit=bounds&amp;height=700&amp;width=700&amp;canvas=700:700&amp;dpr=1 1x")</f>
        <v/>
      </c>
      <c r="H552">
        <f>_xlfn.IMAGE("https://m.media-amazon.com/images/I/31Zxx+Oal8L._AC_UL320_.jpg")</f>
        <v/>
      </c>
      <c r="K552" t="inlineStr">
        <is>
          <t>10.73</t>
        </is>
      </c>
      <c r="L552" t="n">
        <v>38.99</v>
      </c>
      <c r="M552" s="2" t="inlineStr">
        <is>
          <t>263.37%</t>
        </is>
      </c>
      <c r="N552" t="n">
        <v>4</v>
      </c>
      <c r="O552" t="n">
        <v>1</v>
      </c>
      <c r="Q552" t="inlineStr">
        <is>
          <t>InStock</t>
        </is>
      </c>
      <c r="R552" t="inlineStr">
        <is>
          <t>undefined</t>
        </is>
      </c>
      <c r="S552" t="inlineStr">
        <is>
          <t>48-22-3982</t>
        </is>
      </c>
    </row>
    <row r="553" ht="75" customHeight="1">
      <c r="A553" s="1">
        <f>HYPERLINK("https://www.toolnut.com/milwaukee-48-22-6105-mini-flush-cutters.html", "https://www.toolnut.com/milwaukee-48-22-6105-mini-flush-cutters.html")</f>
        <v/>
      </c>
      <c r="B553" s="1">
        <f>HYPERLINK("https://www.toolnut.com/milwaukee-48-22-6105-mini-flush-cutters.html", "https://www.toolnut.com/milwaukee-48-22-6105-mini-flush-cutters.html")</f>
        <v/>
      </c>
      <c r="C553" t="inlineStr">
        <is>
          <t>Milwaukee 48-22-6105 Mini Flush Cutters</t>
        </is>
      </c>
      <c r="D553" t="inlineStr">
        <is>
          <t>48-22-6105 Mini Flush Cut Pliers Cutters for Milwaukee</t>
        </is>
      </c>
      <c r="E553" s="1">
        <f>HYPERLINK("https://www.amazon.com/48-22-6105-Flush-Pliers-Cutters-Milwaukee/dp/B0BLV7CDR4/ref=sr_1_2?keywords=Milwaukee+48-22-6105+Mini+Flush+Cutters&amp;qid=1695346617&amp;sr=8-2", "https://www.amazon.com/48-22-6105-Flush-Pliers-Cutters-Milwaukee/dp/B0BLV7CDR4/ref=sr_1_2?keywords=Milwaukee+48-22-6105+Mini+Flush+Cutters&amp;qid=1695346617&amp;sr=8-2")</f>
        <v/>
      </c>
      <c r="F553" t="inlineStr">
        <is>
          <t>B0BLV7CDR4</t>
        </is>
      </c>
      <c r="G553">
        <f>_xlfn.IMAGE("https://www.toolnut.com/media/catalog/product/4/8/48-22-6105_1.jpg?quality=100&amp;bg-color=255,255,255&amp;fit=bounds&amp;height=700&amp;width=700&amp;canvas=700:700")</f>
        <v/>
      </c>
      <c r="H553">
        <f>_xlfn.IMAGE("https://m.media-amazon.com/images/I/41iKW2tm4gL._AC_UL320_.jpg")</f>
        <v/>
      </c>
      <c r="J553" t="inlineStr">
        <is>
          <t>brand on the list</t>
        </is>
      </c>
      <c r="K553" t="inlineStr">
        <is>
          <t>14.97</t>
        </is>
      </c>
      <c r="L553" t="n">
        <v>28.39</v>
      </c>
      <c r="M553" s="2" t="inlineStr">
        <is>
          <t>89.65%</t>
        </is>
      </c>
      <c r="N553" t="n">
        <v>5</v>
      </c>
      <c r="O553" t="n">
        <v>2</v>
      </c>
      <c r="Q553" t="inlineStr">
        <is>
          <t>InStock</t>
        </is>
      </c>
      <c r="R553" t="inlineStr">
        <is>
          <t>undefined</t>
        </is>
      </c>
      <c r="S553" t="inlineStr">
        <is>
          <t>48-22-6105</t>
        </is>
      </c>
    </row>
    <row r="554" ht="75" customHeight="1">
      <c r="A554" s="1">
        <f>HYPERLINK("https://www.toolnut.com/milwaukee-48-22-6625-25-compact-tape-measure.html", "https://www.toolnut.com/milwaukee-48-22-6625-25-compact-tape-measure.html")</f>
        <v/>
      </c>
      <c r="B554" s="1">
        <f>HYPERLINK("https://www.toolnut.com/milwaukee-48-22-6625-25-compact-tape-measure.html", "https://www.toolnut.com/milwaukee-48-22-6625-25-compact-tape-measure.html")</f>
        <v/>
      </c>
      <c r="C554" t="inlineStr">
        <is>
          <t>Milwaukee 48-22-6625 25' Compact Tape Measure</t>
        </is>
      </c>
      <c r="D554" t="inlineStr">
        <is>
          <t>Milwaukee Electric Tool 48-22-6625G Heavy Duty, Compact Measuring Tapes (2 Piece), 25'</t>
        </is>
      </c>
      <c r="E554" s="1">
        <f>HYPERLINK("https://www.amazon.com/Milwaukee-Electric-Tool-48-22-6625G-Measuring/dp/B005NSO6TA/ref=sr_1_2?keywords=Milwaukee+48-22-6625+25%27+Compact+Tape+Measure&amp;qid=1695346662&amp;sr=8-2", "https://www.amazon.com/Milwaukee-Electric-Tool-48-22-6625G-Measuring/dp/B005NSO6TA/ref=sr_1_2?keywords=Milwaukee+48-22-6625+25%27+Compact+Tape+Measure&amp;qid=1695346662&amp;sr=8-2")</f>
        <v/>
      </c>
      <c r="F554" t="inlineStr">
        <is>
          <t>B005NSO6TA</t>
        </is>
      </c>
      <c r="G554">
        <f>_xlfn.IMAGE("https://www.toolnut.com/media/catalog/product/4/8/48-22-6625-1.jpg?quality=100&amp;bg-color=255,255,255&amp;fit=bounds&amp;height=700&amp;width=700&amp;canvas=700:700&amp;dpr=1 1x")</f>
        <v/>
      </c>
      <c r="H554">
        <f>_xlfn.IMAGE("https://m.media-amazon.com/images/I/41aR2qwAuBL._AC_UL320_.jpg")</f>
        <v/>
      </c>
      <c r="K554" t="inlineStr">
        <is>
          <t>16.97</t>
        </is>
      </c>
      <c r="L554" t="n">
        <v>58.11</v>
      </c>
      <c r="M554" s="2" t="inlineStr">
        <is>
          <t>242.43%</t>
        </is>
      </c>
      <c r="N554" t="n">
        <v>4.5</v>
      </c>
      <c r="O554" t="n">
        <v>286</v>
      </c>
      <c r="Q554" t="inlineStr">
        <is>
          <t>InStock</t>
        </is>
      </c>
      <c r="R554" t="inlineStr">
        <is>
          <t>undefined</t>
        </is>
      </c>
      <c r="S554" t="inlineStr">
        <is>
          <t>48-22-6625</t>
        </is>
      </c>
    </row>
    <row r="555" ht="75" customHeight="1">
      <c r="A555" s="1">
        <f>HYPERLINK("https://www.toolnut.com/milwaukee-48-22-9031-10-nail-puller.html", "https://www.toolnut.com/milwaukee-48-22-9031-10-nail-puller.html")</f>
        <v/>
      </c>
      <c r="B555" s="1">
        <f>HYPERLINK("https://www.toolnut.com/milwaukee-48-22-9031-10-nail-puller.html", "https://www.toolnut.com/milwaukee-48-22-9031-10-nail-puller.html")</f>
        <v/>
      </c>
      <c r="C555" t="inlineStr">
        <is>
          <t>Milwaukee 48-22-9031 10" Nail Puller</t>
        </is>
      </c>
      <c r="D555" t="inlineStr">
        <is>
          <t>48-22-9030 9-Inch Finish Nail Puller For Milwaukee Tools Replacement, Hand Tool Pry Bar With High-Leverage Head Geometry</t>
        </is>
      </c>
      <c r="E555" s="1">
        <f>HYPERLINK("https://www.amazon.com/Fortool-48-22-9030-Milwaukee-Replacement-High-Leverage/dp/B09ZT6ZDFS/ref=sr_1_3?keywords=Milwaukee+48-22-9031+10%22+Nail+Puller&amp;qid=1695346626&amp;sr=8-3", "https://www.amazon.com/Fortool-48-22-9030-Milwaukee-Replacement-High-Leverage/dp/B09ZT6ZDFS/ref=sr_1_3?keywords=Milwaukee+48-22-9031+10%22+Nail+Puller&amp;qid=1695346626&amp;sr=8-3")</f>
        <v/>
      </c>
      <c r="F555" t="inlineStr">
        <is>
          <t>B09ZT6ZDFS</t>
        </is>
      </c>
      <c r="G555">
        <f>_xlfn.IMAGE("https://www.toolnut.com/media/catalog/product/4/8/48-22-9031-1.jpg?quality=100&amp;bg-color=255,255,255&amp;fit=bounds&amp;height=700&amp;width=700&amp;canvas=700:700&amp;dpr=1 1x")</f>
        <v/>
      </c>
      <c r="H555">
        <f>_xlfn.IMAGE("https://m.media-amazon.com/images/I/619TKo6gHVL._AC_UL320_.jpg")</f>
        <v/>
      </c>
      <c r="K555" t="inlineStr">
        <is>
          <t>18.97</t>
        </is>
      </c>
      <c r="L555" t="n">
        <v>32.99</v>
      </c>
      <c r="M555" s="2" t="inlineStr">
        <is>
          <t>73.91%</t>
        </is>
      </c>
      <c r="N555" t="n">
        <v>5</v>
      </c>
      <c r="O555" t="n">
        <v>3</v>
      </c>
      <c r="Q555" t="inlineStr">
        <is>
          <t>InStock</t>
        </is>
      </c>
      <c r="R555" t="inlineStr">
        <is>
          <t>undefined</t>
        </is>
      </c>
      <c r="S555" t="inlineStr">
        <is>
          <t>48-22-9031</t>
        </is>
      </c>
    </row>
    <row r="556" ht="75" customHeight="1">
      <c r="A556" s="1">
        <f>HYPERLINK("https://www.toolnut.com/milwaukee-48-22-9034-12-pry-bar.html", "https://www.toolnut.com/milwaukee-48-22-9034-12-pry-bar.html")</f>
        <v/>
      </c>
      <c r="B556" s="1">
        <f>HYPERLINK("https://www.toolnut.com/milwaukee-48-22-9034-12-pry-bar.html", "https://www.toolnut.com/milwaukee-48-22-9034-12-pry-bar.html")</f>
        <v/>
      </c>
      <c r="C556" t="inlineStr">
        <is>
          <t>Milwaukee 48-22-9034 12" Pry Bar</t>
        </is>
      </c>
      <c r="D556" t="inlineStr">
        <is>
          <t>Milwaukee Electric Tools MLW48-22-9214 Pry bar Set</t>
        </is>
      </c>
      <c r="E556" s="1">
        <f>HYPERLINK("https://www.amazon.com/Milwaukee-Electric-Tools-MLW48-22-9214-Pry/dp/B07811J13L/ref=sr_1_3?keywords=Milwaukee+48-22-9034+12%22+Pry+Bar&amp;qid=1695346623&amp;sr=8-3", "https://www.amazon.com/Milwaukee-Electric-Tools-MLW48-22-9214-Pry/dp/B07811J13L/ref=sr_1_3?keywords=Milwaukee+48-22-9034+12%22+Pry+Bar&amp;qid=1695346623&amp;sr=8-3")</f>
        <v/>
      </c>
      <c r="F556" t="inlineStr">
        <is>
          <t>B07811J13L</t>
        </is>
      </c>
      <c r="G556">
        <f>_xlfn.IMAGE("https://www.toolnut.com/media/catalog/product/4/8/48-22-9034-1.jpg?quality=100&amp;bg-color=255,255,255&amp;fit=bounds&amp;height=700&amp;width=700&amp;canvas=700:700")</f>
        <v/>
      </c>
      <c r="H556">
        <f>_xlfn.IMAGE("https://m.media-amazon.com/images/I/41kOoRMummL._AC_UL320_.jpg")</f>
        <v/>
      </c>
      <c r="K556" t="inlineStr">
        <is>
          <t>12.97</t>
        </is>
      </c>
      <c r="L556" t="n">
        <v>59</v>
      </c>
      <c r="M556" s="2" t="inlineStr">
        <is>
          <t>354.90%</t>
        </is>
      </c>
      <c r="N556" t="n">
        <v>4.8</v>
      </c>
      <c r="O556" t="n">
        <v>296</v>
      </c>
      <c r="Q556" t="inlineStr">
        <is>
          <t>InStock</t>
        </is>
      </c>
      <c r="R556" t="inlineStr">
        <is>
          <t>undefined</t>
        </is>
      </c>
      <c r="S556" t="inlineStr">
        <is>
          <t>48-22-9034</t>
        </is>
      </c>
    </row>
    <row r="557" ht="75" customHeight="1">
      <c r="A557" s="1">
        <f>HYPERLINK("https://www.toolnut.com/milwaukee-48-22-9216-lineman-s-5-in-1-ratcheting-wrench.html", "https://www.toolnut.com/milwaukee-48-22-9216-lineman-s-5-in-1-ratcheting-wrench.html")</f>
        <v/>
      </c>
      <c r="B557" s="1">
        <f>HYPERLINK("https://www.toolnut.com/milwaukee-48-22-9216-lineman-s-5-in-1-ratcheting-wrench.html", "https://www.toolnut.com/milwaukee-48-22-9216-lineman-s-5-in-1-ratcheting-wrench.html")</f>
        <v/>
      </c>
      <c r="C557" t="inlineStr">
        <is>
          <t>Milwaukee 48-22-9216 Lineman’s 5-in-1 Ratcheting Wrench</t>
        </is>
      </c>
      <c r="D557" t="inlineStr">
        <is>
          <t>Milwaukee Electric Tools MLW48-22-9416 Ratcheting Combination Wrench Set - SAE</t>
        </is>
      </c>
      <c r="E557" s="1">
        <f>HYPERLINK("https://www.amazon.com/Milwaukee-Electric-Tools-MLW48-22-9416-Combination/dp/B07CTZG5M2/ref=sr_1_3?keywords=Milwaukee+48-22-9216+Lineman%E2%80%99s+5-in-1+Ratcheting+Wrench&amp;qid=1695346651&amp;sr=8-3", "https://www.amazon.com/Milwaukee-Electric-Tools-MLW48-22-9416-Combination/dp/B07CTZG5M2/ref=sr_1_3?keywords=Milwaukee+48-22-9216+Lineman%E2%80%99s+5-in-1+Ratcheting+Wrench&amp;qid=1695346651&amp;sr=8-3")</f>
        <v/>
      </c>
      <c r="F557" t="inlineStr">
        <is>
          <t>B07CTZG5M2</t>
        </is>
      </c>
      <c r="G557">
        <f>_xlfn.IMAGE("https://www.toolnut.com/media/catalog/product/4/8/48-22-9216-1.jpg?quality=100&amp;bg-color=255,255,255&amp;fit=bounds&amp;height=700&amp;width=700&amp;canvas=700:700&amp;dpr=1 1x")</f>
        <v/>
      </c>
      <c r="H557">
        <f>_xlfn.IMAGE("https://m.media-amazon.com/images/I/61Dm91hu9lL._AC_UL320_.jpg")</f>
        <v/>
      </c>
      <c r="K557" t="inlineStr">
        <is>
          <t>104.99</t>
        </is>
      </c>
      <c r="L557" t="n">
        <v>184.99</v>
      </c>
      <c r="M557" s="2" t="inlineStr">
        <is>
          <t>76.20%</t>
        </is>
      </c>
      <c r="N557" t="n">
        <v>4.9</v>
      </c>
      <c r="O557" t="n">
        <v>266</v>
      </c>
      <c r="Q557" t="inlineStr">
        <is>
          <t>InStock</t>
        </is>
      </c>
      <c r="R557" t="inlineStr">
        <is>
          <t>undefined</t>
        </is>
      </c>
      <c r="S557" t="inlineStr">
        <is>
          <t>48-22-9216</t>
        </is>
      </c>
    </row>
    <row r="558" ht="75" customHeight="1">
      <c r="A558" s="1">
        <f>HYPERLINK("https://www.toolnut.com/milwaukee-48-22-9413-ratcheting-combination-wrench.html", "https://www.toolnut.com/milwaukee-48-22-9413-ratcheting-combination-wrench.html")</f>
        <v/>
      </c>
      <c r="B558" s="1">
        <f>HYPERLINK("https://www.toolnut.com/milwaukee-48-22-9413-ratcheting-combination-wrench.html", "https://www.toolnut.com/milwaukee-48-22-9413-ratcheting-combination-wrench.html")</f>
        <v/>
      </c>
      <c r="C558" t="inlineStr">
        <is>
          <t>Milwaukee 48-22-9413 SAE Flex Head Ratcheting Combination Wrench, 15-Pieces</t>
        </is>
      </c>
      <c r="D558" t="inlineStr">
        <is>
          <t>Milwaukee Flex Head Ratcheting Combination Wrench Set Bundel - 2 Items - Metric (8mm - 22mm) - SAE (1/4" - 1") 48-22-9513 48-22-9413</t>
        </is>
      </c>
      <c r="E558" s="1">
        <f>HYPERLINK("https://www.amazon.com/Milwaukee-Ratcheting-Combination-Wrench-Bundel/dp/B09HN752MW/ref=sr_1_4?keywords=Milwaukee+48-22-9413+SAE+Flex+Head+Ratcheting+Combination+Wrench%2C+15-Pieces&amp;qid=1695346659&amp;sr=8-4", "https://www.amazon.com/Milwaukee-Ratcheting-Combination-Wrench-Bundel/dp/B09HN752MW/ref=sr_1_4?keywords=Milwaukee+48-22-9413+SAE+Flex+Head+Ratcheting+Combination+Wrench%2C+15-Pieces&amp;qid=1695346659&amp;sr=8-4")</f>
        <v/>
      </c>
      <c r="F558" t="inlineStr">
        <is>
          <t>B09HN752MW</t>
        </is>
      </c>
      <c r="G558">
        <f>_xlfn.IMAGE("https://www.toolnut.com/media/catalog/product/4/8/48-22-9413-1.jpg?quality=100&amp;bg-color=255,255,255&amp;fit=bounds&amp;height=700&amp;width=700&amp;canvas=700:700&amp;dpr=1 1x")</f>
        <v/>
      </c>
      <c r="H558">
        <f>_xlfn.IMAGE("https://m.media-amazon.com/images/I/71197bqjKiL._AC_UL320_.jpg")</f>
        <v/>
      </c>
      <c r="K558" t="inlineStr">
        <is>
          <t>299.97</t>
        </is>
      </c>
      <c r="L558" t="n">
        <v>599</v>
      </c>
      <c r="M558" s="2" t="inlineStr">
        <is>
          <t>99.69%</t>
        </is>
      </c>
      <c r="N558" t="n">
        <v>5</v>
      </c>
      <c r="O558" t="n">
        <v>3</v>
      </c>
      <c r="Q558" t="inlineStr">
        <is>
          <t>InStock</t>
        </is>
      </c>
      <c r="R558" t="inlineStr">
        <is>
          <t>undefined</t>
        </is>
      </c>
      <c r="S558" t="inlineStr">
        <is>
          <t>48-22-9413</t>
        </is>
      </c>
    </row>
    <row r="559" ht="75" customHeight="1">
      <c r="A559" s="1">
        <f>HYPERLINK("https://www.toolnut.com/milwaukee-48-22-9513-ratcheting-combination-wrench.html", "https://www.toolnut.com/milwaukee-48-22-9513-ratcheting-combination-wrench.html")</f>
        <v/>
      </c>
      <c r="B559" s="1">
        <f>HYPERLINK("https://www.toolnut.com/milwaukee-48-22-9513-ratcheting-combination-wrench.html", "https://www.toolnut.com/milwaukee-48-22-9513-ratcheting-combination-wrench.html")</f>
        <v/>
      </c>
      <c r="C559" t="inlineStr">
        <is>
          <t>Milwaukee 48-22-9513 Metric Flex Head Ratcheting Combination Wrench, 15-Pieces</t>
        </is>
      </c>
      <c r="D559" t="inlineStr">
        <is>
          <t>Milwaukee Flex Head Ratcheting Combination Wrench Set Bundel - 2 Items - Metric (8mm - 22mm) - SAE (1/4" - 1") 48-22-9513 48-22-9413</t>
        </is>
      </c>
      <c r="E559" s="1">
        <f>HYPERLINK("https://www.amazon.com/Milwaukee-Ratcheting-Combination-Wrench-Bundel/dp/B09HN752MW/ref=sr_1_3?keywords=Milwaukee+48-22-9513+Metric+Flex+Head+Ratcheting+Combination+Wrench%2C+15-Pieces&amp;qid=1695346647&amp;sr=8-3", "https://www.amazon.com/Milwaukee-Ratcheting-Combination-Wrench-Bundel/dp/B09HN752MW/ref=sr_1_3?keywords=Milwaukee+48-22-9513+Metric+Flex+Head+Ratcheting+Combination+Wrench%2C+15-Pieces&amp;qid=1695346647&amp;sr=8-3")</f>
        <v/>
      </c>
      <c r="F559" t="inlineStr">
        <is>
          <t>B09HN752MW</t>
        </is>
      </c>
      <c r="G559">
        <f>_xlfn.IMAGE("https://www.toolnut.com/media/catalog/product/4/8/48-22-9513-1.jpg?quality=100&amp;bg-color=255,255,255&amp;fit=bounds&amp;height=700&amp;width=700&amp;canvas=700:700&amp;dpr=1 1x")</f>
        <v/>
      </c>
      <c r="H559">
        <f>_xlfn.IMAGE("https://m.media-amazon.com/images/I/71197bqjKiL._AC_UL320_.jpg")</f>
        <v/>
      </c>
      <c r="K559" t="inlineStr">
        <is>
          <t>299.97</t>
        </is>
      </c>
      <c r="L559" t="n">
        <v>599</v>
      </c>
      <c r="M559" s="2" t="inlineStr">
        <is>
          <t>99.69%</t>
        </is>
      </c>
      <c r="N559" t="n">
        <v>5</v>
      </c>
      <c r="O559" t="n">
        <v>3</v>
      </c>
      <c r="Q559" t="inlineStr">
        <is>
          <t>InStock</t>
        </is>
      </c>
      <c r="R559" t="inlineStr">
        <is>
          <t>undefined</t>
        </is>
      </c>
      <c r="S559" t="inlineStr">
        <is>
          <t>48-22-9513</t>
        </is>
      </c>
    </row>
    <row r="560" ht="75" customHeight="1">
      <c r="A560" s="1">
        <f>HYPERLINK("https://www.toolnut.com/milwaukee-48-32-1551-shockwave-42-pc-driver-bit-set.html", "https://www.toolnut.com/milwaukee-48-32-1551-shockwave-42-pc-driver-bit-set.html")</f>
        <v/>
      </c>
      <c r="B560" s="1">
        <f>HYPERLINK("https://www.toolnut.com/milwaukee-48-32-1551-shockwave-42-pc-driver-bit-set.html", "https://www.toolnut.com/milwaukee-48-32-1551-shockwave-42-pc-driver-bit-set.html")</f>
        <v/>
      </c>
      <c r="C560" t="inlineStr">
        <is>
          <t>Milwaukee 48-32-1551 SHOCKWAVE 42-Piece Driver Bit Set</t>
        </is>
      </c>
      <c r="D560" t="inlineStr">
        <is>
          <t>Milwaukee SHOCKWAVE Impact Duty Driver Bit Automotive Set - 124PC, (48-32-4034)</t>
        </is>
      </c>
      <c r="E560" s="1">
        <f>HYPERLINK("https://www.amazon.com/Milwaukee-SHOCKWAVE-Impact-Driver-Automotive/dp/B0C51FHBL8/ref=sr_1_6?keywords=Milwaukee+48-32-1551+SHOCKWAVE+42-Piece+Driver+Bit+Set&amp;qid=1695346853&amp;sr=8-6", "https://www.amazon.com/Milwaukee-SHOCKWAVE-Impact-Driver-Automotive/dp/B0C51FHBL8/ref=sr_1_6?keywords=Milwaukee+48-32-1551+SHOCKWAVE+42-Piece+Driver+Bit+Set&amp;qid=1695346853&amp;sr=8-6")</f>
        <v/>
      </c>
      <c r="F560" t="inlineStr">
        <is>
          <t>B0C51FHBL8</t>
        </is>
      </c>
      <c r="G560">
        <f>_xlfn.IMAGE("https://www.toolnut.com/media/catalog/product/m/i/milwaukee-48-32-1551-1.jpg?quality=100&amp;bg-color=255,255,255&amp;fit=bounds&amp;height=700&amp;width=700&amp;canvas=700:700&amp;dpr=1 1x")</f>
        <v/>
      </c>
      <c r="H560">
        <f>_xlfn.IMAGE("https://m.media-amazon.com/images/I/71dJTncLcjL._AC_UL320_.jpg")</f>
        <v/>
      </c>
      <c r="K560" t="inlineStr">
        <is>
          <t>18.99</t>
        </is>
      </c>
      <c r="L560" t="n">
        <v>119</v>
      </c>
      <c r="M560" s="2" t="inlineStr">
        <is>
          <t>526.65%</t>
        </is>
      </c>
      <c r="N560" t="n">
        <v>5</v>
      </c>
      <c r="O560" t="n">
        <v>1</v>
      </c>
      <c r="Q560" t="inlineStr">
        <is>
          <t>InStock</t>
        </is>
      </c>
      <c r="R560" t="inlineStr">
        <is>
          <t>undefined</t>
        </is>
      </c>
      <c r="S560" t="inlineStr">
        <is>
          <t>48-32-1551</t>
        </is>
      </c>
    </row>
    <row r="561" ht="75" customHeight="1">
      <c r="A561" s="1">
        <f>HYPERLINK("https://www.toolnut.com/milwaukee-48-32-1551-shockwave-42-pc-driver-bit-set.html", "https://www.toolnut.com/milwaukee-48-32-1551-shockwave-42-pc-driver-bit-set.html")</f>
        <v/>
      </c>
      <c r="B561" s="1">
        <f>HYPERLINK("https://www.toolnut.com/milwaukee-48-32-1551-shockwave-42-pc-driver-bit-set.html", "https://www.toolnut.com/milwaukee-48-32-1551-shockwave-42-pc-driver-bit-set.html")</f>
        <v/>
      </c>
      <c r="C561" t="inlineStr">
        <is>
          <t>Milwaukee 48-32-1551 SHOCKWAVE 42-Piece Driver Bit Set</t>
        </is>
      </c>
      <c r="D561" t="inlineStr">
        <is>
          <t>Milwaukee Shockwave Impact Driver Bit Set (100 Piece) 48-32-4083</t>
        </is>
      </c>
      <c r="E561" s="1">
        <f>HYPERLINK("https://www.amazon.com/Milwaukee-Shockwave-Impact-Driver-48-32-4083/dp/B08BJD6FR9/ref=sr_1_9?keywords=Milwaukee+48-32-1551+SHOCKWAVE+42-Piece+Driver+Bit+Set&amp;qid=1695346853&amp;sr=8-9", "https://www.amazon.com/Milwaukee-Shockwave-Impact-Driver-48-32-4083/dp/B08BJD6FR9/ref=sr_1_9?keywords=Milwaukee+48-32-1551+SHOCKWAVE+42-Piece+Driver+Bit+Set&amp;qid=1695346853&amp;sr=8-9")</f>
        <v/>
      </c>
      <c r="F561" t="inlineStr">
        <is>
          <t>B08BJD6FR9</t>
        </is>
      </c>
      <c r="G561">
        <f>_xlfn.IMAGE("https://www.toolnut.com/media/catalog/product/m/i/milwaukee-48-32-1551-1.jpg?quality=100&amp;bg-color=255,255,255&amp;fit=bounds&amp;height=700&amp;width=700&amp;canvas=700:700&amp;dpr=1 1x")</f>
        <v/>
      </c>
      <c r="H561">
        <f>_xlfn.IMAGE("https://m.media-amazon.com/images/I/51Yeoqk-XuS._AC_UL320_.jpg")</f>
        <v/>
      </c>
      <c r="K561" t="inlineStr">
        <is>
          <t>18.99</t>
        </is>
      </c>
      <c r="L561" t="n">
        <v>69</v>
      </c>
      <c r="M561" s="2" t="inlineStr">
        <is>
          <t>263.35%</t>
        </is>
      </c>
      <c r="N561" t="n">
        <v>4.7</v>
      </c>
      <c r="O561" t="n">
        <v>272</v>
      </c>
      <c r="Q561" t="inlineStr">
        <is>
          <t>InStock</t>
        </is>
      </c>
      <c r="R561" t="inlineStr">
        <is>
          <t>undefined</t>
        </is>
      </c>
      <c r="S561" t="inlineStr">
        <is>
          <t>48-32-1551</t>
        </is>
      </c>
    </row>
    <row r="562" ht="75" customHeight="1">
      <c r="A562" s="1">
        <f>HYPERLINK("https://www.toolnut.com/milwaukee-48-32-1551-shockwave-42-pc-driver-bit-set.html", "https://www.toolnut.com/milwaukee-48-32-1551-shockwave-42-pc-driver-bit-set.html")</f>
        <v/>
      </c>
      <c r="B562" s="1">
        <f>HYPERLINK("https://www.toolnut.com/milwaukee-48-32-1551-shockwave-42-pc-driver-bit-set.html", "https://www.toolnut.com/milwaukee-48-32-1551-shockwave-42-pc-driver-bit-set.html")</f>
        <v/>
      </c>
      <c r="C562" t="inlineStr">
        <is>
          <t>Milwaukee 48-32-1551 SHOCKWAVE 42-Piece Driver Bit Set</t>
        </is>
      </c>
      <c r="D562" t="inlineStr">
        <is>
          <t>Milwaukee Electric Tool 48-32-4006 Shockwave Bit Set (40 Piece)</t>
        </is>
      </c>
      <c r="E562" s="1">
        <f>HYPERLINK("https://www.amazon.com/Milwaukee-Electric-48-32-4006-Shockwave-Piece/dp/B082T52VK4/ref=sr_1_1?keywords=Milwaukee+48-32-1551+SHOCKWAVE+42-Piece+Driver+Bit+Set&amp;qid=1695346853&amp;sr=8-1", "https://www.amazon.com/Milwaukee-Electric-48-32-4006-Shockwave-Piece/dp/B082T52VK4/ref=sr_1_1?keywords=Milwaukee+48-32-1551+SHOCKWAVE+42-Piece+Driver+Bit+Set&amp;qid=1695346853&amp;sr=8-1")</f>
        <v/>
      </c>
      <c r="F562" t="inlineStr">
        <is>
          <t>B082T52VK4</t>
        </is>
      </c>
      <c r="G562">
        <f>_xlfn.IMAGE("https://www.toolnut.com/media/catalog/product/m/i/milwaukee-48-32-1551-1.jpg?quality=100&amp;bg-color=255,255,255&amp;fit=bounds&amp;height=700&amp;width=700&amp;canvas=700:700&amp;dpr=1 1x")</f>
        <v/>
      </c>
      <c r="H562">
        <f>_xlfn.IMAGE("https://m.media-amazon.com/images/I/81aFioipBWL._AC_UL320_.jpg")</f>
        <v/>
      </c>
      <c r="K562" t="inlineStr">
        <is>
          <t>18.99</t>
        </is>
      </c>
      <c r="L562" t="n">
        <v>39.86</v>
      </c>
      <c r="M562" s="2" t="inlineStr">
        <is>
          <t>109.90%</t>
        </is>
      </c>
      <c r="N562" t="n">
        <v>4.2</v>
      </c>
      <c r="O562" t="n">
        <v>6</v>
      </c>
      <c r="Q562" t="inlineStr">
        <is>
          <t>InStock</t>
        </is>
      </c>
      <c r="R562" t="inlineStr">
        <is>
          <t>undefined</t>
        </is>
      </c>
      <c r="S562" t="inlineStr">
        <is>
          <t>48-32-1551</t>
        </is>
      </c>
    </row>
    <row r="563" ht="75" customHeight="1">
      <c r="A563" s="1">
        <f>HYPERLINK("https://www.toolnut.com/milwaukee-48-32-1551-shockwave-42-pc-driver-bit-set.html", "https://www.toolnut.com/milwaukee-48-32-1551-shockwave-42-pc-driver-bit-set.html")</f>
        <v/>
      </c>
      <c r="B563" s="1">
        <f>HYPERLINK("https://www.toolnut.com/milwaukee-48-32-1551-shockwave-42-pc-driver-bit-set.html", "https://www.toolnut.com/milwaukee-48-32-1551-shockwave-42-pc-driver-bit-set.html")</f>
        <v/>
      </c>
      <c r="C563" t="inlineStr">
        <is>
          <t>Milwaukee 48-32-1551 SHOCKWAVE 42-Piece Driver Bit Set</t>
        </is>
      </c>
      <c r="D563" t="inlineStr">
        <is>
          <t>48-32-4023 for Milwaukee SHOCKWAVE Impact Duty Steel Driver Bit Set (45-Piece)</t>
        </is>
      </c>
      <c r="E563" s="1">
        <f>HYPERLINK("https://www.amazon.com/48-32-4023-Milwaukee-SHOCKWAVE-Impact-45-Piece/dp/B0BVV894PD/ref=sr_1_3?keywords=Milwaukee+48-32-1551+SHOCKWAVE+42-Piece+Driver+Bit+Set&amp;qid=1695346853&amp;sr=8-3", "https://www.amazon.com/48-32-4023-Milwaukee-SHOCKWAVE-Impact-45-Piece/dp/B0BVV894PD/ref=sr_1_3?keywords=Milwaukee+48-32-1551+SHOCKWAVE+42-Piece+Driver+Bit+Set&amp;qid=1695346853&amp;sr=8-3")</f>
        <v/>
      </c>
      <c r="F563" t="inlineStr">
        <is>
          <t>B0BVV894PD</t>
        </is>
      </c>
      <c r="G563">
        <f>_xlfn.IMAGE("https://www.toolnut.com/media/catalog/product/m/i/milwaukee-48-32-1551-1.jpg?quality=100&amp;bg-color=255,255,255&amp;fit=bounds&amp;height=700&amp;width=700&amp;canvas=700:700&amp;dpr=1 1x")</f>
        <v/>
      </c>
      <c r="H563">
        <f>_xlfn.IMAGE("https://m.media-amazon.com/images/I/61fidTI8HvL._AC_UL320_.jpg")</f>
        <v/>
      </c>
      <c r="K563" t="inlineStr">
        <is>
          <t>18.99</t>
        </is>
      </c>
      <c r="L563" t="n">
        <v>36.99</v>
      </c>
      <c r="M563" s="2" t="inlineStr">
        <is>
          <t>94.79%</t>
        </is>
      </c>
      <c r="N563" t="n">
        <v>5</v>
      </c>
      <c r="O563" t="n">
        <v>9</v>
      </c>
      <c r="Q563" t="inlineStr">
        <is>
          <t>InStock</t>
        </is>
      </c>
      <c r="R563" t="inlineStr">
        <is>
          <t>undefined</t>
        </is>
      </c>
      <c r="S563" t="inlineStr">
        <is>
          <t>48-32-1551</t>
        </is>
      </c>
    </row>
    <row r="564" ht="75" customHeight="1">
      <c r="A564" s="1">
        <f>HYPERLINK("https://www.toolnut.com/milwaukee-48-32-1551-shockwave-42-pc-driver-bit-set.html", "https://www.toolnut.com/milwaukee-48-32-1551-shockwave-42-pc-driver-bit-set.html")</f>
        <v/>
      </c>
      <c r="B564" s="1">
        <f>HYPERLINK("https://www.toolnut.com/milwaukee-48-32-1551-shockwave-42-pc-driver-bit-set.html", "https://www.toolnut.com/milwaukee-48-32-1551-shockwave-42-pc-driver-bit-set.html")</f>
        <v/>
      </c>
      <c r="C564" t="inlineStr">
        <is>
          <t>Milwaukee 48-32-1551 SHOCKWAVE 42-Piece Driver Bit Set</t>
        </is>
      </c>
      <c r="D564" t="inlineStr">
        <is>
          <t>Milwaukee Electric Tool 48-32-4006 Shockwave Bit Set (40 Piece)</t>
        </is>
      </c>
      <c r="E564" s="1">
        <f>HYPERLINK("https://www.amazon.com/Milwaukee-Electric-48-32-4006-Shockwave-Piece/dp/B082T52VK4/ref=sr_1_1?keywords=Milwaukee+48-32-1551+SHOCKWAVE+42-Piece+Driver+Bit+Set&amp;qid=1695346853&amp;sr=8-1", "https://www.amazon.com/Milwaukee-Electric-48-32-4006-Shockwave-Piece/dp/B082T52VK4/ref=sr_1_1?keywords=Milwaukee+48-32-1551+SHOCKWAVE+42-Piece+Driver+Bit+Set&amp;qid=1695346853&amp;sr=8-1")</f>
        <v/>
      </c>
      <c r="F564" t="inlineStr">
        <is>
          <t>B082T52VK4</t>
        </is>
      </c>
      <c r="G564">
        <f>_xlfn.IMAGE("https://www.toolnut.com/media/catalog/product/m/i/milwaukee-48-32-1551-1.jpg?quality=100&amp;bg-color=255,255,255&amp;fit=bounds&amp;height=700&amp;width=700&amp;canvas=700:700&amp;dpr=1 1x")</f>
        <v/>
      </c>
      <c r="H564">
        <f>_xlfn.IMAGE("https://m.media-amazon.com/images/I/81aFioipBWL._AC_UL320_.jpg")</f>
        <v/>
      </c>
      <c r="K564" t="inlineStr">
        <is>
          <t>18.99</t>
        </is>
      </c>
      <c r="L564" t="n">
        <v>39.86</v>
      </c>
      <c r="M564" s="2" t="inlineStr">
        <is>
          <t>109.90%</t>
        </is>
      </c>
      <c r="N564" t="n">
        <v>4.2</v>
      </c>
      <c r="O564" t="n">
        <v>6</v>
      </c>
      <c r="Q564" t="inlineStr">
        <is>
          <t>InStock</t>
        </is>
      </c>
      <c r="R564" t="inlineStr">
        <is>
          <t>undefined</t>
        </is>
      </c>
      <c r="S564" t="inlineStr">
        <is>
          <t>48-32-1551</t>
        </is>
      </c>
    </row>
    <row r="565" ht="75" customHeight="1">
      <c r="A565" s="1">
        <f>HYPERLINK("https://www.toolnut.com/milwaukee-48-32-1551-shockwave-42-pc-driver-bit-set.html", "https://www.toolnut.com/milwaukee-48-32-1551-shockwave-42-pc-driver-bit-set.html")</f>
        <v/>
      </c>
      <c r="B565" s="1">
        <f>HYPERLINK("https://www.toolnut.com/milwaukee-48-32-1551-shockwave-42-pc-driver-bit-set.html", "https://www.toolnut.com/milwaukee-48-32-1551-shockwave-42-pc-driver-bit-set.html")</f>
        <v/>
      </c>
      <c r="C565" t="inlineStr">
        <is>
          <t>Milwaukee 48-32-1551 SHOCKWAVE 42-Piece Driver Bit Set</t>
        </is>
      </c>
      <c r="D565" t="inlineStr">
        <is>
          <t>48-32-4023 for Milwaukee SHOCKWAVE Impact Duty Steel Driver Bit Set (45-Piece)</t>
        </is>
      </c>
      <c r="E565" s="1">
        <f>HYPERLINK("https://www.amazon.com/48-32-4023-Milwaukee-SHOCKWAVE-Impact-45-Piece/dp/B0BVV894PD/ref=sr_1_3?keywords=Milwaukee+48-32-1551+SHOCKWAVE+42-Piece+Driver+Bit+Set&amp;qid=1695346853&amp;sr=8-3", "https://www.amazon.com/48-32-4023-Milwaukee-SHOCKWAVE-Impact-45-Piece/dp/B0BVV894PD/ref=sr_1_3?keywords=Milwaukee+48-32-1551+SHOCKWAVE+42-Piece+Driver+Bit+Set&amp;qid=1695346853&amp;sr=8-3")</f>
        <v/>
      </c>
      <c r="F565" t="inlineStr">
        <is>
          <t>B0BVV894PD</t>
        </is>
      </c>
      <c r="G565">
        <f>_xlfn.IMAGE("https://www.toolnut.com/media/catalog/product/m/i/milwaukee-48-32-1551-1.jpg?quality=100&amp;bg-color=255,255,255&amp;fit=bounds&amp;height=700&amp;width=700&amp;canvas=700:700&amp;dpr=1 1x")</f>
        <v/>
      </c>
      <c r="H565">
        <f>_xlfn.IMAGE("https://m.media-amazon.com/images/I/61fidTI8HvL._AC_UL320_.jpg")</f>
        <v/>
      </c>
      <c r="K565" t="inlineStr">
        <is>
          <t>18.99</t>
        </is>
      </c>
      <c r="L565" t="n">
        <v>36.99</v>
      </c>
      <c r="M565" s="2" t="inlineStr">
        <is>
          <t>94.79%</t>
        </is>
      </c>
      <c r="N565" t="n">
        <v>5</v>
      </c>
      <c r="O565" t="n">
        <v>9</v>
      </c>
      <c r="Q565" t="inlineStr">
        <is>
          <t>InStock</t>
        </is>
      </c>
      <c r="R565" t="inlineStr">
        <is>
          <t>undefined</t>
        </is>
      </c>
      <c r="S565" t="inlineStr">
        <is>
          <t>48-32-1551</t>
        </is>
      </c>
    </row>
    <row r="566" ht="75" customHeight="1">
      <c r="A566" s="1">
        <f>HYPERLINK("https://www.toolnut.com/milwaukee-48-32-1556-95pc-s2-drill-and-drive-set.html", "https://www.toolnut.com/milwaukee-48-32-1556-95pc-s2-drill-and-drive-set.html")</f>
        <v/>
      </c>
      <c r="B566" s="1">
        <f>HYPERLINK("https://www.toolnut.com/milwaukee-48-32-1556-95pc-s2-drill-and-drive-set.html", "https://www.toolnut.com/milwaukee-48-32-1556-95pc-s2-drill-and-drive-set.html")</f>
        <v/>
      </c>
      <c r="C566" t="inlineStr">
        <is>
          <t>Milwaukee 48-32-1556 95PC S2 Drill and Drive Set</t>
        </is>
      </c>
      <c r="D566" t="inlineStr">
        <is>
          <t>48-32-4030 for Milwaukee Shockwave Impact Duty Drill And Drive Set (75-Piece)</t>
        </is>
      </c>
      <c r="E566" s="1">
        <f>HYPERLINK("https://www.amazon.com/48-32-4030-Milwaukee-Shockwave-Impact-75-Piece/dp/B0BRJ8QNS8/ref=sr_1_1?keywords=Milwaukee+48-32-1556+95PC+S2+Drill+and+Drive+Set&amp;qid=1695346973&amp;sr=8-1", "https://www.amazon.com/48-32-4030-Milwaukee-Shockwave-Impact-75-Piece/dp/B0BRJ8QNS8/ref=sr_1_1?keywords=Milwaukee+48-32-1556+95PC+S2+Drill+and+Drive+Set&amp;qid=1695346973&amp;sr=8-1")</f>
        <v/>
      </c>
      <c r="F566" t="inlineStr">
        <is>
          <t>B0BRJ8QNS8</t>
        </is>
      </c>
      <c r="G566">
        <f>_xlfn.IMAGE("https://www.toolnut.com/media/catalog/product/4/8/48-32-1556-1.jpg?quality=100&amp;bg-color=255,255,255&amp;fit=bounds&amp;height=700&amp;width=700&amp;canvas=700:700&amp;dpr=1 1x")</f>
        <v/>
      </c>
      <c r="H566">
        <f>_xlfn.IMAGE("https://m.media-amazon.com/images/I/618oMxKyMzL._AC_UL320_.jpg")</f>
        <v/>
      </c>
      <c r="K566" t="inlineStr">
        <is>
          <t>49.99</t>
        </is>
      </c>
      <c r="L566" t="n">
        <v>105</v>
      </c>
      <c r="M566" s="2" t="inlineStr">
        <is>
          <t>110.04%</t>
        </is>
      </c>
      <c r="N566" t="n">
        <v>5</v>
      </c>
      <c r="O566" t="n">
        <v>2</v>
      </c>
      <c r="Q566" t="inlineStr">
        <is>
          <t>InStock</t>
        </is>
      </c>
      <c r="R566" t="inlineStr">
        <is>
          <t>undefined</t>
        </is>
      </c>
      <c r="S566" t="inlineStr">
        <is>
          <t>48-32-1556</t>
        </is>
      </c>
    </row>
    <row r="567" ht="75" customHeight="1">
      <c r="A567" s="1">
        <f>HYPERLINK("https://www.toolnut.com/milwaukee-48-32-1556-95pc-s2-drill-and-drive-set.html", "https://www.toolnut.com/milwaukee-48-32-1556-95pc-s2-drill-and-drive-set.html")</f>
        <v/>
      </c>
      <c r="B567" s="1">
        <f>HYPERLINK("https://www.toolnut.com/milwaukee-48-32-1556-95pc-s2-drill-and-drive-set.html", "https://www.toolnut.com/milwaukee-48-32-1556-95pc-s2-drill-and-drive-set.html")</f>
        <v/>
      </c>
      <c r="C567" t="inlineStr">
        <is>
          <t>Milwaukee 48-32-1556 95PC S2 Drill and Drive Set</t>
        </is>
      </c>
      <c r="D567" t="inlineStr">
        <is>
          <t>48-32-4030 for Milwaukee Shockwave Impact Duty Drill And Drive Set (75-Piece)</t>
        </is>
      </c>
      <c r="E567" s="1">
        <f>HYPERLINK("https://www.amazon.com/48-32-4030-Milwaukee-Shockwave-Impact-75-Piece/dp/B0BRJ8QNS8/ref=sr_1_1?keywords=Milwaukee+48-32-1556+95PC+S2+Drill+and+Drive+Set&amp;qid=1695346973&amp;sr=8-1", "https://www.amazon.com/48-32-4030-Milwaukee-Shockwave-Impact-75-Piece/dp/B0BRJ8QNS8/ref=sr_1_1?keywords=Milwaukee+48-32-1556+95PC+S2+Drill+and+Drive+Set&amp;qid=1695346973&amp;sr=8-1")</f>
        <v/>
      </c>
      <c r="F567" t="inlineStr">
        <is>
          <t>B0BRJ8QNS8</t>
        </is>
      </c>
      <c r="G567">
        <f>_xlfn.IMAGE("https://www.toolnut.com/media/catalog/product/4/8/48-32-1556-1.jpg?quality=100&amp;bg-color=255,255,255&amp;fit=bounds&amp;height=700&amp;width=700&amp;canvas=700:700&amp;dpr=1 1x")</f>
        <v/>
      </c>
      <c r="H567">
        <f>_xlfn.IMAGE("https://m.media-amazon.com/images/I/618oMxKyMzL._AC_UL320_.jpg")</f>
        <v/>
      </c>
      <c r="K567" t="inlineStr">
        <is>
          <t>49.99</t>
        </is>
      </c>
      <c r="L567" t="n">
        <v>105</v>
      </c>
      <c r="M567" s="2" t="inlineStr">
        <is>
          <t>110.04%</t>
        </is>
      </c>
      <c r="N567" t="n">
        <v>5</v>
      </c>
      <c r="O567" t="n">
        <v>2</v>
      </c>
      <c r="Q567" t="inlineStr">
        <is>
          <t>InStock</t>
        </is>
      </c>
      <c r="R567" t="inlineStr">
        <is>
          <t>undefined</t>
        </is>
      </c>
      <c r="S567" t="inlineStr">
        <is>
          <t>48-32-1556</t>
        </is>
      </c>
    </row>
    <row r="568" ht="75" customHeight="1">
      <c r="A568" s="1">
        <f>HYPERLINK("https://www.toolnut.com/milwaukee-48-32-1700-shockwave-but-insert-set.html", "https://www.toolnut.com/milwaukee-48-32-1700-shockwave-but-insert-set.html")</f>
        <v/>
      </c>
      <c r="B568" s="1">
        <f>HYPERLINK("https://www.toolnut.com/milwaukee-48-32-1700-shockwave-but-insert-set.html", "https://www.toolnut.com/milwaukee-48-32-1700-shockwave-but-insert-set.html")</f>
        <v/>
      </c>
      <c r="C568" t="inlineStr">
        <is>
          <t>Milwaukee 48-32-1700 SHOCKWAVE 20-Piece Insert Bit Set</t>
        </is>
      </c>
      <c r="D568" t="inlineStr">
        <is>
          <t>Milwaukee 48-32-4084 Shockwave Impact-Duty Steel Driver Bit Set (105-Piece)</t>
        </is>
      </c>
      <c r="E568" s="1">
        <f>HYPERLINK("https://www.amazon.com/Milwaukee-48-32-4084-Shockwave-Impact-Duty-105-Piece/dp/B08958BQZC/ref=sr_1_9?keywords=Milwaukee+48-32-1700+SHOCKWAVE+20-Piece+Insert+Bit+Set&amp;qid=1695347156&amp;sr=8-9", "https://www.amazon.com/Milwaukee-48-32-4084-Shockwave-Impact-Duty-105-Piece/dp/B08958BQZC/ref=sr_1_9?keywords=Milwaukee+48-32-1700+SHOCKWAVE+20-Piece+Insert+Bit+Set&amp;qid=1695347156&amp;sr=8-9")</f>
        <v/>
      </c>
      <c r="F568" t="inlineStr">
        <is>
          <t>B08958BQZC</t>
        </is>
      </c>
      <c r="G568">
        <f>_xlfn.IMAGE("https://www.toolnut.com/media/catalog/product/placeholder/default/placeholder-full_1_.png?dpr=1 1x")</f>
        <v/>
      </c>
      <c r="H568">
        <f>_xlfn.IMAGE("https://m.media-amazon.com/images/I/41ALitbHmCL._AC_UL320_.jpg")</f>
        <v/>
      </c>
      <c r="K568" t="inlineStr">
        <is>
          <t>9.99</t>
        </is>
      </c>
      <c r="L568" t="n">
        <v>79</v>
      </c>
      <c r="M568" s="2" t="inlineStr">
        <is>
          <t>690.79%</t>
        </is>
      </c>
      <c r="N568" t="n">
        <v>4.4</v>
      </c>
      <c r="O568" t="n">
        <v>23</v>
      </c>
      <c r="Q568" t="inlineStr">
        <is>
          <t>OutOfStock</t>
        </is>
      </c>
      <c r="R568" t="inlineStr">
        <is>
          <t>undefined</t>
        </is>
      </c>
      <c r="S568" t="inlineStr">
        <is>
          <t>48-32-1700</t>
        </is>
      </c>
    </row>
    <row r="569" ht="75" customHeight="1">
      <c r="A569" s="1">
        <f>HYPERLINK("https://www.toolnut.com/milwaukee-48-32-1700-shockwave-but-insert-set.html", "https://www.toolnut.com/milwaukee-48-32-1700-shockwave-but-insert-set.html")</f>
        <v/>
      </c>
      <c r="B569" s="1">
        <f>HYPERLINK("https://www.toolnut.com/milwaukee-48-32-1700-shockwave-but-insert-set.html", "https://www.toolnut.com/milwaukee-48-32-1700-shockwave-but-insert-set.html")</f>
        <v/>
      </c>
      <c r="C569" t="inlineStr">
        <is>
          <t>Milwaukee 48-32-1700 SHOCKWAVE 20-Piece Insert Bit Set</t>
        </is>
      </c>
      <c r="D569" t="inlineStr">
        <is>
          <t>Milwaukee Shockwave Impact Driver Bit Set (100 Piece) 48-32-4083</t>
        </is>
      </c>
      <c r="E569" s="1">
        <f>HYPERLINK("https://www.amazon.com/Milwaukee-Shockwave-Impact-Driver-48-32-4083/dp/B08BJD6FR9/ref=sr_1_8?keywords=Milwaukee+48-32-1700+SHOCKWAVE+20-Piece+Insert+Bit+Set&amp;qid=1695347156&amp;sr=8-8", "https://www.amazon.com/Milwaukee-Shockwave-Impact-Driver-48-32-4083/dp/B08BJD6FR9/ref=sr_1_8?keywords=Milwaukee+48-32-1700+SHOCKWAVE+20-Piece+Insert+Bit+Set&amp;qid=1695347156&amp;sr=8-8")</f>
        <v/>
      </c>
      <c r="F569" t="inlineStr">
        <is>
          <t>B08BJD6FR9</t>
        </is>
      </c>
      <c r="G569">
        <f>_xlfn.IMAGE("https://www.toolnut.com/media/catalog/product/placeholder/default/placeholder-full_1_.png?dpr=1 1x")</f>
        <v/>
      </c>
      <c r="H569">
        <f>_xlfn.IMAGE("https://m.media-amazon.com/images/I/51Yeoqk-XuS._AC_UL320_.jpg")</f>
        <v/>
      </c>
      <c r="K569" t="inlineStr">
        <is>
          <t>9.99</t>
        </is>
      </c>
      <c r="L569" t="n">
        <v>69</v>
      </c>
      <c r="M569" s="2" t="inlineStr">
        <is>
          <t>590.69%</t>
        </is>
      </c>
      <c r="N569" t="n">
        <v>4.7</v>
      </c>
      <c r="O569" t="n">
        <v>272</v>
      </c>
      <c r="Q569" t="inlineStr">
        <is>
          <t>OutOfStock</t>
        </is>
      </c>
      <c r="R569" t="inlineStr">
        <is>
          <t>undefined</t>
        </is>
      </c>
      <c r="S569" t="inlineStr">
        <is>
          <t>48-32-1700</t>
        </is>
      </c>
    </row>
    <row r="570" ht="75" customHeight="1">
      <c r="A570" s="1">
        <f>HYPERLINK("https://www.toolnut.com/milwaukee-48-32-1700-shockwave-but-insert-set.html", "https://www.toolnut.com/milwaukee-48-32-1700-shockwave-but-insert-set.html")</f>
        <v/>
      </c>
      <c r="B570" s="1">
        <f>HYPERLINK("https://www.toolnut.com/milwaukee-48-32-1700-shockwave-but-insert-set.html", "https://www.toolnut.com/milwaukee-48-32-1700-shockwave-but-insert-set.html")</f>
        <v/>
      </c>
      <c r="C570" t="inlineStr">
        <is>
          <t>Milwaukee 48-32-1700 SHOCKWAVE 20-Piece Insert Bit Set</t>
        </is>
      </c>
      <c r="D570" t="inlineStr">
        <is>
          <t>Milwaukee Electric Tool 48-32-4006 Shockwave Bit Set (40 Piece)</t>
        </is>
      </c>
      <c r="E570" s="1">
        <f>HYPERLINK("https://www.amazon.com/Milwaukee-Electric-48-32-4006-Shockwave-Piece/dp/B082T52VK4/ref=sr_1_3?keywords=Milwaukee+48-32-1700+SHOCKWAVE+20-Piece+Insert+Bit+Set&amp;qid=1695347156&amp;sr=8-3", "https://www.amazon.com/Milwaukee-Electric-48-32-4006-Shockwave-Piece/dp/B082T52VK4/ref=sr_1_3?keywords=Milwaukee+48-32-1700+SHOCKWAVE+20-Piece+Insert+Bit+Set&amp;qid=1695347156&amp;sr=8-3")</f>
        <v/>
      </c>
      <c r="F570" t="inlineStr">
        <is>
          <t>B082T52VK4</t>
        </is>
      </c>
      <c r="G570">
        <f>_xlfn.IMAGE("https://www.toolnut.com/media/catalog/product/placeholder/default/placeholder-full_1_.png?dpr=1 1x")</f>
        <v/>
      </c>
      <c r="H570">
        <f>_xlfn.IMAGE("https://m.media-amazon.com/images/I/81aFioipBWL._AC_UL320_.jpg")</f>
        <v/>
      </c>
      <c r="K570" t="inlineStr">
        <is>
          <t>9.99</t>
        </is>
      </c>
      <c r="L570" t="n">
        <v>39.86</v>
      </c>
      <c r="M570" s="2" t="inlineStr">
        <is>
          <t>299.00%</t>
        </is>
      </c>
      <c r="N570" t="n">
        <v>4.2</v>
      </c>
      <c r="O570" t="n">
        <v>6</v>
      </c>
      <c r="Q570" t="inlineStr">
        <is>
          <t>OutOfStock</t>
        </is>
      </c>
      <c r="R570" t="inlineStr">
        <is>
          <t>undefined</t>
        </is>
      </c>
      <c r="S570" t="inlineStr">
        <is>
          <t>48-32-1700</t>
        </is>
      </c>
    </row>
    <row r="571" ht="75" customHeight="1">
      <c r="A571" s="1">
        <f>HYPERLINK("https://www.toolnut.com/milwaukee-48-32-1700-shockwave-but-insert-set.html", "https://www.toolnut.com/milwaukee-48-32-1700-shockwave-but-insert-set.html")</f>
        <v/>
      </c>
      <c r="B571" s="1">
        <f>HYPERLINK("https://www.toolnut.com/milwaukee-48-32-1700-shockwave-but-insert-set.html", "https://www.toolnut.com/milwaukee-48-32-1700-shockwave-but-insert-set.html")</f>
        <v/>
      </c>
      <c r="C571" t="inlineStr">
        <is>
          <t>Milwaukee 48-32-1700 SHOCKWAVE 20-Piece Insert Bit Set</t>
        </is>
      </c>
      <c r="D571" t="inlineStr">
        <is>
          <t>48-32-4023 for Milwaukee SHOCKWAVE Impact Duty Steel Driver Bit Set (45-Piece)</t>
        </is>
      </c>
      <c r="E571" s="1">
        <f>HYPERLINK("https://www.amazon.com/48-32-4023-Milwaukee-SHOCKWAVE-Impact-45-Piece/dp/B0BVV894PD/ref=sr_1_7?keywords=Milwaukee+48-32-1700+SHOCKWAVE+20-Piece+Insert+Bit+Set&amp;qid=1695347156&amp;sr=8-7", "https://www.amazon.com/48-32-4023-Milwaukee-SHOCKWAVE-Impact-45-Piece/dp/B0BVV894PD/ref=sr_1_7?keywords=Milwaukee+48-32-1700+SHOCKWAVE+20-Piece+Insert+Bit+Set&amp;qid=1695347156&amp;sr=8-7")</f>
        <v/>
      </c>
      <c r="F571" t="inlineStr">
        <is>
          <t>B0BVV894PD</t>
        </is>
      </c>
      <c r="G571">
        <f>_xlfn.IMAGE("https://www.toolnut.com/media/catalog/product/placeholder/default/placeholder-full_1_.png?dpr=1 1x")</f>
        <v/>
      </c>
      <c r="H571">
        <f>_xlfn.IMAGE("https://m.media-amazon.com/images/I/61fidTI8HvL._AC_UL320_.jpg")</f>
        <v/>
      </c>
      <c r="K571" t="inlineStr">
        <is>
          <t>9.99</t>
        </is>
      </c>
      <c r="L571" t="n">
        <v>36.99</v>
      </c>
      <c r="M571" s="2" t="inlineStr">
        <is>
          <t>270.27%</t>
        </is>
      </c>
      <c r="N571" t="n">
        <v>5</v>
      </c>
      <c r="O571" t="n">
        <v>9</v>
      </c>
      <c r="Q571" t="inlineStr">
        <is>
          <t>OutOfStock</t>
        </is>
      </c>
      <c r="R571" t="inlineStr">
        <is>
          <t>undefined</t>
        </is>
      </c>
      <c r="S571" t="inlineStr">
        <is>
          <t>48-32-1700</t>
        </is>
      </c>
    </row>
    <row r="572" ht="75" customHeight="1">
      <c r="A572" s="1">
        <f>HYPERLINK("https://www.toolnut.com/milwaukee-48-32-1700-shockwave-but-insert-set.html", "https://www.toolnut.com/milwaukee-48-32-1700-shockwave-but-insert-set.html")</f>
        <v/>
      </c>
      <c r="B572" s="1">
        <f>HYPERLINK("https://www.toolnut.com/milwaukee-48-32-1700-shockwave-but-insert-set.html", "https://www.toolnut.com/milwaukee-48-32-1700-shockwave-but-insert-set.html")</f>
        <v/>
      </c>
      <c r="C572" t="inlineStr">
        <is>
          <t>Milwaukee 48-32-1700 SHOCKWAVE 20-Piece Insert Bit Set</t>
        </is>
      </c>
      <c r="D572" t="inlineStr">
        <is>
          <t>Milwaukee Electric Tool 48-32-4005 Shockwave Bit Set (36 Piece)</t>
        </is>
      </c>
      <c r="E572" s="1">
        <f>HYPERLINK("https://www.amazon.com/Milwaukee-Electric-Tool-48-32-4005-Shockwave/dp/B00V3I0K9E/ref=sr_1_5?keywords=Milwaukee+48-32-1700+SHOCKWAVE+20-Piece+Insert+Bit+Set&amp;qid=1695347156&amp;sr=8-5", "https://www.amazon.com/Milwaukee-Electric-Tool-48-32-4005-Shockwave/dp/B00V3I0K9E/ref=sr_1_5?keywords=Milwaukee+48-32-1700+SHOCKWAVE+20-Piece+Insert+Bit+Set&amp;qid=1695347156&amp;sr=8-5")</f>
        <v/>
      </c>
      <c r="F572" t="inlineStr">
        <is>
          <t>B00V3I0K9E</t>
        </is>
      </c>
      <c r="G572">
        <f>_xlfn.IMAGE("https://www.toolnut.com/media/catalog/product/placeholder/default/placeholder-full_1_.png?dpr=1 1x")</f>
        <v/>
      </c>
      <c r="H572">
        <f>_xlfn.IMAGE("https://m.media-amazon.com/images/I/719OAVFsm-L._AC_UL320_.jpg")</f>
        <v/>
      </c>
      <c r="K572" t="inlineStr">
        <is>
          <t>9.99</t>
        </is>
      </c>
      <c r="L572" t="n">
        <v>24.99</v>
      </c>
      <c r="M572" s="2" t="inlineStr">
        <is>
          <t>150.15%</t>
        </is>
      </c>
      <c r="N572" t="n">
        <v>4.3</v>
      </c>
      <c r="O572" t="n">
        <v>31</v>
      </c>
      <c r="Q572" t="inlineStr">
        <is>
          <t>OutOfStock</t>
        </is>
      </c>
      <c r="R572" t="inlineStr">
        <is>
          <t>undefined</t>
        </is>
      </c>
      <c r="S572" t="inlineStr">
        <is>
          <t>48-32-1700</t>
        </is>
      </c>
    </row>
    <row r="573" ht="75" customHeight="1">
      <c r="A573" s="1">
        <f>HYPERLINK("https://www.toolnut.com/milwaukee-48-32-1700-shockwave-but-insert-set.html", "https://www.toolnut.com/milwaukee-48-32-1700-shockwave-but-insert-set.html")</f>
        <v/>
      </c>
      <c r="B573" s="1">
        <f>HYPERLINK("https://www.toolnut.com/milwaukee-48-32-1700-shockwave-but-insert-set.html", "https://www.toolnut.com/milwaukee-48-32-1700-shockwave-but-insert-set.html")</f>
        <v/>
      </c>
      <c r="C573" t="inlineStr">
        <is>
          <t>Milwaukee 48-32-1700 SHOCKWAVE 20-Piece Insert Bit Set</t>
        </is>
      </c>
      <c r="D573" t="inlineStr">
        <is>
          <t>Milwaukee Electric Tool 48-32-4005 Shockwave Bit Set (36 Piece)</t>
        </is>
      </c>
      <c r="E573" s="1">
        <f>HYPERLINK("https://www.amazon.com/Milwaukee-Electric-Tool-48-32-4005-Shockwave/dp/B00V3I0K9E/ref=sr_1_5?keywords=Milwaukee+48-32-1700+SHOCKWAVE+20-Piece+Insert+Bit+Set&amp;qid=1695347156&amp;sr=8-5", "https://www.amazon.com/Milwaukee-Electric-Tool-48-32-4005-Shockwave/dp/B00V3I0K9E/ref=sr_1_5?keywords=Milwaukee+48-32-1700+SHOCKWAVE+20-Piece+Insert+Bit+Set&amp;qid=1695347156&amp;sr=8-5")</f>
        <v/>
      </c>
      <c r="F573" t="inlineStr">
        <is>
          <t>B00V3I0K9E</t>
        </is>
      </c>
      <c r="G573">
        <f>_xlfn.IMAGE("https://www.toolnut.com/media/catalog/product/placeholder/default/placeholder-full_1_.png?dpr=1 1x")</f>
        <v/>
      </c>
      <c r="H573">
        <f>_xlfn.IMAGE("https://m.media-amazon.com/images/I/719OAVFsm-L._AC_UL320_.jpg")</f>
        <v/>
      </c>
      <c r="K573" t="inlineStr">
        <is>
          <t>9.99</t>
        </is>
      </c>
      <c r="L573" t="n">
        <v>24.99</v>
      </c>
      <c r="M573" s="2" t="inlineStr">
        <is>
          <t>150.15%</t>
        </is>
      </c>
      <c r="N573" t="n">
        <v>4.3</v>
      </c>
      <c r="O573" t="n">
        <v>31</v>
      </c>
      <c r="Q573" t="inlineStr">
        <is>
          <t>OutOfStock</t>
        </is>
      </c>
      <c r="R573" t="inlineStr">
        <is>
          <t>undefined</t>
        </is>
      </c>
      <c r="S573" t="inlineStr">
        <is>
          <t>48-32-1700</t>
        </is>
      </c>
    </row>
    <row r="574" ht="75" customHeight="1">
      <c r="A574" s="1">
        <f>HYPERLINK("https://www.toolnut.com/milwaukee-48-32-4004-shockwave-32-piece-impact-driver-bit-set.html", "https://www.toolnut.com/milwaukee-48-32-4004-shockwave-32-piece-impact-driver-bit-set.html")</f>
        <v/>
      </c>
      <c r="B574" s="1">
        <f>HYPERLINK("https://www.toolnut.com/milwaukee-48-32-4004-shockwave-32-piece-impact-driver-bit-set.html", "https://www.toolnut.com/milwaukee-48-32-4004-shockwave-32-piece-impact-driver-bit-set.html")</f>
        <v/>
      </c>
      <c r="C574" t="inlineStr">
        <is>
          <t>Milwaukee 48-32-4004 Shockwave 32-Piece Impact Driver Bit Set</t>
        </is>
      </c>
      <c r="D574" t="inlineStr">
        <is>
          <t>Milwaukee 48-32-4084 Shockwave Impact-Duty Steel Driver Bit Set (105-Piece)</t>
        </is>
      </c>
      <c r="E574" s="1">
        <f>HYPERLINK("https://www.amazon.com/Milwaukee-48-32-4084-Shockwave-Impact-Duty-105-Piece/dp/B08958BQZC/ref=sr_1_5?keywords=Milwaukee+48-32-4004+Shockwave+32-Piece+Impact+Driver+Bit+Set&amp;qid=1695346903&amp;sr=8-5", "https://www.amazon.com/Milwaukee-48-32-4084-Shockwave-Impact-Duty-105-Piece/dp/B08958BQZC/ref=sr_1_5?keywords=Milwaukee+48-32-4004+Shockwave+32-Piece+Impact+Driver+Bit+Set&amp;qid=1695346903&amp;sr=8-5")</f>
        <v/>
      </c>
      <c r="F574" t="inlineStr">
        <is>
          <t>B08958BQZC</t>
        </is>
      </c>
      <c r="G574">
        <f>_xlfn.IMAGE("https://www.toolnut.com/media/catalog/product/4/8/48-32-4004-2.jpg?quality=100&amp;bg-color=255,255,255&amp;fit=bounds&amp;height=700&amp;width=700&amp;canvas=700:700&amp;dpr=1 1x")</f>
        <v/>
      </c>
      <c r="H574">
        <f>_xlfn.IMAGE("https://m.media-amazon.com/images/I/41ALitbHmCL._AC_UL320_.jpg")</f>
        <v/>
      </c>
      <c r="K574" t="inlineStr">
        <is>
          <t>20.99</t>
        </is>
      </c>
      <c r="L574" t="n">
        <v>79</v>
      </c>
      <c r="M574" s="2" t="inlineStr">
        <is>
          <t>276.37%</t>
        </is>
      </c>
      <c r="N574" t="n">
        <v>4.4</v>
      </c>
      <c r="O574" t="n">
        <v>23</v>
      </c>
      <c r="Q574" t="inlineStr">
        <is>
          <t>InStock</t>
        </is>
      </c>
      <c r="R574" t="inlineStr">
        <is>
          <t>undefined</t>
        </is>
      </c>
      <c r="S574" t="inlineStr">
        <is>
          <t>48-32-4004</t>
        </is>
      </c>
    </row>
    <row r="575" ht="75" customHeight="1">
      <c r="A575" s="1">
        <f>HYPERLINK("https://www.toolnut.com/milwaukee-48-32-4004-shockwave-32-piece-impact-driver-bit-set.html", "https://www.toolnut.com/milwaukee-48-32-4004-shockwave-32-piece-impact-driver-bit-set.html")</f>
        <v/>
      </c>
      <c r="B575" s="1">
        <f>HYPERLINK("https://www.toolnut.com/milwaukee-48-32-4004-shockwave-32-piece-impact-driver-bit-set.html", "https://www.toolnut.com/milwaukee-48-32-4004-shockwave-32-piece-impact-driver-bit-set.html")</f>
        <v/>
      </c>
      <c r="C575" t="inlineStr">
        <is>
          <t>Milwaukee 48-32-4004 Shockwave 32-Piece Impact Driver Bit Set</t>
        </is>
      </c>
      <c r="D575" t="inlineStr">
        <is>
          <t>Milwaukee Shockwave Impact Driver Bit Set (100 Piece) 48-32-4083</t>
        </is>
      </c>
      <c r="E575" s="1">
        <f>HYPERLINK("https://www.amazon.com/Milwaukee-Shockwave-Impact-Driver-48-32-4083/dp/B08BJD6FR9/ref=sr_1_3?keywords=Milwaukee+48-32-4004+Shockwave+32-Piece+Impact+Driver+Bit+Set&amp;qid=1695346903&amp;sr=8-3", "https://www.amazon.com/Milwaukee-Shockwave-Impact-Driver-48-32-4083/dp/B08BJD6FR9/ref=sr_1_3?keywords=Milwaukee+48-32-4004+Shockwave+32-Piece+Impact+Driver+Bit+Set&amp;qid=1695346903&amp;sr=8-3")</f>
        <v/>
      </c>
      <c r="F575" t="inlineStr">
        <is>
          <t>B08BJD6FR9</t>
        </is>
      </c>
      <c r="G575">
        <f>_xlfn.IMAGE("https://www.toolnut.com/media/catalog/product/4/8/48-32-4004-2.jpg?quality=100&amp;bg-color=255,255,255&amp;fit=bounds&amp;height=700&amp;width=700&amp;canvas=700:700&amp;dpr=1 1x")</f>
        <v/>
      </c>
      <c r="H575">
        <f>_xlfn.IMAGE("https://m.media-amazon.com/images/I/51Yeoqk-XuS._AC_UL320_.jpg")</f>
        <v/>
      </c>
      <c r="K575" t="inlineStr">
        <is>
          <t>20.99</t>
        </is>
      </c>
      <c r="L575" t="n">
        <v>69</v>
      </c>
      <c r="M575" s="2" t="inlineStr">
        <is>
          <t>228.73%</t>
        </is>
      </c>
      <c r="N575" t="n">
        <v>4.7</v>
      </c>
      <c r="O575" t="n">
        <v>272</v>
      </c>
      <c r="Q575" t="inlineStr">
        <is>
          <t>InStock</t>
        </is>
      </c>
      <c r="R575" t="inlineStr">
        <is>
          <t>undefined</t>
        </is>
      </c>
      <c r="S575" t="inlineStr">
        <is>
          <t>48-32-4004</t>
        </is>
      </c>
    </row>
    <row r="576" ht="75" customHeight="1">
      <c r="A576" s="1">
        <f>HYPERLINK("https://www.toolnut.com/milwaukee-48-32-4004-shockwave-32-piece-impact-driver-bit-set.html", "https://www.toolnut.com/milwaukee-48-32-4004-shockwave-32-piece-impact-driver-bit-set.html")</f>
        <v/>
      </c>
      <c r="B576" s="1">
        <f>HYPERLINK("https://www.toolnut.com/milwaukee-48-32-4004-shockwave-32-piece-impact-driver-bit-set.html", "https://www.toolnut.com/milwaukee-48-32-4004-shockwave-32-piece-impact-driver-bit-set.html")</f>
        <v/>
      </c>
      <c r="C576" t="inlineStr">
        <is>
          <t>Milwaukee 48-32-4004 Shockwave 32-Piece Impact Driver Bit Set</t>
        </is>
      </c>
      <c r="D576" t="inlineStr">
        <is>
          <t>Milwaukee 40-Piece Shockwave Impact Driver Bit Set (48-32-4020)</t>
        </is>
      </c>
      <c r="E576" s="1">
        <f>HYPERLINK("https://www.amazon.com/Milwaukee-40-Piece-Shockwave-Impact-48-32-4020/dp/B0725P2SY3/ref=sr_1_7?keywords=Milwaukee+48-32-4004+Shockwave+32-Piece+Impact+Driver+Bit+Set&amp;qid=1695346903&amp;sr=8-7", "https://www.amazon.com/Milwaukee-40-Piece-Shockwave-Impact-48-32-4020/dp/B0725P2SY3/ref=sr_1_7?keywords=Milwaukee+48-32-4004+Shockwave+32-Piece+Impact+Driver+Bit+Set&amp;qid=1695346903&amp;sr=8-7")</f>
        <v/>
      </c>
      <c r="F576" t="inlineStr">
        <is>
          <t>B0725P2SY3</t>
        </is>
      </c>
      <c r="G576">
        <f>_xlfn.IMAGE("https://www.toolnut.com/media/catalog/product/4/8/48-32-4004-2.jpg?quality=100&amp;bg-color=255,255,255&amp;fit=bounds&amp;height=700&amp;width=700&amp;canvas=700:700&amp;dpr=1 1x")</f>
        <v/>
      </c>
      <c r="H576">
        <f>_xlfn.IMAGE("https://m.media-amazon.com/images/I/71Y7upfzFDL._AC_UL320_.jpg")</f>
        <v/>
      </c>
      <c r="K576" t="inlineStr">
        <is>
          <t>20.99</t>
        </is>
      </c>
      <c r="L576" t="n">
        <v>57.3</v>
      </c>
      <c r="M576" s="2" t="inlineStr">
        <is>
          <t>172.99%</t>
        </is>
      </c>
      <c r="N576" t="n">
        <v>4</v>
      </c>
      <c r="O576" t="n">
        <v>11</v>
      </c>
      <c r="Q576" t="inlineStr">
        <is>
          <t>InStock</t>
        </is>
      </c>
      <c r="R576" t="inlineStr">
        <is>
          <t>undefined</t>
        </is>
      </c>
      <c r="S576" t="inlineStr">
        <is>
          <t>48-32-4004</t>
        </is>
      </c>
    </row>
    <row r="577" ht="75" customHeight="1">
      <c r="A577" s="1">
        <f>HYPERLINK("https://www.toolnut.com/milwaukee-48-32-4004-shockwave-32-piece-impact-driver-bit-set.html", "https://www.toolnut.com/milwaukee-48-32-4004-shockwave-32-piece-impact-driver-bit-set.html")</f>
        <v/>
      </c>
      <c r="B577" s="1">
        <f>HYPERLINK("https://www.toolnut.com/milwaukee-48-32-4004-shockwave-32-piece-impact-driver-bit-set.html", "https://www.toolnut.com/milwaukee-48-32-4004-shockwave-32-piece-impact-driver-bit-set.html")</f>
        <v/>
      </c>
      <c r="C577" t="inlineStr">
        <is>
          <t>Milwaukee 48-32-4004 Shockwave 32-Piece Impact Driver Bit Set</t>
        </is>
      </c>
      <c r="D577" t="inlineStr">
        <is>
          <t>Milwaukee Electric Tool 48-32-4006 Shockwave Bit Set (40 Piece)</t>
        </is>
      </c>
      <c r="E577" s="1">
        <f>HYPERLINK("https://www.amazon.com/Milwaukee-Electric-48-32-4006-Shockwave-Piece/dp/B082T52VK4/ref=sr_1_10?keywords=Milwaukee+48-32-4004+Shockwave+32-Piece+Impact+Driver+Bit+Set&amp;qid=1695346903&amp;sr=8-10", "https://www.amazon.com/Milwaukee-Electric-48-32-4006-Shockwave-Piece/dp/B082T52VK4/ref=sr_1_10?keywords=Milwaukee+48-32-4004+Shockwave+32-Piece+Impact+Driver+Bit+Set&amp;qid=1695346903&amp;sr=8-10")</f>
        <v/>
      </c>
      <c r="F577" t="inlineStr">
        <is>
          <t>B082T52VK4</t>
        </is>
      </c>
      <c r="G577">
        <f>_xlfn.IMAGE("https://www.toolnut.com/media/catalog/product/4/8/48-32-4004-2.jpg?quality=100&amp;bg-color=255,255,255&amp;fit=bounds&amp;height=700&amp;width=700&amp;canvas=700:700&amp;dpr=1 1x")</f>
        <v/>
      </c>
      <c r="H577">
        <f>_xlfn.IMAGE("https://m.media-amazon.com/images/I/81aFioipBWL._AC_UL320_.jpg")</f>
        <v/>
      </c>
      <c r="K577" t="inlineStr">
        <is>
          <t>20.99</t>
        </is>
      </c>
      <c r="L577" t="n">
        <v>39.86</v>
      </c>
      <c r="M577" s="2" t="inlineStr">
        <is>
          <t>89.90%</t>
        </is>
      </c>
      <c r="N577" t="n">
        <v>4.2</v>
      </c>
      <c r="O577" t="n">
        <v>6</v>
      </c>
      <c r="Q577" t="inlineStr">
        <is>
          <t>InStock</t>
        </is>
      </c>
      <c r="R577" t="inlineStr">
        <is>
          <t>undefined</t>
        </is>
      </c>
      <c r="S577" t="inlineStr">
        <is>
          <t>48-32-4004</t>
        </is>
      </c>
    </row>
    <row r="578" ht="75" customHeight="1">
      <c r="A578" s="1">
        <f>HYPERLINK("https://www.toolnut.com/milwaukee-48-32-4004-shockwave-32-piece-impact-driver-bit-set.html", "https://www.toolnut.com/milwaukee-48-32-4004-shockwave-32-piece-impact-driver-bit-set.html")</f>
        <v/>
      </c>
      <c r="B578" s="1">
        <f>HYPERLINK("https://www.toolnut.com/milwaukee-48-32-4004-shockwave-32-piece-impact-driver-bit-set.html", "https://www.toolnut.com/milwaukee-48-32-4004-shockwave-32-piece-impact-driver-bit-set.html")</f>
        <v/>
      </c>
      <c r="C578" t="inlineStr">
        <is>
          <t>Milwaukee 48-32-4004 Shockwave 32-Piece Impact Driver Bit Set</t>
        </is>
      </c>
      <c r="D578" t="inlineStr">
        <is>
          <t>48-32-4023 for Milwaukee SHOCKWAVE Impact Duty Steel Driver Bit Set (45-Piece)</t>
        </is>
      </c>
      <c r="E578" s="1">
        <f>HYPERLINK("https://www.amazon.com/48-32-4023-Milwaukee-SHOCKWAVE-Impact-45-Piece/dp/B0BVV894PD/ref=sr_1_9?keywords=Milwaukee+48-32-4004+Shockwave+32-Piece+Impact+Driver+Bit+Set&amp;qid=1695346903&amp;sr=8-9", "https://www.amazon.com/48-32-4023-Milwaukee-SHOCKWAVE-Impact-45-Piece/dp/B0BVV894PD/ref=sr_1_9?keywords=Milwaukee+48-32-4004+Shockwave+32-Piece+Impact+Driver+Bit+Set&amp;qid=1695346903&amp;sr=8-9")</f>
        <v/>
      </c>
      <c r="F578" t="inlineStr">
        <is>
          <t>B0BVV894PD</t>
        </is>
      </c>
      <c r="G578">
        <f>_xlfn.IMAGE("https://www.toolnut.com/media/catalog/product/4/8/48-32-4004-2.jpg?quality=100&amp;bg-color=255,255,255&amp;fit=bounds&amp;height=700&amp;width=700&amp;canvas=700:700&amp;dpr=1 1x")</f>
        <v/>
      </c>
      <c r="H578">
        <f>_xlfn.IMAGE("https://m.media-amazon.com/images/I/61fidTI8HvL._AC_UL320_.jpg")</f>
        <v/>
      </c>
      <c r="K578" t="inlineStr">
        <is>
          <t>20.99</t>
        </is>
      </c>
      <c r="L578" t="n">
        <v>36.99</v>
      </c>
      <c r="M578" s="2" t="inlineStr">
        <is>
          <t>76.23%</t>
        </is>
      </c>
      <c r="N578" t="n">
        <v>5</v>
      </c>
      <c r="O578" t="n">
        <v>9</v>
      </c>
      <c r="Q578" t="inlineStr">
        <is>
          <t>InStock</t>
        </is>
      </c>
      <c r="R578" t="inlineStr">
        <is>
          <t>undefined</t>
        </is>
      </c>
      <c r="S578" t="inlineStr">
        <is>
          <t>48-32-4004</t>
        </is>
      </c>
    </row>
    <row r="579" ht="75" customHeight="1">
      <c r="A579" s="1">
        <f>HYPERLINK("https://www.toolnut.com/milwaukee-48-32-4004-shockwave-32-piece-impact-driver-bit-set.html", "https://www.toolnut.com/milwaukee-48-32-4004-shockwave-32-piece-impact-driver-bit-set.html")</f>
        <v/>
      </c>
      <c r="B579" s="1">
        <f>HYPERLINK("https://www.toolnut.com/milwaukee-48-32-4004-shockwave-32-piece-impact-driver-bit-set.html", "https://www.toolnut.com/milwaukee-48-32-4004-shockwave-32-piece-impact-driver-bit-set.html")</f>
        <v/>
      </c>
      <c r="C579" t="inlineStr">
        <is>
          <t>Milwaukee 48-32-4004 Shockwave 32-Piece Impact Driver Bit Set</t>
        </is>
      </c>
      <c r="D579" t="inlineStr">
        <is>
          <t>Milwaukee 40-Piece Shockwave Impact Driver Bit Set (48-32-4020)</t>
        </is>
      </c>
      <c r="E579" s="1">
        <f>HYPERLINK("https://www.amazon.com/Milwaukee-40-Piece-Shockwave-Impact-48-32-4020/dp/B0725P2SY3/ref=sr_1_7?keywords=Milwaukee+48-32-4004+Shockwave+32-Piece+Impact+Driver+Bit+Set&amp;qid=1695346903&amp;sr=8-7", "https://www.amazon.com/Milwaukee-40-Piece-Shockwave-Impact-48-32-4020/dp/B0725P2SY3/ref=sr_1_7?keywords=Milwaukee+48-32-4004+Shockwave+32-Piece+Impact+Driver+Bit+Set&amp;qid=1695346903&amp;sr=8-7")</f>
        <v/>
      </c>
      <c r="F579" t="inlineStr">
        <is>
          <t>B0725P2SY3</t>
        </is>
      </c>
      <c r="G579">
        <f>_xlfn.IMAGE("https://www.toolnut.com/media/catalog/product/4/8/48-32-4004-2.jpg?quality=100&amp;bg-color=255,255,255&amp;fit=bounds&amp;height=700&amp;width=700&amp;canvas=700:700&amp;dpr=1 1x")</f>
        <v/>
      </c>
      <c r="H579">
        <f>_xlfn.IMAGE("https://m.media-amazon.com/images/I/71Y7upfzFDL._AC_UL320_.jpg")</f>
        <v/>
      </c>
      <c r="K579" t="inlineStr">
        <is>
          <t>20.99</t>
        </is>
      </c>
      <c r="L579" t="n">
        <v>57.3</v>
      </c>
      <c r="M579" s="2" t="inlineStr">
        <is>
          <t>172.99%</t>
        </is>
      </c>
      <c r="N579" t="n">
        <v>4</v>
      </c>
      <c r="O579" t="n">
        <v>11</v>
      </c>
      <c r="Q579" t="inlineStr">
        <is>
          <t>InStock</t>
        </is>
      </c>
      <c r="R579" t="inlineStr">
        <is>
          <t>undefined</t>
        </is>
      </c>
      <c r="S579" t="inlineStr">
        <is>
          <t>48-32-4004</t>
        </is>
      </c>
    </row>
    <row r="580" ht="75" customHeight="1">
      <c r="A580" s="1">
        <f>HYPERLINK("https://www.toolnut.com/milwaukee-48-32-4004-shockwave-32-piece-impact-driver-bit-set.html", "https://www.toolnut.com/milwaukee-48-32-4004-shockwave-32-piece-impact-driver-bit-set.html")</f>
        <v/>
      </c>
      <c r="B580" s="1">
        <f>HYPERLINK("https://www.toolnut.com/milwaukee-48-32-4004-shockwave-32-piece-impact-driver-bit-set.html", "https://www.toolnut.com/milwaukee-48-32-4004-shockwave-32-piece-impact-driver-bit-set.html")</f>
        <v/>
      </c>
      <c r="C580" t="inlineStr">
        <is>
          <t>Milwaukee 48-32-4004 Shockwave 32-Piece Impact Driver Bit Set</t>
        </is>
      </c>
      <c r="D580" t="inlineStr">
        <is>
          <t>Milwaukee Electric Tool 48-32-4006 Shockwave Bit Set (40 Piece)</t>
        </is>
      </c>
      <c r="E580" s="1">
        <f>HYPERLINK("https://www.amazon.com/Milwaukee-Electric-48-32-4006-Shockwave-Piece/dp/B082T52VK4/ref=sr_1_10?keywords=Milwaukee+48-32-4004+Shockwave+32-Piece+Impact+Driver+Bit+Set&amp;qid=1695346903&amp;sr=8-10", "https://www.amazon.com/Milwaukee-Electric-48-32-4006-Shockwave-Piece/dp/B082T52VK4/ref=sr_1_10?keywords=Milwaukee+48-32-4004+Shockwave+32-Piece+Impact+Driver+Bit+Set&amp;qid=1695346903&amp;sr=8-10")</f>
        <v/>
      </c>
      <c r="F580" t="inlineStr">
        <is>
          <t>B082T52VK4</t>
        </is>
      </c>
      <c r="G580">
        <f>_xlfn.IMAGE("https://www.toolnut.com/media/catalog/product/4/8/48-32-4004-2.jpg?quality=100&amp;bg-color=255,255,255&amp;fit=bounds&amp;height=700&amp;width=700&amp;canvas=700:700&amp;dpr=1 1x")</f>
        <v/>
      </c>
      <c r="H580">
        <f>_xlfn.IMAGE("https://m.media-amazon.com/images/I/81aFioipBWL._AC_UL320_.jpg")</f>
        <v/>
      </c>
      <c r="K580" t="inlineStr">
        <is>
          <t>20.99</t>
        </is>
      </c>
      <c r="L580" t="n">
        <v>39.86</v>
      </c>
      <c r="M580" s="2" t="inlineStr">
        <is>
          <t>89.90%</t>
        </is>
      </c>
      <c r="N580" t="n">
        <v>4.2</v>
      </c>
      <c r="O580" t="n">
        <v>6</v>
      </c>
      <c r="Q580" t="inlineStr">
        <is>
          <t>InStock</t>
        </is>
      </c>
      <c r="R580" t="inlineStr">
        <is>
          <t>undefined</t>
        </is>
      </c>
      <c r="S580" t="inlineStr">
        <is>
          <t>48-32-4004</t>
        </is>
      </c>
    </row>
    <row r="581" ht="75" customHeight="1">
      <c r="A581" s="1">
        <f>HYPERLINK("https://www.toolnut.com/milwaukee-48-32-4004-shockwave-32-piece-impact-driver-bit-set.html", "https://www.toolnut.com/milwaukee-48-32-4004-shockwave-32-piece-impact-driver-bit-set.html")</f>
        <v/>
      </c>
      <c r="B581" s="1">
        <f>HYPERLINK("https://www.toolnut.com/milwaukee-48-32-4004-shockwave-32-piece-impact-driver-bit-set.html", "https://www.toolnut.com/milwaukee-48-32-4004-shockwave-32-piece-impact-driver-bit-set.html")</f>
        <v/>
      </c>
      <c r="C581" t="inlineStr">
        <is>
          <t>Milwaukee 48-32-4004 Shockwave 32-Piece Impact Driver Bit Set</t>
        </is>
      </c>
      <c r="D581" t="inlineStr">
        <is>
          <t>48-32-4023 for Milwaukee SHOCKWAVE Impact Duty Steel Driver Bit Set (45-Piece)</t>
        </is>
      </c>
      <c r="E581" s="1">
        <f>HYPERLINK("https://www.amazon.com/48-32-4023-Milwaukee-SHOCKWAVE-Impact-45-Piece/dp/B0BVV894PD/ref=sr_1_9?keywords=Milwaukee+48-32-4004+Shockwave+32-Piece+Impact+Driver+Bit+Set&amp;qid=1695346903&amp;sr=8-9", "https://www.amazon.com/48-32-4023-Milwaukee-SHOCKWAVE-Impact-45-Piece/dp/B0BVV894PD/ref=sr_1_9?keywords=Milwaukee+48-32-4004+Shockwave+32-Piece+Impact+Driver+Bit+Set&amp;qid=1695346903&amp;sr=8-9")</f>
        <v/>
      </c>
      <c r="F581" t="inlineStr">
        <is>
          <t>B0BVV894PD</t>
        </is>
      </c>
      <c r="G581">
        <f>_xlfn.IMAGE("https://www.toolnut.com/media/catalog/product/4/8/48-32-4004-2.jpg?quality=100&amp;bg-color=255,255,255&amp;fit=bounds&amp;height=700&amp;width=700&amp;canvas=700:700&amp;dpr=1 1x")</f>
        <v/>
      </c>
      <c r="H581">
        <f>_xlfn.IMAGE("https://m.media-amazon.com/images/I/61fidTI8HvL._AC_UL320_.jpg")</f>
        <v/>
      </c>
      <c r="K581" t="inlineStr">
        <is>
          <t>20.99</t>
        </is>
      </c>
      <c r="L581" t="n">
        <v>36.99</v>
      </c>
      <c r="M581" s="2" t="inlineStr">
        <is>
          <t>76.23%</t>
        </is>
      </c>
      <c r="N581" t="n">
        <v>5</v>
      </c>
      <c r="O581" t="n">
        <v>9</v>
      </c>
      <c r="Q581" t="inlineStr">
        <is>
          <t>InStock</t>
        </is>
      </c>
      <c r="R581" t="inlineStr">
        <is>
          <t>undefined</t>
        </is>
      </c>
      <c r="S581" t="inlineStr">
        <is>
          <t>48-32-4004</t>
        </is>
      </c>
    </row>
    <row r="582" ht="75" customHeight="1">
      <c r="A582" s="1">
        <f>HYPERLINK("https://www.toolnut.com/milwaukee-48-32-4010-shockwave-impact-duty-driver-bit-set-54pc.html", "https://www.toolnut.com/milwaukee-48-32-4010-shockwave-impact-duty-driver-bit-set-54pc.html")</f>
        <v/>
      </c>
      <c r="B582" s="1">
        <f>HYPERLINK("https://www.toolnut.com/milwaukee-48-32-4010-shockwave-impact-duty-driver-bit-set-54pc.html", "https://www.toolnut.com/milwaukee-48-32-4010-shockwave-impact-duty-driver-bit-set-54pc.html")</f>
        <v/>
      </c>
      <c r="C582" t="inlineStr">
        <is>
          <t>Milwaukee 48-32-4010 SHOCKWAVE Impact Duty Driver Bit Set- 54PC</t>
        </is>
      </c>
      <c r="D582" t="inlineStr">
        <is>
          <t>Milwaukee SHOCKWAVE Impact Duty Driver Bit Automotive Set - 124PC, (48-32-4034)</t>
        </is>
      </c>
      <c r="E582" s="1">
        <f>HYPERLINK("https://www.amazon.com/Milwaukee-SHOCKWAVE-Impact-Driver-Automotive/dp/B0C51FHBL8/ref=sr_1_10?keywords=Milwaukee+48-32-4010+SHOCKWAVE+Impact+Duty+Driver+Bit+Set-+54PC&amp;qid=1695346857&amp;sr=8-10", "https://www.amazon.com/Milwaukee-SHOCKWAVE-Impact-Driver-Automotive/dp/B0C51FHBL8/ref=sr_1_10?keywords=Milwaukee+48-32-4010+SHOCKWAVE+Impact+Duty+Driver+Bit+Set-+54PC&amp;qid=1695346857&amp;sr=8-10")</f>
        <v/>
      </c>
      <c r="F582" t="inlineStr">
        <is>
          <t>B0C51FHBL8</t>
        </is>
      </c>
      <c r="G582">
        <f>_xlfn.IMAGE("https://www.toolnut.com/media/catalog/product/4/8/48-32-4010-1.jpg?quality=100&amp;bg-color=255,255,255&amp;fit=bounds&amp;height=700&amp;width=700&amp;canvas=700:700&amp;dpr=1 1x")</f>
        <v/>
      </c>
      <c r="H582">
        <f>_xlfn.IMAGE("https://m.media-amazon.com/images/I/71dJTncLcjL._AC_UL320_.jpg")</f>
        <v/>
      </c>
      <c r="K582" t="inlineStr">
        <is>
          <t>24.99</t>
        </is>
      </c>
      <c r="L582" t="n">
        <v>119</v>
      </c>
      <c r="M582" s="2" t="inlineStr">
        <is>
          <t>376.19%</t>
        </is>
      </c>
      <c r="N582" t="n">
        <v>5</v>
      </c>
      <c r="O582" t="n">
        <v>1</v>
      </c>
      <c r="Q582" t="inlineStr">
        <is>
          <t>InStock</t>
        </is>
      </c>
      <c r="R582" t="inlineStr">
        <is>
          <t>29.99</t>
        </is>
      </c>
      <c r="S582" t="inlineStr">
        <is>
          <t>48-32-4010</t>
        </is>
      </c>
    </row>
    <row r="583" ht="75" customHeight="1">
      <c r="A583" s="1">
        <f>HYPERLINK("https://www.toolnut.com/milwaukee-48-32-4010-shockwave-impact-duty-driver-bit-set-54pc.html", "https://www.toolnut.com/milwaukee-48-32-4010-shockwave-impact-duty-driver-bit-set-54pc.html")</f>
        <v/>
      </c>
      <c r="B583" s="1">
        <f>HYPERLINK("https://www.toolnut.com/milwaukee-48-32-4010-shockwave-impact-duty-driver-bit-set-54pc.html", "https://www.toolnut.com/milwaukee-48-32-4010-shockwave-impact-duty-driver-bit-set-54pc.html")</f>
        <v/>
      </c>
      <c r="C583" t="inlineStr">
        <is>
          <t>Milwaukee 48-32-4010 SHOCKWAVE Impact Duty Driver Bit Set- 54PC</t>
        </is>
      </c>
      <c r="D583" t="inlineStr">
        <is>
          <t>Milwaukee 48-32-4084 Shockwave Impact-Duty Steel Driver Bit Set (105-Piece)</t>
        </is>
      </c>
      <c r="E583" s="1">
        <f>HYPERLINK("https://www.amazon.com/Milwaukee-48-32-4084-Shockwave-Impact-Duty-105-Piece/dp/B08958BQZC/ref=sr_1_1?keywords=Milwaukee+48-32-4010+SHOCKWAVE+Impact+Duty+Driver+Bit+Set-+54PC&amp;qid=1695346857&amp;sr=8-1", "https://www.amazon.com/Milwaukee-48-32-4084-Shockwave-Impact-Duty-105-Piece/dp/B08958BQZC/ref=sr_1_1?keywords=Milwaukee+48-32-4010+SHOCKWAVE+Impact+Duty+Driver+Bit+Set-+54PC&amp;qid=1695346857&amp;sr=8-1")</f>
        <v/>
      </c>
      <c r="F583" t="inlineStr">
        <is>
          <t>B08958BQZC</t>
        </is>
      </c>
      <c r="G583">
        <f>_xlfn.IMAGE("https://www.toolnut.com/media/catalog/product/4/8/48-32-4010-1.jpg?quality=100&amp;bg-color=255,255,255&amp;fit=bounds&amp;height=700&amp;width=700&amp;canvas=700:700&amp;dpr=1 1x")</f>
        <v/>
      </c>
      <c r="H583">
        <f>_xlfn.IMAGE("https://m.media-amazon.com/images/I/41ALitbHmCL._AC_UL320_.jpg")</f>
        <v/>
      </c>
      <c r="K583" t="inlineStr">
        <is>
          <t>24.99</t>
        </is>
      </c>
      <c r="L583" t="n">
        <v>79</v>
      </c>
      <c r="M583" s="2" t="inlineStr">
        <is>
          <t>216.13%</t>
        </is>
      </c>
      <c r="N583" t="n">
        <v>4.4</v>
      </c>
      <c r="O583" t="n">
        <v>23</v>
      </c>
      <c r="Q583" t="inlineStr">
        <is>
          <t>InStock</t>
        </is>
      </c>
      <c r="R583" t="inlineStr">
        <is>
          <t>29.99</t>
        </is>
      </c>
      <c r="S583" t="inlineStr">
        <is>
          <t>48-32-4010</t>
        </is>
      </c>
    </row>
    <row r="584" ht="75" customHeight="1">
      <c r="A584" s="1">
        <f>HYPERLINK("https://www.toolnut.com/milwaukee-48-32-4035-shockwave-impact-duty-driver-bit-set-13pc.html", "https://www.toolnut.com/milwaukee-48-32-4035-shockwave-impact-duty-driver-bit-set-13pc.html")</f>
        <v/>
      </c>
      <c r="B584" s="1">
        <f>HYPERLINK("https://www.toolnut.com/milwaukee-48-32-4035-shockwave-impact-duty-driver-bit-set-13pc.html", "https://www.toolnut.com/milwaukee-48-32-4035-shockwave-impact-duty-driver-bit-set-13pc.html")</f>
        <v/>
      </c>
      <c r="C584" t="inlineStr">
        <is>
          <t>Milwaukee 48-32-4035 SHOCKWAVE Impact Duty Driver Bit Set - 13PC</t>
        </is>
      </c>
      <c r="D584" t="inlineStr">
        <is>
          <t>Milwaukee SHOCKWAVE Impact Duty Driver Bit Automotive Set - 124PC, (48-32-4034)</t>
        </is>
      </c>
      <c r="E584" s="1">
        <f>HYPERLINK("https://www.amazon.com/Milwaukee-SHOCKWAVE-Impact-Driver-Automotive/dp/B0C51FHBL8/ref=sr_1_8?keywords=Milwaukee+48-32-4035+SHOCKWAVE+Impact+Duty+Driver+Bit+Set+-+13PC&amp;qid=1695346861&amp;sr=8-8", "https://www.amazon.com/Milwaukee-SHOCKWAVE-Impact-Driver-Automotive/dp/B0C51FHBL8/ref=sr_1_8?keywords=Milwaukee+48-32-4035+SHOCKWAVE+Impact+Duty+Driver+Bit+Set+-+13PC&amp;qid=1695346861&amp;sr=8-8")</f>
        <v/>
      </c>
      <c r="F584" t="inlineStr">
        <is>
          <t>B0C51FHBL8</t>
        </is>
      </c>
      <c r="G584">
        <f>_xlfn.IMAGE("https://www.toolnut.com/media/catalog/product/4/8/48-32-4035-1.jpg?quality=100&amp;bg-color=255,255,255&amp;fit=bounds&amp;height=700&amp;width=700&amp;canvas=700:700&amp;dpr=1 1x")</f>
        <v/>
      </c>
      <c r="H584">
        <f>_xlfn.IMAGE("https://m.media-amazon.com/images/I/71dJTncLcjL._AC_UL320_.jpg")</f>
        <v/>
      </c>
      <c r="K584" t="inlineStr">
        <is>
          <t>9.97</t>
        </is>
      </c>
      <c r="L584" t="n">
        <v>119</v>
      </c>
      <c r="M584" s="2" t="inlineStr">
        <is>
          <t>1093.58%</t>
        </is>
      </c>
      <c r="N584" t="n">
        <v>5</v>
      </c>
      <c r="O584" t="n">
        <v>1</v>
      </c>
      <c r="Q584" t="inlineStr">
        <is>
          <t>InStock</t>
        </is>
      </c>
      <c r="R584" t="inlineStr">
        <is>
          <t>undefined</t>
        </is>
      </c>
      <c r="S584" t="inlineStr">
        <is>
          <t>48-32-4035</t>
        </is>
      </c>
    </row>
    <row r="585" ht="75" customHeight="1">
      <c r="A585" s="1">
        <f>HYPERLINK("https://www.toolnut.com/milwaukee-48-32-4035-shockwave-impact-duty-driver-bit-set-13pc.html", "https://www.toolnut.com/milwaukee-48-32-4035-shockwave-impact-duty-driver-bit-set-13pc.html")</f>
        <v/>
      </c>
      <c r="B585" s="1">
        <f>HYPERLINK("https://www.toolnut.com/milwaukee-48-32-4035-shockwave-impact-duty-driver-bit-set-13pc.html", "https://www.toolnut.com/milwaukee-48-32-4035-shockwave-impact-duty-driver-bit-set-13pc.html")</f>
        <v/>
      </c>
      <c r="C585" t="inlineStr">
        <is>
          <t>Milwaukee 48-32-4035 SHOCKWAVE Impact Duty Driver Bit Set - 13PC</t>
        </is>
      </c>
      <c r="D585" t="inlineStr">
        <is>
          <t>Milwaukee Impact Driver Drill Bit Set 106 piece (48-32-4078) Shockwave Impact Duty</t>
        </is>
      </c>
      <c r="E585" s="1">
        <f>HYPERLINK("https://www.amazon.com/Milwaukee-Impact-Driver-48-32-4078-Shockwave/dp/B081NWQN75/ref=sr_1_2?keywords=Milwaukee+48-32-4035+SHOCKWAVE+Impact+Duty+Driver+Bit+Set+-+13PC&amp;qid=1695346861&amp;sr=8-2", "https://www.amazon.com/Milwaukee-Impact-Driver-48-32-4078-Shockwave/dp/B081NWQN75/ref=sr_1_2?keywords=Milwaukee+48-32-4035+SHOCKWAVE+Impact+Duty+Driver+Bit+Set+-+13PC&amp;qid=1695346861&amp;sr=8-2")</f>
        <v/>
      </c>
      <c r="F585" t="inlineStr">
        <is>
          <t>B081NWQN75</t>
        </is>
      </c>
      <c r="G585">
        <f>_xlfn.IMAGE("https://www.toolnut.com/media/catalog/product/4/8/48-32-4035-1.jpg?quality=100&amp;bg-color=255,255,255&amp;fit=bounds&amp;height=700&amp;width=700&amp;canvas=700:700&amp;dpr=1 1x")</f>
        <v/>
      </c>
      <c r="H585">
        <f>_xlfn.IMAGE("https://m.media-amazon.com/images/I/61hBhepd3fL._AC_UL320_.jpg")</f>
        <v/>
      </c>
      <c r="K585" t="inlineStr">
        <is>
          <t>9.97</t>
        </is>
      </c>
      <c r="L585" t="n">
        <v>99.95</v>
      </c>
      <c r="M585" s="2" t="inlineStr">
        <is>
          <t>902.51%</t>
        </is>
      </c>
      <c r="N585" t="n">
        <v>4.8</v>
      </c>
      <c r="O585" t="n">
        <v>63</v>
      </c>
      <c r="Q585" t="inlineStr">
        <is>
          <t>InStock</t>
        </is>
      </c>
      <c r="R585" t="inlineStr">
        <is>
          <t>undefined</t>
        </is>
      </c>
      <c r="S585" t="inlineStr">
        <is>
          <t>48-32-4035</t>
        </is>
      </c>
    </row>
    <row r="586" ht="75" customHeight="1">
      <c r="A586" s="1">
        <f>HYPERLINK("https://www.toolnut.com/milwaukee-48-32-4035-shockwave-impact-duty-driver-bit-set-13pc.html", "https://www.toolnut.com/milwaukee-48-32-4035-shockwave-impact-duty-driver-bit-set-13pc.html")</f>
        <v/>
      </c>
      <c r="B586" s="1">
        <f>HYPERLINK("https://www.toolnut.com/milwaukee-48-32-4035-shockwave-impact-duty-driver-bit-set-13pc.html", "https://www.toolnut.com/milwaukee-48-32-4035-shockwave-impact-duty-driver-bit-set-13pc.html")</f>
        <v/>
      </c>
      <c r="C586" t="inlineStr">
        <is>
          <t>Milwaukee 48-32-4035 SHOCKWAVE Impact Duty Driver Bit Set - 13PC</t>
        </is>
      </c>
      <c r="D586" t="inlineStr">
        <is>
          <t>Milwaukee 48-32-4084 Shockwave Impact-Duty Steel Driver Bit Set (105-Piece)</t>
        </is>
      </c>
      <c r="E586" s="1">
        <f>HYPERLINK("https://www.amazon.com/Milwaukee-48-32-4084-Shockwave-Impact-Duty-105-Piece/dp/B08958BQZC/ref=sr_1_1?keywords=Milwaukee+48-32-4035+SHOCKWAVE+Impact+Duty+Driver+Bit+Set+-+13PC&amp;qid=1695346861&amp;sr=8-1", "https://www.amazon.com/Milwaukee-48-32-4084-Shockwave-Impact-Duty-105-Piece/dp/B08958BQZC/ref=sr_1_1?keywords=Milwaukee+48-32-4035+SHOCKWAVE+Impact+Duty+Driver+Bit+Set+-+13PC&amp;qid=1695346861&amp;sr=8-1")</f>
        <v/>
      </c>
      <c r="F586" t="inlineStr">
        <is>
          <t>B08958BQZC</t>
        </is>
      </c>
      <c r="G586">
        <f>_xlfn.IMAGE("https://www.toolnut.com/media/catalog/product/4/8/48-32-4035-1.jpg?quality=100&amp;bg-color=255,255,255&amp;fit=bounds&amp;height=700&amp;width=700&amp;canvas=700:700&amp;dpr=1 1x")</f>
        <v/>
      </c>
      <c r="H586">
        <f>_xlfn.IMAGE("https://m.media-amazon.com/images/I/41ALitbHmCL._AC_UL320_.jpg")</f>
        <v/>
      </c>
      <c r="K586" t="inlineStr">
        <is>
          <t>9.97</t>
        </is>
      </c>
      <c r="L586" t="n">
        <v>79</v>
      </c>
      <c r="M586" s="2" t="inlineStr">
        <is>
          <t>692.38%</t>
        </is>
      </c>
      <c r="N586" t="n">
        <v>4.4</v>
      </c>
      <c r="O586" t="n">
        <v>23</v>
      </c>
      <c r="Q586" t="inlineStr">
        <is>
          <t>InStock</t>
        </is>
      </c>
      <c r="R586" t="inlineStr">
        <is>
          <t>undefined</t>
        </is>
      </c>
      <c r="S586" t="inlineStr">
        <is>
          <t>48-32-4035</t>
        </is>
      </c>
    </row>
    <row r="587" ht="75" customHeight="1">
      <c r="A587" s="1">
        <f>HYPERLINK("https://www.toolnut.com/milwaukee-48-32-4035-shockwave-impact-duty-driver-bit-set-13pc.html", "https://www.toolnut.com/milwaukee-48-32-4035-shockwave-impact-duty-driver-bit-set-13pc.html")</f>
        <v/>
      </c>
      <c r="B587" s="1">
        <f>HYPERLINK("https://www.toolnut.com/milwaukee-48-32-4035-shockwave-impact-duty-driver-bit-set-13pc.html", "https://www.toolnut.com/milwaukee-48-32-4035-shockwave-impact-duty-driver-bit-set-13pc.html")</f>
        <v/>
      </c>
      <c r="C587" t="inlineStr">
        <is>
          <t>Milwaukee 48-32-4035 SHOCKWAVE Impact Duty Driver Bit Set - 13PC</t>
        </is>
      </c>
      <c r="D587" t="inlineStr">
        <is>
          <t>Milwaukee Shockwave Impact Driver Bit Set (100 Piece) 48-32-4083</t>
        </is>
      </c>
      <c r="E587" s="1">
        <f>HYPERLINK("https://www.amazon.com/Milwaukee-Shockwave-Impact-Driver-48-32-4083/dp/B08BJD6FR9/ref=sr_1_10?keywords=Milwaukee+48-32-4035+SHOCKWAVE+Impact+Duty+Driver+Bit+Set+-+13PC&amp;qid=1695346861&amp;sr=8-10", "https://www.amazon.com/Milwaukee-Shockwave-Impact-Driver-48-32-4083/dp/B08BJD6FR9/ref=sr_1_10?keywords=Milwaukee+48-32-4035+SHOCKWAVE+Impact+Duty+Driver+Bit+Set+-+13PC&amp;qid=1695346861&amp;sr=8-10")</f>
        <v/>
      </c>
      <c r="F587" t="inlineStr">
        <is>
          <t>B08BJD6FR9</t>
        </is>
      </c>
      <c r="G587">
        <f>_xlfn.IMAGE("https://www.toolnut.com/media/catalog/product/4/8/48-32-4035-1.jpg?quality=100&amp;bg-color=255,255,255&amp;fit=bounds&amp;height=700&amp;width=700&amp;canvas=700:700&amp;dpr=1 1x")</f>
        <v/>
      </c>
      <c r="H587">
        <f>_xlfn.IMAGE("https://m.media-amazon.com/images/I/51Yeoqk-XuS._AC_UL320_.jpg")</f>
        <v/>
      </c>
      <c r="K587" t="inlineStr">
        <is>
          <t>9.97</t>
        </is>
      </c>
      <c r="L587" t="n">
        <v>69</v>
      </c>
      <c r="M587" s="2" t="inlineStr">
        <is>
          <t>592.08%</t>
        </is>
      </c>
      <c r="N587" t="n">
        <v>4.7</v>
      </c>
      <c r="O587" t="n">
        <v>272</v>
      </c>
      <c r="Q587" t="inlineStr">
        <is>
          <t>InStock</t>
        </is>
      </c>
      <c r="R587" t="inlineStr">
        <is>
          <t>undefined</t>
        </is>
      </c>
      <c r="S587" t="inlineStr">
        <is>
          <t>48-32-4035</t>
        </is>
      </c>
    </row>
    <row r="588" ht="75" customHeight="1">
      <c r="A588" s="1">
        <f>HYPERLINK("https://www.toolnut.com/milwaukee-48-32-4035-shockwave-impact-duty-driver-bit-set-13pc.html", "https://www.toolnut.com/milwaukee-48-32-4035-shockwave-impact-duty-driver-bit-set-13pc.html")</f>
        <v/>
      </c>
      <c r="B588" s="1">
        <f>HYPERLINK("https://www.toolnut.com/milwaukee-48-32-4035-shockwave-impact-duty-driver-bit-set-13pc.html", "https://www.toolnut.com/milwaukee-48-32-4035-shockwave-impact-duty-driver-bit-set-13pc.html")</f>
        <v/>
      </c>
      <c r="C588" t="inlineStr">
        <is>
          <t>Milwaukee 48-32-4035 SHOCKWAVE Impact Duty Driver Bit Set - 13PC</t>
        </is>
      </c>
      <c r="D588" t="inlineStr">
        <is>
          <t>48-32-4023 for Milwaukee SHOCKWAVE Impact Duty Steel Driver Bit Set (45-Piece)</t>
        </is>
      </c>
      <c r="E588" s="1">
        <f>HYPERLINK("https://www.amazon.com/48-32-4023-Milwaukee-SHOCKWAVE-Impact-45-Piece/dp/B0BVV894PD/ref=sr_1_5?keywords=Milwaukee+48-32-4035+SHOCKWAVE+Impact+Duty+Driver+Bit+Set+-+13PC&amp;qid=1695346861&amp;sr=8-5", "https://www.amazon.com/48-32-4023-Milwaukee-SHOCKWAVE-Impact-45-Piece/dp/B0BVV894PD/ref=sr_1_5?keywords=Milwaukee+48-32-4035+SHOCKWAVE+Impact+Duty+Driver+Bit+Set+-+13PC&amp;qid=1695346861&amp;sr=8-5")</f>
        <v/>
      </c>
      <c r="F588" t="inlineStr">
        <is>
          <t>B0BVV894PD</t>
        </is>
      </c>
      <c r="G588">
        <f>_xlfn.IMAGE("https://www.toolnut.com/media/catalog/product/4/8/48-32-4035-1.jpg?quality=100&amp;bg-color=255,255,255&amp;fit=bounds&amp;height=700&amp;width=700&amp;canvas=700:700&amp;dpr=1 1x")</f>
        <v/>
      </c>
      <c r="H588">
        <f>_xlfn.IMAGE("https://m.media-amazon.com/images/I/61fidTI8HvL._AC_UL320_.jpg")</f>
        <v/>
      </c>
      <c r="K588" t="inlineStr">
        <is>
          <t>9.97</t>
        </is>
      </c>
      <c r="L588" t="n">
        <v>36.99</v>
      </c>
      <c r="M588" s="2" t="inlineStr">
        <is>
          <t>271.01%</t>
        </is>
      </c>
      <c r="N588" t="n">
        <v>5</v>
      </c>
      <c r="O588" t="n">
        <v>9</v>
      </c>
      <c r="Q588" t="inlineStr">
        <is>
          <t>InStock</t>
        </is>
      </c>
      <c r="R588" t="inlineStr">
        <is>
          <t>undefined</t>
        </is>
      </c>
      <c r="S588" t="inlineStr">
        <is>
          <t>48-32-4035</t>
        </is>
      </c>
    </row>
    <row r="589" ht="75" customHeight="1">
      <c r="A589" s="1">
        <f>HYPERLINK("https://www.toolnut.com/milwaukee-48-32-4035-shockwave-impact-duty-driver-bit-set-13pc.html", "https://www.toolnut.com/milwaukee-48-32-4035-shockwave-impact-duty-driver-bit-set-13pc.html")</f>
        <v/>
      </c>
      <c r="B589" s="1">
        <f>HYPERLINK("https://www.toolnut.com/milwaukee-48-32-4035-shockwave-impact-duty-driver-bit-set-13pc.html", "https://www.toolnut.com/milwaukee-48-32-4035-shockwave-impact-duty-driver-bit-set-13pc.html")</f>
        <v/>
      </c>
      <c r="C589" t="inlineStr">
        <is>
          <t>Milwaukee 48-32-4035 SHOCKWAVE Impact Duty Driver Bit Set - 13PC</t>
        </is>
      </c>
      <c r="D589" t="inlineStr">
        <is>
          <t>Milwaukee Electric Tool 48-32-4004 Shockwave Heavy Duty Impact Driver Bit Set, 32 Pc</t>
        </is>
      </c>
      <c r="E589" s="1">
        <f>HYPERLINK("https://www.amazon.com/Milwaukee-48-32-4004-Shockwave-Driver-32-Piece/dp/B00UB3AE3O/ref=sr_1_7?keywords=Milwaukee+48-32-4035+SHOCKWAVE+Impact+Duty+Driver+Bit+Set+-+13PC&amp;qid=1695346861&amp;sr=8-7", "https://www.amazon.com/Milwaukee-48-32-4004-Shockwave-Driver-32-Piece/dp/B00UB3AE3O/ref=sr_1_7?keywords=Milwaukee+48-32-4035+SHOCKWAVE+Impact+Duty+Driver+Bit+Set+-+13PC&amp;qid=1695346861&amp;sr=8-7")</f>
        <v/>
      </c>
      <c r="F589" t="inlineStr">
        <is>
          <t>B00UB3AE3O</t>
        </is>
      </c>
      <c r="G589">
        <f>_xlfn.IMAGE("https://www.toolnut.com/media/catalog/product/4/8/48-32-4035-1.jpg?quality=100&amp;bg-color=255,255,255&amp;fit=bounds&amp;height=700&amp;width=700&amp;canvas=700:700&amp;dpr=1 1x")</f>
        <v/>
      </c>
      <c r="H589">
        <f>_xlfn.IMAGE("https://m.media-amazon.com/images/I/61Rui9p6xrL._AC_UL320_.jpg")</f>
        <v/>
      </c>
      <c r="K589" t="inlineStr">
        <is>
          <t>9.97</t>
        </is>
      </c>
      <c r="L589" t="n">
        <v>21.99</v>
      </c>
      <c r="M589" s="2" t="inlineStr">
        <is>
          <t>120.56%</t>
        </is>
      </c>
      <c r="N589" t="n">
        <v>4.7</v>
      </c>
      <c r="O589" t="n">
        <v>104</v>
      </c>
      <c r="Q589" t="inlineStr">
        <is>
          <t>InStock</t>
        </is>
      </c>
      <c r="R589" t="inlineStr">
        <is>
          <t>undefined</t>
        </is>
      </c>
      <c r="S589" t="inlineStr">
        <is>
          <t>48-32-4035</t>
        </is>
      </c>
    </row>
    <row r="590" ht="75" customHeight="1">
      <c r="A590" s="1">
        <f>HYPERLINK("https://www.toolnut.com/milwaukee-48-32-4035-shockwave-impact-duty-driver-bit-set-13pc.html", "https://www.toolnut.com/milwaukee-48-32-4035-shockwave-impact-duty-driver-bit-set-13pc.html")</f>
        <v/>
      </c>
      <c r="B590" s="1">
        <f>HYPERLINK("https://www.toolnut.com/milwaukee-48-32-4035-shockwave-impact-duty-driver-bit-set-13pc.html", "https://www.toolnut.com/milwaukee-48-32-4035-shockwave-impact-duty-driver-bit-set-13pc.html")</f>
        <v/>
      </c>
      <c r="C590" t="inlineStr">
        <is>
          <t>Milwaukee 48-32-4035 SHOCKWAVE Impact Duty Driver Bit Set - 13PC</t>
        </is>
      </c>
      <c r="D590" t="inlineStr">
        <is>
          <t>Milwaukee Electric Tool 48-32-4004 Shockwave Heavy Duty Impact Driver Bit Set, 32 Pc</t>
        </is>
      </c>
      <c r="E590" s="1">
        <f>HYPERLINK("https://www.amazon.com/Milwaukee-48-32-4004-Shockwave-Driver-32-Piece/dp/B00UB3AE3O/ref=sr_1_7?keywords=Milwaukee+48-32-4035+SHOCKWAVE+Impact+Duty+Driver+Bit+Set+-+13PC&amp;qid=1695346861&amp;sr=8-7", "https://www.amazon.com/Milwaukee-48-32-4004-Shockwave-Driver-32-Piece/dp/B00UB3AE3O/ref=sr_1_7?keywords=Milwaukee+48-32-4035+SHOCKWAVE+Impact+Duty+Driver+Bit+Set+-+13PC&amp;qid=1695346861&amp;sr=8-7")</f>
        <v/>
      </c>
      <c r="F590" t="inlineStr">
        <is>
          <t>B00UB3AE3O</t>
        </is>
      </c>
      <c r="G590">
        <f>_xlfn.IMAGE("https://www.toolnut.com/media/catalog/product/4/8/48-32-4035-1.jpg?quality=100&amp;bg-color=255,255,255&amp;fit=bounds&amp;height=700&amp;width=700&amp;canvas=700:700&amp;dpr=1 1x")</f>
        <v/>
      </c>
      <c r="H590">
        <f>_xlfn.IMAGE("https://m.media-amazon.com/images/I/61Rui9p6xrL._AC_UL320_.jpg")</f>
        <v/>
      </c>
      <c r="K590" t="inlineStr">
        <is>
          <t>9.97</t>
        </is>
      </c>
      <c r="L590" t="n">
        <v>21.99</v>
      </c>
      <c r="M590" s="2" t="inlineStr">
        <is>
          <t>120.56%</t>
        </is>
      </c>
      <c r="N590" t="n">
        <v>4.7</v>
      </c>
      <c r="O590" t="n">
        <v>104</v>
      </c>
      <c r="Q590" t="inlineStr">
        <is>
          <t>InStock</t>
        </is>
      </c>
      <c r="R590" t="inlineStr">
        <is>
          <t>undefined</t>
        </is>
      </c>
      <c r="S590" t="inlineStr">
        <is>
          <t>48-32-4035</t>
        </is>
      </c>
    </row>
    <row r="591" ht="75" customHeight="1">
      <c r="A591" s="1">
        <f>HYPERLINK("https://www.toolnut.com/milwaukee-48-32-4089-shockwave-impact-duty-driver-bit-set-38pc.html", "https://www.toolnut.com/milwaukee-48-32-4089-shockwave-impact-duty-driver-bit-set-38pc.html")</f>
        <v/>
      </c>
      <c r="B591" s="1">
        <f>HYPERLINK("https://www.toolnut.com/milwaukee-48-32-4089-shockwave-impact-duty-driver-bit-set-38pc.html", "https://www.toolnut.com/milwaukee-48-32-4089-shockwave-impact-duty-driver-bit-set-38pc.html")</f>
        <v/>
      </c>
      <c r="C591" t="inlineStr">
        <is>
          <t>Milwaukee 48-32-4089 SHOCKWAVE Impact Duty Driver Bit Set - 38PC</t>
        </is>
      </c>
      <c r="D591" t="inlineStr">
        <is>
          <t>Milwaukee SHOCKWAVE Impact Duty Driver Bit Automotive Set - 124PC, (48-32-4034)</t>
        </is>
      </c>
      <c r="E591" s="1">
        <f>HYPERLINK("https://www.amazon.com/Milwaukee-SHOCKWAVE-Impact-Driver-Automotive/dp/B0C51FHBL8/ref=sr_1_6?keywords=Milwaukee+48-32-4089+SHOCKWAVE+Impact+Duty+Driver+Bit+Set+-+38PC&amp;qid=1695346984&amp;sr=8-6", "https://www.amazon.com/Milwaukee-SHOCKWAVE-Impact-Driver-Automotive/dp/B0C51FHBL8/ref=sr_1_6?keywords=Milwaukee+48-32-4089+SHOCKWAVE+Impact+Duty+Driver+Bit+Set+-+38PC&amp;qid=1695346984&amp;sr=8-6")</f>
        <v/>
      </c>
      <c r="F591" t="inlineStr">
        <is>
          <t>B0C51FHBL8</t>
        </is>
      </c>
      <c r="G591">
        <f>_xlfn.IMAGE("https://www.toolnut.com/media/catalog/product/4/8/48-32-4089_primary_image.jpg?quality=100&amp;bg-color=255,255,255&amp;fit=bounds&amp;height=700&amp;width=700&amp;canvas=700:700&amp;dpr=1 1x")</f>
        <v/>
      </c>
      <c r="H591">
        <f>_xlfn.IMAGE("https://m.media-amazon.com/images/I/71dJTncLcjL._AC_UL320_.jpg")</f>
        <v/>
      </c>
      <c r="K591" t="inlineStr">
        <is>
          <t>26.99</t>
        </is>
      </c>
      <c r="L591" t="n">
        <v>119</v>
      </c>
      <c r="M591" s="2" t="inlineStr">
        <is>
          <t>340.90%</t>
        </is>
      </c>
      <c r="N591" t="n">
        <v>5</v>
      </c>
      <c r="O591" t="n">
        <v>1</v>
      </c>
      <c r="Q591" t="inlineStr">
        <is>
          <t>InStock</t>
        </is>
      </c>
      <c r="R591" t="inlineStr">
        <is>
          <t>undefined</t>
        </is>
      </c>
      <c r="S591" t="inlineStr">
        <is>
          <t>48-32-4089</t>
        </is>
      </c>
    </row>
    <row r="592" ht="75" customHeight="1">
      <c r="A592" s="1">
        <f>HYPERLINK("https://www.toolnut.com/milwaukee-48-32-4089-shockwave-impact-duty-driver-bit-set-38pc.html", "https://www.toolnut.com/milwaukee-48-32-4089-shockwave-impact-duty-driver-bit-set-38pc.html")</f>
        <v/>
      </c>
      <c r="B592" s="1">
        <f>HYPERLINK("https://www.toolnut.com/milwaukee-48-32-4089-shockwave-impact-duty-driver-bit-set-38pc.html", "https://www.toolnut.com/milwaukee-48-32-4089-shockwave-impact-duty-driver-bit-set-38pc.html")</f>
        <v/>
      </c>
      <c r="C592" t="inlineStr">
        <is>
          <t>Milwaukee 48-32-4089 SHOCKWAVE Impact Duty Driver Bit Set - 38PC</t>
        </is>
      </c>
      <c r="D592" t="inlineStr">
        <is>
          <t>Milwaukee Impact Driver Drill Bit Set 106 piece (48-32-4078) Shockwave Impact Duty</t>
        </is>
      </c>
      <c r="E592" s="1">
        <f>HYPERLINK("https://www.amazon.com/Milwaukee-Impact-Driver-48-32-4078-Shockwave/dp/B081NWQN75/ref=sr_1_2?keywords=Milwaukee+48-32-4089+SHOCKWAVE+Impact+Duty+Driver+Bit+Set+-+38PC&amp;qid=1695346984&amp;sr=8-2", "https://www.amazon.com/Milwaukee-Impact-Driver-48-32-4078-Shockwave/dp/B081NWQN75/ref=sr_1_2?keywords=Milwaukee+48-32-4089+SHOCKWAVE+Impact+Duty+Driver+Bit+Set+-+38PC&amp;qid=1695346984&amp;sr=8-2")</f>
        <v/>
      </c>
      <c r="F592" t="inlineStr">
        <is>
          <t>B081NWQN75</t>
        </is>
      </c>
      <c r="G592">
        <f>_xlfn.IMAGE("https://www.toolnut.com/media/catalog/product/4/8/48-32-4089_primary_image.jpg?quality=100&amp;bg-color=255,255,255&amp;fit=bounds&amp;height=700&amp;width=700&amp;canvas=700:700&amp;dpr=1 1x")</f>
        <v/>
      </c>
      <c r="H592">
        <f>_xlfn.IMAGE("https://m.media-amazon.com/images/I/61hBhepd3fL._AC_UL320_.jpg")</f>
        <v/>
      </c>
      <c r="K592" t="inlineStr">
        <is>
          <t>26.99</t>
        </is>
      </c>
      <c r="L592" t="n">
        <v>99.95</v>
      </c>
      <c r="M592" s="2" t="inlineStr">
        <is>
          <t>270.32%</t>
        </is>
      </c>
      <c r="N592" t="n">
        <v>4.8</v>
      </c>
      <c r="O592" t="n">
        <v>63</v>
      </c>
      <c r="Q592" t="inlineStr">
        <is>
          <t>InStock</t>
        </is>
      </c>
      <c r="R592" t="inlineStr">
        <is>
          <t>undefined</t>
        </is>
      </c>
      <c r="S592" t="inlineStr">
        <is>
          <t>48-32-4089</t>
        </is>
      </c>
    </row>
    <row r="593" ht="75" customHeight="1">
      <c r="A593" s="1">
        <f>HYPERLINK("https://www.toolnut.com/milwaukee-48-32-4089-shockwave-impact-duty-driver-bit-set-38pc.html", "https://www.toolnut.com/milwaukee-48-32-4089-shockwave-impact-duty-driver-bit-set-38pc.html")</f>
        <v/>
      </c>
      <c r="B593" s="1">
        <f>HYPERLINK("https://www.toolnut.com/milwaukee-48-32-4089-shockwave-impact-duty-driver-bit-set-38pc.html", "https://www.toolnut.com/milwaukee-48-32-4089-shockwave-impact-duty-driver-bit-set-38pc.html")</f>
        <v/>
      </c>
      <c r="C593" t="inlineStr">
        <is>
          <t>Milwaukee 48-32-4089 SHOCKWAVE Impact Duty Driver Bit Set - 38PC</t>
        </is>
      </c>
      <c r="D593" t="inlineStr">
        <is>
          <t>Milwaukee 48-32-4084 Shockwave Impact-Duty Steel Driver Bit Set (105-Piece)</t>
        </is>
      </c>
      <c r="E593" s="1">
        <f>HYPERLINK("https://www.amazon.com/Milwaukee-48-32-4084-Shockwave-Impact-Duty-105-Piece/dp/B08958BQZC/ref=sr_1_1?keywords=Milwaukee+48-32-4089+SHOCKWAVE+Impact+Duty+Driver+Bit+Set+-+38PC&amp;qid=1695346984&amp;sr=8-1", "https://www.amazon.com/Milwaukee-48-32-4084-Shockwave-Impact-Duty-105-Piece/dp/B08958BQZC/ref=sr_1_1?keywords=Milwaukee+48-32-4089+SHOCKWAVE+Impact+Duty+Driver+Bit+Set+-+38PC&amp;qid=1695346984&amp;sr=8-1")</f>
        <v/>
      </c>
      <c r="F593" t="inlineStr">
        <is>
          <t>B08958BQZC</t>
        </is>
      </c>
      <c r="G593">
        <f>_xlfn.IMAGE("https://www.toolnut.com/media/catalog/product/4/8/48-32-4089_primary_image.jpg?quality=100&amp;bg-color=255,255,255&amp;fit=bounds&amp;height=700&amp;width=700&amp;canvas=700:700&amp;dpr=1 1x")</f>
        <v/>
      </c>
      <c r="H593">
        <f>_xlfn.IMAGE("https://m.media-amazon.com/images/I/41ALitbHmCL._AC_UL320_.jpg")</f>
        <v/>
      </c>
      <c r="K593" t="inlineStr">
        <is>
          <t>26.99</t>
        </is>
      </c>
      <c r="L593" t="n">
        <v>79</v>
      </c>
      <c r="M593" s="2" t="inlineStr">
        <is>
          <t>192.70%</t>
        </is>
      </c>
      <c r="N593" t="n">
        <v>4.4</v>
      </c>
      <c r="O593" t="n">
        <v>23</v>
      </c>
      <c r="Q593" t="inlineStr">
        <is>
          <t>InStock</t>
        </is>
      </c>
      <c r="R593" t="inlineStr">
        <is>
          <t>undefined</t>
        </is>
      </c>
      <c r="S593" t="inlineStr">
        <is>
          <t>48-32-4089</t>
        </is>
      </c>
    </row>
    <row r="594" ht="75" customHeight="1">
      <c r="A594" s="1">
        <f>HYPERLINK("https://www.toolnut.com/milwaukee-48-32-4094-shockwave-impact-duty-driver-bit-set-80pc.html", "https://www.toolnut.com/milwaukee-48-32-4094-shockwave-impact-duty-driver-bit-set-80pc.html")</f>
        <v/>
      </c>
      <c r="B594" s="1">
        <f>HYPERLINK("https://www.toolnut.com/milwaukee-48-32-4094-shockwave-impact-duty-driver-bit-set-80pc.html", "https://www.toolnut.com/milwaukee-48-32-4094-shockwave-impact-duty-driver-bit-set-80pc.html")</f>
        <v/>
      </c>
      <c r="C594" t="inlineStr">
        <is>
          <t>Milwaukee 48-32-4094 SHOCKWAVE Impact Duty Driver Bit Set- 80PC</t>
        </is>
      </c>
      <c r="D594" t="inlineStr">
        <is>
          <t>Milwaukee Shockwave Impact Driver Bit Set (100 Piece) 48-32-4083</t>
        </is>
      </c>
      <c r="E594" s="1">
        <f>HYPERLINK("https://www.amazon.com/Milwaukee-Shockwave-Impact-Driver-48-32-4083/dp/B08BJD6FR9/ref=sr_1_2?keywords=Milwaukee+48-32-4094+SHOCKWAVE+Impact+Duty+Driver+Bit+Set-+80PC&amp;qid=1695346849&amp;sr=8-2", "https://www.amazon.com/Milwaukee-Shockwave-Impact-Driver-48-32-4083/dp/B08BJD6FR9/ref=sr_1_2?keywords=Milwaukee+48-32-4094+SHOCKWAVE+Impact+Duty+Driver+Bit+Set-+80PC&amp;qid=1695346849&amp;sr=8-2")</f>
        <v/>
      </c>
      <c r="F594" t="inlineStr">
        <is>
          <t>B08BJD6FR9</t>
        </is>
      </c>
      <c r="G594">
        <f>_xlfn.IMAGE("https://www.toolnut.com/media/catalog/product/4/8/48-32-4094-1.jpg?quality=100&amp;bg-color=255,255,255&amp;fit=bounds&amp;height=700&amp;width=700&amp;canvas=700:700&amp;dpr=1 1x")</f>
        <v/>
      </c>
      <c r="H594">
        <f>_xlfn.IMAGE("https://m.media-amazon.com/images/I/51Yeoqk-XuS._AC_UL320_.jpg")</f>
        <v/>
      </c>
      <c r="K594" t="inlineStr">
        <is>
          <t>39.99</t>
        </is>
      </c>
      <c r="L594" t="n">
        <v>72.98999999999999</v>
      </c>
      <c r="M594" s="2" t="inlineStr">
        <is>
          <t>82.52%</t>
        </is>
      </c>
      <c r="N594" t="n">
        <v>4.7</v>
      </c>
      <c r="O594" t="n">
        <v>272</v>
      </c>
      <c r="Q594" t="inlineStr">
        <is>
          <t>InStock</t>
        </is>
      </c>
      <c r="R594" t="inlineStr">
        <is>
          <t>undefined</t>
        </is>
      </c>
      <c r="S594" t="inlineStr">
        <is>
          <t>48-32-4094</t>
        </is>
      </c>
    </row>
    <row r="595" ht="75" customHeight="1">
      <c r="A595" s="1">
        <f>HYPERLINK("https://www.toolnut.com/milwaukee-48-32-4094-shockwave-impact-duty-driver-bit-set-80pc.html", "https://www.toolnut.com/milwaukee-48-32-4094-shockwave-impact-duty-driver-bit-set-80pc.html")</f>
        <v/>
      </c>
      <c r="B595" s="1">
        <f>HYPERLINK("https://www.toolnut.com/milwaukee-48-32-4094-shockwave-impact-duty-driver-bit-set-80pc.html", "https://www.toolnut.com/milwaukee-48-32-4094-shockwave-impact-duty-driver-bit-set-80pc.html")</f>
        <v/>
      </c>
      <c r="C595" t="inlineStr">
        <is>
          <t>Milwaukee 48-32-4094 SHOCKWAVE Impact Duty Driver Bit Set- 80PC</t>
        </is>
      </c>
      <c r="D595" t="inlineStr">
        <is>
          <t>Milwaukee Shockwave Impact Driver Bit Set (100 Piece) 48-32-4083</t>
        </is>
      </c>
      <c r="E595" s="1">
        <f>HYPERLINK("https://www.amazon.com/Milwaukee-Shockwave-Impact-Driver-48-32-4083/dp/B08BJD6FR9/ref=sr_1_2?keywords=Milwaukee+48-32-4094+SHOCKWAVE+Impact+Duty+Driver+Bit+Set-+80PC&amp;qid=1695346849&amp;sr=8-2", "https://www.amazon.com/Milwaukee-Shockwave-Impact-Driver-48-32-4083/dp/B08BJD6FR9/ref=sr_1_2?keywords=Milwaukee+48-32-4094+SHOCKWAVE+Impact+Duty+Driver+Bit+Set-+80PC&amp;qid=1695346849&amp;sr=8-2")</f>
        <v/>
      </c>
      <c r="F595" t="inlineStr">
        <is>
          <t>B08BJD6FR9</t>
        </is>
      </c>
      <c r="G595">
        <f>_xlfn.IMAGE("https://www.toolnut.com/media/catalog/product/4/8/48-32-4094-1.jpg?quality=100&amp;bg-color=255,255,255&amp;fit=bounds&amp;height=700&amp;width=700&amp;canvas=700:700&amp;dpr=1 1x")</f>
        <v/>
      </c>
      <c r="H595">
        <f>_xlfn.IMAGE("https://m.media-amazon.com/images/I/51Yeoqk-XuS._AC_UL320_.jpg")</f>
        <v/>
      </c>
      <c r="K595" t="inlineStr">
        <is>
          <t>39.99</t>
        </is>
      </c>
      <c r="L595" t="n">
        <v>72.98999999999999</v>
      </c>
      <c r="M595" s="2" t="inlineStr">
        <is>
          <t>82.52%</t>
        </is>
      </c>
      <c r="N595" t="n">
        <v>4.7</v>
      </c>
      <c r="O595" t="n">
        <v>272</v>
      </c>
      <c r="Q595" t="inlineStr">
        <is>
          <t>InStock</t>
        </is>
      </c>
      <c r="R595" t="inlineStr">
        <is>
          <t>undefined</t>
        </is>
      </c>
      <c r="S595" t="inlineStr">
        <is>
          <t>48-32-4094</t>
        </is>
      </c>
    </row>
    <row r="596" ht="75" customHeight="1">
      <c r="A596" s="1">
        <f>HYPERLINK("https://www.toolnut.com/milwaukee-48-32-4096-shockwave-impact-duty-driver-bit-set-55pc.html", "https://www.toolnut.com/milwaukee-48-32-4096-shockwave-impact-duty-driver-bit-set-55pc.html")</f>
        <v/>
      </c>
      <c r="B596" s="1">
        <f>HYPERLINK("https://www.toolnut.com/milwaukee-48-32-4096-shockwave-impact-duty-driver-bit-set-55pc.html", "https://www.toolnut.com/milwaukee-48-32-4096-shockwave-impact-duty-driver-bit-set-55pc.html")</f>
        <v/>
      </c>
      <c r="C596" t="inlineStr">
        <is>
          <t>Milwaukee 48-32-4096 SHOCKWAVE Impact Duty Driver Bit Set - 55PC</t>
        </is>
      </c>
      <c r="D596" t="inlineStr">
        <is>
          <t>Milwaukee SHOCKWAVE Impact Duty Driver Bit Automotive Set - 124PC, (48-32-4034)</t>
        </is>
      </c>
      <c r="E596" s="1">
        <f>HYPERLINK("https://www.amazon.com/Milwaukee-SHOCKWAVE-Impact-Driver-Automotive/dp/B0C51FHBL8/ref=sr_1_6?keywords=Milwaukee+48-32-4096+SHOCKWAVE+Impact+Duty+Driver+Bit+Set+-+55PC&amp;qid=1695346988&amp;sr=8-6", "https://www.amazon.com/Milwaukee-SHOCKWAVE-Impact-Driver-Automotive/dp/B0C51FHBL8/ref=sr_1_6?keywords=Milwaukee+48-32-4096+SHOCKWAVE+Impact+Duty+Driver+Bit+Set+-+55PC&amp;qid=1695346988&amp;sr=8-6")</f>
        <v/>
      </c>
      <c r="F596" t="inlineStr">
        <is>
          <t>B0C51FHBL8</t>
        </is>
      </c>
      <c r="G596">
        <f>_xlfn.IMAGE("https://www.toolnut.com/media/catalog/product/4/8/48-32-4096-1.jpg?quality=100&amp;bg-color=255,255,255&amp;fit=bounds&amp;height=700&amp;width=700&amp;canvas=700:700&amp;dpr=1 1x")</f>
        <v/>
      </c>
      <c r="H596">
        <f>_xlfn.IMAGE("https://m.media-amazon.com/images/I/71dJTncLcjL._AC_UL320_.jpg")</f>
        <v/>
      </c>
      <c r="K596" t="inlineStr">
        <is>
          <t>44.97</t>
        </is>
      </c>
      <c r="L596" t="n">
        <v>119</v>
      </c>
      <c r="M596" s="2" t="inlineStr">
        <is>
          <t>164.62%</t>
        </is>
      </c>
      <c r="N596" t="n">
        <v>5</v>
      </c>
      <c r="O596" t="n">
        <v>1</v>
      </c>
      <c r="Q596" t="inlineStr">
        <is>
          <t>InStock</t>
        </is>
      </c>
      <c r="R596" t="inlineStr">
        <is>
          <t>undefined</t>
        </is>
      </c>
      <c r="S596" t="inlineStr">
        <is>
          <t>48-32-4096</t>
        </is>
      </c>
    </row>
    <row r="597" ht="75" customHeight="1">
      <c r="A597" s="1">
        <f>HYPERLINK("https://www.toolnut.com/milwaukee-48-32-4096-shockwave-impact-duty-driver-bit-set-55pc.html", "https://www.toolnut.com/milwaukee-48-32-4096-shockwave-impact-duty-driver-bit-set-55pc.html")</f>
        <v/>
      </c>
      <c r="B597" s="1">
        <f>HYPERLINK("https://www.toolnut.com/milwaukee-48-32-4096-shockwave-impact-duty-driver-bit-set-55pc.html", "https://www.toolnut.com/milwaukee-48-32-4096-shockwave-impact-duty-driver-bit-set-55pc.html")</f>
        <v/>
      </c>
      <c r="C597" t="inlineStr">
        <is>
          <t>Milwaukee 48-32-4096 SHOCKWAVE Impact Duty Driver Bit Set - 55PC</t>
        </is>
      </c>
      <c r="D597" t="inlineStr">
        <is>
          <t>Milwaukee 48-32-4084 Shockwave Impact-Duty Steel Driver Bit Set (105-Piece)</t>
        </is>
      </c>
      <c r="E597" s="1">
        <f>HYPERLINK("https://www.amazon.com/Milwaukee-48-32-4084-Shockwave-Impact-Duty-105-Piece/dp/B08958BQZC/ref=sr_1_2?keywords=Milwaukee+48-32-4096+SHOCKWAVE+Impact+Duty+Driver+Bit+Set+-+55PC&amp;qid=1695346988&amp;sr=8-2", "https://www.amazon.com/Milwaukee-48-32-4084-Shockwave-Impact-Duty-105-Piece/dp/B08958BQZC/ref=sr_1_2?keywords=Milwaukee+48-32-4096+SHOCKWAVE+Impact+Duty+Driver+Bit+Set+-+55PC&amp;qid=1695346988&amp;sr=8-2")</f>
        <v/>
      </c>
      <c r="F597" t="inlineStr">
        <is>
          <t>B08958BQZC</t>
        </is>
      </c>
      <c r="G597">
        <f>_xlfn.IMAGE("https://www.toolnut.com/media/catalog/product/4/8/48-32-4096-1.jpg?quality=100&amp;bg-color=255,255,255&amp;fit=bounds&amp;height=700&amp;width=700&amp;canvas=700:700&amp;dpr=1 1x")</f>
        <v/>
      </c>
      <c r="H597">
        <f>_xlfn.IMAGE("https://m.media-amazon.com/images/I/41ALitbHmCL._AC_UL320_.jpg")</f>
        <v/>
      </c>
      <c r="K597" t="inlineStr">
        <is>
          <t>44.97</t>
        </is>
      </c>
      <c r="L597" t="n">
        <v>79</v>
      </c>
      <c r="M597" s="2" t="inlineStr">
        <is>
          <t>75.67%</t>
        </is>
      </c>
      <c r="N597" t="n">
        <v>4.4</v>
      </c>
      <c r="O597" t="n">
        <v>23</v>
      </c>
      <c r="Q597" t="inlineStr">
        <is>
          <t>InStock</t>
        </is>
      </c>
      <c r="R597" t="inlineStr">
        <is>
          <t>undefined</t>
        </is>
      </c>
      <c r="S597" t="inlineStr">
        <is>
          <t>48-32-4096</t>
        </is>
      </c>
    </row>
    <row r="598" ht="75" customHeight="1">
      <c r="A598" s="1">
        <f>HYPERLINK("https://www.toolnut.com/milwaukee-48-32-4096-shockwave-impact-duty-driver-bit-set-55pc.html", "https://www.toolnut.com/milwaukee-48-32-4096-shockwave-impact-duty-driver-bit-set-55pc.html")</f>
        <v/>
      </c>
      <c r="B598" s="1">
        <f>HYPERLINK("https://www.toolnut.com/milwaukee-48-32-4096-shockwave-impact-duty-driver-bit-set-55pc.html", "https://www.toolnut.com/milwaukee-48-32-4096-shockwave-impact-duty-driver-bit-set-55pc.html")</f>
        <v/>
      </c>
      <c r="C598" t="inlineStr">
        <is>
          <t>Milwaukee 48-32-4096 SHOCKWAVE Impact Duty Driver Bit Set - 55PC</t>
        </is>
      </c>
      <c r="D598" t="inlineStr">
        <is>
          <t>Milwaukee SHOCKWAVE Impact Duty Driver Bit Automotive Set - 124PC, (48-32-4034)</t>
        </is>
      </c>
      <c r="E598" s="1">
        <f>HYPERLINK("https://www.amazon.com/Milwaukee-SHOCKWAVE-Impact-Driver-Automotive/dp/B0C51FHBL8/ref=sr_1_6?keywords=Milwaukee+48-32-4096+SHOCKWAVE+Impact+Duty+Driver+Bit+Set+-+55PC&amp;qid=1695346988&amp;sr=8-6", "https://www.amazon.com/Milwaukee-SHOCKWAVE-Impact-Driver-Automotive/dp/B0C51FHBL8/ref=sr_1_6?keywords=Milwaukee+48-32-4096+SHOCKWAVE+Impact+Duty+Driver+Bit+Set+-+55PC&amp;qid=1695346988&amp;sr=8-6")</f>
        <v/>
      </c>
      <c r="F598" t="inlineStr">
        <is>
          <t>B0C51FHBL8</t>
        </is>
      </c>
      <c r="G598">
        <f>_xlfn.IMAGE("https://www.toolnut.com/media/catalog/product/4/8/48-32-4096-1.jpg?quality=100&amp;bg-color=255,255,255&amp;fit=bounds&amp;height=700&amp;width=700&amp;canvas=700:700&amp;dpr=1 1x")</f>
        <v/>
      </c>
      <c r="H598">
        <f>_xlfn.IMAGE("https://m.media-amazon.com/images/I/71dJTncLcjL._AC_UL320_.jpg")</f>
        <v/>
      </c>
      <c r="K598" t="inlineStr">
        <is>
          <t>44.97</t>
        </is>
      </c>
      <c r="L598" t="n">
        <v>119</v>
      </c>
      <c r="M598" s="2" t="inlineStr">
        <is>
          <t>164.62%</t>
        </is>
      </c>
      <c r="N598" t="n">
        <v>5</v>
      </c>
      <c r="O598" t="n">
        <v>1</v>
      </c>
      <c r="Q598" t="inlineStr">
        <is>
          <t>InStock</t>
        </is>
      </c>
      <c r="R598" t="inlineStr">
        <is>
          <t>undefined</t>
        </is>
      </c>
      <c r="S598" t="inlineStr">
        <is>
          <t>48-32-4096</t>
        </is>
      </c>
    </row>
    <row r="599" ht="75" customHeight="1">
      <c r="A599" s="1">
        <f>HYPERLINK("https://www.toolnut.com/milwaukee-48-32-4096-shockwave-impact-duty-driver-bit-set-55pc.html", "https://www.toolnut.com/milwaukee-48-32-4096-shockwave-impact-duty-driver-bit-set-55pc.html")</f>
        <v/>
      </c>
      <c r="B599" s="1">
        <f>HYPERLINK("https://www.toolnut.com/milwaukee-48-32-4096-shockwave-impact-duty-driver-bit-set-55pc.html", "https://www.toolnut.com/milwaukee-48-32-4096-shockwave-impact-duty-driver-bit-set-55pc.html")</f>
        <v/>
      </c>
      <c r="C599" t="inlineStr">
        <is>
          <t>Milwaukee 48-32-4096 SHOCKWAVE Impact Duty Driver Bit Set - 55PC</t>
        </is>
      </c>
      <c r="D599" t="inlineStr">
        <is>
          <t>Milwaukee 48-32-4084 Shockwave Impact-Duty Steel Driver Bit Set (105-Piece)</t>
        </is>
      </c>
      <c r="E599" s="1">
        <f>HYPERLINK("https://www.amazon.com/Milwaukee-48-32-4084-Shockwave-Impact-Duty-105-Piece/dp/B08958BQZC/ref=sr_1_2?keywords=Milwaukee+48-32-4096+SHOCKWAVE+Impact+Duty+Driver+Bit+Set+-+55PC&amp;qid=1695346988&amp;sr=8-2", "https://www.amazon.com/Milwaukee-48-32-4084-Shockwave-Impact-Duty-105-Piece/dp/B08958BQZC/ref=sr_1_2?keywords=Milwaukee+48-32-4096+SHOCKWAVE+Impact+Duty+Driver+Bit+Set+-+55PC&amp;qid=1695346988&amp;sr=8-2")</f>
        <v/>
      </c>
      <c r="F599" t="inlineStr">
        <is>
          <t>B08958BQZC</t>
        </is>
      </c>
      <c r="G599">
        <f>_xlfn.IMAGE("https://www.toolnut.com/media/catalog/product/4/8/48-32-4096-1.jpg?quality=100&amp;bg-color=255,255,255&amp;fit=bounds&amp;height=700&amp;width=700&amp;canvas=700:700&amp;dpr=1 1x")</f>
        <v/>
      </c>
      <c r="H599">
        <f>_xlfn.IMAGE("https://m.media-amazon.com/images/I/41ALitbHmCL._AC_UL320_.jpg")</f>
        <v/>
      </c>
      <c r="K599" t="inlineStr">
        <is>
          <t>44.97</t>
        </is>
      </c>
      <c r="L599" t="n">
        <v>79</v>
      </c>
      <c r="M599" s="2" t="inlineStr">
        <is>
          <t>75.67%</t>
        </is>
      </c>
      <c r="N599" t="n">
        <v>4.4</v>
      </c>
      <c r="O599" t="n">
        <v>23</v>
      </c>
      <c r="Q599" t="inlineStr">
        <is>
          <t>InStock</t>
        </is>
      </c>
      <c r="R599" t="inlineStr">
        <is>
          <t>undefined</t>
        </is>
      </c>
      <c r="S599" t="inlineStr">
        <is>
          <t>48-32-4096</t>
        </is>
      </c>
    </row>
    <row r="600" ht="75" customHeight="1">
      <c r="A600" s="1">
        <f>HYPERLINK("https://www.toolnut.com/milwaukee-48-32-4097-shockwave-impact-duty-drill-and-drive-set-60pc.html", "https://www.toolnut.com/milwaukee-48-32-4097-shockwave-impact-duty-drill-and-drive-set-60pc.html")</f>
        <v/>
      </c>
      <c r="B600" s="1">
        <f>HYPERLINK("https://www.toolnut.com/milwaukee-48-32-4097-shockwave-impact-duty-drill-and-drive-set-60pc.html", "https://www.toolnut.com/milwaukee-48-32-4097-shockwave-impact-duty-drill-and-drive-set-60pc.html")</f>
        <v/>
      </c>
      <c r="C600" t="inlineStr">
        <is>
          <t>Milwaukee 48-32-4097 SHOCKWAVE Impact Duty Drill and Drive Set - 60PC</t>
        </is>
      </c>
      <c r="D600" t="inlineStr">
        <is>
          <t>48-32-4030 for Milwaukee Shockwave Impact Duty Drill And Drive Set (75-Piece)</t>
        </is>
      </c>
      <c r="E600" s="1">
        <f>HYPERLINK("https://www.amazon.com/48-32-4030-Milwaukee-Shockwave-Impact-75-Piece/dp/B0BRJ8QNS8/ref=sr_1_2?keywords=Milwaukee+48-32-4097+SHOCKWAVE+Impact+Duty+Drill+and+Drive+Set+-+60PC&amp;qid=1695346985&amp;sr=8-2", "https://www.amazon.com/48-32-4030-Milwaukee-Shockwave-Impact-75-Piece/dp/B0BRJ8QNS8/ref=sr_1_2?keywords=Milwaukee+48-32-4097+SHOCKWAVE+Impact+Duty+Drill+and+Drive+Set+-+60PC&amp;qid=1695346985&amp;sr=8-2")</f>
        <v/>
      </c>
      <c r="F600" t="inlineStr">
        <is>
          <t>B0BRJ8QNS8</t>
        </is>
      </c>
      <c r="G600">
        <f>_xlfn.IMAGE("https://www.toolnut.com/media/catalog/product/4/8/48-32-4097-1.jpg?quality=100&amp;bg-color=255,255,255&amp;fit=bounds&amp;height=700&amp;width=700&amp;canvas=700:700&amp;dpr=1 1x")</f>
        <v/>
      </c>
      <c r="H600">
        <f>_xlfn.IMAGE("https://m.media-amazon.com/images/I/618oMxKyMzL._AC_UL320_.jpg")</f>
        <v/>
      </c>
      <c r="K600" t="inlineStr">
        <is>
          <t>44.97</t>
        </is>
      </c>
      <c r="L600" t="n">
        <v>105</v>
      </c>
      <c r="M600" s="2" t="inlineStr">
        <is>
          <t>133.49%</t>
        </is>
      </c>
      <c r="N600" t="n">
        <v>5</v>
      </c>
      <c r="O600" t="n">
        <v>2</v>
      </c>
      <c r="Q600" t="inlineStr">
        <is>
          <t>InStock</t>
        </is>
      </c>
      <c r="R600" t="inlineStr">
        <is>
          <t>undefined</t>
        </is>
      </c>
      <c r="S600" t="inlineStr">
        <is>
          <t>48-32-4097</t>
        </is>
      </c>
    </row>
    <row r="601" ht="75" customHeight="1">
      <c r="A601" s="1">
        <f>HYPERLINK("https://www.toolnut.com/milwaukee-48-32-4097-shockwave-impact-duty-drill-and-drive-set-60pc.html", "https://www.toolnut.com/milwaukee-48-32-4097-shockwave-impact-duty-drill-and-drive-set-60pc.html")</f>
        <v/>
      </c>
      <c r="B601" s="1">
        <f>HYPERLINK("https://www.toolnut.com/milwaukee-48-32-4097-shockwave-impact-duty-drill-and-drive-set-60pc.html", "https://www.toolnut.com/milwaukee-48-32-4097-shockwave-impact-duty-drill-and-drive-set-60pc.html")</f>
        <v/>
      </c>
      <c r="C601" t="inlineStr">
        <is>
          <t>Milwaukee 48-32-4097 SHOCKWAVE Impact Duty Drill and Drive Set - 60PC</t>
        </is>
      </c>
      <c r="D601" t="inlineStr">
        <is>
          <t>Milwaukee 48-32-4017 56-Piece Shockwave Impact Duty Drill and Drive Set</t>
        </is>
      </c>
      <c r="E601" s="1">
        <f>HYPERLINK("https://www.amazon.com/Milwaukee-48-32-4017-56-Piece-Shockwave-Impact/dp/B01LZT6XV2/ref=sr_1_3?keywords=Milwaukee+48-32-4097+SHOCKWAVE+Impact+Duty+Drill+and+Drive+Set+-+60PC&amp;qid=1695346985&amp;sr=8-3", "https://www.amazon.com/Milwaukee-48-32-4017-56-Piece-Shockwave-Impact/dp/B01LZT6XV2/ref=sr_1_3?keywords=Milwaukee+48-32-4097+SHOCKWAVE+Impact+Duty+Drill+and+Drive+Set+-+60PC&amp;qid=1695346985&amp;sr=8-3")</f>
        <v/>
      </c>
      <c r="F601" t="inlineStr">
        <is>
          <t>B01LZT6XV2</t>
        </is>
      </c>
      <c r="G601">
        <f>_xlfn.IMAGE("https://www.toolnut.com/media/catalog/product/4/8/48-32-4097-1.jpg?quality=100&amp;bg-color=255,255,255&amp;fit=bounds&amp;height=700&amp;width=700&amp;canvas=700:700&amp;dpr=1 1x")</f>
        <v/>
      </c>
      <c r="H601">
        <f>_xlfn.IMAGE("https://m.media-amazon.com/images/I/31ju+WfRyuL._AC_UL320_.jpg")</f>
        <v/>
      </c>
      <c r="K601" t="inlineStr">
        <is>
          <t>44.97</t>
        </is>
      </c>
      <c r="L601" t="n">
        <v>76.93000000000001</v>
      </c>
      <c r="M601" s="2" t="inlineStr">
        <is>
          <t>71.07%</t>
        </is>
      </c>
      <c r="N601" t="n">
        <v>4.6</v>
      </c>
      <c r="O601" t="n">
        <v>35</v>
      </c>
      <c r="Q601" t="inlineStr">
        <is>
          <t>InStock</t>
        </is>
      </c>
      <c r="R601" t="inlineStr">
        <is>
          <t>undefined</t>
        </is>
      </c>
      <c r="S601" t="inlineStr">
        <is>
          <t>48-32-4097</t>
        </is>
      </c>
    </row>
    <row r="602" ht="75" customHeight="1">
      <c r="A602" s="1">
        <f>HYPERLINK("https://www.toolnut.com/milwaukee-48-32-4097-shockwave-impact-duty-drill-and-drive-set-60pc.html", "https://www.toolnut.com/milwaukee-48-32-4097-shockwave-impact-duty-drill-and-drive-set-60pc.html")</f>
        <v/>
      </c>
      <c r="B602" s="1">
        <f>HYPERLINK("https://www.toolnut.com/milwaukee-48-32-4097-shockwave-impact-duty-drill-and-drive-set-60pc.html", "https://www.toolnut.com/milwaukee-48-32-4097-shockwave-impact-duty-drill-and-drive-set-60pc.html")</f>
        <v/>
      </c>
      <c r="C602" t="inlineStr">
        <is>
          <t>Milwaukee 48-32-4097 SHOCKWAVE Impact Duty Drill and Drive Set - 60PC</t>
        </is>
      </c>
      <c r="D602" t="inlineStr">
        <is>
          <t>48-32-4029 for Milwaukee Shockwave Impact Duty Drill And Drive Set (60-Piece)</t>
        </is>
      </c>
      <c r="E602" s="1">
        <f>HYPERLINK("https://www.amazon.com/48-32-4029-Milwaukee-Shockwave-Impact-60-Piece/dp/B0BSH82SCM/ref=sr_1_4?keywords=Milwaukee+48-32-4097+SHOCKWAVE+Impact+Duty+Drill+and+Drive+Set+-+60PC&amp;qid=1695346985&amp;sr=8-4", "https://www.amazon.com/48-32-4029-Milwaukee-Shockwave-Impact-60-Piece/dp/B0BSH82SCM/ref=sr_1_4?keywords=Milwaukee+48-32-4097+SHOCKWAVE+Impact+Duty+Drill+and+Drive+Set+-+60PC&amp;qid=1695346985&amp;sr=8-4")</f>
        <v/>
      </c>
      <c r="F602" t="inlineStr">
        <is>
          <t>B0BSH82SCM</t>
        </is>
      </c>
      <c r="G602">
        <f>_xlfn.IMAGE("https://www.toolnut.com/media/catalog/product/4/8/48-32-4097-1.jpg?quality=100&amp;bg-color=255,255,255&amp;fit=bounds&amp;height=700&amp;width=700&amp;canvas=700:700&amp;dpr=1 1x")</f>
        <v/>
      </c>
      <c r="H602">
        <f>_xlfn.IMAGE("https://m.media-amazon.com/images/I/61rDDvFUmXL._AC_UL320_.jpg")</f>
        <v/>
      </c>
      <c r="K602" t="inlineStr">
        <is>
          <t>44.97</t>
        </is>
      </c>
      <c r="L602" t="n">
        <v>76</v>
      </c>
      <c r="M602" s="2" t="inlineStr">
        <is>
          <t>69.00%</t>
        </is>
      </c>
      <c r="N602" t="n">
        <v>4.7</v>
      </c>
      <c r="O602" t="n">
        <v>4</v>
      </c>
      <c r="Q602" t="inlineStr">
        <is>
          <t>InStock</t>
        </is>
      </c>
      <c r="R602" t="inlineStr">
        <is>
          <t>undefined</t>
        </is>
      </c>
      <c r="S602" t="inlineStr">
        <is>
          <t>48-32-4097</t>
        </is>
      </c>
    </row>
    <row r="603" ht="75" customHeight="1">
      <c r="A603" s="1">
        <f>HYPERLINK("https://www.toolnut.com/milwaukee-48-32-4097-shockwave-impact-duty-drill-and-drive-set-60pc.html", "https://www.toolnut.com/milwaukee-48-32-4097-shockwave-impact-duty-drill-and-drive-set-60pc.html")</f>
        <v/>
      </c>
      <c r="B603" s="1">
        <f>HYPERLINK("https://www.toolnut.com/milwaukee-48-32-4097-shockwave-impact-duty-drill-and-drive-set-60pc.html", "https://www.toolnut.com/milwaukee-48-32-4097-shockwave-impact-duty-drill-and-drive-set-60pc.html")</f>
        <v/>
      </c>
      <c r="C603" t="inlineStr">
        <is>
          <t>Milwaukee 48-32-4097 SHOCKWAVE Impact Duty Drill and Drive Set - 60PC</t>
        </is>
      </c>
      <c r="D603" t="inlineStr">
        <is>
          <t>48-32-4030 for Milwaukee Shockwave Impact Duty Drill And Drive Set (75-Piece)</t>
        </is>
      </c>
      <c r="E603" s="1">
        <f>HYPERLINK("https://www.amazon.com/48-32-4030-Milwaukee-Shockwave-Impact-75-Piece/dp/B0BRJ8QNS8/ref=sr_1_2?keywords=Milwaukee+48-32-4097+SHOCKWAVE+Impact+Duty+Drill+and+Drive+Set+-+60PC&amp;qid=1695346985&amp;sr=8-2", "https://www.amazon.com/48-32-4030-Milwaukee-Shockwave-Impact-75-Piece/dp/B0BRJ8QNS8/ref=sr_1_2?keywords=Milwaukee+48-32-4097+SHOCKWAVE+Impact+Duty+Drill+and+Drive+Set+-+60PC&amp;qid=1695346985&amp;sr=8-2")</f>
        <v/>
      </c>
      <c r="F603" t="inlineStr">
        <is>
          <t>B0BRJ8QNS8</t>
        </is>
      </c>
      <c r="G603">
        <f>_xlfn.IMAGE("https://www.toolnut.com/media/catalog/product/4/8/48-32-4097-1.jpg?quality=100&amp;bg-color=255,255,255&amp;fit=bounds&amp;height=700&amp;width=700&amp;canvas=700:700&amp;dpr=1 1x")</f>
        <v/>
      </c>
      <c r="H603">
        <f>_xlfn.IMAGE("https://m.media-amazon.com/images/I/618oMxKyMzL._AC_UL320_.jpg")</f>
        <v/>
      </c>
      <c r="K603" t="inlineStr">
        <is>
          <t>44.97</t>
        </is>
      </c>
      <c r="L603" t="n">
        <v>105</v>
      </c>
      <c r="M603" s="2" t="inlineStr">
        <is>
          <t>133.49%</t>
        </is>
      </c>
      <c r="N603" t="n">
        <v>5</v>
      </c>
      <c r="O603" t="n">
        <v>2</v>
      </c>
      <c r="Q603" t="inlineStr">
        <is>
          <t>InStock</t>
        </is>
      </c>
      <c r="R603" t="inlineStr">
        <is>
          <t>undefined</t>
        </is>
      </c>
      <c r="S603" t="inlineStr">
        <is>
          <t>48-32-4097</t>
        </is>
      </c>
    </row>
    <row r="604" ht="75" customHeight="1">
      <c r="A604" s="1">
        <f>HYPERLINK("https://www.toolnut.com/milwaukee-48-32-4097-shockwave-impact-duty-drill-and-drive-set-60pc.html", "https://www.toolnut.com/milwaukee-48-32-4097-shockwave-impact-duty-drill-and-drive-set-60pc.html")</f>
        <v/>
      </c>
      <c r="B604" s="1">
        <f>HYPERLINK("https://www.toolnut.com/milwaukee-48-32-4097-shockwave-impact-duty-drill-and-drive-set-60pc.html", "https://www.toolnut.com/milwaukee-48-32-4097-shockwave-impact-duty-drill-and-drive-set-60pc.html")</f>
        <v/>
      </c>
      <c r="C604" t="inlineStr">
        <is>
          <t>Milwaukee 48-32-4097 SHOCKWAVE Impact Duty Drill and Drive Set - 60PC</t>
        </is>
      </c>
      <c r="D604" t="inlineStr">
        <is>
          <t>Milwaukee 48-32-4017 56-Piece Shockwave Impact Duty Drill and Drive Set</t>
        </is>
      </c>
      <c r="E604" s="1">
        <f>HYPERLINK("https://www.amazon.com/Milwaukee-48-32-4017-56-Piece-Shockwave-Impact/dp/B01LZT6XV2/ref=sr_1_3?keywords=Milwaukee+48-32-4097+SHOCKWAVE+Impact+Duty+Drill+and+Drive+Set+-+60PC&amp;qid=1695346985&amp;sr=8-3", "https://www.amazon.com/Milwaukee-48-32-4017-56-Piece-Shockwave-Impact/dp/B01LZT6XV2/ref=sr_1_3?keywords=Milwaukee+48-32-4097+SHOCKWAVE+Impact+Duty+Drill+and+Drive+Set+-+60PC&amp;qid=1695346985&amp;sr=8-3")</f>
        <v/>
      </c>
      <c r="F604" t="inlineStr">
        <is>
          <t>B01LZT6XV2</t>
        </is>
      </c>
      <c r="G604">
        <f>_xlfn.IMAGE("https://www.toolnut.com/media/catalog/product/4/8/48-32-4097-1.jpg?quality=100&amp;bg-color=255,255,255&amp;fit=bounds&amp;height=700&amp;width=700&amp;canvas=700:700&amp;dpr=1 1x")</f>
        <v/>
      </c>
      <c r="H604">
        <f>_xlfn.IMAGE("https://m.media-amazon.com/images/I/31ju+WfRyuL._AC_UL320_.jpg")</f>
        <v/>
      </c>
      <c r="K604" t="inlineStr">
        <is>
          <t>44.97</t>
        </is>
      </c>
      <c r="L604" t="n">
        <v>76.93000000000001</v>
      </c>
      <c r="M604" s="2" t="inlineStr">
        <is>
          <t>71.07%</t>
        </is>
      </c>
      <c r="N604" t="n">
        <v>4.6</v>
      </c>
      <c r="O604" t="n">
        <v>35</v>
      </c>
      <c r="Q604" t="inlineStr">
        <is>
          <t>InStock</t>
        </is>
      </c>
      <c r="R604" t="inlineStr">
        <is>
          <t>undefined</t>
        </is>
      </c>
      <c r="S604" t="inlineStr">
        <is>
          <t>48-32-4097</t>
        </is>
      </c>
    </row>
    <row r="605" ht="75" customHeight="1">
      <c r="A605" s="1">
        <f>HYPERLINK("https://www.toolnut.com/milwaukee-48-32-4097-shockwave-impact-duty-drill-and-drive-set-60pc.html", "https://www.toolnut.com/milwaukee-48-32-4097-shockwave-impact-duty-drill-and-drive-set-60pc.html")</f>
        <v/>
      </c>
      <c r="B605" s="1">
        <f>HYPERLINK("https://www.toolnut.com/milwaukee-48-32-4097-shockwave-impact-duty-drill-and-drive-set-60pc.html", "https://www.toolnut.com/milwaukee-48-32-4097-shockwave-impact-duty-drill-and-drive-set-60pc.html")</f>
        <v/>
      </c>
      <c r="C605" t="inlineStr">
        <is>
          <t>Milwaukee 48-32-4097 SHOCKWAVE Impact Duty Drill and Drive Set - 60PC</t>
        </is>
      </c>
      <c r="D605" t="inlineStr">
        <is>
          <t>48-32-4029 for Milwaukee Shockwave Impact Duty Drill And Drive Set (60-Piece)</t>
        </is>
      </c>
      <c r="E605" s="1">
        <f>HYPERLINK("https://www.amazon.com/48-32-4029-Milwaukee-Shockwave-Impact-60-Piece/dp/B0BSH82SCM/ref=sr_1_4?keywords=Milwaukee+48-32-4097+SHOCKWAVE+Impact+Duty+Drill+and+Drive+Set+-+60PC&amp;qid=1695346985&amp;sr=8-4", "https://www.amazon.com/48-32-4029-Milwaukee-Shockwave-Impact-60-Piece/dp/B0BSH82SCM/ref=sr_1_4?keywords=Milwaukee+48-32-4097+SHOCKWAVE+Impact+Duty+Drill+and+Drive+Set+-+60PC&amp;qid=1695346985&amp;sr=8-4")</f>
        <v/>
      </c>
      <c r="F605" t="inlineStr">
        <is>
          <t>B0BSH82SCM</t>
        </is>
      </c>
      <c r="G605">
        <f>_xlfn.IMAGE("https://www.toolnut.com/media/catalog/product/4/8/48-32-4097-1.jpg?quality=100&amp;bg-color=255,255,255&amp;fit=bounds&amp;height=700&amp;width=700&amp;canvas=700:700&amp;dpr=1 1x")</f>
        <v/>
      </c>
      <c r="H605">
        <f>_xlfn.IMAGE("https://m.media-amazon.com/images/I/61rDDvFUmXL._AC_UL320_.jpg")</f>
        <v/>
      </c>
      <c r="K605" t="inlineStr">
        <is>
          <t>44.97</t>
        </is>
      </c>
      <c r="L605" t="n">
        <v>76</v>
      </c>
      <c r="M605" s="2" t="inlineStr">
        <is>
          <t>69.00%</t>
        </is>
      </c>
      <c r="N605" t="n">
        <v>4.7</v>
      </c>
      <c r="O605" t="n">
        <v>4</v>
      </c>
      <c r="Q605" t="inlineStr">
        <is>
          <t>InStock</t>
        </is>
      </c>
      <c r="R605" t="inlineStr">
        <is>
          <t>undefined</t>
        </is>
      </c>
      <c r="S605" t="inlineStr">
        <is>
          <t>48-32-4097</t>
        </is>
      </c>
    </row>
    <row r="606" ht="75" customHeight="1">
      <c r="A606" s="1">
        <f>HYPERLINK("https://www.toolnut.com/milwaukee-48-32-4440-shockwave-1-inch-2pc-impact-ecxcombo-kit.html", "https://www.toolnut.com/milwaukee-48-32-4440-shockwave-1-inch-2pc-impact-ecxcombo-kit.html")</f>
        <v/>
      </c>
      <c r="B606" s="1">
        <f>HYPERLINK("https://www.toolnut.com/milwaukee-48-32-4440-shockwave-1-inch-2pc-impact-ecxcombo-kit.html", "https://www.toolnut.com/milwaukee-48-32-4440-shockwave-1-inch-2pc-impact-ecxcombo-kit.html")</f>
        <v/>
      </c>
      <c r="C606" t="inlineStr">
        <is>
          <t>Milwaukee 48-32-4440 Shockwave 1-Inch 2-Piece Impact EcxCombo Kit</t>
        </is>
      </c>
      <c r="D606" t="inlineStr">
        <is>
          <t>Milwaukee 48-32-4016 Automotive Shockwave Kit 22 Piece Automotive Impact Driver Bit Set</t>
        </is>
      </c>
      <c r="E606" s="1">
        <f>HYPERLINK("https://www.amazon.com/Milwaukee-48-32-4016-Automotive-Shockwave-Impact/dp/B074HG7KXR/ref=sr_1_1?keywords=Milwaukee+48-32-4440+Shockwave+1-Inch+2-Piece+Impact+EcxCombo+Kit&amp;qid=1695346860&amp;sr=8-1", "https://www.amazon.com/Milwaukee-48-32-4016-Automotive-Shockwave-Impact/dp/B074HG7KXR/ref=sr_1_1?keywords=Milwaukee+48-32-4440+Shockwave+1-Inch+2-Piece+Impact+EcxCombo+Kit&amp;qid=1695346860&amp;sr=8-1")</f>
        <v/>
      </c>
      <c r="F606" t="inlineStr">
        <is>
          <t>B074HG7KXR</t>
        </is>
      </c>
      <c r="G606">
        <f>_xlfn.IMAGE("https://www.toolnut.com/media/catalog/product/4/8/48-32-4440_1.jpg?quality=100&amp;bg-color=255,255,255&amp;fit=bounds&amp;height=700&amp;width=700&amp;canvas=700:700&amp;dpr=1 1x")</f>
        <v/>
      </c>
      <c r="H606">
        <f>_xlfn.IMAGE("https://m.media-amazon.com/images/I/81fSCaDu-qL._AC_UL320_.jpg")</f>
        <v/>
      </c>
      <c r="K606" t="inlineStr">
        <is>
          <t>1.49</t>
        </is>
      </c>
      <c r="L606" t="n">
        <v>27</v>
      </c>
      <c r="M606" s="2" t="inlineStr">
        <is>
          <t>1712.08%</t>
        </is>
      </c>
      <c r="N606" t="n">
        <v>4.8</v>
      </c>
      <c r="O606" t="n">
        <v>123</v>
      </c>
      <c r="Q606" t="inlineStr">
        <is>
          <t>InStock</t>
        </is>
      </c>
      <c r="R606" t="inlineStr">
        <is>
          <t>undefined</t>
        </is>
      </c>
      <c r="S606" t="inlineStr">
        <is>
          <t>48-32-4440</t>
        </is>
      </c>
    </row>
    <row r="607" ht="75" customHeight="1">
      <c r="A607" s="1">
        <f>HYPERLINK("https://www.toolnut.com/milwaukee-48-32-4810-shockwave-6-inch-t25-impact-bit.html", "https://www.toolnut.com/milwaukee-48-32-4810-shockwave-6-inch-t25-impact-bit.html")</f>
        <v/>
      </c>
      <c r="B607" s="1">
        <f>HYPERLINK("https://www.toolnut.com/milwaukee-48-32-4810-shockwave-6-inch-t25-impact-bit.html", "https://www.toolnut.com/milwaukee-48-32-4810-shockwave-6-inch-t25-impact-bit.html")</f>
        <v/>
      </c>
      <c r="C607" t="inlineStr">
        <is>
          <t>Milwaukee 48-32-4810 Shockwave 6-Inch T25 Impact Bit</t>
        </is>
      </c>
      <c r="D607" t="inlineStr">
        <is>
          <t>Milwaukee 48-32-4016 Automotive Shockwave Kit 22 Piece Automotive Impact Driver Bit Set</t>
        </is>
      </c>
      <c r="E607" s="1">
        <f>HYPERLINK("https://www.amazon.com/Milwaukee-48-32-4016-Automotive-Shockwave-Impact/dp/B074HG7KXR/ref=sr_1_7?keywords=Milwaukee+48-32-4810+Shockwave+6-Inch+T25+Impact+Bit&amp;qid=1695346895&amp;sr=8-7", "https://www.amazon.com/Milwaukee-48-32-4016-Automotive-Shockwave-Impact/dp/B074HG7KXR/ref=sr_1_7?keywords=Milwaukee+48-32-4810+Shockwave+6-Inch+T25+Impact+Bit&amp;qid=1695346895&amp;sr=8-7")</f>
        <v/>
      </c>
      <c r="F607" t="inlineStr">
        <is>
          <t>B074HG7KXR</t>
        </is>
      </c>
      <c r="G607">
        <f>_xlfn.IMAGE("https://www.toolnut.com/media/catalog/product/4/8/48-32-4810-1.jpg?quality=100&amp;bg-color=255,255,255&amp;fit=bounds&amp;height=700&amp;width=700&amp;canvas=700:700&amp;dpr=1 1x")</f>
        <v/>
      </c>
      <c r="H607">
        <f>_xlfn.IMAGE("https://m.media-amazon.com/images/I/81fSCaDu-qL._AC_UL320_.jpg")</f>
        <v/>
      </c>
      <c r="K607" t="inlineStr">
        <is>
          <t>4.99</t>
        </is>
      </c>
      <c r="L607" t="n">
        <v>27</v>
      </c>
      <c r="M607" s="2" t="inlineStr">
        <is>
          <t>441.08%</t>
        </is>
      </c>
      <c r="N607" t="n">
        <v>4.8</v>
      </c>
      <c r="O607" t="n">
        <v>123</v>
      </c>
      <c r="Q607" t="inlineStr">
        <is>
          <t>InStock</t>
        </is>
      </c>
      <c r="R607" t="inlineStr">
        <is>
          <t>undefined</t>
        </is>
      </c>
      <c r="S607" t="inlineStr">
        <is>
          <t>48-32-4810</t>
        </is>
      </c>
    </row>
    <row r="608" ht="75" customHeight="1">
      <c r="A608" s="1">
        <f>HYPERLINK("https://www.toolnut.com/milwaukee-48-32-5101-shockwave-impact-duty-driver-bit-set-34pc.html", "https://www.toolnut.com/milwaukee-48-32-5101-shockwave-impact-duty-driver-bit-set-34pc.html")</f>
        <v/>
      </c>
      <c r="B608" s="1">
        <f>HYPERLINK("https://www.toolnut.com/milwaukee-48-32-5101-shockwave-impact-duty-driver-bit-set-34pc.html", "https://www.toolnut.com/milwaukee-48-32-5101-shockwave-impact-duty-driver-bit-set-34pc.html")</f>
        <v/>
      </c>
      <c r="C608" t="inlineStr">
        <is>
          <t>Milwaukee 48-32-5101 SHOCKWAVE Impact Duty Driver Bit Set- 34PC</t>
        </is>
      </c>
      <c r="D608" t="inlineStr">
        <is>
          <t>Milwaukee SHOCKWAVE Impact Duty Driver Bit Automotive Set - 124PC, (48-32-4034)</t>
        </is>
      </c>
      <c r="E608" s="1">
        <f>HYPERLINK("https://www.amazon.com/Milwaukee-SHOCKWAVE-Impact-Driver-Automotive/dp/B0C51FHBL8/ref=sr_1_5?keywords=Milwaukee+48-32-5101+SHOCKWAVE+Impact+Duty+Driver+Bit+Set-+34PC&amp;qid=1695346982&amp;sr=8-5", "https://www.amazon.com/Milwaukee-SHOCKWAVE-Impact-Driver-Automotive/dp/B0C51FHBL8/ref=sr_1_5?keywords=Milwaukee+48-32-5101+SHOCKWAVE+Impact+Duty+Driver+Bit+Set-+34PC&amp;qid=1695346982&amp;sr=8-5")</f>
        <v/>
      </c>
      <c r="F608" t="inlineStr">
        <is>
          <t>B0C51FHBL8</t>
        </is>
      </c>
      <c r="G608">
        <f>_xlfn.IMAGE("https://www.toolnut.com/media/catalog/product/4/8/48-32-5101-1.jpg?quality=100&amp;bg-color=255,255,255&amp;fit=bounds&amp;height=700&amp;width=700&amp;canvas=700:700&amp;dpr=1 1x")</f>
        <v/>
      </c>
      <c r="H608">
        <f>_xlfn.IMAGE("https://m.media-amazon.com/images/I/71dJTncLcjL._AC_UL320_.jpg")</f>
        <v/>
      </c>
      <c r="K608" t="inlineStr">
        <is>
          <t>24.99</t>
        </is>
      </c>
      <c r="L608" t="n">
        <v>119</v>
      </c>
      <c r="M608" s="2" t="inlineStr">
        <is>
          <t>376.19%</t>
        </is>
      </c>
      <c r="N608" t="n">
        <v>5</v>
      </c>
      <c r="O608" t="n">
        <v>1</v>
      </c>
      <c r="Q608" t="inlineStr">
        <is>
          <t>InStock</t>
        </is>
      </c>
      <c r="R608" t="inlineStr">
        <is>
          <t>undefined</t>
        </is>
      </c>
      <c r="S608" t="inlineStr">
        <is>
          <t>48-32-5101</t>
        </is>
      </c>
    </row>
    <row r="609" ht="75" customHeight="1">
      <c r="A609" s="1">
        <f>HYPERLINK("https://www.toolnut.com/milwaukee-48-32-5101-shockwave-impact-duty-driver-bit-set-34pc.html", "https://www.toolnut.com/milwaukee-48-32-5101-shockwave-impact-duty-driver-bit-set-34pc.html")</f>
        <v/>
      </c>
      <c r="B609" s="1">
        <f>HYPERLINK("https://www.toolnut.com/milwaukee-48-32-5101-shockwave-impact-duty-driver-bit-set-34pc.html", "https://www.toolnut.com/milwaukee-48-32-5101-shockwave-impact-duty-driver-bit-set-34pc.html")</f>
        <v/>
      </c>
      <c r="C609" t="inlineStr">
        <is>
          <t>Milwaukee 48-32-5101 SHOCKWAVE Impact Duty Driver Bit Set- 34PC</t>
        </is>
      </c>
      <c r="D609" t="inlineStr">
        <is>
          <t>Milwaukee 48-32-4084 Shockwave Impact-Duty Steel Driver Bit Set (105-Piece)</t>
        </is>
      </c>
      <c r="E609" s="1">
        <f>HYPERLINK("https://www.amazon.com/Milwaukee-48-32-4084-Shockwave-Impact-Duty-105-Piece/dp/B08958BQZC/ref=sr_1_1?keywords=Milwaukee+48-32-5101+SHOCKWAVE+Impact+Duty+Driver+Bit+Set-+34PC&amp;qid=1695346982&amp;sr=8-1", "https://www.amazon.com/Milwaukee-48-32-4084-Shockwave-Impact-Duty-105-Piece/dp/B08958BQZC/ref=sr_1_1?keywords=Milwaukee+48-32-5101+SHOCKWAVE+Impact+Duty+Driver+Bit+Set-+34PC&amp;qid=1695346982&amp;sr=8-1")</f>
        <v/>
      </c>
      <c r="F609" t="inlineStr">
        <is>
          <t>B08958BQZC</t>
        </is>
      </c>
      <c r="G609">
        <f>_xlfn.IMAGE("https://www.toolnut.com/media/catalog/product/4/8/48-32-5101-1.jpg?quality=100&amp;bg-color=255,255,255&amp;fit=bounds&amp;height=700&amp;width=700&amp;canvas=700:700&amp;dpr=1 1x")</f>
        <v/>
      </c>
      <c r="H609">
        <f>_xlfn.IMAGE("https://m.media-amazon.com/images/I/41ALitbHmCL._AC_UL320_.jpg")</f>
        <v/>
      </c>
      <c r="K609" t="inlineStr">
        <is>
          <t>24.99</t>
        </is>
      </c>
      <c r="L609" t="n">
        <v>79</v>
      </c>
      <c r="M609" s="2" t="inlineStr">
        <is>
          <t>216.13%</t>
        </is>
      </c>
      <c r="N609" t="n">
        <v>4.4</v>
      </c>
      <c r="O609" t="n">
        <v>23</v>
      </c>
      <c r="Q609" t="inlineStr">
        <is>
          <t>InStock</t>
        </is>
      </c>
      <c r="R609" t="inlineStr">
        <is>
          <t>undefined</t>
        </is>
      </c>
      <c r="S609" t="inlineStr">
        <is>
          <t>48-32-5101</t>
        </is>
      </c>
    </row>
    <row r="610" ht="75" customHeight="1">
      <c r="A610" s="1">
        <f>HYPERLINK("https://www.toolnut.com/milwaukee-48-32-5101-shockwave-impact-duty-driver-bit-set-34pc.html", "https://www.toolnut.com/milwaukee-48-32-5101-shockwave-impact-duty-driver-bit-set-34pc.html")</f>
        <v/>
      </c>
      <c r="B610" s="1">
        <f>HYPERLINK("https://www.toolnut.com/milwaukee-48-32-5101-shockwave-impact-duty-driver-bit-set-34pc.html", "https://www.toolnut.com/milwaukee-48-32-5101-shockwave-impact-duty-driver-bit-set-34pc.html")</f>
        <v/>
      </c>
      <c r="C610" t="inlineStr">
        <is>
          <t>Milwaukee 48-32-5101 SHOCKWAVE Impact Duty Driver Bit Set- 34PC</t>
        </is>
      </c>
      <c r="D610" t="inlineStr">
        <is>
          <t>Milwaukee Shockwave Impact Driver Bit Set (100 Piece) 48-32-4083</t>
        </is>
      </c>
      <c r="E610" s="1">
        <f>HYPERLINK("https://www.amazon.com/Milwaukee-Shockwave-Impact-Driver-48-32-4083/dp/B08BJD6FR9/ref=sr_1_10?keywords=Milwaukee+48-32-5101+SHOCKWAVE+Impact+Duty+Driver+Bit+Set-+34PC&amp;qid=1695346982&amp;sr=8-10", "https://www.amazon.com/Milwaukee-Shockwave-Impact-Driver-48-32-4083/dp/B08BJD6FR9/ref=sr_1_10?keywords=Milwaukee+48-32-5101+SHOCKWAVE+Impact+Duty+Driver+Bit+Set-+34PC&amp;qid=1695346982&amp;sr=8-10")</f>
        <v/>
      </c>
      <c r="F610" t="inlineStr">
        <is>
          <t>B08BJD6FR9</t>
        </is>
      </c>
      <c r="G610">
        <f>_xlfn.IMAGE("https://www.toolnut.com/media/catalog/product/4/8/48-32-5101-1.jpg?quality=100&amp;bg-color=255,255,255&amp;fit=bounds&amp;height=700&amp;width=700&amp;canvas=700:700&amp;dpr=1 1x")</f>
        <v/>
      </c>
      <c r="H610">
        <f>_xlfn.IMAGE("https://m.media-amazon.com/images/I/51Yeoqk-XuS._AC_UL320_.jpg")</f>
        <v/>
      </c>
      <c r="K610" t="inlineStr">
        <is>
          <t>24.99</t>
        </is>
      </c>
      <c r="L610" t="n">
        <v>69</v>
      </c>
      <c r="M610" s="2" t="inlineStr">
        <is>
          <t>176.11%</t>
        </is>
      </c>
      <c r="N610" t="n">
        <v>4.7</v>
      </c>
      <c r="O610" t="n">
        <v>272</v>
      </c>
      <c r="Q610" t="inlineStr">
        <is>
          <t>InStock</t>
        </is>
      </c>
      <c r="R610" t="inlineStr">
        <is>
          <t>undefined</t>
        </is>
      </c>
      <c r="S610" t="inlineStr">
        <is>
          <t>48-32-5101</t>
        </is>
      </c>
    </row>
    <row r="611" ht="75" customHeight="1">
      <c r="A611" s="1">
        <f>HYPERLINK("https://www.toolnut.com/milwaukee-48-32-5101-shockwave-impact-duty-driver-bit-set-34pc.html", "https://www.toolnut.com/milwaukee-48-32-5101-shockwave-impact-duty-driver-bit-set-34pc.html")</f>
        <v/>
      </c>
      <c r="B611" s="1">
        <f>HYPERLINK("https://www.toolnut.com/milwaukee-48-32-5101-shockwave-impact-duty-driver-bit-set-34pc.html", "https://www.toolnut.com/milwaukee-48-32-5101-shockwave-impact-duty-driver-bit-set-34pc.html")</f>
        <v/>
      </c>
      <c r="C611" t="inlineStr">
        <is>
          <t>Milwaukee 48-32-5101 SHOCKWAVE Impact Duty Driver Bit Set- 34PC</t>
        </is>
      </c>
      <c r="D611" t="inlineStr">
        <is>
          <t>Milwaukee Shockwave Impact Driver Bit Set (100 Piece) 48-32-4083</t>
        </is>
      </c>
      <c r="E611" s="1">
        <f>HYPERLINK("https://www.amazon.com/Milwaukee-Shockwave-Impact-Driver-48-32-4083/dp/B08BJD6FR9/ref=sr_1_10?keywords=Milwaukee+48-32-5101+SHOCKWAVE+Impact+Duty+Driver+Bit+Set-+34PC&amp;qid=1695346982&amp;sr=8-10", "https://www.amazon.com/Milwaukee-Shockwave-Impact-Driver-48-32-4083/dp/B08BJD6FR9/ref=sr_1_10?keywords=Milwaukee+48-32-5101+SHOCKWAVE+Impact+Duty+Driver+Bit+Set-+34PC&amp;qid=1695346982&amp;sr=8-10")</f>
        <v/>
      </c>
      <c r="F611" t="inlineStr">
        <is>
          <t>B08BJD6FR9</t>
        </is>
      </c>
      <c r="G611">
        <f>_xlfn.IMAGE("https://www.toolnut.com/media/catalog/product/4/8/48-32-5101-1.jpg?quality=100&amp;bg-color=255,255,255&amp;fit=bounds&amp;height=700&amp;width=700&amp;canvas=700:700&amp;dpr=1 1x")</f>
        <v/>
      </c>
      <c r="H611">
        <f>_xlfn.IMAGE("https://m.media-amazon.com/images/I/51Yeoqk-XuS._AC_UL320_.jpg")</f>
        <v/>
      </c>
      <c r="K611" t="inlineStr">
        <is>
          <t>24.99</t>
        </is>
      </c>
      <c r="L611" t="n">
        <v>69</v>
      </c>
      <c r="M611" s="2" t="inlineStr">
        <is>
          <t>176.11%</t>
        </is>
      </c>
      <c r="N611" t="n">
        <v>4.7</v>
      </c>
      <c r="O611" t="n">
        <v>272</v>
      </c>
      <c r="Q611" t="inlineStr">
        <is>
          <t>InStock</t>
        </is>
      </c>
      <c r="R611" t="inlineStr">
        <is>
          <t>undefined</t>
        </is>
      </c>
      <c r="S611" t="inlineStr">
        <is>
          <t>48-32-5101</t>
        </is>
      </c>
    </row>
    <row r="612" ht="75" customHeight="1">
      <c r="A612" s="1">
        <f>HYPERLINK("https://www.toolnut.com/milwaukee-48-89-4630-kit-15-pc-tin-shockwave.html", "https://www.toolnut.com/milwaukee-48-89-4630-kit-15-pc-tin-shockwave.html")</f>
        <v/>
      </c>
      <c r="B612" s="1">
        <f>HYPERLINK("https://www.toolnut.com/milwaukee-48-89-4630-kit-15-pc-tin-shockwave.html", "https://www.toolnut.com/milwaukee-48-89-4630-kit-15-pc-tin-shockwave.html")</f>
        <v/>
      </c>
      <c r="C612" t="inlineStr">
        <is>
          <t>Milwaukee 48-89-4630 15-Piece Titanium SHOCKWAVE Drill Bit Set</t>
        </is>
      </c>
      <c r="D612" t="inlineStr">
        <is>
          <t>Milwaukee 48-89-4680 18-Piece Shockwave Impact Duty Thunderbolt Titanium Drill Bit Set w/ Anti-Walking 135 Degree Angled Tip and Storage Case</t>
        </is>
      </c>
      <c r="E612" s="1">
        <f>HYPERLINK("https://www.amazon.com/Milwaukee-48-89-4680-Shockwave-Thunderbolt-Anti-Walking/dp/B017PP1U9W/ref=sr_1_4?keywords=Milwaukee+48-89-4630+15-Piece+Titanium+SHOCKWAVE+Drill+Bit+Set&amp;qid=1695346860&amp;sr=8-4", "https://www.amazon.com/Milwaukee-48-89-4680-Shockwave-Thunderbolt-Anti-Walking/dp/B017PP1U9W/ref=sr_1_4?keywords=Milwaukee+48-89-4630+15-Piece+Titanium+SHOCKWAVE+Drill+Bit+Set&amp;qid=1695346860&amp;sr=8-4")</f>
        <v/>
      </c>
      <c r="F612" t="inlineStr">
        <is>
          <t>B017PP1U9W</t>
        </is>
      </c>
      <c r="G612">
        <f>_xlfn.IMAGE("https://www.toolnut.com/media/catalog/product/4/8/48-89-4630_1.jpg?quality=100&amp;bg-color=255,255,255&amp;fit=bounds&amp;height=700&amp;width=700&amp;canvas=700:700&amp;dpr=1 1x")</f>
        <v/>
      </c>
      <c r="H612">
        <f>_xlfn.IMAGE("https://m.media-amazon.com/images/I/71bRdwjZ6TL._AC_UL320_.jpg")</f>
        <v/>
      </c>
      <c r="K612" t="inlineStr">
        <is>
          <t>37.97</t>
        </is>
      </c>
      <c r="L612" t="n">
        <v>74.95</v>
      </c>
      <c r="M612" s="2" t="inlineStr">
        <is>
          <t>97.39%</t>
        </is>
      </c>
      <c r="N612" t="n">
        <v>4.8</v>
      </c>
      <c r="O612" t="n">
        <v>432</v>
      </c>
      <c r="Q612" t="inlineStr">
        <is>
          <t>InStock</t>
        </is>
      </c>
      <c r="R612" t="inlineStr">
        <is>
          <t>undefined</t>
        </is>
      </c>
      <c r="S612" t="inlineStr">
        <is>
          <t>48-89-4630</t>
        </is>
      </c>
    </row>
    <row r="613" ht="75" customHeight="1">
      <c r="A613" s="1">
        <f>HYPERLINK("https://www.toolnut.com/milwaukee-48-89-4630-kit-15-pc-tin-shockwave.html", "https://www.toolnut.com/milwaukee-48-89-4630-kit-15-pc-tin-shockwave.html")</f>
        <v/>
      </c>
      <c r="B613" s="1">
        <f>HYPERLINK("https://www.toolnut.com/milwaukee-48-89-4630-kit-15-pc-tin-shockwave.html", "https://www.toolnut.com/milwaukee-48-89-4630-kit-15-pc-tin-shockwave.html")</f>
        <v/>
      </c>
      <c r="C613" t="inlineStr">
        <is>
          <t>Milwaukee 48-89-4630 15-Piece Titanium SHOCKWAVE Drill Bit Set</t>
        </is>
      </c>
      <c r="D613" t="inlineStr">
        <is>
          <t>Milwaukee 48-89-4680 18-Piece Shockwave Impact Duty Thunderbolt Titanium Drill Bit Set w/ Anti-Walking 135 Degree Angled Tip and Storage Case</t>
        </is>
      </c>
      <c r="E613" s="1">
        <f>HYPERLINK("https://www.amazon.com/Milwaukee-48-89-4680-Shockwave-Thunderbolt-Anti-Walking/dp/B017PP1U9W/ref=sr_1_4?keywords=Milwaukee+48-89-4630+15-Piece+Titanium+SHOCKWAVE+Drill+Bit+Set&amp;qid=1695346860&amp;sr=8-4", "https://www.amazon.com/Milwaukee-48-89-4680-Shockwave-Thunderbolt-Anti-Walking/dp/B017PP1U9W/ref=sr_1_4?keywords=Milwaukee+48-89-4630+15-Piece+Titanium+SHOCKWAVE+Drill+Bit+Set&amp;qid=1695346860&amp;sr=8-4")</f>
        <v/>
      </c>
      <c r="F613" t="inlineStr">
        <is>
          <t>B017PP1U9W</t>
        </is>
      </c>
      <c r="G613">
        <f>_xlfn.IMAGE("https://www.toolnut.com/media/catalog/product/4/8/48-89-4630_1.jpg?quality=100&amp;bg-color=255,255,255&amp;fit=bounds&amp;height=700&amp;width=700&amp;canvas=700:700&amp;dpr=1 1x")</f>
        <v/>
      </c>
      <c r="H613">
        <f>_xlfn.IMAGE("https://m.media-amazon.com/images/I/71bRdwjZ6TL._AC_UL320_.jpg")</f>
        <v/>
      </c>
      <c r="K613" t="inlineStr">
        <is>
          <t>37.97</t>
        </is>
      </c>
      <c r="L613" t="n">
        <v>74.95</v>
      </c>
      <c r="M613" s="2" t="inlineStr">
        <is>
          <t>97.39%</t>
        </is>
      </c>
      <c r="N613" t="n">
        <v>4.8</v>
      </c>
      <c r="O613" t="n">
        <v>432</v>
      </c>
      <c r="Q613" t="inlineStr">
        <is>
          <t>InStock</t>
        </is>
      </c>
      <c r="R613" t="inlineStr">
        <is>
          <t>undefined</t>
        </is>
      </c>
      <c r="S613" t="inlineStr">
        <is>
          <t>48-89-4630</t>
        </is>
      </c>
    </row>
    <row r="614" ht="75" customHeight="1">
      <c r="A614" s="1">
        <f>HYPERLINK("https://www.toolnut.com/milwaukee-48-89-4644-4-piece-shockwave-red-helix-drill-bits.html", "https://www.toolnut.com/milwaukee-48-89-4644-4-piece-shockwave-red-helix-drill-bits.html")</f>
        <v/>
      </c>
      <c r="B614" s="1">
        <f>HYPERLINK("https://www.toolnut.com/milwaukee-48-89-4644-4-piece-shockwave-red-helix-drill-bits.html", "https://www.toolnut.com/milwaukee-48-89-4644-4-piece-shockwave-red-helix-drill-bits.html")</f>
        <v/>
      </c>
      <c r="C614" t="inlineStr">
        <is>
          <t>Milwaukee 48-89-4644 4-Piece SHOCKWAVE Red Helix Drill Bits</t>
        </is>
      </c>
      <c r="D614" t="inlineStr">
        <is>
          <t>Milwaukee 48-89-2331 15-Piece Cobalt Red Helix Secure Grip Drill Bit Set w/ Hard Plastic Foldout Storage Case</t>
        </is>
      </c>
      <c r="E614" s="1">
        <f>HYPERLINK("https://www.amazon.com/Milwaukee-48-89-2331-15-Piece-Plastic-Foldout/dp/B017POPUTE/ref=sr_1_6?keywords=Milwaukee+48-89-4644+4-Piece+SHOCKWAVE+Red+Helix+Drill+Bits&amp;qid=1695347167&amp;sr=8-6", "https://www.amazon.com/Milwaukee-48-89-2331-15-Piece-Plastic-Foldout/dp/B017POPUTE/ref=sr_1_6?keywords=Milwaukee+48-89-4644+4-Piece+SHOCKWAVE+Red+Helix+Drill+Bits&amp;qid=1695347167&amp;sr=8-6")</f>
        <v/>
      </c>
      <c r="F614" t="inlineStr">
        <is>
          <t>B017POPUTE</t>
        </is>
      </c>
      <c r="G614">
        <f>_xlfn.IMAGE("https://www.toolnut.com/media/catalog/product/4/8/48-89-4644-1.jpg?quality=100&amp;bg-color=255,255,255&amp;fit=bounds&amp;height=700&amp;width=700&amp;canvas=700:700&amp;dpr=1 1x")</f>
        <v/>
      </c>
      <c r="H614">
        <f>_xlfn.IMAGE("https://m.media-amazon.com/images/I/71d2fa85tHL._AC_UL320_.jpg")</f>
        <v/>
      </c>
      <c r="K614" t="inlineStr">
        <is>
          <t>9.99</t>
        </is>
      </c>
      <c r="L614" t="n">
        <v>48.65</v>
      </c>
      <c r="M614" s="2" t="inlineStr">
        <is>
          <t>386.99%</t>
        </is>
      </c>
      <c r="N614" t="n">
        <v>4.3</v>
      </c>
      <c r="O614" t="n">
        <v>152</v>
      </c>
      <c r="Q614" t="inlineStr">
        <is>
          <t>InStock</t>
        </is>
      </c>
      <c r="R614" t="inlineStr">
        <is>
          <t>undefined</t>
        </is>
      </c>
      <c r="S614" t="inlineStr">
        <is>
          <t>48-89-4644</t>
        </is>
      </c>
    </row>
    <row r="615" ht="75" customHeight="1">
      <c r="A615" s="1">
        <f>HYPERLINK("https://www.toolnut.com/milwaukee-48-89-4670-shockwave-impact-duty-red-helix-titanium-drill-bit-set-15pc.html", "https://www.toolnut.com/milwaukee-48-89-4670-shockwave-impact-duty-red-helix-titanium-drill-bit-set-15pc.html")</f>
        <v/>
      </c>
      <c r="B615" s="1">
        <f>HYPERLINK("https://www.toolnut.com/milwaukee-48-89-4670-shockwave-impact-duty-red-helix-titanium-drill-bit-set-15pc.html", "https://www.toolnut.com/milwaukee-48-89-4670-shockwave-impact-duty-red-helix-titanium-drill-bit-set-15pc.html")</f>
        <v/>
      </c>
      <c r="C615" t="inlineStr">
        <is>
          <t>Milwaukee 48-89-4670 SHOCKWAVE Impact Duty RED HELIX Titanium Drill Bit Set - 15PC</t>
        </is>
      </c>
      <c r="D615" t="inlineStr">
        <is>
          <t>Milwaukee 48-89-4680 18-Piece Shockwave Impact Duty Thunderbolt Titanium Drill Bit Set w/ Anti-Walking 135 Degree Angled Tip and Storage Case</t>
        </is>
      </c>
      <c r="E615" s="1">
        <f>HYPERLINK("https://www.amazon.com/Milwaukee-48-89-4680-Shockwave-Thunderbolt-Anti-Walking/dp/B017PP1U9W/ref=sr_1_6?keywords=Milwaukee+48-89-4670+SHOCKWAVE+Impact+Duty+RED+HELIX+Titanium+Drill+Bit+Set+-+15PC&amp;qid=1695346876&amp;sr=8-6", "https://www.amazon.com/Milwaukee-48-89-4680-Shockwave-Thunderbolt-Anti-Walking/dp/B017PP1U9W/ref=sr_1_6?keywords=Milwaukee+48-89-4670+SHOCKWAVE+Impact+Duty+RED+HELIX+Titanium+Drill+Bit+Set+-+15PC&amp;qid=1695346876&amp;sr=8-6")</f>
        <v/>
      </c>
      <c r="F615" t="inlineStr">
        <is>
          <t>B017PP1U9W</t>
        </is>
      </c>
      <c r="G615">
        <f>_xlfn.IMAGE("https://www.toolnut.com/media/catalog/product/4/8/48-89-4670-1.jpg?quality=100&amp;bg-color=255,255,255&amp;fit=bounds&amp;height=700&amp;width=700&amp;canvas=700:700&amp;dpr=1 1x")</f>
        <v/>
      </c>
      <c r="H615">
        <f>_xlfn.IMAGE("https://m.media-amazon.com/images/I/71bRdwjZ6TL._AC_UL320_.jpg")</f>
        <v/>
      </c>
      <c r="K615" t="inlineStr">
        <is>
          <t>27.97</t>
        </is>
      </c>
      <c r="L615" t="n">
        <v>74.95</v>
      </c>
      <c r="M615" s="2" t="inlineStr">
        <is>
          <t>167.97%</t>
        </is>
      </c>
      <c r="N615" t="n">
        <v>4.8</v>
      </c>
      <c r="O615" t="n">
        <v>432</v>
      </c>
      <c r="Q615" t="inlineStr">
        <is>
          <t>InStock</t>
        </is>
      </c>
      <c r="R615" t="inlineStr">
        <is>
          <t>undefined</t>
        </is>
      </c>
      <c r="S615" t="inlineStr">
        <is>
          <t>48-89-4670</t>
        </is>
      </c>
    </row>
    <row r="616" ht="75" customHeight="1">
      <c r="A616" s="1">
        <f>HYPERLINK("https://www.toolnut.com/milwaukee-48-89-4670-shockwave-impact-duty-red-helix-titanium-drill-bit-set-15pc.html", "https://www.toolnut.com/milwaukee-48-89-4670-shockwave-impact-duty-red-helix-titanium-drill-bit-set-15pc.html")</f>
        <v/>
      </c>
      <c r="B616" s="1">
        <f>HYPERLINK("https://www.toolnut.com/milwaukee-48-89-4670-shockwave-impact-duty-red-helix-titanium-drill-bit-set-15pc.html", "https://www.toolnut.com/milwaukee-48-89-4670-shockwave-impact-duty-red-helix-titanium-drill-bit-set-15pc.html")</f>
        <v/>
      </c>
      <c r="C616" t="inlineStr">
        <is>
          <t>Milwaukee 48-89-4670 SHOCKWAVE Impact Duty RED HELIX Titanium Drill Bit Set - 15PC</t>
        </is>
      </c>
      <c r="D616" t="inlineStr">
        <is>
          <t>Milwaukee 48-89-4680 18-Piece Shockwave Impact Duty Thunderbolt Titanium Drill Bit Set w/ Anti-Walking 135 Degree Angled Tip and Storage Case</t>
        </is>
      </c>
      <c r="E616" s="1">
        <f>HYPERLINK("https://www.amazon.com/Milwaukee-48-89-4680-Shockwave-Thunderbolt-Anti-Walking/dp/B017PP1U9W/ref=sr_1_6?keywords=Milwaukee+48-89-4670+SHOCKWAVE+Impact+Duty+RED+HELIX+Titanium+Drill+Bit+Set+-+15PC&amp;qid=1695346876&amp;sr=8-6", "https://www.amazon.com/Milwaukee-48-89-4680-Shockwave-Thunderbolt-Anti-Walking/dp/B017PP1U9W/ref=sr_1_6?keywords=Milwaukee+48-89-4670+SHOCKWAVE+Impact+Duty+RED+HELIX+Titanium+Drill+Bit+Set+-+15PC&amp;qid=1695346876&amp;sr=8-6")</f>
        <v/>
      </c>
      <c r="F616" t="inlineStr">
        <is>
          <t>B017PP1U9W</t>
        </is>
      </c>
      <c r="G616">
        <f>_xlfn.IMAGE("https://www.toolnut.com/media/catalog/product/4/8/48-89-4670-1.jpg?quality=100&amp;bg-color=255,255,255&amp;fit=bounds&amp;height=700&amp;width=700&amp;canvas=700:700&amp;dpr=1 1x")</f>
        <v/>
      </c>
      <c r="H616">
        <f>_xlfn.IMAGE("https://m.media-amazon.com/images/I/71bRdwjZ6TL._AC_UL320_.jpg")</f>
        <v/>
      </c>
      <c r="K616" t="inlineStr">
        <is>
          <t>27.97</t>
        </is>
      </c>
      <c r="L616" t="n">
        <v>74.95</v>
      </c>
      <c r="M616" s="2" t="inlineStr">
        <is>
          <t>167.97%</t>
        </is>
      </c>
      <c r="N616" t="n">
        <v>4.8</v>
      </c>
      <c r="O616" t="n">
        <v>432</v>
      </c>
      <c r="Q616" t="inlineStr">
        <is>
          <t>InStock</t>
        </is>
      </c>
      <c r="R616" t="inlineStr">
        <is>
          <t>undefined</t>
        </is>
      </c>
      <c r="S616" t="inlineStr">
        <is>
          <t>48-89-4670</t>
        </is>
      </c>
    </row>
    <row r="617" ht="75" customHeight="1">
      <c r="A617" s="1">
        <f>HYPERLINK("https://www.toolnut.com/milwaukee-49-22-0175-8pc-6-universal-flat-boring-bit-set.html", "https://www.toolnut.com/milwaukee-49-22-0175-8pc-6-universal-flat-boring-bit-set.html")</f>
        <v/>
      </c>
      <c r="B617" s="1">
        <f>HYPERLINK("https://www.toolnut.com/milwaukee-49-22-0175-8pc-6-universal-flat-boring-bit-set.html", "https://www.toolnut.com/milwaukee-49-22-0175-8pc-6-universal-flat-boring-bit-set.html")</f>
        <v/>
      </c>
      <c r="C617" t="inlineStr">
        <is>
          <t>Milwaukee 49-22-0175 8-Piece 6" Universal Flat Boring Bit Set</t>
        </is>
      </c>
      <c r="D617" t="inlineStr">
        <is>
          <t>49-22-0175 8 Piece Universal Flat Boring Set Accessory For Milwaukee Replacement Bit Tools, For Fast, Easy Wood Boring</t>
        </is>
      </c>
      <c r="E617" s="1">
        <f>HYPERLINK("https://www.amazon.com/Fortool-49-22-0175-Universal-Accessory-Replacement/dp/B09VZ8L7KK/ref=sr_1_1?keywords=Milwaukee+49-22-0175+8-Piece+6%22+Universal+Flat+Boring+Bit+Set&amp;qid=1695346906&amp;sr=8-1", "https://www.amazon.com/Fortool-49-22-0175-Universal-Accessory-Replacement/dp/B09VZ8L7KK/ref=sr_1_1?keywords=Milwaukee+49-22-0175+8-Piece+6%22+Universal+Flat+Boring+Bit+Set&amp;qid=1695346906&amp;sr=8-1")</f>
        <v/>
      </c>
      <c r="F617" t="inlineStr">
        <is>
          <t>B09VZ8L7KK</t>
        </is>
      </c>
      <c r="G617">
        <f>_xlfn.IMAGE("https://www.toolnut.com/media/catalog/product/m/i/milwaukee-49-22-0175-1.jpg?quality=100&amp;bg-color=255,255,255&amp;fit=bounds&amp;height=700&amp;width=700&amp;canvas=700:700&amp;dpr=1 1x")</f>
        <v/>
      </c>
      <c r="H617">
        <f>_xlfn.IMAGE("https://m.media-amazon.com/images/I/91M-+BRG+CL._AC_UL320_.jpg")</f>
        <v/>
      </c>
      <c r="K617" t="inlineStr">
        <is>
          <t>24.99</t>
        </is>
      </c>
      <c r="L617" t="n">
        <v>54.99</v>
      </c>
      <c r="M617" s="2" t="inlineStr">
        <is>
          <t>120.05%</t>
        </is>
      </c>
      <c r="N617" t="n">
        <v>5</v>
      </c>
      <c r="O617" t="n">
        <v>1</v>
      </c>
      <c r="Q617" t="inlineStr">
        <is>
          <t>InStock</t>
        </is>
      </c>
      <c r="R617" t="inlineStr">
        <is>
          <t>undefined</t>
        </is>
      </c>
      <c r="S617" t="inlineStr">
        <is>
          <t>49-22-0175</t>
        </is>
      </c>
    </row>
    <row r="618" ht="75" customHeight="1">
      <c r="A618" s="1">
        <f>HYPERLINK("https://www.toolnut.com/milwaukee-49-22-0175-8pc-6-universal-flat-boring-bit-set.html", "https://www.toolnut.com/milwaukee-49-22-0175-8pc-6-universal-flat-boring-bit-set.html")</f>
        <v/>
      </c>
      <c r="B618" s="1">
        <f>HYPERLINK("https://www.toolnut.com/milwaukee-49-22-0175-8pc-6-universal-flat-boring-bit-set.html", "https://www.toolnut.com/milwaukee-49-22-0175-8pc-6-universal-flat-boring-bit-set.html")</f>
        <v/>
      </c>
      <c r="C618" t="inlineStr">
        <is>
          <t>Milwaukee 49-22-0175 8-Piece 6" Universal Flat Boring Bit Set</t>
        </is>
      </c>
      <c r="D618" t="inlineStr">
        <is>
          <t>49-22-0175 8 Piece Universal Flat Boring Set Accessory For Milwaukee Replacement Bit Tools, For Fast, Easy Wood Boring</t>
        </is>
      </c>
      <c r="E618" s="1">
        <f>HYPERLINK("https://www.amazon.com/Fortool-49-22-0175-Universal-Accessory-Replacement/dp/B09VZ8L7KK/ref=sr_1_1?keywords=Milwaukee+49-22-0175+8-Piece+6%22+Universal+Flat+Boring+Bit+Set&amp;qid=1695346906&amp;sr=8-1", "https://www.amazon.com/Fortool-49-22-0175-Universal-Accessory-Replacement/dp/B09VZ8L7KK/ref=sr_1_1?keywords=Milwaukee+49-22-0175+8-Piece+6%22+Universal+Flat+Boring+Bit+Set&amp;qid=1695346906&amp;sr=8-1")</f>
        <v/>
      </c>
      <c r="F618" t="inlineStr">
        <is>
          <t>B09VZ8L7KK</t>
        </is>
      </c>
      <c r="G618">
        <f>_xlfn.IMAGE("https://www.toolnut.com/media/catalog/product/m/i/milwaukee-49-22-0175-1.jpg?quality=100&amp;bg-color=255,255,255&amp;fit=bounds&amp;height=700&amp;width=700&amp;canvas=700:700&amp;dpr=1 1x")</f>
        <v/>
      </c>
      <c r="H618">
        <f>_xlfn.IMAGE("https://m.media-amazon.com/images/I/91M-+BRG+CL._AC_UL320_.jpg")</f>
        <v/>
      </c>
      <c r="K618" t="inlineStr">
        <is>
          <t>24.99</t>
        </is>
      </c>
      <c r="L618" t="n">
        <v>54.99</v>
      </c>
      <c r="M618" s="2" t="inlineStr">
        <is>
          <t>120.05%</t>
        </is>
      </c>
      <c r="N618" t="n">
        <v>5</v>
      </c>
      <c r="O618" t="n">
        <v>1</v>
      </c>
      <c r="Q618" t="inlineStr">
        <is>
          <t>InStock</t>
        </is>
      </c>
      <c r="R618" t="inlineStr">
        <is>
          <t>undefined</t>
        </is>
      </c>
      <c r="S618" t="inlineStr">
        <is>
          <t>49-22-0175</t>
        </is>
      </c>
    </row>
    <row r="619" ht="75" customHeight="1">
      <c r="A619" s="1">
        <f>HYPERLINK("https://www.toolnut.com/milwaukee-49-59-2050-1-2-x-2-annular-cutter.html", "https://www.toolnut.com/milwaukee-49-59-2050-1-2-x-2-annular-cutter.html")</f>
        <v/>
      </c>
      <c r="B619" s="1">
        <f>HYPERLINK("https://www.toolnut.com/milwaukee-49-59-2050-1-2-x-2-annular-cutter.html", "https://www.toolnut.com/milwaukee-49-59-2050-1-2-x-2-annular-cutter.html")</f>
        <v/>
      </c>
      <c r="C619" t="inlineStr">
        <is>
          <t>Milwaukee 49-59-2050 1/2" x 2" Annular Cutter</t>
        </is>
      </c>
      <c r="D619" t="inlineStr">
        <is>
          <t>MILWAUKEE Annular Cutter 1-3/8" HSS 2" DEPTH Part # 49-59-2138</t>
        </is>
      </c>
      <c r="E619" s="1">
        <f>HYPERLINK("https://www.amazon.com/MILWAUKEE-Annular-Cutter-DEPTH-49-59-2138/dp/B000CSQMNE/ref=sr_1_10?keywords=Milwaukee+49-59-2050+1%2F2+x+2+Annular+Cutter&amp;qid=1695346902&amp;sr=8-10", "https://www.amazon.com/MILWAUKEE-Annular-Cutter-DEPTH-49-59-2138/dp/B000CSQMNE/ref=sr_1_10?keywords=Milwaukee+49-59-2050+1%2F2+x+2+Annular+Cutter&amp;qid=1695346902&amp;sr=8-10")</f>
        <v/>
      </c>
      <c r="F619" t="inlineStr">
        <is>
          <t>B000CSQMNE</t>
        </is>
      </c>
      <c r="G619">
        <f>_xlfn.IMAGE("https://www.toolnut.com/media/catalog/product/m/i/milwaukee-49-59-2050-1.jpg?quality=100&amp;bg-color=255,255,255&amp;fit=bounds&amp;height=700&amp;width=700&amp;canvas=700:700&amp;dpr=1 1x")</f>
        <v/>
      </c>
      <c r="H619">
        <f>_xlfn.IMAGE("https://m.media-amazon.com/images/I/71ES-5WglUL._AC_UY218_.jpg")</f>
        <v/>
      </c>
      <c r="K619" t="inlineStr">
        <is>
          <t>31.99</t>
        </is>
      </c>
      <c r="L619" t="n">
        <v>105.99</v>
      </c>
      <c r="M619" s="2" t="inlineStr">
        <is>
          <t>231.32%</t>
        </is>
      </c>
      <c r="N619" t="n">
        <v>5</v>
      </c>
      <c r="O619" t="n">
        <v>1</v>
      </c>
      <c r="Q619" t="inlineStr">
        <is>
          <t>OutOfStock</t>
        </is>
      </c>
      <c r="R619" t="inlineStr">
        <is>
          <t>undefined</t>
        </is>
      </c>
      <c r="S619" t="inlineStr">
        <is>
          <t>49-59-2050</t>
        </is>
      </c>
    </row>
    <row r="620" ht="75" customHeight="1">
      <c r="A620" s="1">
        <f>HYPERLINK("https://www.toolnut.com/milwaukee-49-59-2050-1-2-x-2-annular-cutter.html", "https://www.toolnut.com/milwaukee-49-59-2050-1-2-x-2-annular-cutter.html")</f>
        <v/>
      </c>
      <c r="B620" s="1">
        <f>HYPERLINK("https://www.toolnut.com/milwaukee-49-59-2050-1-2-x-2-annular-cutter.html", "https://www.toolnut.com/milwaukee-49-59-2050-1-2-x-2-annular-cutter.html")</f>
        <v/>
      </c>
      <c r="C620" t="inlineStr">
        <is>
          <t>Milwaukee 49-59-2050 1/2" x 2" Annular Cutter</t>
        </is>
      </c>
      <c r="D620" t="inlineStr">
        <is>
          <t>Milwaukee 49-59-2106 Annular Cutter 1-1/16" x 2" Hss</t>
        </is>
      </c>
      <c r="E620" s="1">
        <f>HYPERLINK("https://www.amazon.com/Milwaukee-49-59-2106-Annular-Cutter-1-1/dp/B000CSOU0Q/ref=sr_1_2?keywords=Milwaukee+49-59-2050+1%2F2+x+2+Annular+Cutter&amp;qid=1695346902&amp;sr=8-2", "https://www.amazon.com/Milwaukee-49-59-2106-Annular-Cutter-1-1/dp/B000CSOU0Q/ref=sr_1_2?keywords=Milwaukee+49-59-2050+1%2F2+x+2+Annular+Cutter&amp;qid=1695346902&amp;sr=8-2")</f>
        <v/>
      </c>
      <c r="F620" t="inlineStr">
        <is>
          <t>B000CSOU0Q</t>
        </is>
      </c>
      <c r="G620">
        <f>_xlfn.IMAGE("https://www.toolnut.com/media/catalog/product/m/i/milwaukee-49-59-2050-1.jpg?quality=100&amp;bg-color=255,255,255&amp;fit=bounds&amp;height=700&amp;width=700&amp;canvas=700:700&amp;dpr=1 1x")</f>
        <v/>
      </c>
      <c r="H620">
        <f>_xlfn.IMAGE("https://m.media-amazon.com/images/I/810D4PUhV2L._AC_UY218_.jpg")</f>
        <v/>
      </c>
      <c r="K620" t="inlineStr">
        <is>
          <t>31.99</t>
        </is>
      </c>
      <c r="L620" t="n">
        <v>93.92</v>
      </c>
      <c r="M620" s="2" t="inlineStr">
        <is>
          <t>193.59%</t>
        </is>
      </c>
      <c r="N620" t="n">
        <v>5</v>
      </c>
      <c r="O620" t="n">
        <v>1</v>
      </c>
      <c r="Q620" t="inlineStr">
        <is>
          <t>OutOfStock</t>
        </is>
      </c>
      <c r="R620" t="inlineStr">
        <is>
          <t>undefined</t>
        </is>
      </c>
      <c r="S620" t="inlineStr">
        <is>
          <t>49-59-2050</t>
        </is>
      </c>
    </row>
    <row r="621" ht="75" customHeight="1">
      <c r="A621" s="1">
        <f>HYPERLINK("https://www.toolnut.com/milwaukee-49-59-2050-1-2-x-2-annular-cutter.html", "https://www.toolnut.com/milwaukee-49-59-2050-1-2-x-2-annular-cutter.html")</f>
        <v/>
      </c>
      <c r="B621" s="1">
        <f>HYPERLINK("https://www.toolnut.com/milwaukee-49-59-2050-1-2-x-2-annular-cutter.html", "https://www.toolnut.com/milwaukee-49-59-2050-1-2-x-2-annular-cutter.html")</f>
        <v/>
      </c>
      <c r="C621" t="inlineStr">
        <is>
          <t>Milwaukee 49-59-2050 1/2" x 2" Annular Cutter</t>
        </is>
      </c>
      <c r="D621" t="inlineStr">
        <is>
          <t>Milwaukee 49-59-2163 Annular Cutter 1-5/8" x 2" Hss</t>
        </is>
      </c>
      <c r="E621" s="1">
        <f>HYPERLINK("https://www.amazon.com/Milwaukee-49-59-2163-Annular-Cutter-1-5/dp/B00L9EV3KW/ref=sr_1_7?keywords=Milwaukee+49-59-2050+1%2F2+x+2+Annular+Cutter&amp;qid=1695346902&amp;sr=8-7", "https://www.amazon.com/Milwaukee-49-59-2163-Annular-Cutter-1-5/dp/B00L9EV3KW/ref=sr_1_7?keywords=Milwaukee+49-59-2050+1%2F2+x+2+Annular+Cutter&amp;qid=1695346902&amp;sr=8-7")</f>
        <v/>
      </c>
      <c r="F621" t="inlineStr">
        <is>
          <t>B00L9EV3KW</t>
        </is>
      </c>
      <c r="G621">
        <f>_xlfn.IMAGE("https://www.toolnut.com/media/catalog/product/m/i/milwaukee-49-59-2050-1.jpg?quality=100&amp;bg-color=255,255,255&amp;fit=bounds&amp;height=700&amp;width=700&amp;canvas=700:700&amp;dpr=1 1x")</f>
        <v/>
      </c>
      <c r="H621">
        <f>_xlfn.IMAGE("https://m.media-amazon.com/images/I/41LyWOea7LL._AC_UY218_.jpg")</f>
        <v/>
      </c>
      <c r="K621" t="inlineStr">
        <is>
          <t>31.99</t>
        </is>
      </c>
      <c r="L621" t="n">
        <v>89.98999999999999</v>
      </c>
      <c r="M621" s="2" t="inlineStr">
        <is>
          <t>181.31%</t>
        </is>
      </c>
      <c r="N621" t="n">
        <v>5</v>
      </c>
      <c r="O621" t="n">
        <v>1</v>
      </c>
      <c r="Q621" t="inlineStr">
        <is>
          <t>OutOfStock</t>
        </is>
      </c>
      <c r="R621" t="inlineStr">
        <is>
          <t>undefined</t>
        </is>
      </c>
      <c r="S621" t="inlineStr">
        <is>
          <t>49-59-2050</t>
        </is>
      </c>
    </row>
    <row r="622" ht="75" customHeight="1">
      <c r="A622" s="1">
        <f>HYPERLINK("https://www.toolnut.com/milwaukee-49-59-2050-1-2-x-2-annular-cutter.html", "https://www.toolnut.com/milwaukee-49-59-2050-1-2-x-2-annular-cutter.html")</f>
        <v/>
      </c>
      <c r="B622" s="1">
        <f>HYPERLINK("https://www.toolnut.com/milwaukee-49-59-2050-1-2-x-2-annular-cutter.html", "https://www.toolnut.com/milwaukee-49-59-2050-1-2-x-2-annular-cutter.html")</f>
        <v/>
      </c>
      <c r="C622" t="inlineStr">
        <is>
          <t>Milwaukee 49-59-2050 1/2" x 2" Annular Cutter</t>
        </is>
      </c>
      <c r="D622" t="inlineStr">
        <is>
          <t>Milwaukee 49-59-2113 HSS Annular Cutter 1-1/8-Inch x 2-Inch Depth</t>
        </is>
      </c>
      <c r="E622" s="1">
        <f>HYPERLINK("https://www.amazon.com/Milwaukee-49-59-2113-Annular-Cutter-8-Inch/dp/B000N4NNS4/ref=sr_1_3?keywords=Milwaukee+49-59-2050+1%2F2+x+2+Annular+Cutter&amp;qid=1695346902&amp;sr=8-3", "https://www.amazon.com/Milwaukee-49-59-2113-Annular-Cutter-8-Inch/dp/B000N4NNS4/ref=sr_1_3?keywords=Milwaukee+49-59-2050+1%2F2+x+2+Annular+Cutter&amp;qid=1695346902&amp;sr=8-3")</f>
        <v/>
      </c>
      <c r="F622" t="inlineStr">
        <is>
          <t>B000N4NNS4</t>
        </is>
      </c>
      <c r="G622">
        <f>_xlfn.IMAGE("https://www.toolnut.com/media/catalog/product/m/i/milwaukee-49-59-2050-1.jpg?quality=100&amp;bg-color=255,255,255&amp;fit=bounds&amp;height=700&amp;width=700&amp;canvas=700:700&amp;dpr=1 1x")</f>
        <v/>
      </c>
      <c r="H622">
        <f>_xlfn.IMAGE("https://m.media-amazon.com/images/I/51vPh3cMF2L._AC_UY218_.jpg")</f>
        <v/>
      </c>
      <c r="K622" t="inlineStr">
        <is>
          <t>31.99</t>
        </is>
      </c>
      <c r="L622" t="n">
        <v>69</v>
      </c>
      <c r="M622" s="2" t="inlineStr">
        <is>
          <t>115.69%</t>
        </is>
      </c>
      <c r="N622" t="n">
        <v>5</v>
      </c>
      <c r="O622" t="n">
        <v>1</v>
      </c>
      <c r="Q622" t="inlineStr">
        <is>
          <t>OutOfStock</t>
        </is>
      </c>
      <c r="R622" t="inlineStr">
        <is>
          <t>undefined</t>
        </is>
      </c>
      <c r="S622" t="inlineStr">
        <is>
          <t>49-59-2050</t>
        </is>
      </c>
    </row>
    <row r="623" ht="75" customHeight="1">
      <c r="A623" s="1">
        <f>HYPERLINK("https://www.toolnut.com/milwaukee-49-59-2050-1-2-x-2-annular-cutter.html", "https://www.toolnut.com/milwaukee-49-59-2050-1-2-x-2-annular-cutter.html")</f>
        <v/>
      </c>
      <c r="B623" s="1">
        <f>HYPERLINK("https://www.toolnut.com/milwaukee-49-59-2050-1-2-x-2-annular-cutter.html", "https://www.toolnut.com/milwaukee-49-59-2050-1-2-x-2-annular-cutter.html")</f>
        <v/>
      </c>
      <c r="C623" t="inlineStr">
        <is>
          <t>Milwaukee 49-59-2050 1/2" x 2" Annular Cutter</t>
        </is>
      </c>
      <c r="D623" t="inlineStr">
        <is>
          <t>Milwaukee 49-59-1250 Annular Cutter 1-1/4" x 1" Hss</t>
        </is>
      </c>
      <c r="E623" s="1">
        <f>HYPERLINK("https://www.amazon.com/MILWAUKEE-Annular-Cutter-Part-49-59-1250/dp/B002KJEYFQ/ref=sr_1_9?keywords=Milwaukee+49-59-2050+1%2F2+x+2+Annular+Cutter&amp;qid=1695346902&amp;sr=8-9", "https://www.amazon.com/MILWAUKEE-Annular-Cutter-Part-49-59-1250/dp/B002KJEYFQ/ref=sr_1_9?keywords=Milwaukee+49-59-2050+1%2F2+x+2+Annular+Cutter&amp;qid=1695346902&amp;sr=8-9")</f>
        <v/>
      </c>
      <c r="F623" t="inlineStr">
        <is>
          <t>B002KJEYFQ</t>
        </is>
      </c>
      <c r="G623">
        <f>_xlfn.IMAGE("https://www.toolnut.com/media/catalog/product/m/i/milwaukee-49-59-2050-1.jpg?quality=100&amp;bg-color=255,255,255&amp;fit=bounds&amp;height=700&amp;width=700&amp;canvas=700:700&amp;dpr=1 1x")</f>
        <v/>
      </c>
      <c r="H623">
        <f>_xlfn.IMAGE("https://m.media-amazon.com/images/I/414xMNa3WEL._AC_UY218_.jpg")</f>
        <v/>
      </c>
      <c r="K623" t="inlineStr">
        <is>
          <t>31.99</t>
        </is>
      </c>
      <c r="L623" t="n">
        <v>68.65000000000001</v>
      </c>
      <c r="M623" s="2" t="inlineStr">
        <is>
          <t>114.60%</t>
        </is>
      </c>
      <c r="N623" t="n">
        <v>5</v>
      </c>
      <c r="O623" t="n">
        <v>2</v>
      </c>
      <c r="Q623" t="inlineStr">
        <is>
          <t>OutOfStock</t>
        </is>
      </c>
      <c r="R623" t="inlineStr">
        <is>
          <t>undefined</t>
        </is>
      </c>
      <c r="S623" t="inlineStr">
        <is>
          <t>49-59-2050</t>
        </is>
      </c>
    </row>
    <row r="624" ht="75" customHeight="1">
      <c r="A624" s="1">
        <f>HYPERLINK("https://www.toolnut.com/milwaukee-49-59-2050-1-2-x-2-annular-cutter.html", "https://www.toolnut.com/milwaukee-49-59-2050-1-2-x-2-annular-cutter.html")</f>
        <v/>
      </c>
      <c r="B624" s="1">
        <f>HYPERLINK("https://www.toolnut.com/milwaukee-49-59-2050-1-2-x-2-annular-cutter.html", "https://www.toolnut.com/milwaukee-49-59-2050-1-2-x-2-annular-cutter.html")</f>
        <v/>
      </c>
      <c r="C624" t="inlineStr">
        <is>
          <t>Milwaukee 49-59-2050 1/2" x 2" Annular Cutter</t>
        </is>
      </c>
      <c r="D624" t="inlineStr">
        <is>
          <t>Milwaukee 49-59-2163 Annular Cutter 1-5/8" x 2" Hss</t>
        </is>
      </c>
      <c r="E624" s="1">
        <f>HYPERLINK("https://www.amazon.com/Milwaukee-49-59-2163-Annular-Cutter-1-5/dp/B00L9EV3KW/ref=sr_1_7?keywords=Milwaukee+49-59-2050+1%2F2+x+2+Annular+Cutter&amp;qid=1695346902&amp;sr=8-7", "https://www.amazon.com/Milwaukee-49-59-2163-Annular-Cutter-1-5/dp/B00L9EV3KW/ref=sr_1_7?keywords=Milwaukee+49-59-2050+1%2F2+x+2+Annular+Cutter&amp;qid=1695346902&amp;sr=8-7")</f>
        <v/>
      </c>
      <c r="F624" t="inlineStr">
        <is>
          <t>B00L9EV3KW</t>
        </is>
      </c>
      <c r="G624">
        <f>_xlfn.IMAGE("https://www.toolnut.com/media/catalog/product/m/i/milwaukee-49-59-2050-1.jpg?quality=100&amp;bg-color=255,255,255&amp;fit=bounds&amp;height=700&amp;width=700&amp;canvas=700:700&amp;dpr=1 1x")</f>
        <v/>
      </c>
      <c r="H624">
        <f>_xlfn.IMAGE("https://m.media-amazon.com/images/I/41LyWOea7LL._AC_UY218_.jpg")</f>
        <v/>
      </c>
      <c r="K624" t="inlineStr">
        <is>
          <t>31.99</t>
        </is>
      </c>
      <c r="L624" t="n">
        <v>89.98999999999999</v>
      </c>
      <c r="M624" s="2" t="inlineStr">
        <is>
          <t>181.31%</t>
        </is>
      </c>
      <c r="N624" t="n">
        <v>5</v>
      </c>
      <c r="O624" t="n">
        <v>1</v>
      </c>
      <c r="Q624" t="inlineStr">
        <is>
          <t>OutOfStock</t>
        </is>
      </c>
      <c r="R624" t="inlineStr">
        <is>
          <t>undefined</t>
        </is>
      </c>
      <c r="S624" t="inlineStr">
        <is>
          <t>49-59-2050</t>
        </is>
      </c>
    </row>
    <row r="625" ht="75" customHeight="1">
      <c r="A625" s="1">
        <f>HYPERLINK("https://www.toolnut.com/milwaukee-49-59-2050-1-2-x-2-annular-cutter.html", "https://www.toolnut.com/milwaukee-49-59-2050-1-2-x-2-annular-cutter.html")</f>
        <v/>
      </c>
      <c r="B625" s="1">
        <f>HYPERLINK("https://www.toolnut.com/milwaukee-49-59-2050-1-2-x-2-annular-cutter.html", "https://www.toolnut.com/milwaukee-49-59-2050-1-2-x-2-annular-cutter.html")</f>
        <v/>
      </c>
      <c r="C625" t="inlineStr">
        <is>
          <t>Milwaukee 49-59-2050 1/2" x 2" Annular Cutter</t>
        </is>
      </c>
      <c r="D625" t="inlineStr">
        <is>
          <t>Milwaukee 49-59-2113 HSS Annular Cutter 1-1/8-Inch x 2-Inch Depth</t>
        </is>
      </c>
      <c r="E625" s="1">
        <f>HYPERLINK("https://www.amazon.com/Milwaukee-49-59-2113-Annular-Cutter-8-Inch/dp/B000N4NNS4/ref=sr_1_3?keywords=Milwaukee+49-59-2050+1%2F2+x+2+Annular+Cutter&amp;qid=1695346902&amp;sr=8-3", "https://www.amazon.com/Milwaukee-49-59-2113-Annular-Cutter-8-Inch/dp/B000N4NNS4/ref=sr_1_3?keywords=Milwaukee+49-59-2050+1%2F2+x+2+Annular+Cutter&amp;qid=1695346902&amp;sr=8-3")</f>
        <v/>
      </c>
      <c r="F625" t="inlineStr">
        <is>
          <t>B000N4NNS4</t>
        </is>
      </c>
      <c r="G625">
        <f>_xlfn.IMAGE("https://www.toolnut.com/media/catalog/product/m/i/milwaukee-49-59-2050-1.jpg?quality=100&amp;bg-color=255,255,255&amp;fit=bounds&amp;height=700&amp;width=700&amp;canvas=700:700&amp;dpr=1 1x")</f>
        <v/>
      </c>
      <c r="H625">
        <f>_xlfn.IMAGE("https://m.media-amazon.com/images/I/51vPh3cMF2L._AC_UY218_.jpg")</f>
        <v/>
      </c>
      <c r="K625" t="inlineStr">
        <is>
          <t>31.99</t>
        </is>
      </c>
      <c r="L625" t="n">
        <v>69</v>
      </c>
      <c r="M625" s="2" t="inlineStr">
        <is>
          <t>115.69%</t>
        </is>
      </c>
      <c r="N625" t="n">
        <v>5</v>
      </c>
      <c r="O625" t="n">
        <v>1</v>
      </c>
      <c r="Q625" t="inlineStr">
        <is>
          <t>OutOfStock</t>
        </is>
      </c>
      <c r="R625" t="inlineStr">
        <is>
          <t>undefined</t>
        </is>
      </c>
      <c r="S625" t="inlineStr">
        <is>
          <t>49-59-2050</t>
        </is>
      </c>
    </row>
    <row r="626" ht="75" customHeight="1">
      <c r="A626" s="1">
        <f>HYPERLINK("https://www.toolnut.com/milwaukee-49-59-2050-1-2-x-2-annular-cutter.html", "https://www.toolnut.com/milwaukee-49-59-2050-1-2-x-2-annular-cutter.html")</f>
        <v/>
      </c>
      <c r="B626" s="1">
        <f>HYPERLINK("https://www.toolnut.com/milwaukee-49-59-2050-1-2-x-2-annular-cutter.html", "https://www.toolnut.com/milwaukee-49-59-2050-1-2-x-2-annular-cutter.html")</f>
        <v/>
      </c>
      <c r="C626" t="inlineStr">
        <is>
          <t>Milwaukee 49-59-2050 1/2" x 2" Annular Cutter</t>
        </is>
      </c>
      <c r="D626" t="inlineStr">
        <is>
          <t>Milwaukee 49-59-1250 Annular Cutter 1-1/4" x 1" Hss</t>
        </is>
      </c>
      <c r="E626" s="1">
        <f>HYPERLINK("https://www.amazon.com/MILWAUKEE-Annular-Cutter-Part-49-59-1250/dp/B002KJEYFQ/ref=sr_1_9?keywords=Milwaukee+49-59-2050+1%2F2+x+2+Annular+Cutter&amp;qid=1695346902&amp;sr=8-9", "https://www.amazon.com/MILWAUKEE-Annular-Cutter-Part-49-59-1250/dp/B002KJEYFQ/ref=sr_1_9?keywords=Milwaukee+49-59-2050+1%2F2+x+2+Annular+Cutter&amp;qid=1695346902&amp;sr=8-9")</f>
        <v/>
      </c>
      <c r="F626" t="inlineStr">
        <is>
          <t>B002KJEYFQ</t>
        </is>
      </c>
      <c r="G626">
        <f>_xlfn.IMAGE("https://www.toolnut.com/media/catalog/product/m/i/milwaukee-49-59-2050-1.jpg?quality=100&amp;bg-color=255,255,255&amp;fit=bounds&amp;height=700&amp;width=700&amp;canvas=700:700&amp;dpr=1 1x")</f>
        <v/>
      </c>
      <c r="H626">
        <f>_xlfn.IMAGE("https://m.media-amazon.com/images/I/414xMNa3WEL._AC_UY218_.jpg")</f>
        <v/>
      </c>
      <c r="K626" t="inlineStr">
        <is>
          <t>31.99</t>
        </is>
      </c>
      <c r="L626" t="n">
        <v>68.65000000000001</v>
      </c>
      <c r="M626" s="2" t="inlineStr">
        <is>
          <t>114.60%</t>
        </is>
      </c>
      <c r="N626" t="n">
        <v>5</v>
      </c>
      <c r="O626" t="n">
        <v>2</v>
      </c>
      <c r="Q626" t="inlineStr">
        <is>
          <t>OutOfStock</t>
        </is>
      </c>
      <c r="R626" t="inlineStr">
        <is>
          <t>undefined</t>
        </is>
      </c>
      <c r="S626" t="inlineStr">
        <is>
          <t>49-59-2050</t>
        </is>
      </c>
    </row>
    <row r="627" ht="75" customHeight="1">
      <c r="A627" s="1">
        <f>HYPERLINK("https://www.toolnut.com/milwaukee-49-66-6220-shockwave-impact-duty-6-point-socket.html", "https://www.toolnut.com/milwaukee-49-66-6220-shockwave-impact-duty-6-point-socket.html")</f>
        <v/>
      </c>
      <c r="B627" s="1">
        <f>HYPERLINK("https://www.toolnut.com/milwaukee-49-66-6220-shockwave-impact-duty-6-point-socket.html", "https://www.toolnut.com/milwaukee-49-66-6220-shockwave-impact-duty-6-point-socket.html")</f>
        <v/>
      </c>
      <c r="C627" t="inlineStr">
        <is>
          <t>Milwaukee 49-66-6220 SHOCKWAVE Impact Duty 1/2-Inch Drive 3/8-Inch Deep 6 Point Socket</t>
        </is>
      </c>
      <c r="D627" t="inlineStr">
        <is>
          <t>Milwaukee 49-66-7016 29PC SHOCKWAVE Impact Duty 1/2" Drive SAE &amp; Metric Deep 6 Point Socket Set</t>
        </is>
      </c>
      <c r="E627" s="1">
        <f>HYPERLINK("https://www.amazon.com/Milwaukee-49-66-7016-SHOCKWAVE-Impact-Metric/dp/B09XWY2P2P/ref=sr_1_2?keywords=Milwaukee+49-66-6220+SHOCKWAVE+Impact+Duty+1%2F2-Inch+Drive+3%2F8-Inch+Deep+6+Point+Socket&amp;qid=1695346653&amp;sr=8-2", "https://www.amazon.com/Milwaukee-49-66-7016-SHOCKWAVE-Impact-Metric/dp/B09XWY2P2P/ref=sr_1_2?keywords=Milwaukee+49-66-6220+SHOCKWAVE+Impact+Duty+1%2F2-Inch+Drive+3%2F8-Inch+Deep+6+Point+Socket&amp;qid=1695346653&amp;sr=8-2")</f>
        <v/>
      </c>
      <c r="F627" t="inlineStr">
        <is>
          <t>B09XWY2P2P</t>
        </is>
      </c>
      <c r="G627">
        <f>_xlfn.IMAGE("https://www.toolnut.com/media/catalog/product/4/9/49-66-6220_1.jpg?quality=100&amp;bg-color=255,255,255&amp;fit=bounds&amp;height=700&amp;width=700&amp;canvas=700:700&amp;dpr=1 1x")</f>
        <v/>
      </c>
      <c r="H627">
        <f>_xlfn.IMAGE("https://m.media-amazon.com/images/I/61ykwV2Y29L._AC_UL320_.jpg")</f>
        <v/>
      </c>
      <c r="K627" t="inlineStr">
        <is>
          <t>7.99</t>
        </is>
      </c>
      <c r="L627" t="n">
        <v>189.99</v>
      </c>
      <c r="M627" s="2" t="inlineStr">
        <is>
          <t>2277.85%</t>
        </is>
      </c>
      <c r="N627" t="n">
        <v>4.8</v>
      </c>
      <c r="O627" t="n">
        <v>47</v>
      </c>
      <c r="Q627" t="inlineStr">
        <is>
          <t>InStock</t>
        </is>
      </c>
      <c r="R627" t="inlineStr">
        <is>
          <t>undefined</t>
        </is>
      </c>
      <c r="S627" t="inlineStr">
        <is>
          <t>49-66-6220</t>
        </is>
      </c>
    </row>
    <row r="628" ht="75" customHeight="1">
      <c r="A628" s="1">
        <f>HYPERLINK("https://www.toolnut.com/milwaukee-49-66-6220-shockwave-impact-duty-6-point-socket.html", "https://www.toolnut.com/milwaukee-49-66-6220-shockwave-impact-duty-6-point-socket.html")</f>
        <v/>
      </c>
      <c r="B628" s="1">
        <f>HYPERLINK("https://www.toolnut.com/milwaukee-49-66-6220-shockwave-impact-duty-6-point-socket.html", "https://www.toolnut.com/milwaukee-49-66-6220-shockwave-impact-duty-6-point-socket.html")</f>
        <v/>
      </c>
      <c r="C628" t="inlineStr">
        <is>
          <t>Milwaukee 49-66-6220 SHOCKWAVE Impact Duty 1/2-Inch Drive 3/8-Inch Deep 6 Point Socket</t>
        </is>
      </c>
      <c r="D628" t="inlineStr">
        <is>
          <t>Milwaukee 49-66-7009 43PC SHOCKWAVE Impact Duty 3/8" Drive SAE &amp; Metric Deep 6 Point Socket Set</t>
        </is>
      </c>
      <c r="E628" s="1">
        <f>HYPERLINK("https://www.amazon.com/Milwaukee-49-66-7009-SHOCKWAVE-Impact-Metric/dp/B09XYVV556/ref=sr_1_3?keywords=Milwaukee+49-66-6220+SHOCKWAVE+Impact+Duty+1%2F2-Inch+Drive+3%2F8-Inch+Deep+6+Point+Socket&amp;qid=1695346653&amp;sr=8-3", "https://www.amazon.com/Milwaukee-49-66-7009-SHOCKWAVE-Impact-Metric/dp/B09XYVV556/ref=sr_1_3?keywords=Milwaukee+49-66-6220+SHOCKWAVE+Impact+Duty+1%2F2-Inch+Drive+3%2F8-Inch+Deep+6+Point+Socket&amp;qid=1695346653&amp;sr=8-3")</f>
        <v/>
      </c>
      <c r="F628" t="inlineStr">
        <is>
          <t>B09XYVV556</t>
        </is>
      </c>
      <c r="G628">
        <f>_xlfn.IMAGE("https://www.toolnut.com/media/catalog/product/4/9/49-66-6220_1.jpg?quality=100&amp;bg-color=255,255,255&amp;fit=bounds&amp;height=700&amp;width=700&amp;canvas=700:700&amp;dpr=1 1x")</f>
        <v/>
      </c>
      <c r="H628">
        <f>_xlfn.IMAGE("https://m.media-amazon.com/images/I/61mENChXnDL._AC_UL320_.jpg")</f>
        <v/>
      </c>
      <c r="K628" t="inlineStr">
        <is>
          <t>7.99</t>
        </is>
      </c>
      <c r="L628" t="n">
        <v>105.99</v>
      </c>
      <c r="M628" s="2" t="inlineStr">
        <is>
          <t>1226.53%</t>
        </is>
      </c>
      <c r="N628" t="n">
        <v>4.7</v>
      </c>
      <c r="O628" t="n">
        <v>310</v>
      </c>
      <c r="Q628" t="inlineStr">
        <is>
          <t>InStock</t>
        </is>
      </c>
      <c r="R628" t="inlineStr">
        <is>
          <t>undefined</t>
        </is>
      </c>
      <c r="S628" t="inlineStr">
        <is>
          <t>49-66-6220</t>
        </is>
      </c>
    </row>
    <row r="629" ht="75" customHeight="1">
      <c r="A629" s="1">
        <f>HYPERLINK("https://www.toolnut.com/milwaukee-49-66-6220-shockwave-impact-duty-6-point-socket.html", "https://www.toolnut.com/milwaukee-49-66-6220-shockwave-impact-duty-6-point-socket.html")</f>
        <v/>
      </c>
      <c r="B629" s="1">
        <f>HYPERLINK("https://www.toolnut.com/milwaukee-49-66-6220-shockwave-impact-duty-6-point-socket.html", "https://www.toolnut.com/milwaukee-49-66-6220-shockwave-impact-duty-6-point-socket.html")</f>
        <v/>
      </c>
      <c r="C629" t="inlineStr">
        <is>
          <t>Milwaukee 49-66-6220 SHOCKWAVE Impact Duty 1/2-Inch Drive 3/8-Inch Deep 6 Point Socket</t>
        </is>
      </c>
      <c r="D629" t="inlineStr">
        <is>
          <t>Milwaukee 49-66-7006 SHOCKWAVE 3/8 in. Drive Deep Well 6 Point Impact Socket Set (12-Piece)</t>
        </is>
      </c>
      <c r="E629" s="1">
        <f>HYPERLINK("https://www.amazon.com/Milwaukee-49-66-7006-SHOCKWAVE-Impact-12-Piece/dp/B09RTPKHFM/ref=sr_1_4?keywords=Milwaukee+49-66-6220+SHOCKWAVE+Impact+Duty+1%2F2-Inch+Drive+3%2F8-Inch+Deep+6+Point+Socket&amp;qid=1695346653&amp;sr=8-4", "https://www.amazon.com/Milwaukee-49-66-7006-SHOCKWAVE-Impact-12-Piece/dp/B09RTPKHFM/ref=sr_1_4?keywords=Milwaukee+49-66-6220+SHOCKWAVE+Impact+Duty+1%2F2-Inch+Drive+3%2F8-Inch+Deep+6+Point+Socket&amp;qid=1695346653&amp;sr=8-4")</f>
        <v/>
      </c>
      <c r="F629" t="inlineStr">
        <is>
          <t>B09RTPKHFM</t>
        </is>
      </c>
      <c r="G629">
        <f>_xlfn.IMAGE("https://www.toolnut.com/media/catalog/product/4/9/49-66-6220_1.jpg?quality=100&amp;bg-color=255,255,255&amp;fit=bounds&amp;height=700&amp;width=700&amp;canvas=700:700&amp;dpr=1 1x")</f>
        <v/>
      </c>
      <c r="H629">
        <f>_xlfn.IMAGE("https://m.media-amazon.com/images/I/715-OBSn8LL._AC_UL320_.jpg")</f>
        <v/>
      </c>
      <c r="K629" t="inlineStr">
        <is>
          <t>7.99</t>
        </is>
      </c>
      <c r="L629" t="n">
        <v>56.06</v>
      </c>
      <c r="M629" s="2" t="inlineStr">
        <is>
          <t>601.63%</t>
        </is>
      </c>
      <c r="N629" t="n">
        <v>4.9</v>
      </c>
      <c r="O629" t="n">
        <v>94</v>
      </c>
      <c r="Q629" t="inlineStr">
        <is>
          <t>InStock</t>
        </is>
      </c>
      <c r="R629" t="inlineStr">
        <is>
          <t>undefined</t>
        </is>
      </c>
      <c r="S629" t="inlineStr">
        <is>
          <t>49-66-6220</t>
        </is>
      </c>
    </row>
    <row r="630" ht="75" customHeight="1">
      <c r="A630" s="1">
        <f>HYPERLINK("https://www.toolnut.com/milwaukee-49-66-6220-shockwave-impact-duty-6-point-socket.html", "https://www.toolnut.com/milwaukee-49-66-6220-shockwave-impact-duty-6-point-socket.html")</f>
        <v/>
      </c>
      <c r="B630" s="1">
        <f>HYPERLINK("https://www.toolnut.com/milwaukee-49-66-6220-shockwave-impact-duty-6-point-socket.html", "https://www.toolnut.com/milwaukee-49-66-6220-shockwave-impact-duty-6-point-socket.html")</f>
        <v/>
      </c>
      <c r="C630" t="inlineStr">
        <is>
          <t>Milwaukee 49-66-6220 SHOCKWAVE Impact Duty 1/2-Inch Drive 3/8-Inch Deep 6 Point Socket</t>
        </is>
      </c>
      <c r="D630" t="inlineStr">
        <is>
          <t>Milwaukee 49-66-6220 SHOCKWAVE Impact Duty 1/2 Drive 3/8 Deep 6 Point Socket</t>
        </is>
      </c>
      <c r="E630" s="1">
        <f>HYPERLINK("https://www.amazon.com/Milwaukee-49-66-6220-SHOCKWAVE-Impact-Socket/dp/B0BBV91ZNF/ref=sr_1_1?keywords=Milwaukee+49-66-6220+SHOCKWAVE+Impact+Duty+1%2F2-Inch+Drive+3%2F8-Inch+Deep+6+Point+Socket&amp;qid=1695346653&amp;sr=8-1", "https://www.amazon.com/Milwaukee-49-66-6220-SHOCKWAVE-Impact-Socket/dp/B0BBV91ZNF/ref=sr_1_1?keywords=Milwaukee+49-66-6220+SHOCKWAVE+Impact+Duty+1%2F2-Inch+Drive+3%2F8-Inch+Deep+6+Point+Socket&amp;qid=1695346653&amp;sr=8-1")</f>
        <v/>
      </c>
      <c r="F630" t="inlineStr">
        <is>
          <t>B0BBV91ZNF</t>
        </is>
      </c>
      <c r="G630">
        <f>_xlfn.IMAGE("https://www.toolnut.com/media/catalog/product/4/9/49-66-6220_1.jpg?quality=100&amp;bg-color=255,255,255&amp;fit=bounds&amp;height=700&amp;width=700&amp;canvas=700:700&amp;dpr=1 1x")</f>
        <v/>
      </c>
      <c r="H630">
        <f>_xlfn.IMAGE("https://m.media-amazon.com/images/I/51AV03SWc2L._AC_UL320_.jpg")</f>
        <v/>
      </c>
      <c r="K630" t="inlineStr">
        <is>
          <t>7.99</t>
        </is>
      </c>
      <c r="L630" t="n">
        <v>18.48</v>
      </c>
      <c r="M630" s="2" t="inlineStr">
        <is>
          <t>131.29%</t>
        </is>
      </c>
      <c r="N630" t="n">
        <v>5</v>
      </c>
      <c r="O630" t="n">
        <v>2</v>
      </c>
      <c r="Q630" t="inlineStr">
        <is>
          <t>InStock</t>
        </is>
      </c>
      <c r="R630" t="inlineStr">
        <is>
          <t>undefined</t>
        </is>
      </c>
      <c r="S630" t="inlineStr">
        <is>
          <t>49-66-6220</t>
        </is>
      </c>
    </row>
    <row r="631" ht="75" customHeight="1">
      <c r="A631" s="1">
        <f>HYPERLINK("https://www.toolnut.com/milwaukee-49-66-6238-shockwave-impact-duty-6-point-socket.html", "https://www.toolnut.com/milwaukee-49-66-6238-shockwave-impact-duty-6-point-socket.html")</f>
        <v/>
      </c>
      <c r="B631" s="1">
        <f>HYPERLINK("https://www.toolnut.com/milwaukee-49-66-6238-shockwave-impact-duty-6-point-socket.html", "https://www.toolnut.com/milwaukee-49-66-6238-shockwave-impact-duty-6-point-socket.html")</f>
        <v/>
      </c>
      <c r="C631" t="inlineStr">
        <is>
          <t>Milwaukee 49-66-6238 SHOCKWAVE Impact Duty 1/2-Inch Drive 1-1/2-Inch Deep 6 Point Socket</t>
        </is>
      </c>
      <c r="D631" t="inlineStr">
        <is>
          <t>29 PC SHOCKWAVE Impact Duty™ 1/2" Drive Metric Deep 6 Point Socket Set 49-66-7015</t>
        </is>
      </c>
      <c r="E631" s="1">
        <f>HYPERLINK("https://www.amazon.com/SHOCKWAVE-Impact-DutyTM-Metric-49-66-7015/dp/B09RRZPZLD/ref=sr_1_3?keywords=Milwaukee+49-66-6238+SHOCKWAVE+Impact+Duty+1%2F2-Inch+Drive+1-1%2F2-Inch+Deep+6+Point+Socket&amp;qid=1695346680&amp;sr=8-3", "https://www.amazon.com/SHOCKWAVE-Impact-DutyTM-Metric-49-66-7015/dp/B09RRZPZLD/ref=sr_1_3?keywords=Milwaukee+49-66-6238+SHOCKWAVE+Impact+Duty+1%2F2-Inch+Drive+1-1%2F2-Inch+Deep+6+Point+Socket&amp;qid=1695346680&amp;sr=8-3")</f>
        <v/>
      </c>
      <c r="F631" t="inlineStr">
        <is>
          <t>B09RRZPZLD</t>
        </is>
      </c>
      <c r="G631">
        <f>_xlfn.IMAGE("https://www.toolnut.com/media/catalog/product/4/9/49-66-6238_1.jpg?quality=100&amp;bg-color=255,255,255&amp;fit=bounds&amp;height=700&amp;width=700&amp;canvas=700:700&amp;dpr=1 1x")</f>
        <v/>
      </c>
      <c r="H631">
        <f>_xlfn.IMAGE("https://m.media-amazon.com/images/I/61baL04GsKL._AC_UL320_.jpg")</f>
        <v/>
      </c>
      <c r="K631" t="inlineStr">
        <is>
          <t>20.99</t>
        </is>
      </c>
      <c r="L631" t="n">
        <v>192.03</v>
      </c>
      <c r="M631" s="2" t="inlineStr">
        <is>
          <t>814.86%</t>
        </is>
      </c>
      <c r="N631" t="n">
        <v>4.6</v>
      </c>
      <c r="O631" t="n">
        <v>75</v>
      </c>
      <c r="Q631" t="inlineStr">
        <is>
          <t>InStock</t>
        </is>
      </c>
      <c r="R631" t="inlineStr">
        <is>
          <t>undefined</t>
        </is>
      </c>
      <c r="S631" t="inlineStr">
        <is>
          <t>49-66-6238</t>
        </is>
      </c>
    </row>
    <row r="632" ht="75" customHeight="1">
      <c r="A632" s="1">
        <f>HYPERLINK("https://www.toolnut.com/milwaukee-49-66-6238-shockwave-impact-duty-6-point-socket.html", "https://www.toolnut.com/milwaukee-49-66-6238-shockwave-impact-duty-6-point-socket.html")</f>
        <v/>
      </c>
      <c r="B632" s="1">
        <f>HYPERLINK("https://www.toolnut.com/milwaukee-49-66-6238-shockwave-impact-duty-6-point-socket.html", "https://www.toolnut.com/milwaukee-49-66-6238-shockwave-impact-duty-6-point-socket.html")</f>
        <v/>
      </c>
      <c r="C632" t="inlineStr">
        <is>
          <t>Milwaukee 49-66-6238 SHOCKWAVE Impact Duty 1/2-Inch Drive 1-1/2-Inch Deep 6 Point Socket</t>
        </is>
      </c>
      <c r="D632" t="inlineStr">
        <is>
          <t>Milwaukee 49-66-7016 29PC SHOCKWAVE Impact Duty 1/2" Drive SAE &amp; Metric Deep 6 Point Socket Set</t>
        </is>
      </c>
      <c r="E632" s="1">
        <f>HYPERLINK("https://www.amazon.com/Milwaukee-49-66-7016-SHOCKWAVE-Impact-Metric/dp/B09XWY2P2P/ref=sr_1_2?keywords=Milwaukee+49-66-6238+SHOCKWAVE+Impact+Duty+1%2F2-Inch+Drive+1-1%2F2-Inch+Deep+6+Point+Socket&amp;qid=1695346680&amp;sr=8-2", "https://www.amazon.com/Milwaukee-49-66-7016-SHOCKWAVE-Impact-Metric/dp/B09XWY2P2P/ref=sr_1_2?keywords=Milwaukee+49-66-6238+SHOCKWAVE+Impact+Duty+1%2F2-Inch+Drive+1-1%2F2-Inch+Deep+6+Point+Socket&amp;qid=1695346680&amp;sr=8-2")</f>
        <v/>
      </c>
      <c r="F632" t="inlineStr">
        <is>
          <t>B09XWY2P2P</t>
        </is>
      </c>
      <c r="G632">
        <f>_xlfn.IMAGE("https://www.toolnut.com/media/catalog/product/4/9/49-66-6238_1.jpg?quality=100&amp;bg-color=255,255,255&amp;fit=bounds&amp;height=700&amp;width=700&amp;canvas=700:700&amp;dpr=1 1x")</f>
        <v/>
      </c>
      <c r="H632">
        <f>_xlfn.IMAGE("https://m.media-amazon.com/images/I/61ykwV2Y29L._AC_UL320_.jpg")</f>
        <v/>
      </c>
      <c r="K632" t="inlineStr">
        <is>
          <t>20.99</t>
        </is>
      </c>
      <c r="L632" t="n">
        <v>189.99</v>
      </c>
      <c r="M632" s="2" t="inlineStr">
        <is>
          <t>805.15%</t>
        </is>
      </c>
      <c r="N632" t="n">
        <v>4.8</v>
      </c>
      <c r="O632" t="n">
        <v>47</v>
      </c>
      <c r="Q632" t="inlineStr">
        <is>
          <t>InStock</t>
        </is>
      </c>
      <c r="R632" t="inlineStr">
        <is>
          <t>undefined</t>
        </is>
      </c>
      <c r="S632" t="inlineStr">
        <is>
          <t>49-66-6238</t>
        </is>
      </c>
    </row>
    <row r="633" ht="75" customHeight="1">
      <c r="A633" s="1">
        <f>HYPERLINK("https://www.toolnut.com/milwaukee-49-66-6723-shockwave-impact-duty-6-point-socket.html", "https://www.toolnut.com/milwaukee-49-66-6723-shockwave-impact-duty-6-point-socket.html")</f>
        <v/>
      </c>
      <c r="B633" s="1">
        <f>HYPERLINK("https://www.toolnut.com/milwaukee-49-66-6723-shockwave-impact-duty-6-point-socket.html", "https://www.toolnut.com/milwaukee-49-66-6723-shockwave-impact-duty-6-point-socket.html")</f>
        <v/>
      </c>
      <c r="C633" t="inlineStr">
        <is>
          <t>Milwaukee 49-66-6723 SHOCKWAVE Impact Duty 3/8-Inch Drive 1/2-Inch Drive Adapter</t>
        </is>
      </c>
      <c r="D633" t="inlineStr">
        <is>
          <t>Milwaukee 49-66-6220 SHOCKWAVE Impact Duty 1/2 Drive 3/8 Deep 6 Point Socket</t>
        </is>
      </c>
      <c r="E633" s="1">
        <f>HYPERLINK("https://www.amazon.com/Milwaukee-49-66-6220-SHOCKWAVE-Impact-Socket/dp/B0BBV91ZNF/ref=sr_1_9?keywords=Milwaukee+49-66-6723+SHOCKWAVE+Impact+Duty+3%2F8-Inch+Drive+1%2F2-Inch+Drive+Adapter&amp;qid=1695346654&amp;sr=8-9", "https://www.amazon.com/Milwaukee-49-66-6220-SHOCKWAVE-Impact-Socket/dp/B0BBV91ZNF/ref=sr_1_9?keywords=Milwaukee+49-66-6723+SHOCKWAVE+Impact+Duty+3%2F8-Inch+Drive+1%2F2-Inch+Drive+Adapter&amp;qid=1695346654&amp;sr=8-9")</f>
        <v/>
      </c>
      <c r="F633" t="inlineStr">
        <is>
          <t>B0BBV91ZNF</t>
        </is>
      </c>
      <c r="G633">
        <f>_xlfn.IMAGE("https://www.toolnut.com/media/catalog/product/4/9/49-66-6723_1.jpg?quality=100&amp;bg-color=255,255,255&amp;fit=bounds&amp;height=700&amp;width=700&amp;canvas=700:700&amp;dpr=1 1x")</f>
        <v/>
      </c>
      <c r="H633">
        <f>_xlfn.IMAGE("https://m.media-amazon.com/images/I/51AV03SWc2L._AC_UL320_.jpg")</f>
        <v/>
      </c>
      <c r="K633" t="inlineStr">
        <is>
          <t>9.99</t>
        </is>
      </c>
      <c r="L633" t="n">
        <v>18.48</v>
      </c>
      <c r="M633" s="2" t="inlineStr">
        <is>
          <t>84.98%</t>
        </is>
      </c>
      <c r="N633" t="n">
        <v>5</v>
      </c>
      <c r="O633" t="n">
        <v>2</v>
      </c>
      <c r="Q633" t="inlineStr">
        <is>
          <t>InStock</t>
        </is>
      </c>
      <c r="R633" t="inlineStr">
        <is>
          <t>undefined</t>
        </is>
      </c>
      <c r="S633" t="inlineStr">
        <is>
          <t>49-66-6723</t>
        </is>
      </c>
    </row>
    <row r="634" ht="75" customHeight="1">
      <c r="A634" s="1">
        <f>HYPERLINK("https://www.toolnut.com/milwaukee-49-66-7032-9pc-shockwave-impact-duty-1-2-drive-metric-deep-6-point-socket-set.html", "https://www.toolnut.com/milwaukee-49-66-7032-9pc-shockwave-impact-duty-1-2-drive-metric-deep-6-point-socket-set.html")</f>
        <v/>
      </c>
      <c r="B634" s="1">
        <f>HYPERLINK("https://www.toolnut.com/milwaukee-49-66-7032-9pc-shockwave-impact-duty-1-2-drive-metric-deep-6-point-socket-set.html", "https://www.toolnut.com/milwaukee-49-66-7032-9pc-shockwave-impact-duty-1-2-drive-metric-deep-6-point-socket-set.html")</f>
        <v/>
      </c>
      <c r="C634" t="inlineStr">
        <is>
          <t>Milwaukee 49-66-7032 9PC SHOCKWAVE Impact Duty 1/2" Drive Metric Deep 6 Point Socket Set</t>
        </is>
      </c>
      <c r="D634" t="inlineStr">
        <is>
          <t>29 PC SHOCKWAVE Impact Duty™ 1/2" Drive Metric Deep 6 Point Socket Set 49-66-7015</t>
        </is>
      </c>
      <c r="E634" s="1">
        <f>HYPERLINK("https://www.amazon.com/SHOCKWAVE-Impact-DutyTM-Metric-49-66-7015/dp/B09RRZPZLD/ref=sr_1_2?keywords=Milwaukee+49-66-7032+9PC+SHOCKWAVE+Impact+Duty+1%2F2%22+Drive+Metric+Deep+6+Point+Socket+Set&amp;qid=1695346973&amp;sr=8-2", "https://www.amazon.com/SHOCKWAVE-Impact-DutyTM-Metric-49-66-7015/dp/B09RRZPZLD/ref=sr_1_2?keywords=Milwaukee+49-66-7032+9PC+SHOCKWAVE+Impact+Duty+1%2F2%22+Drive+Metric+Deep+6+Point+Socket+Set&amp;qid=1695346973&amp;sr=8-2")</f>
        <v/>
      </c>
      <c r="F634" t="inlineStr">
        <is>
          <t>B09RRZPZLD</t>
        </is>
      </c>
      <c r="G634">
        <f>_xlfn.IMAGE("https://www.toolnut.com/media/catalog/product/4/9/49-66-7032_101.jpg?quality=100&amp;bg-color=255,255,255&amp;fit=bounds&amp;height=700&amp;width=700&amp;canvas=700:700")</f>
        <v/>
      </c>
      <c r="H634">
        <f>_xlfn.IMAGE("https://m.media-amazon.com/images/I/61baL04GsKL._AC_UL320_.jpg")</f>
        <v/>
      </c>
      <c r="K634" t="inlineStr">
        <is>
          <t>64.97</t>
        </is>
      </c>
      <c r="L634" t="n">
        <v>192.03</v>
      </c>
      <c r="M634" s="2" t="inlineStr">
        <is>
          <t>195.57%</t>
        </is>
      </c>
      <c r="N634" t="n">
        <v>4.6</v>
      </c>
      <c r="O634" t="n">
        <v>75</v>
      </c>
      <c r="Q634" t="inlineStr">
        <is>
          <t>InStock</t>
        </is>
      </c>
      <c r="R634" t="inlineStr">
        <is>
          <t>undefined</t>
        </is>
      </c>
      <c r="S634" t="inlineStr">
        <is>
          <t>49-66-7032</t>
        </is>
      </c>
    </row>
    <row r="635" ht="75" customHeight="1">
      <c r="A635" s="1">
        <f>HYPERLINK("https://www.toolnut.com/milwaukee-49-66-7032-9pc-shockwave-impact-duty-1-2-drive-metric-deep-6-point-socket-set.html", "https://www.toolnut.com/milwaukee-49-66-7032-9pc-shockwave-impact-duty-1-2-drive-metric-deep-6-point-socket-set.html")</f>
        <v/>
      </c>
      <c r="B635" s="1">
        <f>HYPERLINK("https://www.toolnut.com/milwaukee-49-66-7032-9pc-shockwave-impact-duty-1-2-drive-metric-deep-6-point-socket-set.html", "https://www.toolnut.com/milwaukee-49-66-7032-9pc-shockwave-impact-duty-1-2-drive-metric-deep-6-point-socket-set.html")</f>
        <v/>
      </c>
      <c r="C635" t="inlineStr">
        <is>
          <t>Milwaukee 49-66-7032 9PC SHOCKWAVE Impact Duty 1/2" Drive Metric Deep 6 Point Socket Set</t>
        </is>
      </c>
      <c r="D635" t="inlineStr">
        <is>
          <t>Milwaukee 49-66-7016 29PC SHOCKWAVE Impact Duty 1/2" Drive SAE &amp; Metric Deep 6 Point Socket Set</t>
        </is>
      </c>
      <c r="E635" s="1">
        <f>HYPERLINK("https://www.amazon.com/Milwaukee-49-66-7016-SHOCKWAVE-Impact-Metric/dp/B09XWY2P2P/ref=sr_1_1?keywords=Milwaukee+49-66-7032+9PC+SHOCKWAVE+Impact+Duty+1%2F2%22+Drive+Metric+Deep+6+Point+Socket+Set&amp;qid=1695346973&amp;sr=8-1", "https://www.amazon.com/Milwaukee-49-66-7016-SHOCKWAVE-Impact-Metric/dp/B09XWY2P2P/ref=sr_1_1?keywords=Milwaukee+49-66-7032+9PC+SHOCKWAVE+Impact+Duty+1%2F2%22+Drive+Metric+Deep+6+Point+Socket+Set&amp;qid=1695346973&amp;sr=8-1")</f>
        <v/>
      </c>
      <c r="F635" t="inlineStr">
        <is>
          <t>B09XWY2P2P</t>
        </is>
      </c>
      <c r="G635">
        <f>_xlfn.IMAGE("https://www.toolnut.com/media/catalog/product/4/9/49-66-7032_101.jpg?quality=100&amp;bg-color=255,255,255&amp;fit=bounds&amp;height=700&amp;width=700&amp;canvas=700:700")</f>
        <v/>
      </c>
      <c r="H635">
        <f>_xlfn.IMAGE("https://m.media-amazon.com/images/I/61ykwV2Y29L._AC_UL320_.jpg")</f>
        <v/>
      </c>
      <c r="K635" t="inlineStr">
        <is>
          <t>64.97</t>
        </is>
      </c>
      <c r="L635" t="n">
        <v>189.99</v>
      </c>
      <c r="M635" s="2" t="inlineStr">
        <is>
          <t>192.43%</t>
        </is>
      </c>
      <c r="N635" t="n">
        <v>4.8</v>
      </c>
      <c r="O635" t="n">
        <v>47</v>
      </c>
      <c r="Q635" t="inlineStr">
        <is>
          <t>InStock</t>
        </is>
      </c>
      <c r="R635" t="inlineStr">
        <is>
          <t>undefined</t>
        </is>
      </c>
      <c r="S635" t="inlineStr">
        <is>
          <t>49-66-7032</t>
        </is>
      </c>
    </row>
    <row r="636" ht="75" customHeight="1">
      <c r="A636" s="1">
        <f>HYPERLINK("https://www.toolnut.com/milwaukee-49-66-7035-6pc-shockwave-impact-duty-3-8-drive-sae-standard-socket-set.html", "https://www.toolnut.com/milwaukee-49-66-7035-6pc-shockwave-impact-duty-3-8-drive-sae-standard-socket-set.html")</f>
        <v/>
      </c>
      <c r="B636" s="1">
        <f>HYPERLINK("https://www.toolnut.com/milwaukee-49-66-7035-6pc-shockwave-impact-duty-3-8-drive-sae-standard-socket-set.html", "https://www.toolnut.com/milwaukee-49-66-7035-6pc-shockwave-impact-duty-3-8-drive-sae-standard-socket-set.html")</f>
        <v/>
      </c>
      <c r="C636" t="inlineStr">
        <is>
          <t>Milwaukee 49-66-7035 6PC SHOCKWAVE Impact Duty 3/8" Drive SAE Standard Socket Set</t>
        </is>
      </c>
      <c r="D636" t="inlineStr">
        <is>
          <t>Milwaukee 49-66-7009 43PC SHOCKWAVE Impact Duty 3/8" Drive SAE &amp; Metric Deep 6 Point Socket Set</t>
        </is>
      </c>
      <c r="E636" s="1">
        <f>HYPERLINK("https://www.amazon.com/Milwaukee-49-66-7009-SHOCKWAVE-Impact-Metric/dp/B09XYVV556/ref=sr_1_1?keywords=Milwaukee+49-66-7035+6PC+SHOCKWAVE+Impact+Duty+3%2F8%22+Drive+SAE+Standard+Socket+Set&amp;qid=1695346975&amp;sr=8-1", "https://www.amazon.com/Milwaukee-49-66-7009-SHOCKWAVE-Impact-Metric/dp/B09XYVV556/ref=sr_1_1?keywords=Milwaukee+49-66-7035+6PC+SHOCKWAVE+Impact+Duty+3%2F8%22+Drive+SAE+Standard+Socket+Set&amp;qid=1695346975&amp;sr=8-1")</f>
        <v/>
      </c>
      <c r="F636" t="inlineStr">
        <is>
          <t>B09XYVV556</t>
        </is>
      </c>
      <c r="G636">
        <f>_xlfn.IMAGE("https://www.toolnut.com/media/catalog/product/4/9/49-66-7035_101.jpg?quality=100&amp;bg-color=255,255,255&amp;fit=bounds&amp;height=700&amp;width=700&amp;canvas=700:700&amp;dpr=1 1x")</f>
        <v/>
      </c>
      <c r="H636">
        <f>_xlfn.IMAGE("https://m.media-amazon.com/images/I/61mENChXnDL._AC_UL320_.jpg")</f>
        <v/>
      </c>
      <c r="K636" t="inlineStr">
        <is>
          <t>29.97</t>
        </is>
      </c>
      <c r="L636" t="n">
        <v>105.99</v>
      </c>
      <c r="M636" s="2" t="inlineStr">
        <is>
          <t>253.65%</t>
        </is>
      </c>
      <c r="N636" t="n">
        <v>4.7</v>
      </c>
      <c r="O636" t="n">
        <v>310</v>
      </c>
      <c r="Q636" t="inlineStr">
        <is>
          <t>InStock</t>
        </is>
      </c>
      <c r="R636" t="inlineStr">
        <is>
          <t>undefined</t>
        </is>
      </c>
      <c r="S636" t="inlineStr">
        <is>
          <t>49-66-7035</t>
        </is>
      </c>
    </row>
    <row r="637" ht="75" customHeight="1">
      <c r="A637" s="1">
        <f>HYPERLINK("https://www.toolnut.com/milwaukee-49-66-7036-6pc-shockwave-impact-duty-3-8-drive-metric-standard-socket-set.html", "https://www.toolnut.com/milwaukee-49-66-7036-6pc-shockwave-impact-duty-3-8-drive-metric-standard-socket-set.html")</f>
        <v/>
      </c>
      <c r="B637" s="1">
        <f>HYPERLINK("https://www.toolnut.com/milwaukee-49-66-7036-6pc-shockwave-impact-duty-3-8-drive-metric-standard-socket-set.html", "https://www.toolnut.com/milwaukee-49-66-7036-6pc-shockwave-impact-duty-3-8-drive-metric-standard-socket-set.html")</f>
        <v/>
      </c>
      <c r="C637" t="inlineStr">
        <is>
          <t>Milwaukee 49-66-7036 6PC SHOCKWAVE Impact Duty 3/8" Drive Metric Standard Socket Set</t>
        </is>
      </c>
      <c r="D637" t="inlineStr">
        <is>
          <t>Milwaukee 49-66-7009 43PC SHOCKWAVE Impact Duty 3/8" Drive SAE &amp; Metric Deep 6 Point Socket Set</t>
        </is>
      </c>
      <c r="E637" s="1">
        <f>HYPERLINK("https://www.amazon.com/Milwaukee-49-66-7009-SHOCKWAVE-Impact-Metric/dp/B09XYVV556/ref=sr_1_1?keywords=Milwaukee+49-66-7036+6PC+SHOCKWAVE+Impact+Duty+3%2F8%22+Drive+Metric+Standard+Socket+Set&amp;qid=1695346970&amp;sr=8-1", "https://www.amazon.com/Milwaukee-49-66-7009-SHOCKWAVE-Impact-Metric/dp/B09XYVV556/ref=sr_1_1?keywords=Milwaukee+49-66-7036+6PC+SHOCKWAVE+Impact+Duty+3%2F8%22+Drive+Metric+Standard+Socket+Set&amp;qid=1695346970&amp;sr=8-1")</f>
        <v/>
      </c>
      <c r="F637" t="inlineStr">
        <is>
          <t>B09XYVV556</t>
        </is>
      </c>
      <c r="G637">
        <f>_xlfn.IMAGE("https://www.toolnut.com/media/catalog/product/4/9/49-66-7036_101.jpg?quality=100&amp;bg-color=255,255,255&amp;fit=bounds&amp;height=700&amp;width=700&amp;canvas=700:700&amp;dpr=1 1x")</f>
        <v/>
      </c>
      <c r="H637">
        <f>_xlfn.IMAGE("https://m.media-amazon.com/images/I/61mENChXnDL._AC_UL320_.jpg")</f>
        <v/>
      </c>
      <c r="K637" t="inlineStr">
        <is>
          <t>29.97</t>
        </is>
      </c>
      <c r="L637" t="n">
        <v>105.99</v>
      </c>
      <c r="M637" s="2" t="inlineStr">
        <is>
          <t>253.65%</t>
        </is>
      </c>
      <c r="N637" t="n">
        <v>4.7</v>
      </c>
      <c r="O637" t="n">
        <v>310</v>
      </c>
      <c r="Q637" t="inlineStr">
        <is>
          <t>InStock</t>
        </is>
      </c>
      <c r="R637" t="inlineStr">
        <is>
          <t>undefined</t>
        </is>
      </c>
      <c r="S637" t="inlineStr">
        <is>
          <t>49-66-7036</t>
        </is>
      </c>
    </row>
    <row r="638" ht="75" customHeight="1">
      <c r="A638" s="1">
        <f>HYPERLINK("https://www.toolnut.com/milwaukee-49-66-7831-shockwave-impact-duty-1-2-drive-sae-metric-5pc-lug-nut-wheel-socket-set.html", "https://www.toolnut.com/milwaukee-49-66-7831-shockwave-impact-duty-1-2-drive-sae-metric-5pc-lug-nut-wheel-socket-set.html")</f>
        <v/>
      </c>
      <c r="B638" s="1">
        <f>HYPERLINK("https://www.toolnut.com/milwaukee-49-66-7831-shockwave-impact-duty-1-2-drive-sae-metric-5pc-lug-nut-wheel-socket-set.html", "https://www.toolnut.com/milwaukee-49-66-7831-shockwave-impact-duty-1-2-drive-sae-metric-5pc-lug-nut-wheel-socket-set.html")</f>
        <v/>
      </c>
      <c r="C638" t="inlineStr">
        <is>
          <t>Milwaukee 49-66-7831 SHOCKWAVE Impact Duty 1/2 Drive SAE &amp; Metric 5PC Lug Nut Wheel Socket Set</t>
        </is>
      </c>
      <c r="D638" t="inlineStr">
        <is>
          <t>Milwaukee 49-66-7016 29PC SHOCKWAVE Impact Duty 1/2" Drive SAE &amp; Metric Deep 6 Point Socket Set</t>
        </is>
      </c>
      <c r="E638" s="1">
        <f>HYPERLINK("https://www.amazon.com/Milwaukee-49-66-7016-SHOCKWAVE-Impact-Metric/dp/B09XWY2P2P/ref=sr_1_1?keywords=Milwaukee+49-66-7831+SHOCKWAVE+Impact+Duty+1%2F2+Drive+SAE&amp;qid=1695346642&amp;sr=8-1", "https://www.amazon.com/Milwaukee-49-66-7016-SHOCKWAVE-Impact-Metric/dp/B09XWY2P2P/ref=sr_1_1?keywords=Milwaukee+49-66-7831+SHOCKWAVE+Impact+Duty+1%2F2+Drive+SAE&amp;qid=1695346642&amp;sr=8-1")</f>
        <v/>
      </c>
      <c r="F638" t="inlineStr">
        <is>
          <t>B09XWY2P2P</t>
        </is>
      </c>
      <c r="G638">
        <f>_xlfn.IMAGE("https://www.toolnut.com/media/catalog/product/4/9/49-66-7831-1.jpg?quality=100&amp;bg-color=255,255,255&amp;fit=bounds&amp;height=700&amp;width=700&amp;canvas=700:700&amp;dpr=1 1x")</f>
        <v/>
      </c>
      <c r="H638">
        <f>_xlfn.IMAGE("https://m.media-amazon.com/images/I/61ykwV2Y29L._AC_UL320_.jpg")</f>
        <v/>
      </c>
      <c r="K638" t="inlineStr">
        <is>
          <t>59.99</t>
        </is>
      </c>
      <c r="L638" t="n">
        <v>189.99</v>
      </c>
      <c r="M638" s="2" t="inlineStr">
        <is>
          <t>216.70%</t>
        </is>
      </c>
      <c r="N638" t="n">
        <v>4.8</v>
      </c>
      <c r="O638" t="n">
        <v>47</v>
      </c>
      <c r="Q638" t="inlineStr">
        <is>
          <t>InStock</t>
        </is>
      </c>
      <c r="R638" t="inlineStr">
        <is>
          <t>undefined</t>
        </is>
      </c>
      <c r="S638" t="inlineStr">
        <is>
          <t>49-66-7831</t>
        </is>
      </c>
    </row>
    <row r="639" ht="75" customHeight="1">
      <c r="A639" s="1">
        <f>HYPERLINK("https://www.toolnut.com/milwaukee-mlsq040-4-1-2-trim-square.html", "https://www.toolnut.com/milwaukee-mlsq040-4-1-2-trim-square.html")</f>
        <v/>
      </c>
      <c r="B639" s="1">
        <f>HYPERLINK("https://www.toolnut.com/milwaukee-mlsq040-4-1-2-trim-square.html", "https://www.toolnut.com/milwaukee-mlsq040-4-1-2-trim-square.html")</f>
        <v/>
      </c>
      <c r="C639" t="inlineStr">
        <is>
          <t>Milwaukee MLSQ040 4-1/2" Trim Square</t>
        </is>
      </c>
      <c r="D639" t="inlineStr">
        <is>
          <t>Milwaukee 7 in. Rafter Square Easy to Read MLSQ070 &amp; MILW 4-1/2" Trim Square (MLSQ070-MLSQ040)</t>
        </is>
      </c>
      <c r="E639" s="1">
        <f>HYPERLINK("https://www.amazon.com/Milwaukee-Rafter-Square-MLSQ070-MLSQ070-MLSQ040/dp/B0BS3XY3SH/ref=sr_1_2?keywords=Milwaukee+MLSQ040+4-1%2F2%22+Trim+Square&amp;qid=1695346615&amp;sr=8-2", "https://www.amazon.com/Milwaukee-Rafter-Square-MLSQ070-MLSQ070-MLSQ040/dp/B0BS3XY3SH/ref=sr_1_2?keywords=Milwaukee+MLSQ040+4-1%2F2%22+Trim+Square&amp;qid=1695346615&amp;sr=8-2")</f>
        <v/>
      </c>
      <c r="F639" t="inlineStr">
        <is>
          <t>B0BS3XY3SH</t>
        </is>
      </c>
      <c r="G639">
        <f>_xlfn.IMAGE("https://www.toolnut.com/media/catalog/product/m/l/mlsq040_2.jpg?quality=100&amp;bg-color=255,255,255&amp;fit=bounds&amp;height=700&amp;width=700&amp;canvas=700:700&amp;dpr=1 1x")</f>
        <v/>
      </c>
      <c r="H639">
        <f>_xlfn.IMAGE("https://m.media-amazon.com/images/I/61zeXl6K+VL._AC_UL320_.jpg")</f>
        <v/>
      </c>
      <c r="K639" t="inlineStr">
        <is>
          <t>9.99</t>
        </is>
      </c>
      <c r="L639" t="n">
        <v>40.9</v>
      </c>
      <c r="M639" s="2" t="inlineStr">
        <is>
          <t>309.41%</t>
        </is>
      </c>
      <c r="N639" t="n">
        <v>5</v>
      </c>
      <c r="O639" t="n">
        <v>6</v>
      </c>
      <c r="Q639" t="inlineStr">
        <is>
          <t>InStock</t>
        </is>
      </c>
      <c r="R639" t="inlineStr">
        <is>
          <t>undefined</t>
        </is>
      </c>
      <c r="S639" t="inlineStr">
        <is>
          <t>MLSQ040</t>
        </is>
      </c>
    </row>
    <row r="640" ht="75" customHeight="1">
      <c r="A640" s="1">
        <f>HYPERLINK("https://www.toolnut.com/pica-dry-3030-pencil.html", "https://www.toolnut.com/pica-dry-3030-pencil.html")</f>
        <v/>
      </c>
      <c r="B640" s="1">
        <f>HYPERLINK("https://www.toolnut.com/pica-dry-3030-pencil.html", "https://www.toolnut.com/pica-dry-3030-pencil.html")</f>
        <v/>
      </c>
      <c r="C640" t="inlineStr">
        <is>
          <t>Pica Dry 3030 Pencil - New Improved!</t>
        </is>
      </c>
      <c r="D640" t="inlineStr">
        <is>
          <t>Pica 3030 + 4040 Dry Pen including Special Lead Base Set, Carpenter's Pencil, Green, Blue, White</t>
        </is>
      </c>
      <c r="E640" s="1">
        <f>HYPERLINK("https://www.amazon.com/Pica-3030-4040-Special-Carpenters/dp/B00IG3FDDW/ref=sr_1_1?keywords=Pica+Dry+3030+Pencil+-+New+Improved%21&amp;qid=1695346617&amp;sr=8-1", "https://www.amazon.com/Pica-3030-4040-Special-Carpenters/dp/B00IG3FDDW/ref=sr_1_1?keywords=Pica+Dry+3030+Pencil+-+New+Improved%21&amp;qid=1695346617&amp;sr=8-1")</f>
        <v/>
      </c>
      <c r="F640" t="inlineStr">
        <is>
          <t>B00IG3FDDW</t>
        </is>
      </c>
      <c r="G640">
        <f>_xlfn.IMAGE("https://www.toolnut.com/media/catalog/product/p/i/pica_3030_dry_automatic-longlife-pencil_web.jpg?quality=100&amp;bg-color=255,255,255&amp;fit=bounds&amp;height=700&amp;width=700&amp;canvas=700:700&amp;dpr=1 1x")</f>
        <v/>
      </c>
      <c r="H640">
        <f>_xlfn.IMAGE("https://m.media-amazon.com/images/I/61GVacJT1JL._AC_UL320_.jpg")</f>
        <v/>
      </c>
      <c r="K640" t="inlineStr">
        <is>
          <t>12.25</t>
        </is>
      </c>
      <c r="L640" t="n">
        <v>20.29</v>
      </c>
      <c r="M640" s="2" t="inlineStr">
        <is>
          <t>65.63%</t>
        </is>
      </c>
      <c r="N640" t="n">
        <v>4.8</v>
      </c>
      <c r="O640" t="n">
        <v>558</v>
      </c>
      <c r="Q640" t="inlineStr">
        <is>
          <t>InStock</t>
        </is>
      </c>
      <c r="R640" t="inlineStr">
        <is>
          <t>undefined</t>
        </is>
      </c>
      <c r="S640" t="inlineStr">
        <is>
          <t>3030</t>
        </is>
      </c>
    </row>
    <row r="641" ht="75" customHeight="1">
      <c r="A641" s="1">
        <f>HYPERLINK("https://www.toolnut.com/skil-7824b10-skil-7824b10-8-1-4-in-24t-carbide-circular-saw-blade.html", "https://www.toolnut.com/skil-7824b10-skil-7824b10-8-1-4-in-24t-carbide-circular-saw-blade.html")</f>
        <v/>
      </c>
      <c r="B641" s="1">
        <f>HYPERLINK("https://www.toolnut.com/skil-7824b10-skil-7824b10-8-1-4-in-24t-carbide-circular-saw-blade.html", "https://www.toolnut.com/skil-7824b10-skil-7824b10-8-1-4-in-24t-carbide-circular-saw-blade.html")</f>
        <v/>
      </c>
      <c r="C641" t="inlineStr">
        <is>
          <t>SKIL 7824B10 8-1/4 In. 24T Carbide Circular Saw Blade</t>
        </is>
      </c>
      <c r="D641" t="inlineStr">
        <is>
          <t>Skil 75724W 7-1/4-Inch 24-Tooth Carbide Tipped Circular Saw Blade for SKIL Circular Saw 5280-01/5180-01/5080-01</t>
        </is>
      </c>
      <c r="E641" s="1">
        <f>HYPERLINK("https://www.amazon.com/Skil-75724W-24-Tooth-Carbide-Circular/dp/B086X6WSFX/ref=sr_1_2?keywords=SKIL+7824B10+8-1%2F4+In.+24T+Carbide+Circular+Saw+Blade&amp;qid=1695346728&amp;sr=8-2", "https://www.amazon.com/Skil-75724W-24-Tooth-Carbide-Circular/dp/B086X6WSFX/ref=sr_1_2?keywords=SKIL+7824B10+8-1%2F4+In.+24T+Carbide+Circular+Saw+Blade&amp;qid=1695346728&amp;sr=8-2")</f>
        <v/>
      </c>
      <c r="F641" t="inlineStr">
        <is>
          <t>B086X6WSFX</t>
        </is>
      </c>
      <c r="G641">
        <f>_xlfn.IMAGE("https://www.toolnut.com/media/catalog/product/s/k/skil_7824b10_8.25inch-24t-opp-dx58-circsawblade_10-0101_main.jpg?quality=100&amp;bg-color=255,255,255&amp;fit=bounds&amp;height=700&amp;width=700&amp;canvas=700:700&amp;dpr=1 1x")</f>
        <v/>
      </c>
      <c r="H641">
        <f>_xlfn.IMAGE("https://m.media-amazon.com/images/I/91tlM8gkCdL._AC_UL320_.jpg")</f>
        <v/>
      </c>
      <c r="K641" t="inlineStr">
        <is>
          <t>9.99</t>
        </is>
      </c>
      <c r="L641" t="n">
        <v>17.35</v>
      </c>
      <c r="M641" s="2" t="inlineStr">
        <is>
          <t>73.67%</t>
        </is>
      </c>
      <c r="N641" t="n">
        <v>4.7</v>
      </c>
      <c r="O641" t="n">
        <v>75</v>
      </c>
      <c r="Q641" t="inlineStr">
        <is>
          <t>InStock</t>
        </is>
      </c>
      <c r="R641" t="inlineStr">
        <is>
          <t>undefined</t>
        </is>
      </c>
      <c r="S641" t="inlineStr">
        <is>
          <t>7824B10</t>
        </is>
      </c>
    </row>
    <row r="642" ht="75" customHeight="1">
      <c r="A642" s="1">
        <f>HYPERLINK("https://www.toolnut.com/skil-crb1002-skil-crb1002-6-1-2-in-24-tooth-circular-saw-blade.html", "https://www.toolnut.com/skil-crb1002-skil-crb1002-6-1-2-in-24-tooth-circular-saw-blade.html")</f>
        <v/>
      </c>
      <c r="B642" s="1">
        <f>HYPERLINK("https://www.toolnut.com/skil-crb1002-skil-crb1002-6-1-2-in-24-tooth-circular-saw-blade.html", "https://www.toolnut.com/skil-crb1002-skil-crb1002-6-1-2-in-24-tooth-circular-saw-blade.html")</f>
        <v/>
      </c>
      <c r="C642" t="inlineStr">
        <is>
          <t>SKIL CRB1002 6-1/2 In. 24-Tooth Circular Saw Blade</t>
        </is>
      </c>
      <c r="D642" t="inlineStr">
        <is>
          <t>Skil 75724W 7-1/4-Inch 24-Tooth Carbide Tipped Circular Saw Blade for SKIL Circular Saw 5280-01/5180-01/5080-01</t>
        </is>
      </c>
      <c r="E642" s="1">
        <f>HYPERLINK("https://www.amazon.com/Skil-75724W-24-Tooth-Carbide-Circular/dp/B086X6WSFX/ref=sr_1_9?keywords=SKIL+CRB1002+6-1%2F2+In.+24-Tooth+Circular+Saw+Blade&amp;qid=1695346716&amp;sr=8-9", "https://www.amazon.com/Skil-75724W-24-Tooth-Carbide-Circular/dp/B086X6WSFX/ref=sr_1_9?keywords=SKIL+CRB1002+6-1%2F2+In.+24-Tooth+Circular+Saw+Blade&amp;qid=1695346716&amp;sr=8-9")</f>
        <v/>
      </c>
      <c r="F642" t="inlineStr">
        <is>
          <t>B086X6WSFX</t>
        </is>
      </c>
      <c r="G642">
        <f>_xlfn.IMAGE("https://www.toolnut.com/media/catalog/product/c/r/crb1002_skil_circular-saw-blade_20-0617_on-white_without-package_02.jpg?quality=100&amp;bg-color=255,255,255&amp;fit=bounds&amp;height=700&amp;width=700&amp;canvas=700:700&amp;dpr=1 1x")</f>
        <v/>
      </c>
      <c r="H642">
        <f>_xlfn.IMAGE("https://m.media-amazon.com/images/I/91tlM8gkCdL._AC_UL320_.jpg")</f>
        <v/>
      </c>
      <c r="K642" t="inlineStr">
        <is>
          <t>7.99</t>
        </is>
      </c>
      <c r="L642" t="n">
        <v>17.35</v>
      </c>
      <c r="M642" s="2" t="inlineStr">
        <is>
          <t>117.15%</t>
        </is>
      </c>
      <c r="N642" t="n">
        <v>4.7</v>
      </c>
      <c r="O642" t="n">
        <v>75</v>
      </c>
      <c r="Q642" t="inlineStr">
        <is>
          <t>InStock</t>
        </is>
      </c>
      <c r="R642" t="inlineStr">
        <is>
          <t>undefined</t>
        </is>
      </c>
      <c r="S642" t="inlineStr">
        <is>
          <t>CRB1002</t>
        </is>
      </c>
    </row>
    <row r="643" ht="75" customHeight="1">
      <c r="A643" s="1">
        <f>HYPERLINK("https://www.toolnut.com/snappy-49016-1-4-shelf-pin-replacement-drill.html", "https://www.toolnut.com/snappy-49016-1-4-shelf-pin-replacement-drill.html")</f>
        <v/>
      </c>
      <c r="B643" s="1">
        <f>HYPERLINK("https://www.toolnut.com/snappy-49016-1-4-shelf-pin-replacement-drill.html", "https://www.toolnut.com/snappy-49016-1-4-shelf-pin-replacement-drill.html")</f>
        <v/>
      </c>
      <c r="C643" t="inlineStr">
        <is>
          <t>Snappy 49016 1/4 Shelf Pin Replacement Drill</t>
        </is>
      </c>
      <c r="D643" t="inlineStr">
        <is>
          <t>Snappy Tools 46005 - 5mm Shelf Pin HSS Twist Drill Guide, Drill Holes For Standard Shelf Pins, 1/4-Inch Hex Power Bit Shank</t>
        </is>
      </c>
      <c r="E643" s="1">
        <f>HYPERLINK("https://www.amazon.com/Snappy-Tools-46005-Standard-4-Inch/dp/B000H5MZ1K/ref=sr_1_4?keywords=Snappy+49016+1%2F4+Shelf+Pin+Replacement+Drill&amp;qid=1695346968&amp;sr=8-4", "https://www.amazon.com/Snappy-Tools-46005-Standard-4-Inch/dp/B000H5MZ1K/ref=sr_1_4?keywords=Snappy+49016+1%2F4+Shelf+Pin+Replacement+Drill&amp;qid=1695346968&amp;sr=8-4")</f>
        <v/>
      </c>
      <c r="F643" t="inlineStr">
        <is>
          <t>B000H5MZ1K</t>
        </is>
      </c>
      <c r="G643">
        <f>_xlfn.IMAGE("https://www.toolnut.com/media/catalog/product/s/n/snappy-49016-1.jpg?quality=100&amp;bg-color=255,255,255&amp;fit=bounds&amp;height=700&amp;width=700&amp;canvas=700:700&amp;dpr=1 1x")</f>
        <v/>
      </c>
      <c r="H643">
        <f>_xlfn.IMAGE("https://m.media-amazon.com/images/I/51YgG8wWq5L._AC_UL320_.jpg")</f>
        <v/>
      </c>
      <c r="K643" t="inlineStr">
        <is>
          <t>11.01</t>
        </is>
      </c>
      <c r="L643" t="n">
        <v>24.56</v>
      </c>
      <c r="M643" s="2" t="inlineStr">
        <is>
          <t>123.07%</t>
        </is>
      </c>
      <c r="N643" t="n">
        <v>4.3</v>
      </c>
      <c r="O643" t="n">
        <v>33</v>
      </c>
      <c r="Q643" t="inlineStr">
        <is>
          <t>InStock</t>
        </is>
      </c>
      <c r="R643" t="inlineStr">
        <is>
          <t>undefined</t>
        </is>
      </c>
      <c r="S643" t="inlineStr">
        <is>
          <t>49016</t>
        </is>
      </c>
    </row>
    <row r="644" ht="75" customHeight="1">
      <c r="A644" s="1">
        <f>HYPERLINK("https://www.toolnut.com/snappy-49016-1-4-shelf-pin-replacement-drill.html", "https://www.toolnut.com/snappy-49016-1-4-shelf-pin-replacement-drill.html")</f>
        <v/>
      </c>
      <c r="B644" s="1">
        <f>HYPERLINK("https://www.toolnut.com/snappy-49016-1-4-shelf-pin-replacement-drill.html", "https://www.toolnut.com/snappy-49016-1-4-shelf-pin-replacement-drill.html")</f>
        <v/>
      </c>
      <c r="C644" t="inlineStr">
        <is>
          <t>Snappy 49016 1/4 Shelf Pin Replacement Drill</t>
        </is>
      </c>
      <c r="D644" t="inlineStr">
        <is>
          <t>Snappy Tools 46005 - 5mm Shelf Pin HSS Twist Drill Guide, Drill Holes For Standard Shelf Pins, 1/4-Inch Hex Power Bit Shank</t>
        </is>
      </c>
      <c r="E644" s="1">
        <f>HYPERLINK("https://www.amazon.com/Snappy-Tools-46005-Standard-4-Inch/dp/B000H5MZ1K/ref=sr_1_4?keywords=Snappy+49016+1%2F4+Shelf+Pin+Replacement+Drill&amp;qid=1695346968&amp;sr=8-4", "https://www.amazon.com/Snappy-Tools-46005-Standard-4-Inch/dp/B000H5MZ1K/ref=sr_1_4?keywords=Snappy+49016+1%2F4+Shelf+Pin+Replacement+Drill&amp;qid=1695346968&amp;sr=8-4")</f>
        <v/>
      </c>
      <c r="F644" t="inlineStr">
        <is>
          <t>B000H5MZ1K</t>
        </is>
      </c>
      <c r="G644">
        <f>_xlfn.IMAGE("https://www.toolnut.com/media/catalog/product/s/n/snappy-49016-1.jpg?quality=100&amp;bg-color=255,255,255&amp;fit=bounds&amp;height=700&amp;width=700&amp;canvas=700:700&amp;dpr=1 1x")</f>
        <v/>
      </c>
      <c r="H644">
        <f>_xlfn.IMAGE("https://m.media-amazon.com/images/I/51YgG8wWq5L._AC_UL320_.jpg")</f>
        <v/>
      </c>
      <c r="K644" t="inlineStr">
        <is>
          <t>11.01</t>
        </is>
      </c>
      <c r="L644" t="n">
        <v>24.56</v>
      </c>
      <c r="M644" s="2" t="inlineStr">
        <is>
          <t>123.07%</t>
        </is>
      </c>
      <c r="N644" t="n">
        <v>4.3</v>
      </c>
      <c r="O644" t="n">
        <v>33</v>
      </c>
      <c r="Q644" t="inlineStr">
        <is>
          <t>InStock</t>
        </is>
      </c>
      <c r="R644" t="inlineStr">
        <is>
          <t>undefined</t>
        </is>
      </c>
      <c r="S644" t="inlineStr">
        <is>
          <t>49016</t>
        </is>
      </c>
    </row>
    <row r="645" ht="75" customHeight="1">
      <c r="A645" s="1">
        <f>HYPERLINK("https://www.toolnut.com/snappy-tools-40033-3-piece-1-4-hex-countersink-set.html", "https://www.toolnut.com/snappy-tools-40033-3-piece-1-4-hex-countersink-set.html")</f>
        <v/>
      </c>
      <c r="B645" s="1">
        <f>HYPERLINK("https://www.toolnut.com/snappy-tools-40033-3-piece-1-4-hex-countersink-set.html", "https://www.toolnut.com/snappy-tools-40033-3-piece-1-4-hex-countersink-set.html")</f>
        <v/>
      </c>
      <c r="C645" t="inlineStr">
        <is>
          <t>Snappy Tools 40033 3-Piece 1/4" Hex Countersink Set</t>
        </is>
      </c>
      <c r="D645" t="inlineStr">
        <is>
          <t>Snappy Tools 44300 New 3-Piece Hex Shank Tapered Drill Countersinks Set For #6/#8/#10 Wood Screws, Reusable, Use With Round Shank Tapered Twist Drills, 1.8-Inch Hex Key, 1/4-Inch Hex Power Bit Shank</t>
        </is>
      </c>
      <c r="E645" s="1">
        <f>HYPERLINK("https://www.amazon.com/Snappy-44300-Countersinks-Reusable-1-8-Inch/dp/B01ARZ4QC0/ref=sr_1_2?keywords=Snappy+Tools+40033+3-Piece+1%2F4%22+Hex+Countersink+Set&amp;qid=1695346984&amp;sr=8-2", "https://www.amazon.com/Snappy-44300-Countersinks-Reusable-1-8-Inch/dp/B01ARZ4QC0/ref=sr_1_2?keywords=Snappy+Tools+40033+3-Piece+1%2F4%22+Hex+Countersink+Set&amp;qid=1695346984&amp;sr=8-2")</f>
        <v/>
      </c>
      <c r="F645" t="inlineStr">
        <is>
          <t>B01ARZ4QC0</t>
        </is>
      </c>
      <c r="G645">
        <f>_xlfn.IMAGE("https://www.toolnut.com/media/catalog/product/4/0/40033.jpg?quality=100&amp;bg-color=255,255,255&amp;fit=bounds&amp;height=700&amp;width=700&amp;canvas=700:700&amp;dpr=1 1x")</f>
        <v/>
      </c>
      <c r="H645">
        <f>_xlfn.IMAGE("https://m.media-amazon.com/images/I/715jfujbtWL._AC_UL320_.jpg")</f>
        <v/>
      </c>
      <c r="K645" t="inlineStr">
        <is>
          <t>22.04</t>
        </is>
      </c>
      <c r="L645" t="n">
        <v>36.37</v>
      </c>
      <c r="M645" s="2" t="inlineStr">
        <is>
          <t>65.02%</t>
        </is>
      </c>
      <c r="N645" t="n">
        <v>4.7</v>
      </c>
      <c r="O645" t="n">
        <v>195</v>
      </c>
      <c r="Q645" t="inlineStr">
        <is>
          <t>InStock</t>
        </is>
      </c>
      <c r="R645" t="inlineStr">
        <is>
          <t>undefined</t>
        </is>
      </c>
      <c r="S645" t="inlineStr">
        <is>
          <t>40033</t>
        </is>
      </c>
    </row>
    <row r="646" ht="75" customHeight="1">
      <c r="A646" s="1">
        <f>HYPERLINK("https://www.toolnut.com/snappy-tools-40033-3-piece-1-4-hex-countersink-set.html", "https://www.toolnut.com/snappy-tools-40033-3-piece-1-4-hex-countersink-set.html")</f>
        <v/>
      </c>
      <c r="B646" s="1">
        <f>HYPERLINK("https://www.toolnut.com/snappy-tools-40033-3-piece-1-4-hex-countersink-set.html", "https://www.toolnut.com/snappy-tools-40033-3-piece-1-4-hex-countersink-set.html")</f>
        <v/>
      </c>
      <c r="C646" t="inlineStr">
        <is>
          <t>Snappy Tools 40033 3-Piece 1/4" Hex Countersink Set</t>
        </is>
      </c>
      <c r="D646" t="inlineStr">
        <is>
          <t>Snappy Tools 44300 New 3-Piece Hex Shank Tapered Drill Countersinks Set For #6/#8/#10 Wood Screws, Reusable, Use With Round Shank Tapered Twist Drills, 1.8-Inch Hex Key, 1/4-Inch Hex Power Bit Shank</t>
        </is>
      </c>
      <c r="E646" s="1">
        <f>HYPERLINK("https://www.amazon.com/Snappy-44300-Countersinks-Reusable-1-8-Inch/dp/B01ARZ4QC0/ref=sr_1_2?keywords=Snappy+Tools+40033+3-Piece+1%2F4%22+Hex+Countersink+Set&amp;qid=1695346984&amp;sr=8-2", "https://www.amazon.com/Snappy-44300-Countersinks-Reusable-1-8-Inch/dp/B01ARZ4QC0/ref=sr_1_2?keywords=Snappy+Tools+40033+3-Piece+1%2F4%22+Hex+Countersink+Set&amp;qid=1695346984&amp;sr=8-2")</f>
        <v/>
      </c>
      <c r="F646" t="inlineStr">
        <is>
          <t>B01ARZ4QC0</t>
        </is>
      </c>
      <c r="G646">
        <f>_xlfn.IMAGE("https://www.toolnut.com/media/catalog/product/4/0/40033.jpg?quality=100&amp;bg-color=255,255,255&amp;fit=bounds&amp;height=700&amp;width=700&amp;canvas=700:700&amp;dpr=1 1x")</f>
        <v/>
      </c>
      <c r="H646">
        <f>_xlfn.IMAGE("https://m.media-amazon.com/images/I/715jfujbtWL._AC_UL320_.jpg")</f>
        <v/>
      </c>
      <c r="K646" t="inlineStr">
        <is>
          <t>22.04</t>
        </is>
      </c>
      <c r="L646" t="n">
        <v>36.37</v>
      </c>
      <c r="M646" s="2" t="inlineStr">
        <is>
          <t>65.02%</t>
        </is>
      </c>
      <c r="N646" t="n">
        <v>4.7</v>
      </c>
      <c r="O646" t="n">
        <v>195</v>
      </c>
      <c r="Q646" t="inlineStr">
        <is>
          <t>InStock</t>
        </is>
      </c>
      <c r="R646" t="inlineStr">
        <is>
          <t>undefined</t>
        </is>
      </c>
      <c r="S646" t="inlineStr">
        <is>
          <t>40033</t>
        </is>
      </c>
    </row>
    <row r="647" ht="75" customHeight="1">
      <c r="A647" s="1">
        <f>HYPERLINK("https://www.toolnut.com/stiletto-ti12mc-f-titanium-hammer.html", "https://www.toolnut.com/stiletto-ti12mc-f-titanium-hammer.html")</f>
        <v/>
      </c>
      <c r="B647" s="1">
        <f>HYPERLINK("https://www.toolnut.com/stiletto-ti12mc-f-titanium-hammer.html", "https://www.toolnut.com/stiletto-ti12mc-f-titanium-hammer.html")</f>
        <v/>
      </c>
      <c r="C647" t="inlineStr">
        <is>
          <t>Stiletto TI12MC-F 12 oz Titanium Milled Face Hammer with 16-in. Hybrid Fiberglass Handle</t>
        </is>
      </c>
      <c r="D647" t="inlineStr">
        <is>
          <t>Stiletto TBM14RMC Tibone Mini-14 oz. Replaceable Milled Face Hammer with A Curved 16" Titanium Handle</t>
        </is>
      </c>
      <c r="E647" s="1">
        <f>HYPERLINK("https://www.amazon.com/Stiletto-TBM14RMC-Mini-14-Replaceable-Titanium/dp/B000JF4Z5C/ref=sr_1_3?keywords=Stiletto+TI12MC-F+12+oz+Titanium+Milled+Face+Hammer+with+16-in.+Hybrid+Fiberglass+Handle&amp;qid=1695346668&amp;sr=8-3", "https://www.amazon.com/Stiletto-TBM14RMC-Mini-14-Replaceable-Titanium/dp/B000JF4Z5C/ref=sr_1_3?keywords=Stiletto+TI12MC-F+12+oz+Titanium+Milled+Face+Hammer+with+16-in.+Hybrid+Fiberglass+Handle&amp;qid=1695346668&amp;sr=8-3")</f>
        <v/>
      </c>
      <c r="F647" t="inlineStr">
        <is>
          <t>B000JF4Z5C</t>
        </is>
      </c>
      <c r="G647">
        <f>_xlfn.IMAGE("https://www.toolnut.com/media/catalog/product/t/i/ti12mc-f_1.jpg?quality=100&amp;bg-color=255,255,255&amp;fit=bounds&amp;height=700&amp;width=700&amp;canvas=700:700&amp;dpr=1 1x")</f>
        <v/>
      </c>
      <c r="H647">
        <f>_xlfn.IMAGE("https://m.media-amazon.com/images/I/61j5R11G2rS._AC_UL320_.jpg")</f>
        <v/>
      </c>
      <c r="K647" t="inlineStr">
        <is>
          <t>10.0</t>
        </is>
      </c>
      <c r="L647" t="n">
        <v>192.95</v>
      </c>
      <c r="M647" s="2" t="inlineStr">
        <is>
          <t>1829.50%</t>
        </is>
      </c>
      <c r="N647" t="n">
        <v>4.6</v>
      </c>
      <c r="O647" t="n">
        <v>172</v>
      </c>
      <c r="Q647" t="inlineStr">
        <is>
          <t>InStock</t>
        </is>
      </c>
      <c r="R647" t="inlineStr">
        <is>
          <t>undefined</t>
        </is>
      </c>
      <c r="S647" t="inlineStr">
        <is>
          <t>TI12MC-F</t>
        </is>
      </c>
    </row>
    <row r="648" ht="75" customHeight="1">
      <c r="A648" s="1">
        <f>HYPERLINK("https://www.toolnut.com/stiletto-ti12mc-f-titanium-hammer.html", "https://www.toolnut.com/stiletto-ti12mc-f-titanium-hammer.html")</f>
        <v/>
      </c>
      <c r="B648" s="1">
        <f>HYPERLINK("https://www.toolnut.com/stiletto-ti12mc-f-titanium-hammer.html", "https://www.toolnut.com/stiletto-ti12mc-f-titanium-hammer.html")</f>
        <v/>
      </c>
      <c r="C648" t="inlineStr">
        <is>
          <t>Stiletto TI12MC-F 12 oz Titanium Milled Face Hammer with 16-in. Hybrid Fiberglass Handle</t>
        </is>
      </c>
      <c r="D648" t="inlineStr">
        <is>
          <t>Boss Hammer Construction Grade Ti64 Titanium Hammer with Tough-Fiber Shock-Absorbing Fiberglass Handle - 12 oz, No-Slip Grip, Milled Faced - BH12TIPFM</t>
        </is>
      </c>
      <c r="E648" s="1">
        <f>HYPERLINK("https://www.amazon.com/Boss-Hammer-BH12TIPFM-Fiberglass-Titanium/dp/B09X23VX1M/ref=sr_1_5?keywords=Stiletto+TI12MC-F+12+oz+Titanium+Milled+Face+Hammer+with+16-in.+Hybrid+Fiberglass+Handle&amp;qid=1695346668&amp;sr=8-5", "https://www.amazon.com/Boss-Hammer-BH12TIPFM-Fiberglass-Titanium/dp/B09X23VX1M/ref=sr_1_5?keywords=Stiletto+TI12MC-F+12+oz+Titanium+Milled+Face+Hammer+with+16-in.+Hybrid+Fiberglass+Handle&amp;qid=1695346668&amp;sr=8-5")</f>
        <v/>
      </c>
      <c r="F648" t="inlineStr">
        <is>
          <t>B09X23VX1M</t>
        </is>
      </c>
      <c r="G648">
        <f>_xlfn.IMAGE("https://www.toolnut.com/media/catalog/product/t/i/ti12mc-f_1.jpg?quality=100&amp;bg-color=255,255,255&amp;fit=bounds&amp;height=700&amp;width=700&amp;canvas=700:700&amp;dpr=1 1x")</f>
        <v/>
      </c>
      <c r="H648">
        <f>_xlfn.IMAGE("https://m.media-amazon.com/images/I/41AUFllVy0L._AC_UL320_.jpg")</f>
        <v/>
      </c>
      <c r="K648" t="inlineStr">
        <is>
          <t>10.0</t>
        </is>
      </c>
      <c r="L648" t="n">
        <v>154.95</v>
      </c>
      <c r="M648" s="2" t="inlineStr">
        <is>
          <t>1449.50%</t>
        </is>
      </c>
      <c r="N648" t="n">
        <v>5</v>
      </c>
      <c r="O648" t="n">
        <v>3</v>
      </c>
      <c r="Q648" t="inlineStr">
        <is>
          <t>InStock</t>
        </is>
      </c>
      <c r="R648" t="inlineStr">
        <is>
          <t>undefined</t>
        </is>
      </c>
      <c r="S648" t="inlineStr">
        <is>
          <t>TI12MC-F</t>
        </is>
      </c>
    </row>
    <row r="649" ht="75" customHeight="1">
      <c r="A649" s="1">
        <f>HYPERLINK("https://www.toolnut.com/stiletto-ti14mc-titanium-hammer.html", "https://www.toolnut.com/stiletto-ti14mc-titanium-hammer.html")</f>
        <v/>
      </c>
      <c r="B649" s="1">
        <f>HYPERLINK("https://www.toolnut.com/stiletto-ti14mc-titanium-hammer.html", "https://www.toolnut.com/stiletto-ti14mc-titanium-hammer.html")</f>
        <v/>
      </c>
      <c r="C649" t="inlineStr">
        <is>
          <t>Stiletto TI14MC 14 oz Titanium Milled Face Hammer with 18-in. Curved Hickory Handle</t>
        </is>
      </c>
      <c r="D649" t="inlineStr">
        <is>
          <t>Stiletto TBM14RMC Tibone Mini-14 oz. Replaceable Milled Face Hammer with A Curved 16" Titanium Handle</t>
        </is>
      </c>
      <c r="E649" s="1">
        <f>HYPERLINK("https://www.amazon.com/Stiletto-TBM14RMC-Mini-14-Replaceable-Titanium/dp/B000JF4Z5C/ref=sr_1_4?keywords=Stiletto+TI14MC+14+oz+Titanium+Milled+Face+Hammer+with+18-in.+Curved+Hickory+Handle&amp;qid=1695346642&amp;sr=8-4", "https://www.amazon.com/Stiletto-TBM14RMC-Mini-14-Replaceable-Titanium/dp/B000JF4Z5C/ref=sr_1_4?keywords=Stiletto+TI14MC+14+oz+Titanium+Milled+Face+Hammer+with+18-in.+Curved+Hickory+Handle&amp;qid=1695346642&amp;sr=8-4")</f>
        <v/>
      </c>
      <c r="F649" t="inlineStr">
        <is>
          <t>B000JF4Z5C</t>
        </is>
      </c>
      <c r="G649">
        <f>_xlfn.IMAGE("https://www.toolnut.com/media/catalog/product/t/i/ti14mc_1.jpg?quality=100&amp;bg-color=255,255,255&amp;fit=bounds&amp;height=700&amp;width=700&amp;canvas=700:700&amp;dpr=1 1x")</f>
        <v/>
      </c>
      <c r="H649">
        <f>_xlfn.IMAGE("https://m.media-amazon.com/images/I/61j5R11G2rS._AC_UL320_.jpg")</f>
        <v/>
      </c>
      <c r="K649" t="inlineStr">
        <is>
          <t>99.99</t>
        </is>
      </c>
      <c r="L649" t="n">
        <v>192.95</v>
      </c>
      <c r="M649" s="2" t="inlineStr">
        <is>
          <t>92.97%</t>
        </is>
      </c>
      <c r="N649" t="n">
        <v>4.6</v>
      </c>
      <c r="O649" t="n">
        <v>172</v>
      </c>
      <c r="Q649" t="inlineStr">
        <is>
          <t>InStock</t>
        </is>
      </c>
      <c r="R649" t="inlineStr">
        <is>
          <t>undefined</t>
        </is>
      </c>
      <c r="S649" t="inlineStr">
        <is>
          <t>TI14MC</t>
        </is>
      </c>
    </row>
    <row r="650" ht="75" customHeight="1">
      <c r="A650" s="1">
        <f>HYPERLINK("https://www.toolnut.com/stiletto-ti14ms-titanium-hammer.html", "https://www.toolnut.com/stiletto-ti14ms-titanium-hammer.html")</f>
        <v/>
      </c>
      <c r="B650" s="1">
        <f>HYPERLINK("https://www.toolnut.com/stiletto-ti14ms-titanium-hammer.html", "https://www.toolnut.com/stiletto-ti14ms-titanium-hammer.html")</f>
        <v/>
      </c>
      <c r="C650" t="inlineStr">
        <is>
          <t>Stiletto TI14MS 14 oz Titanium Milled Face Hammer with 18-in. Straight Hickory Handle</t>
        </is>
      </c>
      <c r="D650" t="inlineStr">
        <is>
          <t>Stiletto TBM14RMC Tibone Mini-14 oz. Replaceable Milled Face Hammer with A Curved 16" Titanium Handle</t>
        </is>
      </c>
      <c r="E650" s="1">
        <f>HYPERLINK("https://www.amazon.com/Stiletto-TBM14RMC-Mini-14-Replaceable-Titanium/dp/B000JF4Z5C/ref=sr_1_6?keywords=Stiletto+TI14MS+14+oz+Titanium+Milled+Face+Hammer+with+18-in.+Straight+Hickory+Handle&amp;qid=1695346641&amp;sr=8-6", "https://www.amazon.com/Stiletto-TBM14RMC-Mini-14-Replaceable-Titanium/dp/B000JF4Z5C/ref=sr_1_6?keywords=Stiletto+TI14MS+14+oz+Titanium+Milled+Face+Hammer+with+18-in.+Straight+Hickory+Handle&amp;qid=1695346641&amp;sr=8-6")</f>
        <v/>
      </c>
      <c r="F650" t="inlineStr">
        <is>
          <t>B000JF4Z5C</t>
        </is>
      </c>
      <c r="G650">
        <f>_xlfn.IMAGE("https://www.toolnut.com/media/catalog/product/t/i/ti14ms_1.jpg?quality=100&amp;bg-color=255,255,255&amp;fit=bounds&amp;height=700&amp;width=700&amp;canvas=700:700&amp;dpr=1 1x")</f>
        <v/>
      </c>
      <c r="H650">
        <f>_xlfn.IMAGE("https://m.media-amazon.com/images/I/61j5R11G2rS._AC_UL320_.jpg")</f>
        <v/>
      </c>
      <c r="K650" t="inlineStr">
        <is>
          <t>99.99</t>
        </is>
      </c>
      <c r="L650" t="n">
        <v>192.95</v>
      </c>
      <c r="M650" s="2" t="inlineStr">
        <is>
          <t>92.97%</t>
        </is>
      </c>
      <c r="N650" t="n">
        <v>4.6</v>
      </c>
      <c r="O650" t="n">
        <v>172</v>
      </c>
      <c r="Q650" t="inlineStr">
        <is>
          <t>InStock</t>
        </is>
      </c>
      <c r="R650" t="inlineStr">
        <is>
          <t>undefined</t>
        </is>
      </c>
      <c r="S650" t="inlineStr">
        <is>
          <t>TI14MS</t>
        </is>
      </c>
    </row>
    <row r="651" ht="75" customHeight="1">
      <c r="A651" s="1">
        <f>HYPERLINK("https://www.toolnut.com/stiletto-ti14sc-16-titanium-hammer.html", "https://www.toolnut.com/stiletto-ti14sc-16-titanium-hammer.html")</f>
        <v/>
      </c>
      <c r="B651" s="1">
        <f>HYPERLINK("https://www.toolnut.com/stiletto-ti14sc-16-titanium-hammer.html", "https://www.toolnut.com/stiletto-ti14sc-16-titanium-hammer.html")</f>
        <v/>
      </c>
      <c r="C651" t="inlineStr">
        <is>
          <t>Stiletto TI14SC-16 14 oz Titanium Smooth Face Hammer with 16-in. Curved Hickory Handle</t>
        </is>
      </c>
      <c r="D651" t="inlineStr">
        <is>
          <t>Stiletto TBM14RSS 14-Ounce TiBone Replaceable Mini Smooth Face Hammer with Straight 16-Inch Titanium Handle</t>
        </is>
      </c>
      <c r="E651" s="1">
        <f>HYPERLINK("https://www.amazon.com/Stiletto-TBM14RSS-14-Ounce-Replaceable-Straight/dp/B000UDV308/ref=sr_1_6?keywords=Stiletto+TI14SC-16+14+oz+Titanium+Smooth+Face+Hammer+with+16-in.+Curved+Hickory+Handle&amp;qid=1695346615&amp;sr=8-6", "https://www.amazon.com/Stiletto-TBM14RSS-14-Ounce-Replaceable-Straight/dp/B000UDV308/ref=sr_1_6?keywords=Stiletto+TI14SC-16+14+oz+Titanium+Smooth+Face+Hammer+with+16-in.+Curved+Hickory+Handle&amp;qid=1695346615&amp;sr=8-6")</f>
        <v/>
      </c>
      <c r="F651" t="inlineStr">
        <is>
          <t>B000UDV308</t>
        </is>
      </c>
      <c r="G651">
        <f>_xlfn.IMAGE("https://www.toolnut.com/media/catalog/product/t/i/ti14sc-16.jpg?quality=100&amp;bg-color=255,255,255&amp;fit=bounds&amp;height=700&amp;width=700&amp;canvas=700:700&amp;dpr=1 1x")</f>
        <v/>
      </c>
      <c r="H651">
        <f>_xlfn.IMAGE("https://m.media-amazon.com/images/I/61wA4qNrsKS._AC_UL320_.jpg")</f>
        <v/>
      </c>
      <c r="K651" t="inlineStr">
        <is>
          <t>99.99</t>
        </is>
      </c>
      <c r="L651" t="n">
        <v>218.65</v>
      </c>
      <c r="M651" s="2" t="inlineStr">
        <is>
          <t>118.67%</t>
        </is>
      </c>
      <c r="N651" t="n">
        <v>4.4</v>
      </c>
      <c r="O651" t="n">
        <v>46</v>
      </c>
      <c r="Q651" t="inlineStr">
        <is>
          <t>InStock</t>
        </is>
      </c>
      <c r="R651" t="inlineStr">
        <is>
          <t>undefined</t>
        </is>
      </c>
      <c r="S651" t="inlineStr">
        <is>
          <t>TI14SC-16</t>
        </is>
      </c>
    </row>
    <row r="652" ht="75" customHeight="1">
      <c r="A652" s="1">
        <f>HYPERLINK("https://www.toolnut.com/stiletto-ti14sc-16-titanium-hammer.html", "https://www.toolnut.com/stiletto-ti14sc-16-titanium-hammer.html")</f>
        <v/>
      </c>
      <c r="B652" s="1">
        <f>HYPERLINK("https://www.toolnut.com/stiletto-ti14sc-16-titanium-hammer.html", "https://www.toolnut.com/stiletto-ti14sc-16-titanium-hammer.html")</f>
        <v/>
      </c>
      <c r="C652" t="inlineStr">
        <is>
          <t>Stiletto TI14SC-16 14 oz Titanium Smooth Face Hammer with 16-in. Curved Hickory Handle</t>
        </is>
      </c>
      <c r="D652" t="inlineStr">
        <is>
          <t>Stiletto TBM14RMC Tibone Mini-14 oz. Replaceable Milled Face Hammer with A Curved 16" Titanium Handle</t>
        </is>
      </c>
      <c r="E652" s="1">
        <f>HYPERLINK("https://www.amazon.com/Stiletto-TBM14RMC-Mini-14-Replaceable-Titanium/dp/B000JF4Z5C/ref=sr_1_5?keywords=Stiletto+TI14SC-16+14+oz+Titanium+Smooth+Face+Hammer+with+16-in.+Curved+Hickory+Handle&amp;qid=1695346615&amp;sr=8-5", "https://www.amazon.com/Stiletto-TBM14RMC-Mini-14-Replaceable-Titanium/dp/B000JF4Z5C/ref=sr_1_5?keywords=Stiletto+TI14SC-16+14+oz+Titanium+Smooth+Face+Hammer+with+16-in.+Curved+Hickory+Handle&amp;qid=1695346615&amp;sr=8-5")</f>
        <v/>
      </c>
      <c r="F652" t="inlineStr">
        <is>
          <t>B000JF4Z5C</t>
        </is>
      </c>
      <c r="G652">
        <f>_xlfn.IMAGE("https://www.toolnut.com/media/catalog/product/t/i/ti14sc-16.jpg?quality=100&amp;bg-color=255,255,255&amp;fit=bounds&amp;height=700&amp;width=700&amp;canvas=700:700&amp;dpr=1 1x")</f>
        <v/>
      </c>
      <c r="H652">
        <f>_xlfn.IMAGE("https://m.media-amazon.com/images/I/61j5R11G2rS._AC_UL320_.jpg")</f>
        <v/>
      </c>
      <c r="K652" t="inlineStr">
        <is>
          <t>99.99</t>
        </is>
      </c>
      <c r="L652" t="n">
        <v>192.95</v>
      </c>
      <c r="M652" s="2" t="inlineStr">
        <is>
          <t>92.97%</t>
        </is>
      </c>
      <c r="N652" t="n">
        <v>4.6</v>
      </c>
      <c r="O652" t="n">
        <v>172</v>
      </c>
      <c r="Q652" t="inlineStr">
        <is>
          <t>InStock</t>
        </is>
      </c>
      <c r="R652" t="inlineStr">
        <is>
          <t>undefined</t>
        </is>
      </c>
      <c r="S652" t="inlineStr">
        <is>
          <t>TI14SC-16</t>
        </is>
      </c>
    </row>
    <row r="653" ht="75" customHeight="1">
      <c r="A653" s="1">
        <f>HYPERLINK("https://www.toolnut.com/stiletto-ti14sc-f-titanium-hammer.html", "https://www.toolnut.com/stiletto-ti14sc-f-titanium-hammer.html")</f>
        <v/>
      </c>
      <c r="B653" s="1">
        <f>HYPERLINK("https://www.toolnut.com/stiletto-ti14sc-f-titanium-hammer.html", "https://www.toolnut.com/stiletto-ti14sc-f-titanium-hammer.html")</f>
        <v/>
      </c>
      <c r="C653" t="inlineStr">
        <is>
          <t>Stiletto TI14SC-F 14 oz Titanium Smooth Face Hammer with 16-in. Hybrid Fiberglass Handle</t>
        </is>
      </c>
      <c r="D653" t="inlineStr">
        <is>
          <t>Stiletto TBM14RSS 14-Ounce TiBone Replaceable Mini Smooth Face Hammer with Straight 16-Inch Titanium Handle</t>
        </is>
      </c>
      <c r="E653" s="1">
        <f>HYPERLINK("https://www.amazon.com/Stiletto-TBM14RSS-14-Ounce-Replaceable-Straight/dp/B000UDV308/ref=sr_1_4?keywords=Stiletto+TI14SC-F+14+oz+Titanium+Smooth+Face+Hammer+with+16-in.+Hybrid+Fiberglass+Handle&amp;qid=1695346622&amp;sr=8-4", "https://www.amazon.com/Stiletto-TBM14RSS-14-Ounce-Replaceable-Straight/dp/B000UDV308/ref=sr_1_4?keywords=Stiletto+TI14SC-F+14+oz+Titanium+Smooth+Face+Hammer+with+16-in.+Hybrid+Fiberglass+Handle&amp;qid=1695346622&amp;sr=8-4")</f>
        <v/>
      </c>
      <c r="F653" t="inlineStr">
        <is>
          <t>B000UDV308</t>
        </is>
      </c>
      <c r="G653">
        <f>_xlfn.IMAGE("https://www.toolnut.com/media/catalog/product/t/i/ti14sc-f_1.jpg?quality=100&amp;bg-color=255,255,255&amp;fit=bounds&amp;height=700&amp;width=700&amp;canvas=700:700&amp;dpr=1 1x")</f>
        <v/>
      </c>
      <c r="H653">
        <f>_xlfn.IMAGE("https://m.media-amazon.com/images/I/61wA4qNrsKS._AC_UL320_.jpg")</f>
        <v/>
      </c>
      <c r="K653" t="inlineStr">
        <is>
          <t>129.99</t>
        </is>
      </c>
      <c r="L653" t="n">
        <v>218.65</v>
      </c>
      <c r="M653" s="2" t="inlineStr">
        <is>
          <t>68.21%</t>
        </is>
      </c>
      <c r="N653" t="n">
        <v>4.4</v>
      </c>
      <c r="O653" t="n">
        <v>46</v>
      </c>
      <c r="Q653" t="inlineStr">
        <is>
          <t>InStock</t>
        </is>
      </c>
      <c r="R653" t="inlineStr">
        <is>
          <t>undefined</t>
        </is>
      </c>
      <c r="S653" t="inlineStr">
        <is>
          <t>TI14SC-F</t>
        </is>
      </c>
    </row>
    <row r="654" ht="75" customHeight="1">
      <c r="A654" s="1">
        <f>HYPERLINK("https://www.toolnut.com/stiletto-ti14ss-titanium-hammer.html", "https://www.toolnut.com/stiletto-ti14ss-titanium-hammer.html")</f>
        <v/>
      </c>
      <c r="B654" s="1">
        <f>HYPERLINK("https://www.toolnut.com/stiletto-ti14ss-titanium-hammer.html", "https://www.toolnut.com/stiletto-ti14ss-titanium-hammer.html")</f>
        <v/>
      </c>
      <c r="C654" t="inlineStr">
        <is>
          <t>Stiletto TI14SS 14 oz Titanium Smooth Face Hammer with 18-in. Straight Hickory Handle</t>
        </is>
      </c>
      <c r="D654" t="inlineStr">
        <is>
          <t>Stiletto TBM14RSS 14-Ounce TiBone Replaceable Mini Smooth Face Hammer with Straight 16-Inch Titanium Handle</t>
        </is>
      </c>
      <c r="E654" s="1">
        <f>HYPERLINK("https://www.amazon.com/Stiletto-TBM14RSS-14-Ounce-Replaceable-Straight/dp/B000UDV308/ref=sr_1_4?keywords=Stiletto+TI14SS+14+oz+Titanium+Smooth+Face+Hammer+with+18-in.+Straight+Hickory+Handle&amp;qid=1695346657&amp;sr=8-4", "https://www.amazon.com/Stiletto-TBM14RSS-14-Ounce-Replaceable-Straight/dp/B000UDV308/ref=sr_1_4?keywords=Stiletto+TI14SS+14+oz+Titanium+Smooth+Face+Hammer+with+18-in.+Straight+Hickory+Handle&amp;qid=1695346657&amp;sr=8-4")</f>
        <v/>
      </c>
      <c r="F654" t="inlineStr">
        <is>
          <t>B000UDV308</t>
        </is>
      </c>
      <c r="G654">
        <f>_xlfn.IMAGE("https://www.toolnut.com/media/catalog/product/t/i/ti14ss.jpg?quality=100&amp;bg-color=255,255,255&amp;fit=bounds&amp;height=700&amp;width=700&amp;canvas=700:700&amp;dpr=1 1x")</f>
        <v/>
      </c>
      <c r="H654">
        <f>_xlfn.IMAGE("https://m.media-amazon.com/images/I/61wA4qNrsKS._AC_UL320_.jpg")</f>
        <v/>
      </c>
      <c r="K654" t="inlineStr">
        <is>
          <t>99.99</t>
        </is>
      </c>
      <c r="L654" t="n">
        <v>218.65</v>
      </c>
      <c r="M654" s="2" t="inlineStr">
        <is>
          <t>118.67%</t>
        </is>
      </c>
      <c r="N654" t="n">
        <v>4.4</v>
      </c>
      <c r="O654" t="n">
        <v>46</v>
      </c>
      <c r="Q654" t="inlineStr">
        <is>
          <t>InStock</t>
        </is>
      </c>
      <c r="R654" t="inlineStr">
        <is>
          <t>undefined</t>
        </is>
      </c>
      <c r="S654" t="inlineStr">
        <is>
          <t>TI14SS</t>
        </is>
      </c>
    </row>
    <row r="655" ht="75" customHeight="1">
      <c r="A655" s="1">
        <f>HYPERLINK("https://www.toolnut.com/stiletto-ti16mc-titanium-hammer.html", "https://www.toolnut.com/stiletto-ti16mc-titanium-hammer.html")</f>
        <v/>
      </c>
      <c r="B655" s="1">
        <f>HYPERLINK("https://www.toolnut.com/stiletto-ti16mc-titanium-hammer.html", "https://www.toolnut.com/stiletto-ti16mc-titanium-hammer.html")</f>
        <v/>
      </c>
      <c r="C655" t="inlineStr">
        <is>
          <t>Stiletto TI16MC 16 oz Titanium Milled Face Hammer with 18-in. Curved Hickory Handle</t>
        </is>
      </c>
      <c r="D655" t="inlineStr">
        <is>
          <t>Stiletto TBM14RMC Tibone Mini-14 oz. Replaceable Milled Face Hammer with A Curved 16" Titanium Handle</t>
        </is>
      </c>
      <c r="E655" s="1">
        <f>HYPERLINK("https://www.amazon.com/Stiletto-TBM14RMC-Mini-14-Replaceable-Titanium/dp/B000JF4Z5C/ref=sr_1_8?keywords=Stiletto+TI16MC+16+oz+Titanium+Milled+Face+Hammer+with+18-in.+Curved+Hickory+Handle&amp;qid=1695346616&amp;sr=8-8", "https://www.amazon.com/Stiletto-TBM14RMC-Mini-14-Replaceable-Titanium/dp/B000JF4Z5C/ref=sr_1_8?keywords=Stiletto+TI16MC+16+oz+Titanium+Milled+Face+Hammer+with+18-in.+Curved+Hickory+Handle&amp;qid=1695346616&amp;sr=8-8")</f>
        <v/>
      </c>
      <c r="F655" t="inlineStr">
        <is>
          <t>B000JF4Z5C</t>
        </is>
      </c>
      <c r="G655">
        <f>_xlfn.IMAGE("https://www.toolnut.com/media/catalog/product/t/i/ti16mc_1.jpg?quality=100&amp;bg-color=255,255,255&amp;fit=bounds&amp;height=700&amp;width=700&amp;canvas=700:700&amp;dpr=1 1x")</f>
        <v/>
      </c>
      <c r="H655">
        <f>_xlfn.IMAGE("https://m.media-amazon.com/images/I/61j5R11G2rS._AC_UL320_.jpg")</f>
        <v/>
      </c>
      <c r="K655" t="inlineStr">
        <is>
          <t>84.97</t>
        </is>
      </c>
      <c r="L655" t="n">
        <v>192.95</v>
      </c>
      <c r="M655" s="2" t="inlineStr">
        <is>
          <t>127.08%</t>
        </is>
      </c>
      <c r="N655" t="n">
        <v>4.6</v>
      </c>
      <c r="O655" t="n">
        <v>172</v>
      </c>
      <c r="Q655" t="inlineStr">
        <is>
          <t>InStock</t>
        </is>
      </c>
      <c r="R655" t="inlineStr">
        <is>
          <t>99.99</t>
        </is>
      </c>
      <c r="S655" t="inlineStr">
        <is>
          <t>TI16MC</t>
        </is>
      </c>
    </row>
    <row r="656" ht="75" customHeight="1">
      <c r="A656" s="1">
        <f>HYPERLINK("https://www.toolnut.com/stiletto-ti16mc-titanium-hammer.html", "https://www.toolnut.com/stiletto-ti16mc-titanium-hammer.html")</f>
        <v/>
      </c>
      <c r="B656" s="1">
        <f>HYPERLINK("https://www.toolnut.com/stiletto-ti16mc-titanium-hammer.html", "https://www.toolnut.com/stiletto-ti16mc-titanium-hammer.html")</f>
        <v/>
      </c>
      <c r="C656" t="inlineStr">
        <is>
          <t>Stiletto TI16MC 16 oz Titanium Milled Face Hammer with 18-in. Curved Hickory Handle</t>
        </is>
      </c>
      <c r="D656" t="inlineStr">
        <is>
          <t>Stiletto TI16MC-F 16 oz Ti Milled Face with Curved Poly-Fiberglass Handle, 18"</t>
        </is>
      </c>
      <c r="E656" s="1">
        <f>HYPERLINK("https://www.amazon.com/Stiletto-TI16MC-F-Milled-Curved-Poly-Fiberglass/dp/B00KR1PM50/ref=sr_1_4?keywords=Stiletto+TI16MC+16+oz+Titanium+Milled+Face+Hammer+with+18-in.+Curved+Hickory+Handle&amp;qid=1695346616&amp;sr=8-4", "https://www.amazon.com/Stiletto-TI16MC-F-Milled-Curved-Poly-Fiberglass/dp/B00KR1PM50/ref=sr_1_4?keywords=Stiletto+TI16MC+16+oz+Titanium+Milled+Face+Hammer+with+18-in.+Curved+Hickory+Handle&amp;qid=1695346616&amp;sr=8-4")</f>
        <v/>
      </c>
      <c r="F656" t="inlineStr">
        <is>
          <t>B00KR1PM50</t>
        </is>
      </c>
      <c r="G656">
        <f>_xlfn.IMAGE("https://www.toolnut.com/media/catalog/product/t/i/ti16mc_1.jpg?quality=100&amp;bg-color=255,255,255&amp;fit=bounds&amp;height=700&amp;width=700&amp;canvas=700:700&amp;dpr=1 1x")</f>
        <v/>
      </c>
      <c r="H656">
        <f>_xlfn.IMAGE("https://m.media-amazon.com/images/I/61zzZ7nNaeL._AC_UL320_.jpg")</f>
        <v/>
      </c>
      <c r="K656" t="inlineStr">
        <is>
          <t>84.97</t>
        </is>
      </c>
      <c r="L656" t="n">
        <v>139.97</v>
      </c>
      <c r="M656" s="2" t="inlineStr">
        <is>
          <t>64.73%</t>
        </is>
      </c>
      <c r="N656" t="n">
        <v>4.3</v>
      </c>
      <c r="O656" t="n">
        <v>52</v>
      </c>
      <c r="Q656" t="inlineStr">
        <is>
          <t>InStock</t>
        </is>
      </c>
      <c r="R656" t="inlineStr">
        <is>
          <t>99.99</t>
        </is>
      </c>
      <c r="S656" t="inlineStr">
        <is>
          <t>TI16MC</t>
        </is>
      </c>
    </row>
    <row r="657" ht="75" customHeight="1">
      <c r="A657" s="1">
        <f>HYPERLINK("https://www.toolnut.com/stiletto-ti16sc-titanium-hammer.html", "https://www.toolnut.com/stiletto-ti16sc-titanium-hammer.html")</f>
        <v/>
      </c>
      <c r="B657" s="1">
        <f>HYPERLINK("https://www.toolnut.com/stiletto-ti16sc-titanium-hammer.html", "https://www.toolnut.com/stiletto-ti16sc-titanium-hammer.html")</f>
        <v/>
      </c>
      <c r="C657" t="inlineStr">
        <is>
          <t>Stiletto TI16SC 16 oz Titanium Smooth Face Hammer with 18-in. Curved Hickory Handle</t>
        </is>
      </c>
      <c r="D657" t="inlineStr">
        <is>
          <t>Stiletto TBM14RMC Tibone Mini-14 oz. Replaceable Milled Face Hammer with A Curved 16" Titanium Handle</t>
        </is>
      </c>
      <c r="E657" s="1">
        <f>HYPERLINK("https://www.amazon.com/Stiletto-TBM14RMC-Mini-14-Replaceable-Titanium/dp/B000JF4Z5C/ref=sr_1_7?keywords=Stiletto+TI16SC+16+oz+Titanium+Smooth+Face+Hammer+with+18-in.+Curved+Hickory+Handle&amp;qid=1695346637&amp;sr=8-7", "https://www.amazon.com/Stiletto-TBM14RMC-Mini-14-Replaceable-Titanium/dp/B000JF4Z5C/ref=sr_1_7?keywords=Stiletto+TI16SC+16+oz+Titanium+Smooth+Face+Hammer+with+18-in.+Curved+Hickory+Handle&amp;qid=1695346637&amp;sr=8-7")</f>
        <v/>
      </c>
      <c r="F657" t="inlineStr">
        <is>
          <t>B000JF4Z5C</t>
        </is>
      </c>
      <c r="G657">
        <f>_xlfn.IMAGE("https://www.toolnut.com/media/catalog/product/t/i/ti16sc.jpg?quality=100&amp;bg-color=255,255,255&amp;fit=bounds&amp;height=700&amp;width=700&amp;canvas=700:700&amp;dpr=1 1x")</f>
        <v/>
      </c>
      <c r="H657">
        <f>_xlfn.IMAGE("https://m.media-amazon.com/images/I/61j5R11G2rS._AC_UL320_.jpg")</f>
        <v/>
      </c>
      <c r="K657" t="inlineStr">
        <is>
          <t>84.97</t>
        </is>
      </c>
      <c r="L657" t="n">
        <v>192.95</v>
      </c>
      <c r="M657" s="2" t="inlineStr">
        <is>
          <t>127.08%</t>
        </is>
      </c>
      <c r="N657" t="n">
        <v>4.6</v>
      </c>
      <c r="O657" t="n">
        <v>172</v>
      </c>
      <c r="Q657" t="inlineStr">
        <is>
          <t>InStock</t>
        </is>
      </c>
      <c r="R657" t="inlineStr">
        <is>
          <t>99.99</t>
        </is>
      </c>
      <c r="S657" t="inlineStr">
        <is>
          <t>TI16SC</t>
        </is>
      </c>
    </row>
    <row r="658" ht="75" customHeight="1">
      <c r="A658" s="1">
        <f>HYPERLINK("https://www.toolnut.com/wiha-30287-7-piece-softfinish-screwdriver-and-pliers-set.html", "https://www.toolnut.com/wiha-30287-7-piece-softfinish-screwdriver-and-pliers-set.html")</f>
        <v/>
      </c>
      <c r="B658" s="1">
        <f>HYPERLINK("https://www.toolnut.com/wiha-30287-7-piece-softfinish-screwdriver-and-pliers-set.html", "https://www.toolnut.com/wiha-30287-7-piece-softfinish-screwdriver-and-pliers-set.html")</f>
        <v/>
      </c>
      <c r="C658" t="inlineStr">
        <is>
          <t>Wiha 30287 7 Piece SoftFinish Screwdriver and Pliers Set</t>
        </is>
      </c>
      <c r="D658" t="inlineStr">
        <is>
          <t>Wiha 30278 7 Piece SoftFinish Slotted and Phillips Screwdriver Set</t>
        </is>
      </c>
      <c r="E658" s="1">
        <f>HYPERLINK("https://www.amazon.com/Wiha-SoftFinish-Slotted-Phillips-Screwdriver/dp/B07PLL74WC/ref=sr_1_4?keywords=Wiha+30287+7+Piece+SoftFinish+Screwdriver+and+Pliers+Set&amp;qid=1695346637&amp;sr=8-4", "https://www.amazon.com/Wiha-SoftFinish-Slotted-Phillips-Screwdriver/dp/B07PLL74WC/ref=sr_1_4?keywords=Wiha+30287+7+Piece+SoftFinish+Screwdriver+and+Pliers+Set&amp;qid=1695346637&amp;sr=8-4")</f>
        <v/>
      </c>
      <c r="F658" t="inlineStr">
        <is>
          <t>B07PLL74WC</t>
        </is>
      </c>
      <c r="G658">
        <f>_xlfn.IMAGE("https://www.toolnut.com/media/catalog/product/3/0/30287-wiha.jpg?quality=100&amp;bg-color=255,255,255&amp;fit=bounds&amp;height=700&amp;width=700&amp;canvas=700:700&amp;dpr=1 1x")</f>
        <v/>
      </c>
      <c r="H658">
        <f>_xlfn.IMAGE("https://m.media-amazon.com/images/I/61bioskqlyL._AC_UL320_.jpg")</f>
        <v/>
      </c>
      <c r="K658" t="inlineStr">
        <is>
          <t>32.99</t>
        </is>
      </c>
      <c r="L658" t="n">
        <v>56.91</v>
      </c>
      <c r="M658" s="2" t="inlineStr">
        <is>
          <t>72.51%</t>
        </is>
      </c>
      <c r="N658" t="n">
        <v>5</v>
      </c>
      <c r="O658" t="n">
        <v>23</v>
      </c>
      <c r="Q658" t="inlineStr">
        <is>
          <t>InStock</t>
        </is>
      </c>
      <c r="R658" t="inlineStr">
        <is>
          <t>71.99</t>
        </is>
      </c>
      <c r="S658" t="inlineStr">
        <is>
          <t>30287-WIHA</t>
        </is>
      </c>
    </row>
    <row r="659" ht="75" customHeight="1">
      <c r="A659" s="1">
        <f>HYPERLINK("https://www.toolnut.com/wiha-40010-magnetizer-demagnetizer.html", "https://www.toolnut.com/wiha-40010-magnetizer-demagnetizer.html")</f>
        <v/>
      </c>
      <c r="B659" s="1">
        <f>HYPERLINK("https://www.toolnut.com/wiha-40010-magnetizer-demagnetizer.html", "https://www.toolnut.com/wiha-40010-magnetizer-demagnetizer.html")</f>
        <v/>
      </c>
      <c r="C659" t="inlineStr">
        <is>
          <t>Wiha 40010 Magnetizer Demagnetizer</t>
        </is>
      </c>
      <c r="D659" t="inlineStr">
        <is>
          <t>Wiha 92191 Precision Screwdrivers 51 Pcs Master Set in Storage Tray &amp; 40010 | Magnetizer Demagnetizer , Black</t>
        </is>
      </c>
      <c r="E659" s="1">
        <f>HYPERLINK("https://www.amazon.com/Precision-Screwdrivers-51-Piece-Magnetizer-Demagnetizer/dp/B09Z8ZDPFT/ref=sr_1_5?keywords=Wiha+40010+Magnetizer+Demagnetizer&amp;qid=1695346856&amp;sr=8-5", "https://www.amazon.com/Precision-Screwdrivers-51-Piece-Magnetizer-Demagnetizer/dp/B09Z8ZDPFT/ref=sr_1_5?keywords=Wiha+40010+Magnetizer+Demagnetizer&amp;qid=1695346856&amp;sr=8-5")</f>
        <v/>
      </c>
      <c r="F659" t="inlineStr">
        <is>
          <t>B09Z8ZDPFT</t>
        </is>
      </c>
      <c r="G659">
        <f>_xlfn.IMAGE("https://www.toolnut.com/media/catalog/product/w/i/wiha_40010_magnetizer_demagnetizer.jpg?quality=100&amp;bg-color=255,255,255&amp;fit=bounds&amp;height=700&amp;width=700&amp;canvas=700:700&amp;dpr=1 1x")</f>
        <v/>
      </c>
      <c r="H659">
        <f>_xlfn.IMAGE("https://m.media-amazon.com/images/I/51D5N0uQc6L._AC_UL320_.jpg")</f>
        <v/>
      </c>
      <c r="K659" t="inlineStr">
        <is>
          <t>5.39</t>
        </is>
      </c>
      <c r="L659" t="n">
        <v>184.39</v>
      </c>
      <c r="M659" s="2" t="inlineStr">
        <is>
          <t>3320.96%</t>
        </is>
      </c>
      <c r="N659" t="n">
        <v>4</v>
      </c>
      <c r="O659" t="n">
        <v>73</v>
      </c>
      <c r="Q659" t="inlineStr">
        <is>
          <t>InStock</t>
        </is>
      </c>
      <c r="R659" t="inlineStr">
        <is>
          <t>undefined</t>
        </is>
      </c>
      <c r="S659" t="inlineStr">
        <is>
          <t>40010-WIHA</t>
        </is>
      </c>
    </row>
    <row r="660" ht="75" customHeight="1">
      <c r="A660" s="1">
        <f>HYPERLINK("https://www.toolnut.com/wiha-40010-magnetizer-demagnetizer.html", "https://www.toolnut.com/wiha-40010-magnetizer-demagnetizer.html")</f>
        <v/>
      </c>
      <c r="B660" s="1">
        <f>HYPERLINK("https://www.toolnut.com/wiha-40010-magnetizer-demagnetizer.html", "https://www.toolnut.com/wiha-40010-magnetizer-demagnetizer.html")</f>
        <v/>
      </c>
      <c r="C660" t="inlineStr">
        <is>
          <t>Wiha 40010 Magnetizer Demagnetizer</t>
        </is>
      </c>
      <c r="D660" t="inlineStr">
        <is>
          <t>WIHA 66982 ErgoStar Ball End Hex L-Key, Inch and Metric, 22-Piece &amp; 40010 | Magnetizer Demagnetizer , Black</t>
        </is>
      </c>
      <c r="E660" s="1">
        <f>HYPERLINK("https://www.amazon.com/ErgoStar-Metric-22-Piece-Magnetizer-Demagnetizer/dp/B09Z931QCC/ref=sr_1_3?keywords=Wiha+40010+Magnetizer+Demagnetizer&amp;qid=1695346856&amp;sr=8-3", "https://www.amazon.com/ErgoStar-Metric-22-Piece-Magnetizer-Demagnetizer/dp/B09Z931QCC/ref=sr_1_3?keywords=Wiha+40010+Magnetizer+Demagnetizer&amp;qid=1695346856&amp;sr=8-3")</f>
        <v/>
      </c>
      <c r="F660" t="inlineStr">
        <is>
          <t>B09Z931QCC</t>
        </is>
      </c>
      <c r="G660">
        <f>_xlfn.IMAGE("https://www.toolnut.com/media/catalog/product/w/i/wiha_40010_magnetizer_demagnetizer.jpg?quality=100&amp;bg-color=255,255,255&amp;fit=bounds&amp;height=700&amp;width=700&amp;canvas=700:700&amp;dpr=1 1x")</f>
        <v/>
      </c>
      <c r="H660">
        <f>_xlfn.IMAGE("https://m.media-amazon.com/images/I/51ZsLHmU-OL._AC_UL320_.jpg")</f>
        <v/>
      </c>
      <c r="K660" t="inlineStr">
        <is>
          <t>5.39</t>
        </is>
      </c>
      <c r="L660" t="n">
        <v>72.13</v>
      </c>
      <c r="M660" s="2" t="inlineStr">
        <is>
          <t>1238.22%</t>
        </is>
      </c>
      <c r="N660" t="n">
        <v>4.8</v>
      </c>
      <c r="O660" t="n">
        <v>947</v>
      </c>
      <c r="Q660" t="inlineStr">
        <is>
          <t>InStock</t>
        </is>
      </c>
      <c r="R660" t="inlineStr">
        <is>
          <t>undefined</t>
        </is>
      </c>
      <c r="S660" t="inlineStr">
        <is>
          <t>40010-WIHA</t>
        </is>
      </c>
    </row>
    <row r="661" ht="75" customHeight="1">
      <c r="A661" s="1">
        <f>HYPERLINK("https://www.toolnut.com/wiha-40010-magnetizer-demagnetizer.html", "https://www.toolnut.com/wiha-40010-magnetizer-demagnetizer.html")</f>
        <v/>
      </c>
      <c r="B661" s="1">
        <f>HYPERLINK("https://www.toolnut.com/wiha-40010-magnetizer-demagnetizer.html", "https://www.toolnut.com/wiha-40010-magnetizer-demagnetizer.html")</f>
        <v/>
      </c>
      <c r="C661" t="inlineStr">
        <is>
          <t>Wiha 40010 Magnetizer Demagnetizer</t>
        </is>
      </c>
      <c r="D661" t="inlineStr">
        <is>
          <t>Wera - 5347108001 347108 Kraftform Kompakt VDE 60 i/62 i/68 i/18 Insulated Blade Set &amp; Wiha 40010 | Magnetizer Demagnetizer, Black</t>
        </is>
      </c>
      <c r="E661" s="1">
        <f>HYPERLINK("https://www.amazon.com/Wera-5347108001-Kraftform-Magnetizer-Demagnetizer/dp/B09Z9FBDW6/ref=sr_1_6?keywords=Wiha+40010+Magnetizer+Demagnetizer&amp;qid=1695346856&amp;sr=8-6", "https://www.amazon.com/Wera-5347108001-Kraftform-Magnetizer-Demagnetizer/dp/B09Z9FBDW6/ref=sr_1_6?keywords=Wiha+40010+Magnetizer+Demagnetizer&amp;qid=1695346856&amp;sr=8-6")</f>
        <v/>
      </c>
      <c r="F661" t="inlineStr">
        <is>
          <t>B09Z9FBDW6</t>
        </is>
      </c>
      <c r="G661">
        <f>_xlfn.IMAGE("https://www.toolnut.com/media/catalog/product/w/i/wiha_40010_magnetizer_demagnetizer.jpg?quality=100&amp;bg-color=255,255,255&amp;fit=bounds&amp;height=700&amp;width=700&amp;canvas=700:700&amp;dpr=1 1x")</f>
        <v/>
      </c>
      <c r="H661">
        <f>_xlfn.IMAGE("https://m.media-amazon.com/images/I/51PkETaeauL._AC_UL320_.jpg")</f>
        <v/>
      </c>
      <c r="K661" t="inlineStr">
        <is>
          <t>5.39</t>
        </is>
      </c>
      <c r="L661" t="n">
        <v>71.70999999999999</v>
      </c>
      <c r="M661" s="2" t="inlineStr">
        <is>
          <t>1230.43%</t>
        </is>
      </c>
      <c r="N661" t="n">
        <v>4.8</v>
      </c>
      <c r="O661" t="n">
        <v>891</v>
      </c>
      <c r="Q661" t="inlineStr">
        <is>
          <t>InStock</t>
        </is>
      </c>
      <c r="R661" t="inlineStr">
        <is>
          <t>undefined</t>
        </is>
      </c>
      <c r="S661" t="inlineStr">
        <is>
          <t>40010-WIHA</t>
        </is>
      </c>
    </row>
    <row r="662" ht="75" customHeight="1">
      <c r="A662" s="1">
        <f>HYPERLINK("https://www.toolnut.com/wiha-40010-magnetizer-demagnetizer.html", "https://www.toolnut.com/wiha-40010-magnetizer-demagnetizer.html")</f>
        <v/>
      </c>
      <c r="B662" s="1">
        <f>HYPERLINK("https://www.toolnut.com/wiha-40010-magnetizer-demagnetizer.html", "https://www.toolnut.com/wiha-40010-magnetizer-demagnetizer.html")</f>
        <v/>
      </c>
      <c r="C662" t="inlineStr">
        <is>
          <t>Wiha 40010 Magnetizer Demagnetizer</t>
        </is>
      </c>
      <c r="D662" t="inlineStr">
        <is>
          <t>Wiha 32092 Slotted And Phillips Insulated Screwdriver Set, 1000 Volt &amp; 40010 | Magnetizer Demagnetizer, Black</t>
        </is>
      </c>
      <c r="E662" s="1">
        <f>HYPERLINK("https://www.amazon.com/Wiha-Insulated-Screwdriver-Magnetizer-Demagnetizer/dp/B0B3DXLRRB/ref=sr_1_10?keywords=Wiha+40010+Magnetizer+Demagnetizer&amp;qid=1695346856&amp;sr=8-10", "https://www.amazon.com/Wiha-Insulated-Screwdriver-Magnetizer-Demagnetizer/dp/B0B3DXLRRB/ref=sr_1_10?keywords=Wiha+40010+Magnetizer+Demagnetizer&amp;qid=1695346856&amp;sr=8-10")</f>
        <v/>
      </c>
      <c r="F662" t="inlineStr">
        <is>
          <t>B0B3DXLRRB</t>
        </is>
      </c>
      <c r="G662">
        <f>_xlfn.IMAGE("https://www.toolnut.com/media/catalog/product/w/i/wiha_40010_magnetizer_demagnetizer.jpg?quality=100&amp;bg-color=255,255,255&amp;fit=bounds&amp;height=700&amp;width=700&amp;canvas=700:700&amp;dpr=1 1x")</f>
        <v/>
      </c>
      <c r="H662">
        <f>_xlfn.IMAGE("https://m.media-amazon.com/images/I/51PR-1STTNL._AC_UL320_.jpg")</f>
        <v/>
      </c>
      <c r="K662" t="inlineStr">
        <is>
          <t>5.39</t>
        </is>
      </c>
      <c r="L662" t="n">
        <v>53.18</v>
      </c>
      <c r="M662" s="2" t="inlineStr">
        <is>
          <t>886.64%</t>
        </is>
      </c>
      <c r="N662" t="n">
        <v>4.9</v>
      </c>
      <c r="O662" t="n">
        <v>1979</v>
      </c>
      <c r="Q662" t="inlineStr">
        <is>
          <t>InStock</t>
        </is>
      </c>
      <c r="R662" t="inlineStr">
        <is>
          <t>undefined</t>
        </is>
      </c>
      <c r="S662" t="inlineStr">
        <is>
          <t>40010-WIHA</t>
        </is>
      </c>
    </row>
    <row r="663" ht="75" customHeight="1">
      <c r="A663" s="1">
        <f>HYPERLINK("https://www.toolnut.com/wiha-40010-magnetizer-demagnetizer.html", "https://www.toolnut.com/wiha-40010-magnetizer-demagnetizer.html")</f>
        <v/>
      </c>
      <c r="B663" s="1">
        <f>HYPERLINK("https://www.toolnut.com/wiha-40010-magnetizer-demagnetizer.html", "https://www.toolnut.com/wiha-40010-magnetizer-demagnetizer.html")</f>
        <v/>
      </c>
      <c r="C663" t="inlineStr">
        <is>
          <t>Wiha 40010 Magnetizer Demagnetizer</t>
        </is>
      </c>
      <c r="D663" t="inlineStr">
        <is>
          <t>Wiha 26199 Slotted and Phillips Screwdriver Set in Rugged Canvas Pouch, 8 Piece &amp; 40010 | Magnetizer Demagnetizer, Black</t>
        </is>
      </c>
      <c r="E663" s="1">
        <f>HYPERLINK("https://www.amazon.com/Wiha-Phillips-Screwdriver-Magnetizer-Demagnetizer/dp/B0BGJ5DPYY/ref=sr_1_7?keywords=Wiha+40010+Magnetizer+Demagnetizer&amp;qid=1695346856&amp;sr=8-7", "https://www.amazon.com/Wiha-Phillips-Screwdriver-Magnetizer-Demagnetizer/dp/B0BGJ5DPYY/ref=sr_1_7?keywords=Wiha+40010+Magnetizer+Demagnetizer&amp;qid=1695346856&amp;sr=8-7")</f>
        <v/>
      </c>
      <c r="F663" t="inlineStr">
        <is>
          <t>B0BGJ5DPYY</t>
        </is>
      </c>
      <c r="G663">
        <f>_xlfn.IMAGE("https://www.toolnut.com/media/catalog/product/w/i/wiha_40010_magnetizer_demagnetizer.jpg?quality=100&amp;bg-color=255,255,255&amp;fit=bounds&amp;height=700&amp;width=700&amp;canvas=700:700&amp;dpr=1 1x")</f>
        <v/>
      </c>
      <c r="H663">
        <f>_xlfn.IMAGE("https://m.media-amazon.com/images/I/515FKFU-sSL._AC_UL320_.jpg")</f>
        <v/>
      </c>
      <c r="K663" t="inlineStr">
        <is>
          <t>5.39</t>
        </is>
      </c>
      <c r="L663" t="n">
        <v>46.48</v>
      </c>
      <c r="M663" s="2" t="inlineStr">
        <is>
          <t>762.34%</t>
        </is>
      </c>
      <c r="N663" t="n">
        <v>4.7</v>
      </c>
      <c r="O663" t="n">
        <v>632</v>
      </c>
      <c r="Q663" t="inlineStr">
        <is>
          <t>InStock</t>
        </is>
      </c>
      <c r="R663" t="inlineStr">
        <is>
          <t>undefined</t>
        </is>
      </c>
      <c r="S663" t="inlineStr">
        <is>
          <t>40010-WIHA</t>
        </is>
      </c>
    </row>
    <row r="664" ht="75" customHeight="1">
      <c r="A664" s="1">
        <f>HYPERLINK("https://www.toolnut.com/wiha-40010-magnetizer-demagnetizer.html", "https://www.toolnut.com/wiha-40010-magnetizer-demagnetizer.html")</f>
        <v/>
      </c>
      <c r="B664" s="1">
        <f>HYPERLINK("https://www.toolnut.com/wiha-40010-magnetizer-demagnetizer.html", "https://www.toolnut.com/wiha-40010-magnetizer-demagnetizer.html")</f>
        <v/>
      </c>
      <c r="C664" t="inlineStr">
        <is>
          <t>Wiha 40010 Magnetizer Demagnetizer</t>
        </is>
      </c>
      <c r="D664" t="inlineStr">
        <is>
          <t>Wiha 26197 7 Piece Precision Slotted and Phillips Screwdriver Set &amp; 40010 | Magnetizer Demagnetizer, Black</t>
        </is>
      </c>
      <c r="E664" s="1">
        <f>HYPERLINK("https://www.amazon.com/Wiha-Precision-Screwdriver-Magnetizer-Demagnetizer/dp/B0C9CLGXZ5/ref=sr_1_4?keywords=Wiha+40010+Magnetizer+Demagnetizer&amp;qid=1695346856&amp;sr=8-4", "https://www.amazon.com/Wiha-Precision-Screwdriver-Magnetizer-Demagnetizer/dp/B0C9CLGXZ5/ref=sr_1_4?keywords=Wiha+40010+Magnetizer+Demagnetizer&amp;qid=1695346856&amp;sr=8-4")</f>
        <v/>
      </c>
      <c r="F664" t="inlineStr">
        <is>
          <t>B0C9CLGXZ5</t>
        </is>
      </c>
      <c r="G664">
        <f>_xlfn.IMAGE("https://www.toolnut.com/media/catalog/product/w/i/wiha_40010_magnetizer_demagnetizer.jpg?quality=100&amp;bg-color=255,255,255&amp;fit=bounds&amp;height=700&amp;width=700&amp;canvas=700:700&amp;dpr=1 1x")</f>
        <v/>
      </c>
      <c r="H664">
        <f>_xlfn.IMAGE("https://m.media-amazon.com/images/I/517RB3PzD6L._AC_UL320_.jpg")</f>
        <v/>
      </c>
      <c r="K664" t="inlineStr">
        <is>
          <t>5.39</t>
        </is>
      </c>
      <c r="L664" t="n">
        <v>30.01</v>
      </c>
      <c r="M664" s="2" t="inlineStr">
        <is>
          <t>456.77%</t>
        </is>
      </c>
      <c r="N664" t="n">
        <v>4.8</v>
      </c>
      <c r="O664" t="n">
        <v>1783</v>
      </c>
      <c r="Q664" t="inlineStr">
        <is>
          <t>InStock</t>
        </is>
      </c>
      <c r="R664" t="inlineStr">
        <is>
          <t>undefined</t>
        </is>
      </c>
      <c r="S664" t="inlineStr">
        <is>
          <t>40010-WIHA</t>
        </is>
      </c>
    </row>
    <row r="665" ht="75" customHeight="1">
      <c r="A665" s="1">
        <f>HYPERLINK("https://www.toolnut.com/wiha-75958-36-piece-gobox-precision-micro-bit-set.html", "https://www.toolnut.com/wiha-75958-36-piece-gobox-precision-micro-bit-set.html")</f>
        <v/>
      </c>
      <c r="B665" s="1">
        <f>HYPERLINK("https://www.toolnut.com/wiha-75958-36-piece-gobox-precision-micro-bit-set.html", "https://www.toolnut.com/wiha-75958-36-piece-gobox-precision-micro-bit-set.html")</f>
        <v/>
      </c>
      <c r="C665" t="inlineStr">
        <is>
          <t>Wiha 75958 36-Piece GoBox Precision Micro Bit Set</t>
        </is>
      </c>
      <c r="D665" t="inlineStr">
        <is>
          <t>Wiha 74984 32 Piece GoBox Standard Bit Set with Mini Ratchet &amp; 75958 Piece GoBox Precision Micro Bit Set</t>
        </is>
      </c>
      <c r="E665" s="1">
        <f>HYPERLINK("https://www.amazon.com/Wiha-74984-Standard-Ratchet-Precision/dp/B0CF2HDPX2/ref=sr_1_7?keywords=Wiha+75958+36-Piece+GoBox+Precision+Micro+Bit+Set&amp;qid=1695346631&amp;sr=8-7", "https://www.amazon.com/Wiha-74984-Standard-Ratchet-Precision/dp/B0CF2HDPX2/ref=sr_1_7?keywords=Wiha+75958+36-Piece+GoBox+Precision+Micro+Bit+Set&amp;qid=1695346631&amp;sr=8-7")</f>
        <v/>
      </c>
      <c r="F665" t="inlineStr">
        <is>
          <t>B0CF2HDPX2</t>
        </is>
      </c>
      <c r="G665">
        <f>_xlfn.IMAGE("https://www.toolnut.com/media/catalog/product/7/5/75958-wiha.jpg?quality=100&amp;bg-color=255,255,255&amp;fit=bounds&amp;height=700&amp;width=700&amp;canvas=700:700&amp;dpr=1 1x")</f>
        <v/>
      </c>
      <c r="H665">
        <f>_xlfn.IMAGE("https://m.media-amazon.com/images/I/51WESaDk65L._AC_UL320_.jpg")</f>
        <v/>
      </c>
      <c r="K665" t="inlineStr">
        <is>
          <t>37.49</t>
        </is>
      </c>
      <c r="L665" t="n">
        <v>73.34999999999999</v>
      </c>
      <c r="M665" s="2" t="inlineStr">
        <is>
          <t>95.65%</t>
        </is>
      </c>
      <c r="N665" t="n">
        <v>4.7</v>
      </c>
      <c r="O665" t="n">
        <v>58</v>
      </c>
      <c r="Q665" t="inlineStr">
        <is>
          <t>InStock</t>
        </is>
      </c>
      <c r="R665" t="inlineStr">
        <is>
          <t>undefined</t>
        </is>
      </c>
      <c r="S665" t="inlineStr">
        <is>
          <t>75958-WIHA</t>
        </is>
      </c>
    </row>
    <row r="666" ht="75" customHeight="1">
      <c r="A666" s="1">
        <f>HYPERLINK("https://www.toolnut.com/wiha-76884-wiha-40-piece-maxxtor-impact-bit-set.html", "https://www.toolnut.com/wiha-76884-wiha-40-piece-maxxtor-impact-bit-set.html")</f>
        <v/>
      </c>
      <c r="B666" s="1">
        <f>HYPERLINK("https://www.toolnut.com/wiha-76884-wiha-40-piece-maxxtor-impact-bit-set.html", "https://www.toolnut.com/wiha-76884-wiha-40-piece-maxxtor-impact-bit-set.html")</f>
        <v/>
      </c>
      <c r="C666" t="inlineStr">
        <is>
          <t>Wiha 76884 40-Piece MaxxTor Impact Bit Set</t>
        </is>
      </c>
      <c r="D666" t="inlineStr">
        <is>
          <t>Wiha 76886 34 Piece MaxxTor Impact Bits Set with General Purpose Zipper Pouch</t>
        </is>
      </c>
      <c r="E666" s="1">
        <f>HYPERLINK("https://www.amazon.com/Wiha-76886-MaxxTor-General-Purpose/dp/B084DBXL96/ref=sr_1_4?keywords=Wiha+76884+40-Piece+MaxxTor+Impact+Bit+Set&amp;qid=1695346967&amp;sr=8-4", "https://www.amazon.com/Wiha-76886-MaxxTor-General-Purpose/dp/B084DBXL96/ref=sr_1_4?keywords=Wiha+76884+40-Piece+MaxxTor+Impact+Bit+Set&amp;qid=1695346967&amp;sr=8-4")</f>
        <v/>
      </c>
      <c r="F666" t="inlineStr">
        <is>
          <t>B084DBXL96</t>
        </is>
      </c>
      <c r="G666">
        <f>_xlfn.IMAGE("https://www.toolnut.com/media/catalog/product/7/6/76884-wiha.jpg?quality=100&amp;bg-color=255,255,255&amp;fit=bounds&amp;height=700&amp;width=700&amp;canvas=700:700&amp;dpr=1 1x")</f>
        <v/>
      </c>
      <c r="H666">
        <f>_xlfn.IMAGE("https://m.media-amazon.com/images/I/71emW+R8ADL._AC_UL320_.jpg")</f>
        <v/>
      </c>
      <c r="K666" t="inlineStr">
        <is>
          <t>29.97</t>
        </is>
      </c>
      <c r="L666" t="n">
        <v>88.98</v>
      </c>
      <c r="M666" s="2" t="inlineStr">
        <is>
          <t>196.90%</t>
        </is>
      </c>
      <c r="N666" t="n">
        <v>3.8</v>
      </c>
      <c r="O666" t="n">
        <v>7</v>
      </c>
      <c r="Q666" t="inlineStr">
        <is>
          <t>InStock</t>
        </is>
      </c>
      <c r="R666" t="inlineStr">
        <is>
          <t>undefined</t>
        </is>
      </c>
      <c r="S666" t="inlineStr">
        <is>
          <t>76884-Wiha</t>
        </is>
      </c>
    </row>
    <row r="667" ht="75" customHeight="1">
      <c r="A667" s="1">
        <f>HYPERLINK("https://www.toolnut.com/wiha-76884-wiha-40-piece-maxxtor-impact-bit-set.html", "https://www.toolnut.com/wiha-76884-wiha-40-piece-maxxtor-impact-bit-set.html")</f>
        <v/>
      </c>
      <c r="B667" s="1">
        <f>HYPERLINK("https://www.toolnut.com/wiha-76884-wiha-40-piece-maxxtor-impact-bit-set.html", "https://www.toolnut.com/wiha-76884-wiha-40-piece-maxxtor-impact-bit-set.html")</f>
        <v/>
      </c>
      <c r="C667" t="inlineStr">
        <is>
          <t>Wiha 76884 40-Piece MaxxTor Impact Bit Set</t>
        </is>
      </c>
      <c r="D667" t="inlineStr">
        <is>
          <t>Wiha 76899 34 Piece MaxxTor Impact Bit Set</t>
        </is>
      </c>
      <c r="E667" s="1">
        <f>HYPERLINK("https://www.amazon.com/Wiha-Terminator-Impact-Insert-Storage/dp/B01GT4TIJY/ref=sr_1_3?keywords=Wiha+76884+40-Piece+MaxxTor+Impact+Bit+Set&amp;qid=1695346967&amp;sr=8-3", "https://www.amazon.com/Wiha-Terminator-Impact-Insert-Storage/dp/B01GT4TIJY/ref=sr_1_3?keywords=Wiha+76884+40-Piece+MaxxTor+Impact+Bit+Set&amp;qid=1695346967&amp;sr=8-3")</f>
        <v/>
      </c>
      <c r="F667" t="inlineStr">
        <is>
          <t>B01GT4TIJY</t>
        </is>
      </c>
      <c r="G667">
        <f>_xlfn.IMAGE("https://www.toolnut.com/media/catalog/product/7/6/76884-wiha.jpg?quality=100&amp;bg-color=255,255,255&amp;fit=bounds&amp;height=700&amp;width=700&amp;canvas=700:700&amp;dpr=1 1x")</f>
        <v/>
      </c>
      <c r="H667">
        <f>_xlfn.IMAGE("https://m.media-amazon.com/images/I/71kCyAnOcWL._AC_UL320_.jpg")</f>
        <v/>
      </c>
      <c r="K667" t="inlineStr">
        <is>
          <t>29.97</t>
        </is>
      </c>
      <c r="L667" t="n">
        <v>50.42</v>
      </c>
      <c r="M667" s="2" t="inlineStr">
        <is>
          <t>68.23%</t>
        </is>
      </c>
      <c r="N667" t="n">
        <v>4.7</v>
      </c>
      <c r="O667" t="n">
        <v>26</v>
      </c>
      <c r="Q667" t="inlineStr">
        <is>
          <t>InStock</t>
        </is>
      </c>
      <c r="R667" t="inlineStr">
        <is>
          <t>undefined</t>
        </is>
      </c>
      <c r="S667" t="inlineStr">
        <is>
          <t>76884-Wiha</t>
        </is>
      </c>
    </row>
    <row r="668" ht="75" customHeight="1">
      <c r="A668" s="1">
        <f>HYPERLINK("https://www.toolnut.com/wiha-76884-wiha-40-piece-maxxtor-impact-bit-set.html", "https://www.toolnut.com/wiha-76884-wiha-40-piece-maxxtor-impact-bit-set.html")</f>
        <v/>
      </c>
      <c r="B668" s="1">
        <f>HYPERLINK("https://www.toolnut.com/wiha-76884-wiha-40-piece-maxxtor-impact-bit-set.html", "https://www.toolnut.com/wiha-76884-wiha-40-piece-maxxtor-impact-bit-set.html")</f>
        <v/>
      </c>
      <c r="C668" t="inlineStr">
        <is>
          <t>Wiha 76884 40-Piece MaxxTor Impact Bit Set</t>
        </is>
      </c>
      <c r="D668" t="inlineStr">
        <is>
          <t>Wiha 76899 34 Piece MaxxTor Impact Bit Set</t>
        </is>
      </c>
      <c r="E668" s="1">
        <f>HYPERLINK("https://www.amazon.com/Wiha-Terminator-Impact-Insert-Storage/dp/B01GT4TIJY/ref=sr_1_3?keywords=Wiha+76884+40-Piece+MaxxTor+Impact+Bit+Set&amp;qid=1695346967&amp;sr=8-3", "https://www.amazon.com/Wiha-Terminator-Impact-Insert-Storage/dp/B01GT4TIJY/ref=sr_1_3?keywords=Wiha+76884+40-Piece+MaxxTor+Impact+Bit+Set&amp;qid=1695346967&amp;sr=8-3")</f>
        <v/>
      </c>
      <c r="F668" t="inlineStr">
        <is>
          <t>B01GT4TIJY</t>
        </is>
      </c>
      <c r="G668">
        <f>_xlfn.IMAGE("https://www.toolnut.com/media/catalog/product/7/6/76884-wiha.jpg?quality=100&amp;bg-color=255,255,255&amp;fit=bounds&amp;height=700&amp;width=700&amp;canvas=700:700&amp;dpr=1 1x")</f>
        <v/>
      </c>
      <c r="H668">
        <f>_xlfn.IMAGE("https://m.media-amazon.com/images/I/71kCyAnOcWL._AC_UL320_.jpg")</f>
        <v/>
      </c>
      <c r="K668" t="inlineStr">
        <is>
          <t>29.97</t>
        </is>
      </c>
      <c r="L668" t="n">
        <v>50.42</v>
      </c>
      <c r="M668" s="2" t="inlineStr">
        <is>
          <t>68.23%</t>
        </is>
      </c>
      <c r="N668" t="n">
        <v>4.7</v>
      </c>
      <c r="O668" t="n">
        <v>26</v>
      </c>
      <c r="Q668" t="inlineStr">
        <is>
          <t>InStock</t>
        </is>
      </c>
      <c r="R668" t="inlineStr">
        <is>
          <t>undefined</t>
        </is>
      </c>
      <c r="S668" t="inlineStr">
        <is>
          <t>76884-Wiha</t>
        </is>
      </c>
    </row>
    <row r="669" ht="75" customHeight="1">
      <c r="A669" s="1">
        <f>HYPERLINK("https://www.toolnut.com/wiha-76885-wiha-50-piece-maxxtor-impact-bit-set.html", "https://www.toolnut.com/wiha-76885-wiha-50-piece-maxxtor-impact-bit-set.html")</f>
        <v/>
      </c>
      <c r="B669" s="1">
        <f>HYPERLINK("https://www.toolnut.com/wiha-76885-wiha-50-piece-maxxtor-impact-bit-set.html", "https://www.toolnut.com/wiha-76885-wiha-50-piece-maxxtor-impact-bit-set.html")</f>
        <v/>
      </c>
      <c r="C669" t="inlineStr">
        <is>
          <t>Wiha 76885 50-Piece MaxxTor Impact Bit Set</t>
        </is>
      </c>
      <c r="D669" t="inlineStr">
        <is>
          <t>Wiha 76886 34 Piece MaxxTor Impact Bits Set with General Purpose Zipper Pouch</t>
        </is>
      </c>
      <c r="E669" s="1">
        <f>HYPERLINK("https://www.amazon.com/Wiha-76886-MaxxTor-General-Purpose/dp/B084DBXL96/ref=sr_1_7?keywords=Wiha+76885+50-Piece+MaxxTor+Impact+Bit+Set&amp;qid=1695347004&amp;sr=8-7", "https://www.amazon.com/Wiha-76886-MaxxTor-General-Purpose/dp/B084DBXL96/ref=sr_1_7?keywords=Wiha+76885+50-Piece+MaxxTor+Impact+Bit+Set&amp;qid=1695347004&amp;sr=8-7")</f>
        <v/>
      </c>
      <c r="F669" t="inlineStr">
        <is>
          <t>B084DBXL96</t>
        </is>
      </c>
      <c r="G669">
        <f>_xlfn.IMAGE("https://www.toolnut.com/media/catalog/product/7/6/76885-wiha.jpg?quality=100&amp;bg-color=255,255,255&amp;fit=bounds&amp;height=700&amp;width=700&amp;canvas=700:700&amp;dpr=1 1x")</f>
        <v/>
      </c>
      <c r="H669">
        <f>_xlfn.IMAGE("https://m.media-amazon.com/images/I/71emW+R8ADL._AC_UL320_.jpg")</f>
        <v/>
      </c>
      <c r="K669" t="inlineStr">
        <is>
          <t>34.92</t>
        </is>
      </c>
      <c r="L669" t="n">
        <v>103.5</v>
      </c>
      <c r="M669" s="2" t="inlineStr">
        <is>
          <t>196.39%</t>
        </is>
      </c>
      <c r="N669" t="n">
        <v>3.8</v>
      </c>
      <c r="O669" t="n">
        <v>7</v>
      </c>
      <c r="Q669" t="inlineStr">
        <is>
          <t>InStock</t>
        </is>
      </c>
      <c r="R669" t="inlineStr">
        <is>
          <t>undefined</t>
        </is>
      </c>
      <c r="S669" t="inlineStr">
        <is>
          <t>76885-Wiha</t>
        </is>
      </c>
    </row>
    <row r="670" ht="75" customHeight="1">
      <c r="A670" s="1">
        <f>HYPERLINK("https://www.toolnut.com/wiha-79242-torx-bit-selector-set-with-universal-magnetic-bit-holder.html", "https://www.toolnut.com/wiha-79242-torx-bit-selector-set-with-universal-magnetic-bit-holder.html")</f>
        <v/>
      </c>
      <c r="B670" s="1">
        <f>HYPERLINK("https://www.toolnut.com/wiha-79242-torx-bit-selector-set-with-universal-magnetic-bit-holder.html", "https://www.toolnut.com/wiha-79242-torx-bit-selector-set-with-universal-magnetic-bit-holder.html")</f>
        <v/>
      </c>
      <c r="C670" t="inlineStr">
        <is>
          <t>Wiha 79242 Torx Bit Selector Set with Universal Magnetic Bit Holder</t>
        </is>
      </c>
      <c r="D670" t="inlineStr">
        <is>
          <t>Wiha 79242 11 Piece Torx Bit Selector (T5-T30) &amp; Wiha 28103 Magnetic 1/4 Bit Holder, Stubby, 57mm</t>
        </is>
      </c>
      <c r="E670" s="1">
        <f>HYPERLINK("https://www.amazon.com/Wiha-79242-Selector-T5-T30-Magnetic/dp/B0BNL7JGCG/ref=sr_1_2?keywords=Wiha+79242+Torx+Bit+Selector+Set+with+Universal+Magnetic+Bit+Holder&amp;qid=1695346849&amp;sr=8-2", "https://www.amazon.com/Wiha-79242-Selector-T5-T30-Magnetic/dp/B0BNL7JGCG/ref=sr_1_2?keywords=Wiha+79242+Torx+Bit+Selector+Set+with+Universal+Magnetic+Bit+Holder&amp;qid=1695346849&amp;sr=8-2")</f>
        <v/>
      </c>
      <c r="F670" t="inlineStr">
        <is>
          <t>B0BNL7JGCG</t>
        </is>
      </c>
      <c r="G670">
        <f>_xlfn.IMAGE("https://www.toolnut.com/media/catalog/product/w/i/wiha-79242-1.jpg?quality=100&amp;bg-color=255,255,255&amp;fit=bounds&amp;height=700&amp;width=700&amp;canvas=700:700&amp;dpr=1 1x")</f>
        <v/>
      </c>
      <c r="H670">
        <f>_xlfn.IMAGE("https://m.media-amazon.com/images/I/41TXxJTc+OL._AC_UL320_.jpg")</f>
        <v/>
      </c>
      <c r="K670" t="inlineStr">
        <is>
          <t>17.81</t>
        </is>
      </c>
      <c r="L670" t="n">
        <v>36.62</v>
      </c>
      <c r="M670" s="2" t="inlineStr">
        <is>
          <t>105.61%</t>
        </is>
      </c>
      <c r="N670" t="n">
        <v>5</v>
      </c>
      <c r="O670" t="n">
        <v>2</v>
      </c>
      <c r="Q670" t="inlineStr">
        <is>
          <t>InStock</t>
        </is>
      </c>
      <c r="R670" t="inlineStr">
        <is>
          <t>undefined</t>
        </is>
      </c>
      <c r="S670" t="inlineStr">
        <is>
          <t>79242-WIHA</t>
        </is>
      </c>
    </row>
    <row r="671" ht="75" customHeight="1">
      <c r="A671" s="1">
        <f>HYPERLINK("https://www.toolnut.com/wiha-79242-torx-bit-selector-set-with-universal-magnetic-bit-holder.html", "https://www.toolnut.com/wiha-79242-torx-bit-selector-set-with-universal-magnetic-bit-holder.html")</f>
        <v/>
      </c>
      <c r="B671" s="1">
        <f>HYPERLINK("https://www.toolnut.com/wiha-79242-torx-bit-selector-set-with-universal-magnetic-bit-holder.html", "https://www.toolnut.com/wiha-79242-torx-bit-selector-set-with-universal-magnetic-bit-holder.html")</f>
        <v/>
      </c>
      <c r="C671" t="inlineStr">
        <is>
          <t>Wiha 79242 Torx Bit Selector Set with Universal Magnetic Bit Holder</t>
        </is>
      </c>
      <c r="D671" t="inlineStr">
        <is>
          <t>Wiha 79242 11 Piece Torx Bit Selector (T5-T30) &amp; Wiha 28103 Magnetic 1/4 Bit Holder, Stubby, 57mm</t>
        </is>
      </c>
      <c r="E671" s="1">
        <f>HYPERLINK("https://www.amazon.com/Wiha-79242-Selector-T5-T30-Magnetic/dp/B0BNL7JGCG/ref=sr_1_2?keywords=Wiha+79242+Torx+Bit+Selector+Set+with+Universal+Magnetic+Bit+Holder&amp;qid=1695346849&amp;sr=8-2", "https://www.amazon.com/Wiha-79242-Selector-T5-T30-Magnetic/dp/B0BNL7JGCG/ref=sr_1_2?keywords=Wiha+79242+Torx+Bit+Selector+Set+with+Universal+Magnetic+Bit+Holder&amp;qid=1695346849&amp;sr=8-2")</f>
        <v/>
      </c>
      <c r="F671" t="inlineStr">
        <is>
          <t>B0BNL7JGCG</t>
        </is>
      </c>
      <c r="G671">
        <f>_xlfn.IMAGE("https://www.toolnut.com/media/catalog/product/w/i/wiha-79242-1.jpg?quality=100&amp;bg-color=255,255,255&amp;fit=bounds&amp;height=700&amp;width=700&amp;canvas=700:700&amp;dpr=1 1x")</f>
        <v/>
      </c>
      <c r="H671">
        <f>_xlfn.IMAGE("https://m.media-amazon.com/images/I/41TXxJTc+OL._AC_UL320_.jpg")</f>
        <v/>
      </c>
      <c r="K671" t="inlineStr">
        <is>
          <t>17.81</t>
        </is>
      </c>
      <c r="L671" t="n">
        <v>36.62</v>
      </c>
      <c r="M671" s="2" t="inlineStr">
        <is>
          <t>105.61%</t>
        </is>
      </c>
      <c r="N671" t="n">
        <v>5</v>
      </c>
      <c r="O671" t="n">
        <v>2</v>
      </c>
      <c r="Q671" t="inlineStr">
        <is>
          <t>InStock</t>
        </is>
      </c>
      <c r="R671" t="inlineStr">
        <is>
          <t>undefined</t>
        </is>
      </c>
      <c r="S671" t="inlineStr">
        <is>
          <t>79242-WIHA</t>
        </is>
      </c>
    </row>
  </sheetData>
  <autoFilter ref="A1:W671">
    <sortState ref="A2:W671">
      <sortCondition ref="A1:A671"/>
    </sortState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2023-09-22T16:22:40Z</dcterms:created>
  <dcterms:modified xsi:type="dcterms:W3CDTF">2023-09-29T19:58:34Z</dcterms:modified>
  <cp:lastModifiedBy>John Connolly</cp:lastModifiedBy>
</cp:coreProperties>
</file>