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Sheet" sheetId="1" state="visible" r:id="rId1"/>
  </sheets>
  <definedNames>
    <definedName name="_xlnm._FilterDatabase" localSheetId="0" hidden="1">'Sheet'!$A$1:$W$537</definedName>
  </definedNames>
  <calcPr calcId="191029" fullCalcOnLoad="1"/>
</workbook>
</file>

<file path=xl/styles.xml><?xml version="1.0" encoding="utf-8"?>
<styleSheet xmlns="http://schemas.openxmlformats.org/spreadsheetml/2006/main">
  <numFmts count="0"/>
  <fonts count="3">
    <font>
      <name val="Calibri"/>
      <family val="2"/>
      <color theme="1"/>
      <sz val="11"/>
      <scheme val="minor"/>
    </font>
    <font>
      <name val="Calibri"/>
      <b val="1"/>
      <sz val="11"/>
    </font>
    <font>
      <name val="Calibri"/>
      <family val="2"/>
      <color theme="10"/>
      <sz val="12"/>
      <scheme val="minor"/>
    </font>
  </fonts>
  <fills count="4">
    <fill>
      <patternFill/>
    </fill>
    <fill>
      <patternFill patternType="gray125"/>
    </fill>
    <fill>
      <patternFill patternType="solid">
        <fgColor rgb="FF91BF4D"/>
        <bgColor rgb="FF91BF4D"/>
      </patternFill>
    </fill>
    <fill>
      <patternFill patternType="solid">
        <fgColor rgb="FFFFC000"/>
        <bgColor indexed="64"/>
      </patternFill>
    </fill>
  </fills>
  <borders count="1">
    <border>
      <left/>
      <right/>
      <top/>
      <bottom/>
      <diagonal/>
    </border>
  </borders>
  <cellStyleXfs count="2">
    <xf numFmtId="0" fontId="0" fillId="0" borderId="0"/>
    <xf numFmtId="0" fontId="2" fillId="0" borderId="0"/>
  </cellStyleXfs>
  <cellXfs count="5">
    <xf numFmtId="0" fontId="0" fillId="0" borderId="0" pivotButton="0" quotePrefix="0" xfId="0"/>
    <xf numFmtId="0" fontId="2" fillId="0" borderId="0" pivotButton="0" quotePrefix="0" xfId="1"/>
    <xf numFmtId="0" fontId="0" fillId="2" borderId="0" pivotButton="0" quotePrefix="0" xfId="0"/>
    <xf numFmtId="0" fontId="1" fillId="3" borderId="0" pivotButton="0" quotePrefix="0" xfId="0"/>
    <xf numFmtId="0" fontId="0" fillId="3" borderId="0" pivotButton="0" quotePrefix="0" xfId="0"/>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537"/>
  <sheetViews>
    <sheetView tabSelected="1" workbookViewId="0">
      <pane ySplit="1" topLeftCell="A533" activePane="bottomLeft" state="frozen"/>
      <selection pane="bottomLeft" activeCell="C426" sqref="C426"/>
    </sheetView>
  </sheetViews>
  <sheetFormatPr baseColWidth="8" defaultRowHeight="75" customHeight="1"/>
  <cols>
    <col width="3.42578125" customWidth="1" min="1" max="1"/>
    <col width="30.140625" customWidth="1" min="3" max="3"/>
    <col width="33.7109375" customWidth="1" min="4" max="4"/>
    <col width="30.7109375" customWidth="1" min="7" max="8"/>
  </cols>
  <sheetData>
    <row r="1" ht="19.5" customFormat="1" customHeight="1" s="4">
      <c r="A1" s="3" t="inlineStr">
        <is>
          <t>url</t>
        </is>
      </c>
      <c r="B1" s="3" t="inlineStr">
        <is>
          <t>canonicalUrl</t>
        </is>
      </c>
      <c r="C1" s="3" t="inlineStr">
        <is>
          <t>name</t>
        </is>
      </c>
      <c r="D1" s="3" t="inlineStr">
        <is>
          <t>Amazon Product Title</t>
        </is>
      </c>
      <c r="E1" s="3" t="inlineStr">
        <is>
          <t>Amazon Product URL</t>
        </is>
      </c>
      <c r="F1" s="3" t="inlineStr">
        <is>
          <t>ASIN</t>
        </is>
      </c>
      <c r="G1" s="3" t="inlineStr">
        <is>
          <t>Source Image</t>
        </is>
      </c>
      <c r="H1" s="3" t="inlineStr">
        <is>
          <t>Amazon Image</t>
        </is>
      </c>
      <c r="I1" s="3" t="inlineStr">
        <is>
          <t>Qualified?</t>
        </is>
      </c>
      <c r="J1" s="3" t="inlineStr">
        <is>
          <t>Notes</t>
        </is>
      </c>
      <c r="K1" s="3" t="inlineStr">
        <is>
          <t>offers/0/price</t>
        </is>
      </c>
      <c r="L1" s="3" t="inlineStr">
        <is>
          <t>Amazon Price</t>
        </is>
      </c>
      <c r="M1" s="3" t="inlineStr">
        <is>
          <t>ROI</t>
        </is>
      </c>
      <c r="N1" s="3" t="inlineStr">
        <is>
          <t>Rating</t>
        </is>
      </c>
      <c r="O1" s="3" t="inlineStr">
        <is>
          <t>ReviewCount</t>
        </is>
      </c>
      <c r="P1" s="3" t="inlineStr">
        <is>
          <t>offerCount</t>
        </is>
      </c>
      <c r="Q1" s="3" t="inlineStr">
        <is>
          <t>offers/0/availability</t>
        </is>
      </c>
      <c r="R1" s="3" t="inlineStr">
        <is>
          <t>offers/0/regularPrice</t>
        </is>
      </c>
      <c r="S1" s="3" t="inlineStr">
        <is>
          <t>sku</t>
        </is>
      </c>
      <c r="T1" s="3" t="inlineStr">
        <is>
          <t>Match?</t>
        </is>
      </c>
      <c r="U1" s="3" t="inlineStr">
        <is>
          <t>Qualified?</t>
        </is>
      </c>
      <c r="V1" s="3" t="inlineStr">
        <is>
          <t>Approved</t>
        </is>
      </c>
      <c r="W1" s="3" t="inlineStr">
        <is>
          <t>Notes</t>
        </is>
      </c>
    </row>
    <row r="2" ht="75" customHeight="1">
      <c r="A2" s="1">
        <f>HYPERLINK("https://www.toolnut.com/bosch-dxs5010-1-2-inch-x-8-inch-x-17-inch-sds-max-speed-clean-dust-extraction-bit.html", "https://www.toolnut.com/bosch-dxs5010-1-2-inch-x-8-inch-x-17-inch-sds-max-speed-clean-dust-extraction-bit.html")</f>
        <v/>
      </c>
      <c r="B2" s="1">
        <f>HYPERLINK("https://www.toolnut.com/bosch-dxs5010-1-2-inch-x-8-inch-x-17-inch-sds-max-speed-clean-dust-extraction-bit.html", "https://www.toolnut.com/bosch-dxs5010-1-2-inch-x-8-inch-x-17-inch-sds-max-speed-clean-dust-extraction-bit.html")</f>
        <v/>
      </c>
      <c r="C2" t="inlineStr">
        <is>
          <t>Bosch DXS5010 1/2 Inch x 8 Inch x 17 Inch SDS-MAX Speed Clean Dust Extraction Bit</t>
        </is>
      </c>
      <c r="D2" t="inlineStr">
        <is>
          <t>Bosch DXS5021 5/8 In. x 25 In. SDS-max Speed Clean Dust Extraction Bit</t>
        </is>
      </c>
      <c r="E2" s="1">
        <f>HYPERLINK("https://www.amazon.com/Bosch-DXS5021-SDS-max-Speed-Extraction/dp/B0849GDB97/ref=sr_1_9?keywords=Bosch+DXS5010+1%2F2+Inch+x+8+Inch+x+17+Inch+SDS-MAX+Speed+Clean+Dust+Extraction+Bit&amp;qid=1695347346&amp;sr=8-9", "https://www.amazon.com/Bosch-DXS5021-SDS-max-Speed-Extraction/dp/B0849GDB97/ref=sr_1_9?keywords=Bosch+DXS5010+1%2F2+Inch+x+8+Inch+x+17+Inch+SDS-MAX+Speed+Clean+Dust+Extraction+Bit&amp;qid=1695347346&amp;sr=8-9")</f>
        <v/>
      </c>
      <c r="F2" t="inlineStr">
        <is>
          <t>B0849GDB97</t>
        </is>
      </c>
      <c r="G2">
        <f>_xlfn.IMAGE("https://www.toolnut.com/media/catalog/product/h/a/hammercarbide-speedclean-sds-max-bosch-dxs5010-pkg.jpg?quality=100&amp;bg-color=255,255,255&amp;fit=bounds&amp;height=700&amp;width=700&amp;canvas=700:700&amp;dpr=1 1x")</f>
        <v/>
      </c>
      <c r="H2">
        <f>_xlfn.IMAGE("https://m.media-amazon.com/images/I/71wWkLQCn6L._AC_UL320_.jpg")</f>
        <v/>
      </c>
      <c r="K2" t="inlineStr">
        <is>
          <t>89.97</t>
        </is>
      </c>
      <c r="L2" t="n">
        <v>152.99</v>
      </c>
      <c r="M2" s="2" t="inlineStr">
        <is>
          <t>70.05%</t>
        </is>
      </c>
      <c r="N2" t="n">
        <v>4.6</v>
      </c>
      <c r="O2" t="n">
        <v>3</v>
      </c>
      <c r="Q2" t="inlineStr">
        <is>
          <t>InStock</t>
        </is>
      </c>
      <c r="R2" t="inlineStr">
        <is>
          <t>undefined</t>
        </is>
      </c>
      <c r="S2" t="inlineStr">
        <is>
          <t>DXS5010</t>
        </is>
      </c>
    </row>
    <row r="3" ht="75" customHeight="1">
      <c r="A3" s="1">
        <f>HYPERLINK("https://www.toolnut.com/bosch-dxs5040-7-8-inch-x-8-inch-x-17-inch-sds-max-speed-clean-dust-extraction-bit.html", "https://www.toolnut.com/bosch-dxs5040-7-8-inch-x-8-inch-x-17-inch-sds-max-speed-clean-dust-extraction-bit.html")</f>
        <v/>
      </c>
      <c r="B3" s="1">
        <f>HYPERLINK("https://www.toolnut.com/bosch-dxs5040-7-8-inch-x-8-inch-x-17-inch-sds-max-speed-clean-dust-extraction-bit.html", "https://www.toolnut.com/bosch-dxs5040-7-8-inch-x-8-inch-x-17-inch-sds-max-speed-clean-dust-extraction-bit.html")</f>
        <v/>
      </c>
      <c r="C3" t="inlineStr">
        <is>
          <t>Bosch DXS5040 7/8 Inch x 8 Inch x 17 Inch SDS-MAX Speed Clean Dust Extraction Bit</t>
        </is>
      </c>
      <c r="D3" t="inlineStr">
        <is>
          <t>BOSCH DXS5044 SDS-max Speed Clean Dust Extraction Bit, 7/8" x 25"</t>
        </is>
      </c>
      <c r="E3" s="1">
        <f>HYPERLINK("https://www.amazon.com/Bosch-DXS5044-SDS-max-Speed-Extraction/dp/B01GAME0X4/ref=sr_1_7?keywords=Bosch+DXS5040+7%2F8+Inch+x+8+Inch+x+17+Inch+SDS-MAX+Speed+Clean+Dust+Extraction+Bit&amp;qid=1695347341&amp;sr=8-7", "https://www.amazon.com/Bosch-DXS5044-SDS-max-Speed-Extraction/dp/B01GAME0X4/ref=sr_1_7?keywords=Bosch+DXS5040+7%2F8+Inch+x+8+Inch+x+17+Inch+SDS-MAX+Speed+Clean+Dust+Extraction+Bit&amp;qid=1695347341&amp;sr=8-7")</f>
        <v/>
      </c>
      <c r="F3" t="inlineStr">
        <is>
          <t>B01GAME0X4</t>
        </is>
      </c>
      <c r="G3">
        <f>_xlfn.IMAGE("https://www.toolnut.com/media/catalog/product/h/a/hammercarbide-speedclean-sds-max-bosch-dxs5040-pkg.jpg?quality=100&amp;bg-color=255,255,255&amp;fit=bounds&amp;height=700&amp;width=700&amp;canvas=700:700&amp;dpr=1 1x")</f>
        <v/>
      </c>
      <c r="H3">
        <f>_xlfn.IMAGE("https://m.media-amazon.com/images/I/612hyk+GDmL._AC_UL320_.jpg")</f>
        <v/>
      </c>
      <c r="K3" t="inlineStr">
        <is>
          <t>94.97</t>
        </is>
      </c>
      <c r="L3" t="n">
        <v>164.99</v>
      </c>
      <c r="M3" s="2" t="inlineStr">
        <is>
          <t>73.73%</t>
        </is>
      </c>
      <c r="N3" t="n">
        <v>4.2</v>
      </c>
      <c r="O3" t="n">
        <v>7</v>
      </c>
      <c r="Q3" t="inlineStr">
        <is>
          <t>InStock</t>
        </is>
      </c>
      <c r="R3" t="inlineStr">
        <is>
          <t>undefined</t>
        </is>
      </c>
      <c r="S3" t="inlineStr">
        <is>
          <t>DXS5040</t>
        </is>
      </c>
    </row>
    <row r="4" ht="75" customHeight="1">
      <c r="A4" s="1">
        <f>HYPERLINK("https://www.toolnut.com/diablo-dag1010-1-4-inch-x-7-1-2-inch-auger-bit.html", "https://www.toolnut.com/diablo-dag1010-1-4-inch-x-7-1-2-inch-auger-bit.html")</f>
        <v/>
      </c>
      <c r="B4" s="1">
        <f>HYPERLINK("https://www.toolnut.com/diablo-dag1010-1-4-inch-x-7-1-2-inch-auger-bit.html", "https://www.toolnut.com/diablo-dag1010-1-4-inch-x-7-1-2-inch-auger-bit.html")</f>
        <v/>
      </c>
      <c r="C4" t="inlineStr">
        <is>
          <t>Diablo DAG1010 1/4 Inch x 7-1/2 Inch Auger Bit</t>
        </is>
      </c>
      <c r="D4" t="inlineStr">
        <is>
          <t>Diablo 3/4 in. x 17-1/2 in. Auger Bit</t>
        </is>
      </c>
      <c r="E4" s="1">
        <f>HYPERLINK("https://www.amazon.com/Diablo-17-1-Auger-Bit/dp/B089LHKRPP/ref=sr_1_9?keywords=Diablo+DAG1010+1%2F4+Inch+x+7-1%2F2+Inch+Auger+Bit&amp;qid=1695347235&amp;sr=8-9", "https://www.amazon.com/Diablo-17-1-Auger-Bit/dp/B089LHKRPP/ref=sr_1_9?keywords=Diablo+DAG1010+1%2F4+Inch+x+7-1%2F2+Inch+Auger+Bit&amp;qid=1695347235&amp;sr=8-9")</f>
        <v/>
      </c>
      <c r="F4" t="inlineStr">
        <is>
          <t>B089LHKRPP</t>
        </is>
      </c>
      <c r="G4">
        <f>_xlfn.IMAGE("https://www.toolnut.com/media/catalog/product/d/a/dag1010_main-image.jpg?quality=100&amp;bg-color=255,255,255&amp;fit=bounds&amp;height=700&amp;width=700&amp;canvas=700:700&amp;dpr=1 1x")</f>
        <v/>
      </c>
      <c r="H4">
        <f>_xlfn.IMAGE("https://m.media-amazon.com/images/I/61aMNURt08L._AC_UL320_.jpg")</f>
        <v/>
      </c>
      <c r="K4" t="inlineStr">
        <is>
          <t>7.99</t>
        </is>
      </c>
      <c r="L4" t="n">
        <v>25</v>
      </c>
      <c r="M4" s="2" t="inlineStr">
        <is>
          <t>212.89%</t>
        </is>
      </c>
      <c r="N4" t="n">
        <v>4.6</v>
      </c>
      <c r="O4" t="n">
        <v>61</v>
      </c>
      <c r="Q4" t="inlineStr">
        <is>
          <t>InStock</t>
        </is>
      </c>
      <c r="R4" t="inlineStr">
        <is>
          <t>undefined</t>
        </is>
      </c>
      <c r="S4" t="inlineStr">
        <is>
          <t>DAG1010</t>
        </is>
      </c>
    </row>
    <row r="5" ht="75" customHeight="1">
      <c r="A5" s="1">
        <f>HYPERLINK("https://www.toolnut.com/diablo-dag1010-1-4-inch-x-7-1-2-inch-auger-bit.html", "https://www.toolnut.com/diablo-dag1010-1-4-inch-x-7-1-2-inch-auger-bit.html")</f>
        <v/>
      </c>
      <c r="B5" s="1">
        <f>HYPERLINK("https://www.toolnut.com/diablo-dag1010-1-4-inch-x-7-1-2-inch-auger-bit.html", "https://www.toolnut.com/diablo-dag1010-1-4-inch-x-7-1-2-inch-auger-bit.html")</f>
        <v/>
      </c>
      <c r="C5" t="inlineStr">
        <is>
          <t>Diablo DAG1010 1/4 Inch x 7-1/2 Inch Auger Bit</t>
        </is>
      </c>
      <c r="D5" t="inlineStr">
        <is>
          <t>Diablo 1-1/4 in. x 7-1/2 in. Auger Bit</t>
        </is>
      </c>
      <c r="E5" s="1">
        <f>HYPERLINK("https://www.amazon.com/Diablo-Freud-DAG1150-1-1-Auger/dp/B089LGR2GW/ref=sr_1_4?keywords=Diablo+DAG1010+1%2F4+Inch+x+7-1%2F2+Inch+Auger+Bit&amp;qid=1695347235&amp;sr=8-4", "https://www.amazon.com/Diablo-Freud-DAG1150-1-1-Auger/dp/B089LGR2GW/ref=sr_1_4?keywords=Diablo+DAG1010+1%2F4+Inch+x+7-1%2F2+Inch+Auger+Bit&amp;qid=1695347235&amp;sr=8-4")</f>
        <v/>
      </c>
      <c r="F5" t="inlineStr">
        <is>
          <t>B089LGR2GW</t>
        </is>
      </c>
      <c r="G5">
        <f>_xlfn.IMAGE("https://www.toolnut.com/media/catalog/product/d/a/dag1010_main-image.jpg?quality=100&amp;bg-color=255,255,255&amp;fit=bounds&amp;height=700&amp;width=700&amp;canvas=700:700&amp;dpr=1 1x")</f>
        <v/>
      </c>
      <c r="H5">
        <f>_xlfn.IMAGE("https://m.media-amazon.com/images/I/71M61xRfPtL._AC_UL320_.jpg")</f>
        <v/>
      </c>
      <c r="K5" t="inlineStr">
        <is>
          <t>7.99</t>
        </is>
      </c>
      <c r="L5" t="n">
        <v>20</v>
      </c>
      <c r="M5" s="2" t="inlineStr">
        <is>
          <t>150.31%</t>
        </is>
      </c>
      <c r="N5" t="n">
        <v>4.6</v>
      </c>
      <c r="O5" t="n">
        <v>28</v>
      </c>
      <c r="Q5" t="inlineStr">
        <is>
          <t>InStock</t>
        </is>
      </c>
      <c r="R5" t="inlineStr">
        <is>
          <t>undefined</t>
        </is>
      </c>
      <c r="S5" t="inlineStr">
        <is>
          <t>DAG1010</t>
        </is>
      </c>
    </row>
    <row r="6" ht="75" customHeight="1">
      <c r="A6" s="1">
        <f>HYPERLINK("https://www.toolnut.com/diablo-dag1010-1-4-inch-x-7-1-2-inch-auger-bit.html", "https://www.toolnut.com/diablo-dag1010-1-4-inch-x-7-1-2-inch-auger-bit.html")</f>
        <v/>
      </c>
      <c r="B6" s="1">
        <f>HYPERLINK("https://www.toolnut.com/diablo-dag1010-1-4-inch-x-7-1-2-inch-auger-bit.html", "https://www.toolnut.com/diablo-dag1010-1-4-inch-x-7-1-2-inch-auger-bit.html")</f>
        <v/>
      </c>
      <c r="C6" t="inlineStr">
        <is>
          <t>Diablo DAG1010 1/4 Inch x 7-1/2 Inch Auger Bit</t>
        </is>
      </c>
      <c r="D6" t="inlineStr">
        <is>
          <t>Diablo 3/4 in. x 7-1/2 in. Auger Bit</t>
        </is>
      </c>
      <c r="E6" s="1">
        <f>HYPERLINK("https://www.amazon.com/Diablo-Freud-DAG1090-7-1-Auger/dp/B089KW4S6Y/ref=sr_1_5?keywords=Diablo+DAG1010+1%2F4+Inch+x+7-1%2F2+Inch+Auger+Bit&amp;qid=1695347235&amp;sr=8-5", "https://www.amazon.com/Diablo-Freud-DAG1090-7-1-Auger/dp/B089KW4S6Y/ref=sr_1_5?keywords=Diablo+DAG1010+1%2F4+Inch+x+7-1%2F2+Inch+Auger+Bit&amp;qid=1695347235&amp;sr=8-5")</f>
        <v/>
      </c>
      <c r="F6" t="inlineStr">
        <is>
          <t>B089KW4S6Y</t>
        </is>
      </c>
      <c r="G6">
        <f>_xlfn.IMAGE("https://www.toolnut.com/media/catalog/product/d/a/dag1010_main-image.jpg?quality=100&amp;bg-color=255,255,255&amp;fit=bounds&amp;height=700&amp;width=700&amp;canvas=700:700&amp;dpr=1 1x")</f>
        <v/>
      </c>
      <c r="H6">
        <f>_xlfn.IMAGE("https://m.media-amazon.com/images/I/61wiLPAG21L._AC_UL320_.jpg")</f>
        <v/>
      </c>
      <c r="K6" t="inlineStr">
        <is>
          <t>7.99</t>
        </is>
      </c>
      <c r="L6" t="n">
        <v>16</v>
      </c>
      <c r="M6" s="2" t="inlineStr">
        <is>
          <t>100.25%</t>
        </is>
      </c>
      <c r="N6" t="n">
        <v>4.4</v>
      </c>
      <c r="O6" t="n">
        <v>35</v>
      </c>
      <c r="Q6" t="inlineStr">
        <is>
          <t>InStock</t>
        </is>
      </c>
      <c r="R6" t="inlineStr">
        <is>
          <t>undefined</t>
        </is>
      </c>
      <c r="S6" t="inlineStr">
        <is>
          <t>DAG1010</t>
        </is>
      </c>
    </row>
    <row r="7" ht="75" customHeight="1">
      <c r="A7" s="1">
        <f>HYPERLINK("https://www.toolnut.com/diablo-dag1050-1-2-inch-x-7-1-2-inch-auger-bit.html", "https://www.toolnut.com/diablo-dag1050-1-2-inch-x-7-1-2-inch-auger-bit.html")</f>
        <v/>
      </c>
      <c r="B7" s="1">
        <f>HYPERLINK("https://www.toolnut.com/diablo-dag1050-1-2-inch-x-7-1-2-inch-auger-bit.html", "https://www.toolnut.com/diablo-dag1050-1-2-inch-x-7-1-2-inch-auger-bit.html")</f>
        <v/>
      </c>
      <c r="C7" t="inlineStr">
        <is>
          <t>Diablo DAG1050 1/2 Inch x 7-1/2 Inch Auger Bit</t>
        </is>
      </c>
      <c r="D7" t="inlineStr">
        <is>
          <t>Diablo 7/8 in. x 17-1/2 in. Auger Bit</t>
        </is>
      </c>
      <c r="E7" s="1">
        <f>HYPERLINK("https://www.amazon.com/Diablo-17-1-Auger-Bit/dp/B089LG8GYB/ref=sr_1_6?keywords=Diablo+DAG1050+1%2F2+Inch+x+7-1%2F2+Inch+Auger+Bit&amp;qid=1695347260&amp;sr=8-6", "https://www.amazon.com/Diablo-17-1-Auger-Bit/dp/B089LG8GYB/ref=sr_1_6?keywords=Diablo+DAG1050+1%2F2+Inch+x+7-1%2F2+Inch+Auger+Bit&amp;qid=1695347260&amp;sr=8-6")</f>
        <v/>
      </c>
      <c r="F7" t="inlineStr">
        <is>
          <t>B089LG8GYB</t>
        </is>
      </c>
      <c r="G7">
        <f>_xlfn.IMAGE("https://www.toolnut.com/media/catalog/product/d/a/dag1050_main-image.jpg?quality=100&amp;bg-color=255,255,255&amp;fit=bounds&amp;height=700&amp;width=700&amp;canvas=700:700&amp;dpr=1 1x")</f>
        <v/>
      </c>
      <c r="H7">
        <f>_xlfn.IMAGE("https://m.media-amazon.com/images/I/61QXZJGNQTL._AC_UL320_.jpg")</f>
        <v/>
      </c>
      <c r="K7" t="inlineStr">
        <is>
          <t>10.99</t>
        </is>
      </c>
      <c r="L7" t="n">
        <v>31.99</v>
      </c>
      <c r="M7" s="2" t="inlineStr">
        <is>
          <t>191.08%</t>
        </is>
      </c>
      <c r="N7" t="n">
        <v>4.3</v>
      </c>
      <c r="O7" t="n">
        <v>29</v>
      </c>
      <c r="Q7" t="inlineStr">
        <is>
          <t>InStock</t>
        </is>
      </c>
      <c r="R7" t="inlineStr">
        <is>
          <t>undefined</t>
        </is>
      </c>
      <c r="S7" t="inlineStr">
        <is>
          <t>DAG1050</t>
        </is>
      </c>
    </row>
    <row r="8" ht="75" customHeight="1">
      <c r="A8" s="1">
        <f>HYPERLINK("https://www.toolnut.com/diablo-dag1050-1-2-inch-x-7-1-2-inch-auger-bit.html", "https://www.toolnut.com/diablo-dag1050-1-2-inch-x-7-1-2-inch-auger-bit.html")</f>
        <v/>
      </c>
      <c r="B8" s="1">
        <f>HYPERLINK("https://www.toolnut.com/diablo-dag1050-1-2-inch-x-7-1-2-inch-auger-bit.html", "https://www.toolnut.com/diablo-dag1050-1-2-inch-x-7-1-2-inch-auger-bit.html")</f>
        <v/>
      </c>
      <c r="C8" t="inlineStr">
        <is>
          <t>Diablo DAG1050 1/2 Inch x 7-1/2 Inch Auger Bit</t>
        </is>
      </c>
      <c r="D8" t="inlineStr">
        <is>
          <t>Diablo 3/4 in. x 17-1/2 in. Auger Bit</t>
        </is>
      </c>
      <c r="E8" s="1">
        <f>HYPERLINK("https://www.amazon.com/Diablo-17-1-Auger-Bit/dp/B089LHKRPP/ref=sr_1_9?keywords=Diablo+DAG1050+1%2F2+Inch+x+7-1%2F2+Inch+Auger+Bit&amp;qid=1695347260&amp;sr=8-9", "https://www.amazon.com/Diablo-17-1-Auger-Bit/dp/B089LHKRPP/ref=sr_1_9?keywords=Diablo+DAG1050+1%2F2+Inch+x+7-1%2F2+Inch+Auger+Bit&amp;qid=1695347260&amp;sr=8-9")</f>
        <v/>
      </c>
      <c r="F8" t="inlineStr">
        <is>
          <t>B089LHKRPP</t>
        </is>
      </c>
      <c r="G8">
        <f>_xlfn.IMAGE("https://www.toolnut.com/media/catalog/product/d/a/dag1050_main-image.jpg?quality=100&amp;bg-color=255,255,255&amp;fit=bounds&amp;height=700&amp;width=700&amp;canvas=700:700&amp;dpr=1 1x")</f>
        <v/>
      </c>
      <c r="H8">
        <f>_xlfn.IMAGE("https://m.media-amazon.com/images/I/61aMNURt08L._AC_UL320_.jpg")</f>
        <v/>
      </c>
      <c r="K8" t="inlineStr">
        <is>
          <t>10.99</t>
        </is>
      </c>
      <c r="L8" t="n">
        <v>25</v>
      </c>
      <c r="M8" s="2" t="inlineStr">
        <is>
          <t>127.48%</t>
        </is>
      </c>
      <c r="N8" t="n">
        <v>4.6</v>
      </c>
      <c r="O8" t="n">
        <v>61</v>
      </c>
      <c r="Q8" t="inlineStr">
        <is>
          <t>InStock</t>
        </is>
      </c>
      <c r="R8" t="inlineStr">
        <is>
          <t>undefined</t>
        </is>
      </c>
      <c r="S8" t="inlineStr">
        <is>
          <t>DAG1050</t>
        </is>
      </c>
    </row>
    <row r="9" ht="75" customHeight="1">
      <c r="A9" s="1">
        <f>HYPERLINK("https://www.toolnut.com/diablo-dag1050-1-2-inch-x-7-1-2-inch-auger-bit.html", "https://www.toolnut.com/diablo-dag1050-1-2-inch-x-7-1-2-inch-auger-bit.html")</f>
        <v/>
      </c>
      <c r="B9" s="1">
        <f>HYPERLINK("https://www.toolnut.com/diablo-dag1050-1-2-inch-x-7-1-2-inch-auger-bit.html", "https://www.toolnut.com/diablo-dag1050-1-2-inch-x-7-1-2-inch-auger-bit.html")</f>
        <v/>
      </c>
      <c r="C9" t="inlineStr">
        <is>
          <t>Diablo DAG1050 1/2 Inch x 7-1/2 Inch Auger Bit</t>
        </is>
      </c>
      <c r="D9" t="inlineStr">
        <is>
          <t>Diablo 1/2 in. x 17-1/2 in. Auger Bit</t>
        </is>
      </c>
      <c r="E9" s="1">
        <f>HYPERLINK("https://www.amazon.com/Diablo-Freud-DAG3030-17-1-Auger/dp/B089KVBK8P/ref=sr_1_7?keywords=Diablo+DAG1050+1%2F2+Inch+x+7-1%2F2+Inch+Auger+Bit&amp;qid=1695347260&amp;sr=8-7", "https://www.amazon.com/Diablo-Freud-DAG3030-17-1-Auger/dp/B089KVBK8P/ref=sr_1_7?keywords=Diablo+DAG1050+1%2F2+Inch+x+7-1%2F2+Inch+Auger+Bit&amp;qid=1695347260&amp;sr=8-7")</f>
        <v/>
      </c>
      <c r="F9" t="inlineStr">
        <is>
          <t>B089KVBK8P</t>
        </is>
      </c>
      <c r="G9">
        <f>_xlfn.IMAGE("https://www.toolnut.com/media/catalog/product/d/a/dag1050_main-image.jpg?quality=100&amp;bg-color=255,255,255&amp;fit=bounds&amp;height=700&amp;width=700&amp;canvas=700:700&amp;dpr=1 1x")</f>
        <v/>
      </c>
      <c r="H9">
        <f>_xlfn.IMAGE("https://m.media-amazon.com/images/I/61gYTsV7rCL._AC_UL320_.jpg")</f>
        <v/>
      </c>
      <c r="K9" t="inlineStr">
        <is>
          <t>10.99</t>
        </is>
      </c>
      <c r="L9" t="n">
        <v>24.68</v>
      </c>
      <c r="M9" s="2" t="inlineStr">
        <is>
          <t>124.57%</t>
        </is>
      </c>
      <c r="N9" t="n">
        <v>4.4</v>
      </c>
      <c r="O9" t="n">
        <v>12</v>
      </c>
      <c r="Q9" t="inlineStr">
        <is>
          <t>InStock</t>
        </is>
      </c>
      <c r="R9" t="inlineStr">
        <is>
          <t>undefined</t>
        </is>
      </c>
      <c r="S9" t="inlineStr">
        <is>
          <t>DAG1050</t>
        </is>
      </c>
    </row>
    <row r="10" ht="75" customHeight="1">
      <c r="A10" s="1">
        <f>HYPERLINK("https://www.toolnut.com/diablo-dag1050-1-2-inch-x-7-1-2-inch-auger-bit.html", "https://www.toolnut.com/diablo-dag1050-1-2-inch-x-7-1-2-inch-auger-bit.html")</f>
        <v/>
      </c>
      <c r="B10" s="1">
        <f>HYPERLINK("https://www.toolnut.com/diablo-dag1050-1-2-inch-x-7-1-2-inch-auger-bit.html", "https://www.toolnut.com/diablo-dag1050-1-2-inch-x-7-1-2-inch-auger-bit.html")</f>
        <v/>
      </c>
      <c r="C10" t="inlineStr">
        <is>
          <t>Diablo DAG1050 1/2 Inch x 7-1/2 Inch Auger Bit</t>
        </is>
      </c>
      <c r="D10" t="inlineStr">
        <is>
          <t>Diablo 1-1/4 in. x 7-1/2 in. Auger Bit</t>
        </is>
      </c>
      <c r="E10" s="1">
        <f>HYPERLINK("https://www.amazon.com/Diablo-Freud-DAG1150-1-1-Auger/dp/B089LGR2GW/ref=sr_1_4?keywords=Diablo+DAG1050+1%2F2+Inch+x+7-1%2F2+Inch+Auger+Bit&amp;qid=1695347260&amp;sr=8-4", "https://www.amazon.com/Diablo-Freud-DAG1150-1-1-Auger/dp/B089LGR2GW/ref=sr_1_4?keywords=Diablo+DAG1050+1%2F2+Inch+x+7-1%2F2+Inch+Auger+Bit&amp;qid=1695347260&amp;sr=8-4")</f>
        <v/>
      </c>
      <c r="F10" t="inlineStr">
        <is>
          <t>B089LGR2GW</t>
        </is>
      </c>
      <c r="G10">
        <f>_xlfn.IMAGE("https://www.toolnut.com/media/catalog/product/d/a/dag1050_main-image.jpg?quality=100&amp;bg-color=255,255,255&amp;fit=bounds&amp;height=700&amp;width=700&amp;canvas=700:700&amp;dpr=1 1x")</f>
        <v/>
      </c>
      <c r="H10">
        <f>_xlfn.IMAGE("https://m.media-amazon.com/images/I/71M61xRfPtL._AC_UL320_.jpg")</f>
        <v/>
      </c>
      <c r="K10" t="inlineStr">
        <is>
          <t>10.99</t>
        </is>
      </c>
      <c r="L10" t="n">
        <v>20</v>
      </c>
      <c r="M10" s="2" t="inlineStr">
        <is>
          <t>81.98%</t>
        </is>
      </c>
      <c r="N10" t="n">
        <v>4.6</v>
      </c>
      <c r="O10" t="n">
        <v>28</v>
      </c>
      <c r="Q10" t="inlineStr">
        <is>
          <t>InStock</t>
        </is>
      </c>
      <c r="R10" t="inlineStr">
        <is>
          <t>undefined</t>
        </is>
      </c>
      <c r="S10" t="inlineStr">
        <is>
          <t>DAG1050</t>
        </is>
      </c>
    </row>
    <row r="11" ht="75" customHeight="1">
      <c r="A11" s="1">
        <f>HYPERLINK("https://www.toolnut.com/diablo-dag1070-5-8-inch-x-7-1-2-inch-auger-bit.html", "https://www.toolnut.com/diablo-dag1070-5-8-inch-x-7-1-2-inch-auger-bit.html")</f>
        <v/>
      </c>
      <c r="B11" s="1">
        <f>HYPERLINK("https://www.toolnut.com/diablo-dag1070-5-8-inch-x-7-1-2-inch-auger-bit.html", "https://www.toolnut.com/diablo-dag1070-5-8-inch-x-7-1-2-inch-auger-bit.html")</f>
        <v/>
      </c>
      <c r="C11" t="inlineStr">
        <is>
          <t>Diablo DAG1070 5/8 Inch x 7-1/2 Inch Auger Bit</t>
        </is>
      </c>
      <c r="D11" t="inlineStr">
        <is>
          <t>Diablo 5/8 in. x 17-1/2 in. Auger Bit</t>
        </is>
      </c>
      <c r="E11" s="1">
        <f>HYPERLINK("https://www.amazon.com/Diablo-Freud-DAG3050-17-1-Auger/dp/B089KWL81X/ref=sr_1_2?keywords=Diablo+DAG1070+5%2F8+Inch+x+7-1%2F2+Inch+Auger+Bit&amp;qid=1695347254&amp;sr=8-2", "https://www.amazon.com/Diablo-Freud-DAG3050-17-1-Auger/dp/B089KWL81X/ref=sr_1_2?keywords=Diablo+DAG1070+5%2F8+Inch+x+7-1%2F2+Inch+Auger+Bit&amp;qid=1695347254&amp;sr=8-2")</f>
        <v/>
      </c>
      <c r="F11" t="inlineStr">
        <is>
          <t>B089KWL81X</t>
        </is>
      </c>
      <c r="G11">
        <f>_xlfn.IMAGE("https://www.toolnut.com/media/catalog/product/d/a/dag1070_main-image.jpg?quality=100&amp;bg-color=255,255,255&amp;fit=bounds&amp;height=700&amp;width=700&amp;canvas=700:700&amp;dpr=1 1x")</f>
        <v/>
      </c>
      <c r="H11">
        <f>_xlfn.IMAGE("https://m.media-amazon.com/images/I/61DWkFmOdeL._AC_UL320_.jpg")</f>
        <v/>
      </c>
      <c r="K11" t="inlineStr">
        <is>
          <t>11.99</t>
        </is>
      </c>
      <c r="L11" t="n">
        <v>24.35</v>
      </c>
      <c r="M11" s="2" t="inlineStr">
        <is>
          <t>103.09%</t>
        </is>
      </c>
      <c r="N11" t="n">
        <v>4.3</v>
      </c>
      <c r="O11" t="n">
        <v>20</v>
      </c>
      <c r="Q11" t="inlineStr">
        <is>
          <t>InStock</t>
        </is>
      </c>
      <c r="R11" t="inlineStr">
        <is>
          <t>undefined</t>
        </is>
      </c>
      <c r="S11" t="inlineStr">
        <is>
          <t>DAG1070</t>
        </is>
      </c>
    </row>
    <row r="12" ht="75" customHeight="1">
      <c r="A12" s="1">
        <f>HYPERLINK("https://www.toolnut.com/diablo-dag1090-3-4-inch-x-7-1-2-inch-auger-bit.html", "https://www.toolnut.com/diablo-dag1090-3-4-inch-x-7-1-2-inch-auger-bit.html")</f>
        <v/>
      </c>
      <c r="B12" s="1">
        <f>HYPERLINK("https://www.toolnut.com/diablo-dag1090-3-4-inch-x-7-1-2-inch-auger-bit.html", "https://www.toolnut.com/diablo-dag1090-3-4-inch-x-7-1-2-inch-auger-bit.html")</f>
        <v/>
      </c>
      <c r="C12" t="inlineStr">
        <is>
          <t>Diablo DAG1090 3/4 Inch x 7-1/2 Inch Auger Bit</t>
        </is>
      </c>
      <c r="D12" t="inlineStr">
        <is>
          <t>Diablo 3/4 in. x 17-1/2 in. Auger Bit</t>
        </is>
      </c>
      <c r="E12" s="1">
        <f>HYPERLINK("https://www.amazon.com/Diablo-17-1-Auger-Bit/dp/B089LHKRPP/ref=sr_1_2?keywords=Diablo+DAG1090+3%2F4+Inch+x+7-1%2F2+Inch+Auger+Bit&amp;qid=1695347236&amp;sr=8-2", "https://www.amazon.com/Diablo-17-1-Auger-Bit/dp/B089LHKRPP/ref=sr_1_2?keywords=Diablo+DAG1090+3%2F4+Inch+x+7-1%2F2+Inch+Auger+Bit&amp;qid=1695347236&amp;sr=8-2")</f>
        <v/>
      </c>
      <c r="F12" t="inlineStr">
        <is>
          <t>B089LHKRPP</t>
        </is>
      </c>
      <c r="G12">
        <f>_xlfn.IMAGE("https://www.toolnut.com/media/catalog/product/d/a/dag1090_main-image.jpg?quality=100&amp;bg-color=255,255,255&amp;fit=bounds&amp;height=700&amp;width=700&amp;canvas=700:700&amp;dpr=1 1x")</f>
        <v/>
      </c>
      <c r="H12">
        <f>_xlfn.IMAGE("https://m.media-amazon.com/images/I/61aMNURt08L._AC_UL320_.jpg")</f>
        <v/>
      </c>
      <c r="K12" t="inlineStr">
        <is>
          <t>13.99</t>
        </is>
      </c>
      <c r="L12" t="n">
        <v>25</v>
      </c>
      <c r="M12" s="2" t="inlineStr">
        <is>
          <t>78.70%</t>
        </is>
      </c>
      <c r="N12" t="n">
        <v>4.6</v>
      </c>
      <c r="O12" t="n">
        <v>61</v>
      </c>
      <c r="Q12" t="inlineStr">
        <is>
          <t>InStock</t>
        </is>
      </c>
      <c r="R12" t="inlineStr">
        <is>
          <t>undefined</t>
        </is>
      </c>
      <c r="S12" t="inlineStr">
        <is>
          <t>DAG1090</t>
        </is>
      </c>
    </row>
    <row r="13" ht="75" customHeight="1">
      <c r="A13" s="1">
        <f>HYPERLINK("https://www.toolnut.com/diablo-dag1100-13-16-inch-x-7-1-2-inch-auger-bit.html", "https://www.toolnut.com/diablo-dag1100-13-16-inch-x-7-1-2-inch-auger-bit.html")</f>
        <v/>
      </c>
      <c r="B13" s="1">
        <f>HYPERLINK("https://www.toolnut.com/diablo-dag1100-13-16-inch-x-7-1-2-inch-auger-bit.html", "https://www.toolnut.com/diablo-dag1100-13-16-inch-x-7-1-2-inch-auger-bit.html")</f>
        <v/>
      </c>
      <c r="C13" t="inlineStr">
        <is>
          <t>Diablo DAG1100 13/16 Inch x 7-1/2 Inch Auger Bit</t>
        </is>
      </c>
      <c r="D13" t="inlineStr">
        <is>
          <t>Diablo DAG3080 13/16 in. x 17-1/2 in. Auger Bit</t>
        </is>
      </c>
      <c r="E13" s="1">
        <f>HYPERLINK("https://www.amazon.com/Diablo-13-17-1-Auger-Bit/dp/B089LMQM9W/ref=sr_1_10?keywords=Diablo+DAG1100+13%2F16+Inch+x+7-1%2F2+Inch+Auger+Bit&amp;qid=1695347229&amp;sr=8-10", "https://www.amazon.com/Diablo-13-17-1-Auger-Bit/dp/B089LMQM9W/ref=sr_1_10?keywords=Diablo+DAG1100+13%2F16+Inch+x+7-1%2F2+Inch+Auger+Bit&amp;qid=1695347229&amp;sr=8-10")</f>
        <v/>
      </c>
      <c r="F13" t="inlineStr">
        <is>
          <t>B089LMQM9W</t>
        </is>
      </c>
      <c r="G13">
        <f>_xlfn.IMAGE("https://www.toolnut.com/media/catalog/product/d/a/dag1100_main-image.jpg?quality=100&amp;bg-color=255,255,255&amp;fit=bounds&amp;height=700&amp;width=700&amp;canvas=700:700&amp;dpr=1 1x")</f>
        <v/>
      </c>
      <c r="H13">
        <f>_xlfn.IMAGE("https://m.media-amazon.com/images/I/61p0PSz-tWL._AC_UL320_.jpg")</f>
        <v/>
      </c>
      <c r="K13" t="inlineStr">
        <is>
          <t>13.99</t>
        </is>
      </c>
      <c r="L13" t="n">
        <v>27.48</v>
      </c>
      <c r="M13" s="2" t="inlineStr">
        <is>
          <t>96.43%</t>
        </is>
      </c>
      <c r="N13" t="n">
        <v>4.1</v>
      </c>
      <c r="O13" t="n">
        <v>8</v>
      </c>
      <c r="Q13" t="inlineStr">
        <is>
          <t>InStock</t>
        </is>
      </c>
      <c r="R13" t="inlineStr">
        <is>
          <t>undefined</t>
        </is>
      </c>
      <c r="S13" t="inlineStr">
        <is>
          <t>DAG1100</t>
        </is>
      </c>
    </row>
    <row r="14" ht="75" customHeight="1">
      <c r="A14" s="1">
        <f>HYPERLINK("https://www.toolnut.com/diablo-dag1130-1-inch-x-7-1-2-inch-auger-bit.html", "https://www.toolnut.com/diablo-dag1130-1-inch-x-7-1-2-inch-auger-bit.html")</f>
        <v/>
      </c>
      <c r="B14" s="1">
        <f>HYPERLINK("https://www.toolnut.com/diablo-dag1130-1-inch-x-7-1-2-inch-auger-bit.html", "https://www.toolnut.com/diablo-dag1130-1-inch-x-7-1-2-inch-auger-bit.html")</f>
        <v/>
      </c>
      <c r="C14" t="inlineStr">
        <is>
          <t>Diablo DAG1130 1 Inch x 7-1/2 Inch Auger Bit</t>
        </is>
      </c>
      <c r="D14" t="inlineStr">
        <is>
          <t>Diablo 7/8 in. x 17-1/2 in. Auger Bit</t>
        </is>
      </c>
      <c r="E14" s="1">
        <f>HYPERLINK("https://www.amazon.com/Diablo-17-1-Auger-Bit/dp/B089LG8GYB/ref=sr_1_10?keywords=Diablo+DAG1130+1+Inch+x+7-1%2F2+Inch+Auger+Bit&amp;qid=1695347240&amp;sr=8-10", "https://www.amazon.com/Diablo-17-1-Auger-Bit/dp/B089LG8GYB/ref=sr_1_10?keywords=Diablo+DAG1130+1+Inch+x+7-1%2F2+Inch+Auger+Bit&amp;qid=1695347240&amp;sr=8-10")</f>
        <v/>
      </c>
      <c r="F14" t="inlineStr">
        <is>
          <t>B089LG8GYB</t>
        </is>
      </c>
      <c r="G14">
        <f>_xlfn.IMAGE("https://www.toolnut.com/media/catalog/product/d/a/dag1130_main-image.jpg?quality=100&amp;bg-color=255,255,255&amp;fit=bounds&amp;height=700&amp;width=700&amp;canvas=700:700&amp;dpr=1 1x")</f>
        <v/>
      </c>
      <c r="H14">
        <f>_xlfn.IMAGE("https://m.media-amazon.com/images/I/61QXZJGNQTL._AC_UL320_.jpg")</f>
        <v/>
      </c>
      <c r="K14" t="inlineStr">
        <is>
          <t>16.99</t>
        </is>
      </c>
      <c r="L14" t="n">
        <v>31.99</v>
      </c>
      <c r="M14" s="2" t="inlineStr">
        <is>
          <t>88.29%</t>
        </is>
      </c>
      <c r="N14" t="n">
        <v>4.3</v>
      </c>
      <c r="O14" t="n">
        <v>29</v>
      </c>
      <c r="Q14" t="inlineStr">
        <is>
          <t>InStock</t>
        </is>
      </c>
      <c r="R14" t="inlineStr">
        <is>
          <t>undefined</t>
        </is>
      </c>
      <c r="S14" t="inlineStr">
        <is>
          <t>DAG1130</t>
        </is>
      </c>
    </row>
    <row r="15" ht="75" customHeight="1">
      <c r="A15" s="1">
        <f>HYPERLINK("https://www.toolnut.com/diablo-dag2010-3-8-inch-x-13-inch-auger-bit.html", "https://www.toolnut.com/diablo-dag2010-3-8-inch-x-13-inch-auger-bit.html")</f>
        <v/>
      </c>
      <c r="B15" s="1">
        <f>HYPERLINK("https://www.toolnut.com/diablo-dag2010-3-8-inch-x-13-inch-auger-bit.html", "https://www.toolnut.com/diablo-dag2010-3-8-inch-x-13-inch-auger-bit.html")</f>
        <v/>
      </c>
      <c r="C15" t="inlineStr">
        <is>
          <t>Diablo DAG2010 3/8 Inch x 13 Inch Auger Bit</t>
        </is>
      </c>
      <c r="D15" t="inlineStr">
        <is>
          <t>Diablo 1-3/8 in. x 13 in. Auger Bit</t>
        </is>
      </c>
      <c r="E15" s="1">
        <f>HYPERLINK("https://www.amazon.com/Diablo-DAG2140-1-3-Auger-Bit/dp/B089LJ985N/ref=sr_1_5?keywords=Diablo+DAG2010+3%2F8+Inch+x+13+Inch+Auger+Bit&amp;qid=1695347237&amp;sr=8-5", "https://www.amazon.com/Diablo-DAG2140-1-3-Auger-Bit/dp/B089LJ985N/ref=sr_1_5?keywords=Diablo+DAG2010+3%2F8+Inch+x+13+Inch+Auger+Bit&amp;qid=1695347237&amp;sr=8-5")</f>
        <v/>
      </c>
      <c r="F15" t="inlineStr">
        <is>
          <t>B089LJ985N</t>
        </is>
      </c>
      <c r="G15">
        <f>_xlfn.IMAGE("https://www.toolnut.com/media/catalog/product/d/a/dag2010_main-image.jpg?quality=100&amp;bg-color=255,255,255&amp;fit=bounds&amp;height=700&amp;width=700&amp;canvas=700:700&amp;dpr=1 1x")</f>
        <v/>
      </c>
      <c r="H15">
        <f>_xlfn.IMAGE("https://m.media-amazon.com/images/I/61fzJsBFjcL._AC_UL320_.jpg")</f>
        <v/>
      </c>
      <c r="K15" t="inlineStr">
        <is>
          <t>11.99</t>
        </is>
      </c>
      <c r="L15" t="n">
        <v>23.42</v>
      </c>
      <c r="M15" s="2" t="inlineStr">
        <is>
          <t>95.33%</t>
        </is>
      </c>
      <c r="N15" t="n">
        <v>5</v>
      </c>
      <c r="O15" t="n">
        <v>1</v>
      </c>
      <c r="Q15" t="inlineStr">
        <is>
          <t>InStock</t>
        </is>
      </c>
      <c r="R15" t="inlineStr">
        <is>
          <t>undefined</t>
        </is>
      </c>
      <c r="S15" t="inlineStr">
        <is>
          <t>DAG2010</t>
        </is>
      </c>
    </row>
    <row r="16" ht="75" customHeight="1">
      <c r="A16" s="1">
        <f>HYPERLINK("https://www.toolnut.com/diablo-dag2150-1-1-2-inch-x-13-inch-auger-bit.html", "https://www.toolnut.com/diablo-dag2150-1-1-2-inch-x-13-inch-auger-bit.html")</f>
        <v/>
      </c>
      <c r="B16" s="1">
        <f>HYPERLINK("https://www.toolnut.com/diablo-dag2150-1-1-2-inch-x-13-inch-auger-bit.html", "https://www.toolnut.com/diablo-dag2150-1-1-2-inch-x-13-inch-auger-bit.html")</f>
        <v/>
      </c>
      <c r="C16" t="inlineStr">
        <is>
          <t>Diablo DAG2150 1-1/2 Inch x 13 Inch Auger Bit</t>
        </is>
      </c>
      <c r="D16" t="inlineStr">
        <is>
          <t>DEWALT Drill Bit, Ship Auger, 1-1/2 Inch x 17 Inch (DW1692)</t>
        </is>
      </c>
      <c r="E16" s="1">
        <f>HYPERLINK("https://www.amazon.com/DEWALT-DW1692-2-Inch-17-Inch-Auger/dp/B00004RGZN/ref=sr_1_8?keywords=Diablo+DAG2150+1-1%2F2+Inch+x+13+Inch+Auger+Bit&amp;qid=1695347225&amp;sr=8-8", "https://www.amazon.com/DEWALT-DW1692-2-Inch-17-Inch-Auger/dp/B00004RGZN/ref=sr_1_8?keywords=Diablo+DAG2150+1-1%2F2+Inch+x+13+Inch+Auger+Bit&amp;qid=1695347225&amp;sr=8-8")</f>
        <v/>
      </c>
      <c r="F16" t="inlineStr">
        <is>
          <t>B00004RGZN</t>
        </is>
      </c>
      <c r="G16">
        <f>_xlfn.IMAGE("https://www.toolnut.com/media/catalog/product/d/a/dag2150_main-image.jpg?quality=100&amp;bg-color=255,255,255&amp;fit=bounds&amp;height=700&amp;width=700&amp;canvas=700:700&amp;dpr=1 1x")</f>
        <v/>
      </c>
      <c r="H16">
        <f>_xlfn.IMAGE("https://m.media-amazon.com/images/I/61+h3WbOtDS._AC_UL320_.jpg")</f>
        <v/>
      </c>
      <c r="K16" t="inlineStr">
        <is>
          <t>20.99</t>
        </is>
      </c>
      <c r="L16" t="n">
        <v>43.99</v>
      </c>
      <c r="M16" s="2" t="inlineStr">
        <is>
          <t>109.58%</t>
        </is>
      </c>
      <c r="N16" t="n">
        <v>4.6</v>
      </c>
      <c r="O16" t="n">
        <v>752</v>
      </c>
      <c r="Q16" t="inlineStr">
        <is>
          <t>InStock</t>
        </is>
      </c>
      <c r="R16" t="inlineStr">
        <is>
          <t>undefined</t>
        </is>
      </c>
      <c r="S16" t="inlineStr">
        <is>
          <t>DAG2150</t>
        </is>
      </c>
    </row>
    <row r="17" ht="75" customHeight="1">
      <c r="A17" s="1">
        <f>HYPERLINK("https://www.toolnut.com/diablo-dag3010-3-8-inch-x-17-1-2-inch-auger-bit.html", "https://www.toolnut.com/diablo-dag3010-3-8-inch-x-17-1-2-inch-auger-bit.html")</f>
        <v/>
      </c>
      <c r="B17" s="1">
        <f>HYPERLINK("https://www.toolnut.com/diablo-dag3010-3-8-inch-x-17-1-2-inch-auger-bit.html", "https://www.toolnut.com/diablo-dag3010-3-8-inch-x-17-1-2-inch-auger-bit.html")</f>
        <v/>
      </c>
      <c r="C17" t="inlineStr">
        <is>
          <t>Diablo DAG3010 3/8 Inch x 17-1/2 Inch Auger Bit</t>
        </is>
      </c>
      <c r="D17" t="inlineStr">
        <is>
          <t>Diablo DAG3080 13/16 in. x 17-1/2 in. Auger Bit</t>
        </is>
      </c>
      <c r="E17" s="1">
        <f>HYPERLINK("https://www.amazon.com/Diablo-13-17-1-Auger-Bit/dp/B089LMQM9W/ref=sr_1_9?keywords=Diablo+DAG3010+3%2F8+Inch+x+17-1%2F2+Inch+Auger+Bit&amp;qid=1695347238&amp;sr=8-9", "https://www.amazon.com/Diablo-13-17-1-Auger-Bit/dp/B089LMQM9W/ref=sr_1_9?keywords=Diablo+DAG3010+3%2F8+Inch+x+17-1%2F2+Inch+Auger+Bit&amp;qid=1695347238&amp;sr=8-9")</f>
        <v/>
      </c>
      <c r="F17" t="inlineStr">
        <is>
          <t>B089LMQM9W</t>
        </is>
      </c>
      <c r="G17">
        <f>_xlfn.IMAGE("https://www.toolnut.com/media/catalog/product/d/a/dag3010_main-image.jpg?quality=100&amp;bg-color=255,255,255&amp;fit=bounds&amp;height=700&amp;width=700&amp;canvas=700:700&amp;dpr=1 1x")</f>
        <v/>
      </c>
      <c r="H17">
        <f>_xlfn.IMAGE("https://m.media-amazon.com/images/I/61p0PSz-tWL._AC_UL320_.jpg")</f>
        <v/>
      </c>
      <c r="K17" t="inlineStr">
        <is>
          <t>15.99</t>
        </is>
      </c>
      <c r="L17" t="n">
        <v>27.48</v>
      </c>
      <c r="M17" s="2" t="inlineStr">
        <is>
          <t>71.86%</t>
        </is>
      </c>
      <c r="N17" t="n">
        <v>4.1</v>
      </c>
      <c r="O17" t="n">
        <v>8</v>
      </c>
      <c r="Q17" t="inlineStr">
        <is>
          <t>InStock</t>
        </is>
      </c>
      <c r="R17" t="inlineStr">
        <is>
          <t>undefined</t>
        </is>
      </c>
      <c r="S17" t="inlineStr">
        <is>
          <t>DAG3010</t>
        </is>
      </c>
    </row>
    <row r="18" ht="75" customHeight="1">
      <c r="A18" s="1">
        <f>HYPERLINK("https://www.toolnut.com/diablo-dag3030-1-2-inch-x-17-1-2-inch-auger-bit.html", "https://www.toolnut.com/diablo-dag3030-1-2-inch-x-17-1-2-inch-auger-bit.html")</f>
        <v/>
      </c>
      <c r="B18" s="1">
        <f>HYPERLINK("https://www.toolnut.com/diablo-dag3030-1-2-inch-x-17-1-2-inch-auger-bit.html", "https://www.toolnut.com/diablo-dag3030-1-2-inch-x-17-1-2-inch-auger-bit.html")</f>
        <v/>
      </c>
      <c r="C18" t="inlineStr">
        <is>
          <t>Diablo DAG3030 1/2 Inch x 17-1/2 Inch Auger Bit</t>
        </is>
      </c>
      <c r="D18" t="inlineStr">
        <is>
          <t>Diablo 7/8 in. x 17-1/2 in. Auger Bit</t>
        </is>
      </c>
      <c r="E18" s="1">
        <f>HYPERLINK("https://www.amazon.com/Diablo-17-1-Auger-Bit/dp/B089LG8GYB/ref=sr_1_5?keywords=Diablo+DAG3030+1%2F2+Inch+x+17-1%2F2+Inch+Auger+Bit&amp;qid=1695347250&amp;sr=8-5", "https://www.amazon.com/Diablo-17-1-Auger-Bit/dp/B089LG8GYB/ref=sr_1_5?keywords=Diablo+DAG3030+1%2F2+Inch+x+17-1%2F2+Inch+Auger+Bit&amp;qid=1695347250&amp;sr=8-5")</f>
        <v/>
      </c>
      <c r="F18" t="inlineStr">
        <is>
          <t>B089LG8GYB</t>
        </is>
      </c>
      <c r="G18">
        <f>_xlfn.IMAGE("https://www.toolnut.com/media/catalog/product/d/a/dag3030_main-image.jpg?quality=100&amp;bg-color=255,255,255&amp;fit=bounds&amp;height=700&amp;width=700&amp;canvas=700:700&amp;dpr=1 1x")</f>
        <v/>
      </c>
      <c r="H18">
        <f>_xlfn.IMAGE("https://m.media-amazon.com/images/I/61QXZJGNQTL._AC_UL320_.jpg")</f>
        <v/>
      </c>
      <c r="K18" t="inlineStr">
        <is>
          <t>16.99</t>
        </is>
      </c>
      <c r="L18" t="n">
        <v>30.9</v>
      </c>
      <c r="M18" s="2" t="inlineStr">
        <is>
          <t>81.87%</t>
        </is>
      </c>
      <c r="N18" t="n">
        <v>4.3</v>
      </c>
      <c r="O18" t="n">
        <v>29</v>
      </c>
      <c r="Q18" t="inlineStr">
        <is>
          <t>InStock</t>
        </is>
      </c>
      <c r="R18" t="inlineStr">
        <is>
          <t>undefined</t>
        </is>
      </c>
      <c r="S18" t="inlineStr">
        <is>
          <t>DAG3030</t>
        </is>
      </c>
    </row>
    <row r="19" ht="75" customHeight="1">
      <c r="A19" s="1">
        <f>HYPERLINK("https://www.toolnut.com/diablo-dag3160-1-1-2-inch-x-17-1-2-inch-auger-bit.html", "https://www.toolnut.com/diablo-dag3160-1-1-2-inch-x-17-1-2-inch-auger-bit.html")</f>
        <v/>
      </c>
      <c r="B19" s="1">
        <f>HYPERLINK("https://www.toolnut.com/diablo-dag3160-1-1-2-inch-x-17-1-2-inch-auger-bit.html", "https://www.toolnut.com/diablo-dag3160-1-1-2-inch-x-17-1-2-inch-auger-bit.html")</f>
        <v/>
      </c>
      <c r="C19" t="inlineStr">
        <is>
          <t>Diablo DAG3160 1-1/2 Inch x 17-1/2 Inch Auger Bit</t>
        </is>
      </c>
      <c r="D19" t="inlineStr">
        <is>
          <t>DEWALT Drill Bit, Ship Auger, 1-1/2 Inch x 17 Inch (DW1692)</t>
        </is>
      </c>
      <c r="E19" s="1">
        <f>HYPERLINK("https://www.amazon.com/DEWALT-DW1692-2-Inch-17-Inch-Auger/dp/B00004RGZN/ref=sr_1_8?keywords=Diablo+DAG3160+1-1%2F2+Inch+x+17-1%2F2+Inch+Auger+Bit&amp;qid=1695347242&amp;sr=8-8", "https://www.amazon.com/DEWALT-DW1692-2-Inch-17-Inch-Auger/dp/B00004RGZN/ref=sr_1_8?keywords=Diablo+DAG3160+1-1%2F2+Inch+x+17-1%2F2+Inch+Auger+Bit&amp;qid=1695347242&amp;sr=8-8")</f>
        <v/>
      </c>
      <c r="F19" t="inlineStr">
        <is>
          <t>B00004RGZN</t>
        </is>
      </c>
      <c r="G19">
        <f>_xlfn.IMAGE("https://www.toolnut.com/media/catalog/product/d/a/dag3160_main-image.jpg?quality=100&amp;bg-color=255,255,255&amp;fit=bounds&amp;height=700&amp;width=700&amp;canvas=700:700")</f>
        <v/>
      </c>
      <c r="H19">
        <f>_xlfn.IMAGE("https://m.media-amazon.com/images/I/61+h3WbOtDS._AC_UL320_.jpg")</f>
        <v/>
      </c>
      <c r="K19" t="inlineStr">
        <is>
          <t>25.99</t>
        </is>
      </c>
      <c r="L19" t="n">
        <v>43.99</v>
      </c>
      <c r="M19" s="2" t="inlineStr">
        <is>
          <t>69.26%</t>
        </is>
      </c>
      <c r="N19" t="n">
        <v>4.6</v>
      </c>
      <c r="O19" t="n">
        <v>752</v>
      </c>
      <c r="Q19" t="inlineStr">
        <is>
          <t>InStock</t>
        </is>
      </c>
      <c r="R19" t="inlineStr">
        <is>
          <t>undefined</t>
        </is>
      </c>
      <c r="S19" t="inlineStr">
        <is>
          <t>DAG3160</t>
        </is>
      </c>
    </row>
    <row r="20" ht="75" customHeight="1">
      <c r="A20" s="1">
        <f>HYPERLINK("https://www.toolnut.com/diablo-dib1080-1-2-inch-x-18-inch-installer-bit.html", "https://www.toolnut.com/diablo-dib1080-1-2-inch-x-18-inch-installer-bit.html")</f>
        <v/>
      </c>
      <c r="B20" s="1">
        <f>HYPERLINK("https://www.toolnut.com/diablo-dib1080-1-2-inch-x-18-inch-installer-bit.html", "https://www.toolnut.com/diablo-dib1080-1-2-inch-x-18-inch-installer-bit.html")</f>
        <v/>
      </c>
      <c r="C20" t="inlineStr">
        <is>
          <t>Diablo DIB1080 1/2 Inch x 18 Inch Installer Bit</t>
        </is>
      </c>
      <c r="D20" t="inlineStr">
        <is>
          <t>Eagle Tool US EA50018 Installer Drill Bit, Auger Style, 1/2-Inch by 18-Inch, Made in The USA</t>
        </is>
      </c>
      <c r="E20" s="1">
        <f>HYPERLINK("https://www.amazon.com/Eagle-Tool-EA50018-Installer-18-Inch/dp/B00DNEDQ2O/ref=sr_1_2?keywords=Diablo+DIB1080+1%2F2+Inch+x+18+Inch+Installer+Bit&amp;qid=1695347225&amp;sr=8-2", "https://www.amazon.com/Eagle-Tool-EA50018-Installer-18-Inch/dp/B00DNEDQ2O/ref=sr_1_2?keywords=Diablo+DIB1080+1%2F2+Inch+x+18+Inch+Installer+Bit&amp;qid=1695347225&amp;sr=8-2")</f>
        <v/>
      </c>
      <c r="F20" t="inlineStr">
        <is>
          <t>B00DNEDQ2O</t>
        </is>
      </c>
      <c r="G20">
        <f>_xlfn.IMAGE("https://www.toolnut.com/media/catalog/product/d/i/dib1080_main-image.jpg?quality=100&amp;bg-color=255,255,255&amp;fit=bounds&amp;height=700&amp;width=700&amp;canvas=700:700&amp;dpr=1 1x")</f>
        <v/>
      </c>
      <c r="H20">
        <f>_xlfn.IMAGE("https://m.media-amazon.com/images/I/41H5arm0GqL._AC_UL320_.jpg")</f>
        <v/>
      </c>
      <c r="K20" t="inlineStr">
        <is>
          <t>10.99</t>
        </is>
      </c>
      <c r="L20" t="n">
        <v>23.08</v>
      </c>
      <c r="M20" s="2" t="inlineStr">
        <is>
          <t>110.01%</t>
        </is>
      </c>
      <c r="N20" t="n">
        <v>4.4</v>
      </c>
      <c r="O20" t="n">
        <v>1912</v>
      </c>
      <c r="Q20" t="inlineStr">
        <is>
          <t>InStock</t>
        </is>
      </c>
      <c r="R20" t="inlineStr">
        <is>
          <t>undefined</t>
        </is>
      </c>
      <c r="S20" t="inlineStr">
        <is>
          <t>DIB1080</t>
        </is>
      </c>
    </row>
    <row r="21" ht="75" customHeight="1">
      <c r="A21" s="1">
        <f>HYPERLINK("https://www.toolnut.com/diablo-dmamx1040-1-2-inch-x-24-inch-x-29-inch-rebar-demon-sds-max-4-cutter-full-carbide-head-hammer-drill-bit.html", "https://www.toolnut.com/diablo-dmamx1040-1-2-inch-x-24-inch-x-29-inch-rebar-demon-sds-max-4-cutter-full-carbide-head-hammer-drill-bit.html")</f>
        <v/>
      </c>
      <c r="B21" s="1">
        <f>HYPERLINK("https://www.toolnut.com/diablo-dmamx1040-1-2-inch-x-24-inch-x-29-inch-rebar-demon-sds-max-4-cutter-full-carbide-head-hammer-drill-bit.html", "https://www.toolnut.com/diablo-dmamx1040-1-2-inch-x-24-inch-x-29-inch-rebar-demon-sds-max-4-cutter-full-carbide-head-hammer-drill-bit.html")</f>
        <v/>
      </c>
      <c r="C21" t="inlineStr">
        <is>
          <t>Diablo DMAMX1040 1/2 Inch x 24 Inch x 29 Inch Rebar Demon SDS-Max 4-Cutter Full Carbide Head Hammer Drill Bit</t>
        </is>
      </c>
      <c r="D21" t="inlineStr">
        <is>
          <t>Diablo DMAMX1230 1 in. x 24 in. x 29 in. Rebar Demon™ SDS-Max 4-Cutter Full Carbide Head Hammer Bit</t>
        </is>
      </c>
      <c r="E21" s="1">
        <f>HYPERLINK("https://www.amazon.com/Diablo-DMAMX1230-SDS-Max-4-Cutter-Carbide/dp/B089KWMBLT/ref=sr_1_2?keywords=Diablo+DMAMX1040+1%2F2+Inch+x+24+Inch+x+29+Inch+Rebar+Demon+SDS-Max+4-Cutter+Full+Carbide+Head+Hammer+Drill+Bit&amp;qid=1695347292&amp;sr=8-2", "https://www.amazon.com/Diablo-DMAMX1230-SDS-Max-4-Cutter-Carbide/dp/B089KWMBLT/ref=sr_1_2?keywords=Diablo+DMAMX1040+1%2F2+Inch+x+24+Inch+x+29+Inch+Rebar+Demon+SDS-Max+4-Cutter+Full+Carbide+Head+Hammer+Drill+Bit&amp;qid=1695347292&amp;sr=8-2")</f>
        <v/>
      </c>
      <c r="F21" t="inlineStr">
        <is>
          <t>B089KWMBLT</t>
        </is>
      </c>
      <c r="G21">
        <f>_xlfn.IMAGE("https://www.toolnut.com/media/catalog/product/d/m/dmamx1040_main-image.jpg?quality=100&amp;bg-color=255,255,255&amp;fit=bounds&amp;height=700&amp;width=700&amp;canvas=700:700&amp;dpr=1 1x")</f>
        <v/>
      </c>
      <c r="H21">
        <f>_xlfn.IMAGE("https://m.media-amazon.com/images/I/61B-wgZVzML._AC_UL320_.jpg")</f>
        <v/>
      </c>
      <c r="K21" t="inlineStr">
        <is>
          <t>48.99</t>
        </is>
      </c>
      <c r="L21" t="n">
        <v>109.99</v>
      </c>
      <c r="M21" s="2" t="inlineStr">
        <is>
          <t>124.52%</t>
        </is>
      </c>
      <c r="N21" t="n">
        <v>4.6</v>
      </c>
      <c r="O21" t="n">
        <v>3</v>
      </c>
      <c r="Q21" t="inlineStr">
        <is>
          <t>InStock</t>
        </is>
      </c>
      <c r="R21" t="inlineStr">
        <is>
          <t>undefined</t>
        </is>
      </c>
      <c r="S21" t="inlineStr">
        <is>
          <t>DMAMX1040</t>
        </is>
      </c>
    </row>
    <row r="22" ht="75" customHeight="1">
      <c r="A22" s="1">
        <f>HYPERLINK("https://www.toolnut.com/diablo-dmamx1070-9-16-inch-x-24-inch-x-29-inch-rebar-demon-sds-max-4-cutter-full-carbide-head-hammer-drill-bit.html", "https://www.toolnut.com/diablo-dmamx1070-9-16-inch-x-24-inch-x-29-inch-rebar-demon-sds-max-4-cutter-full-carbide-head-hammer-drill-bit.html")</f>
        <v/>
      </c>
      <c r="B22" s="1">
        <f>HYPERLINK("https://www.toolnut.com/diablo-dmamx1070-9-16-inch-x-24-inch-x-29-inch-rebar-demon-sds-max-4-cutter-full-carbide-head-hammer-drill-bit.html", "https://www.toolnut.com/diablo-dmamx1070-9-16-inch-x-24-inch-x-29-inch-rebar-demon-sds-max-4-cutter-full-carbide-head-hammer-drill-bit.html")</f>
        <v/>
      </c>
      <c r="C22" t="inlineStr">
        <is>
          <t>Diablo DMAMX1070 9/16 Inch x 24 Inch x 29 Inch Rebar Demon SDS-Max 4-Cutter Full Carbide Head Hammer Drill Bit</t>
        </is>
      </c>
      <c r="D22" t="inlineStr">
        <is>
          <t>Diablo DMAMX1230 1 in. x 24 in. x 29 in. Rebar Demon™ SDS-Max 4-Cutter Full Carbide Head Hammer Bit</t>
        </is>
      </c>
      <c r="E22" s="1">
        <f>HYPERLINK("https://www.amazon.com/Diablo-DMAMX1230-SDS-Max-4-Cutter-Carbide/dp/B089KWMBLT/ref=sr_1_2?keywords=Diablo+DMAMX1070+9%2F16+Inch+x+24+Inch+x+29+Inch+Rebar+Demon+SDS-Max+4-Cutter+Full+Carbide+Head+Hammer+Drill+Bit&amp;qid=1695347292&amp;sr=8-2", "https://www.amazon.com/Diablo-DMAMX1230-SDS-Max-4-Cutter-Carbide/dp/B089KWMBLT/ref=sr_1_2?keywords=Diablo+DMAMX1070+9%2F16+Inch+x+24+Inch+x+29+Inch+Rebar+Demon+SDS-Max+4-Cutter+Full+Carbide+Head+Hammer+Drill+Bit&amp;qid=1695347292&amp;sr=8-2")</f>
        <v/>
      </c>
      <c r="F22" t="inlineStr">
        <is>
          <t>B089KWMBLT</t>
        </is>
      </c>
      <c r="G22">
        <f>_xlfn.IMAGE("https://www.toolnut.com/media/catalog/product/d/m/dmamx1070_main-image.jpg?quality=100&amp;bg-color=255,255,255&amp;fit=bounds&amp;height=700&amp;width=700&amp;canvas=700:700&amp;dpr=1 1x")</f>
        <v/>
      </c>
      <c r="H22">
        <f>_xlfn.IMAGE("https://m.media-amazon.com/images/I/61B-wgZVzML._AC_UL320_.jpg")</f>
        <v/>
      </c>
      <c r="K22" t="inlineStr">
        <is>
          <t>50.99</t>
        </is>
      </c>
      <c r="L22" t="n">
        <v>109.99</v>
      </c>
      <c r="M22" s="2" t="inlineStr">
        <is>
          <t>115.71%</t>
        </is>
      </c>
      <c r="N22" t="n">
        <v>4.6</v>
      </c>
      <c r="O22" t="n">
        <v>3</v>
      </c>
      <c r="Q22" t="inlineStr">
        <is>
          <t>InStock</t>
        </is>
      </c>
      <c r="R22" t="inlineStr">
        <is>
          <t>undefined</t>
        </is>
      </c>
      <c r="S22" t="inlineStr">
        <is>
          <t>DMAMX1070</t>
        </is>
      </c>
    </row>
    <row r="23" ht="75" customHeight="1">
      <c r="A23" s="1">
        <f>HYPERLINK("https://www.toolnut.com/diablo-dmamx1250-1-1-8-inch-x-8-inch-x-13-inch-rebar-demon-sds-max-4-cutter-carbide-tipped-hammer-drill-bit.html", "https://www.toolnut.com/diablo-dmamx1250-1-1-8-inch-x-8-inch-x-13-inch-rebar-demon-sds-max-4-cutter-carbide-tipped-hammer-drill-bit.html")</f>
        <v/>
      </c>
      <c r="B23" s="1">
        <f>HYPERLINK("https://www.toolnut.com/diablo-dmamx1250-1-1-8-inch-x-8-inch-x-13-inch-rebar-demon-sds-max-4-cutter-carbide-tipped-hammer-drill-bit.html", "https://www.toolnut.com/diablo-dmamx1250-1-1-8-inch-x-8-inch-x-13-inch-rebar-demon-sds-max-4-cutter-carbide-tipped-hammer-drill-bit.html")</f>
        <v/>
      </c>
      <c r="C23" t="inlineStr">
        <is>
          <t>Diablo DMAMX1250 1-1/8 Inch x 8 Inch x 13 Inch Rebar Demon SDS-Max 4-Cutter Carbide-Tipped Hammer Drill Bit</t>
        </is>
      </c>
      <c r="D23" t="inlineStr">
        <is>
          <t>Diablo 1-1/8" x 31"x36" Rebar Demon SDS-Max 4-Cutter Carbide-Tipped Hammer Bit</t>
        </is>
      </c>
      <c r="E23" s="1">
        <f>HYPERLINK("https://www.amazon.com/Diablo-SDS-Max-4-Cutter-Carbide-Tipped-Hammer/dp/B089KW5TV7/ref=sr_1_6?keywords=Diablo+DMAMX1250+1-1%2F8+Inch+x+8+Inch+x+13+Inch+Rebar+Demon+SDS-Max+4-Cutter+Carbide-Tipped+Hammer+Drill+Bit&amp;qid=1695347274&amp;sr=8-6", "https://www.amazon.com/Diablo-SDS-Max-4-Cutter-Carbide-Tipped-Hammer/dp/B089KW5TV7/ref=sr_1_6?keywords=Diablo+DMAMX1250+1-1%2F8+Inch+x+8+Inch+x+13+Inch+Rebar+Demon+SDS-Max+4-Cutter+Carbide-Tipped+Hammer+Drill+Bit&amp;qid=1695347274&amp;sr=8-6")</f>
        <v/>
      </c>
      <c r="F23" t="inlineStr">
        <is>
          <t>B089KW5TV7</t>
        </is>
      </c>
      <c r="G23">
        <f>_xlfn.IMAGE("https://www.toolnut.com/media/catalog/product/d/m/dmamx1250_main-image.jpg?quality=100&amp;bg-color=255,255,255&amp;fit=bounds&amp;height=700&amp;width=700&amp;canvas=700:700")</f>
        <v/>
      </c>
      <c r="H23">
        <f>_xlfn.IMAGE("https://m.media-amazon.com/images/I/61ZBvWTy-vL._AC_UL320_.jpg")</f>
        <v/>
      </c>
      <c r="K23" t="inlineStr">
        <is>
          <t>56.99</t>
        </is>
      </c>
      <c r="L23" t="n">
        <v>113.99</v>
      </c>
      <c r="M23" s="2" t="inlineStr">
        <is>
          <t>100.02%</t>
        </is>
      </c>
      <c r="N23" t="n">
        <v>4.7</v>
      </c>
      <c r="O23" t="n">
        <v>4</v>
      </c>
      <c r="Q23" t="inlineStr">
        <is>
          <t>InStock</t>
        </is>
      </c>
      <c r="R23" t="inlineStr">
        <is>
          <t>undefined</t>
        </is>
      </c>
      <c r="S23" t="inlineStr">
        <is>
          <t>DMAMX1250</t>
        </is>
      </c>
    </row>
    <row r="24" ht="75" customHeight="1">
      <c r="A24" s="1">
        <f>HYPERLINK("https://www.toolnut.com/diablo-dmamx1260-1-1-8-inch-x-16-inch-x-21-inch-rebar-demon-sds-max-4-cutter-carbide-tipped-hammer-drill-bit.html", "https://www.toolnut.com/diablo-dmamx1260-1-1-8-inch-x-16-inch-x-21-inch-rebar-demon-sds-max-4-cutter-carbide-tipped-hammer-drill-bit.html")</f>
        <v/>
      </c>
      <c r="B24" s="1">
        <f>HYPERLINK("https://www.toolnut.com/diablo-dmamx1260-1-1-8-inch-x-16-inch-x-21-inch-rebar-demon-sds-max-4-cutter-carbide-tipped-hammer-drill-bit.html", "https://www.toolnut.com/diablo-dmamx1260-1-1-8-inch-x-16-inch-x-21-inch-rebar-demon-sds-max-4-cutter-carbide-tipped-hammer-drill-bit.html")</f>
        <v/>
      </c>
      <c r="C24" t="inlineStr">
        <is>
          <t>Diablo DMAMX1260 1-1/8 Inch x 16 Inch x 21 Inch Rebar Demon SDS-Max 4-Cutter Carbide-Tipped Hammer Drill Bit</t>
        </is>
      </c>
      <c r="D24" t="inlineStr">
        <is>
          <t>Diablo by Freud DMAMX1400 2 in. x 16 in. x 21 in. Rebar Demon SDS-Max 4-Cutter Carbide-Tipped Hammer Bit</t>
        </is>
      </c>
      <c r="E24" s="1">
        <f>HYPERLINK("https://www.amazon.com/Diablo-SDS-Max-4-Cutter-Carbide-Tipped-Hammer/dp/B089LHKFQ2/ref=sr_1_3?keywords=Diablo+DMAMX1260+1-1%2F8+Inch+x+16+Inch+x+21+Inch+Rebar+Demon+SDS-Max+4-Cutter+Carbide-Tipped+Hammer+Drill+Bit&amp;qid=1695347315&amp;sr=8-3", "https://www.amazon.com/Diablo-SDS-Max-4-Cutter-Carbide-Tipped-Hammer/dp/B089LHKFQ2/ref=sr_1_3?keywords=Diablo+DMAMX1260+1-1%2F8+Inch+x+16+Inch+x+21+Inch+Rebar+Demon+SDS-Max+4-Cutter+Carbide-Tipped+Hammer+Drill+Bit&amp;qid=1695347315&amp;sr=8-3")</f>
        <v/>
      </c>
      <c r="F24" t="inlineStr">
        <is>
          <t>B089LHKFQ2</t>
        </is>
      </c>
      <c r="G24">
        <f>_xlfn.IMAGE("https://www.toolnut.com/media/catalog/product/d/m/dmamx1260_main-image.jpg?quality=100&amp;bg-color=255,255,255&amp;fit=bounds&amp;height=700&amp;width=700&amp;canvas=700:700&amp;dpr=1 1x")</f>
        <v/>
      </c>
      <c r="H24">
        <f>_xlfn.IMAGE("https://m.media-amazon.com/images/I/61p4Q032qYL._AC_UL320_.jpg")</f>
        <v/>
      </c>
      <c r="K24" t="inlineStr">
        <is>
          <t>67.99</t>
        </is>
      </c>
      <c r="L24" t="n">
        <v>151.99</v>
      </c>
      <c r="M24" s="2" t="inlineStr">
        <is>
          <t>123.55%</t>
        </is>
      </c>
      <c r="N24" t="n">
        <v>4.4</v>
      </c>
      <c r="O24" t="n">
        <v>4</v>
      </c>
      <c r="Q24" t="inlineStr">
        <is>
          <t>InStock</t>
        </is>
      </c>
      <c r="R24" t="inlineStr">
        <is>
          <t>undefined</t>
        </is>
      </c>
      <c r="S24" t="inlineStr">
        <is>
          <t>DMAMX1260</t>
        </is>
      </c>
    </row>
    <row r="25" ht="75" customHeight="1">
      <c r="A25" s="1">
        <f>HYPERLINK("https://www.toolnut.com/diablo-dmamx1260-1-1-8-inch-x-16-inch-x-21-inch-rebar-demon-sds-max-4-cutter-carbide-tipped-hammer-drill-bit.html", "https://www.toolnut.com/diablo-dmamx1260-1-1-8-inch-x-16-inch-x-21-inch-rebar-demon-sds-max-4-cutter-carbide-tipped-hammer-drill-bit.html")</f>
        <v/>
      </c>
      <c r="B25" s="1">
        <f>HYPERLINK("https://www.toolnut.com/diablo-dmamx1260-1-1-8-inch-x-16-inch-x-21-inch-rebar-demon-sds-max-4-cutter-carbide-tipped-hammer-drill-bit.html", "https://www.toolnut.com/diablo-dmamx1260-1-1-8-inch-x-16-inch-x-21-inch-rebar-demon-sds-max-4-cutter-carbide-tipped-hammer-drill-bit.html")</f>
        <v/>
      </c>
      <c r="C25" t="inlineStr">
        <is>
          <t>Diablo DMAMX1260 1-1/8 Inch x 16 Inch x 21 Inch Rebar Demon SDS-Max 4-Cutter Carbide-Tipped Hammer Drill Bit</t>
        </is>
      </c>
      <c r="D25" t="inlineStr">
        <is>
          <t>Diablo DMAMX1390 1-3/4 in. x 16 in. x 21 in. Rebar Demon™ SDS-Max 4-Cutter Carbide-Tipped Hammer Bit</t>
        </is>
      </c>
      <c r="E25" s="1">
        <f>HYPERLINK("https://www.amazon.com/Diablo-DMAMX1390-SDS-Max-4-Cutter-Carbide-Tipped/dp/B089KW6C8V/ref=sr_1_4?keywords=Diablo+DMAMX1260+1-1%2F8+Inch+x+16+Inch+x+21+Inch+Rebar+Demon+SDS-Max+4-Cutter+Carbide-Tipped+Hammer+Drill+Bit&amp;qid=1695347315&amp;sr=8-4", "https://www.amazon.com/Diablo-DMAMX1390-SDS-Max-4-Cutter-Carbide-Tipped/dp/B089KW6C8V/ref=sr_1_4?keywords=Diablo+DMAMX1260+1-1%2F8+Inch+x+16+Inch+x+21+Inch+Rebar+Demon+SDS-Max+4-Cutter+Carbide-Tipped+Hammer+Drill+Bit&amp;qid=1695347315&amp;sr=8-4")</f>
        <v/>
      </c>
      <c r="F25" t="inlineStr">
        <is>
          <t>B089KW6C8V</t>
        </is>
      </c>
      <c r="G25">
        <f>_xlfn.IMAGE("https://www.toolnut.com/media/catalog/product/d/m/dmamx1260_main-image.jpg?quality=100&amp;bg-color=255,255,255&amp;fit=bounds&amp;height=700&amp;width=700&amp;canvas=700:700&amp;dpr=1 1x")</f>
        <v/>
      </c>
      <c r="H25">
        <f>_xlfn.IMAGE("https://m.media-amazon.com/images/I/61J-83UaGmL._AC_UL320_.jpg")</f>
        <v/>
      </c>
      <c r="K25" t="inlineStr">
        <is>
          <t>67.99</t>
        </is>
      </c>
      <c r="L25" t="n">
        <v>130.67</v>
      </c>
      <c r="M25" s="2" t="inlineStr">
        <is>
          <t>92.19%</t>
        </is>
      </c>
      <c r="N25" t="n">
        <v>4.8</v>
      </c>
      <c r="O25" t="n">
        <v>10</v>
      </c>
      <c r="Q25" t="inlineStr">
        <is>
          <t>InStock</t>
        </is>
      </c>
      <c r="R25" t="inlineStr">
        <is>
          <t>undefined</t>
        </is>
      </c>
      <c r="S25" t="inlineStr">
        <is>
          <t>DMAMX1260</t>
        </is>
      </c>
    </row>
    <row r="26" ht="75" customHeight="1">
      <c r="A26" s="1">
        <f>HYPERLINK("https://www.toolnut.com/diablo-dmamx1290-1-1-4-inch-x-8-inch-x-13-inch-rebar-demon-sds-max-4-cutter-carbide-tipped-hammer-drill-bit.html", "https://www.toolnut.com/diablo-dmamx1290-1-1-4-inch-x-8-inch-x-13-inch-rebar-demon-sds-max-4-cutter-carbide-tipped-hammer-drill-bit.html")</f>
        <v/>
      </c>
      <c r="B26" s="1">
        <f>HYPERLINK("https://www.toolnut.com/diablo-dmamx1290-1-1-4-inch-x-8-inch-x-13-inch-rebar-demon-sds-max-4-cutter-carbide-tipped-hammer-drill-bit.html", "https://www.toolnut.com/diablo-dmamx1290-1-1-4-inch-x-8-inch-x-13-inch-rebar-demon-sds-max-4-cutter-carbide-tipped-hammer-drill-bit.html")</f>
        <v/>
      </c>
      <c r="C26" t="inlineStr">
        <is>
          <t>Diablo DMAMX1290 1-1/4 Inch x 8 Inch x 13 Inch Rebar Demon SDS-Max 4-Cutter Carbide-Tipped Hammer Drill Bit</t>
        </is>
      </c>
      <c r="D26" t="inlineStr">
        <is>
          <t>Diablo by Freud DMAMX1370 1-1/2 in. x 24 in. x 29 in. Rebar Demon SDS-Max 4-Cutter Carbide-Tipped Hammer Bit</t>
        </is>
      </c>
      <c r="E26" s="1">
        <f>HYPERLINK("https://www.amazon.com/Diablo-SDS-Max-4-Cutter-Carbide-Tipped-Hammer/dp/B089LN938F/ref=sr_1_6?keywords=Diablo+DMAMX1290+1-1%2F4+Inch+x+8+Inch+x+13+Inch+Rebar+Demon+SDS-Max+4-Cutter+Carbide-Tipped+Hammer+Drill+Bit&amp;qid=1695347298&amp;sr=8-6", "https://www.amazon.com/Diablo-SDS-Max-4-Cutter-Carbide-Tipped-Hammer/dp/B089LN938F/ref=sr_1_6?keywords=Diablo+DMAMX1290+1-1%2F4+Inch+x+8+Inch+x+13+Inch+Rebar+Demon+SDS-Max+4-Cutter+Carbide-Tipped+Hammer+Drill+Bit&amp;qid=1695347298&amp;sr=8-6")</f>
        <v/>
      </c>
      <c r="F26" t="inlineStr">
        <is>
          <t>B089LN938F</t>
        </is>
      </c>
      <c r="G26">
        <f>_xlfn.IMAGE("https://www.toolnut.com/media/catalog/product/d/m/dmamx1290_main-image.jpg?quality=100&amp;bg-color=255,255,255&amp;fit=bounds&amp;height=700&amp;width=700&amp;canvas=700:700&amp;dpr=1 1x")</f>
        <v/>
      </c>
      <c r="H26">
        <f>_xlfn.IMAGE("https://m.media-amazon.com/images/I/61V0w9ayfFL._AC_UL320_.jpg")</f>
        <v/>
      </c>
      <c r="K26" t="inlineStr">
        <is>
          <t>62.99</t>
        </is>
      </c>
      <c r="L26" t="n">
        <v>171.57</v>
      </c>
      <c r="M26" s="2" t="inlineStr">
        <is>
          <t>172.38%</t>
        </is>
      </c>
      <c r="N26" t="n">
        <v>5</v>
      </c>
      <c r="O26" t="n">
        <v>2</v>
      </c>
      <c r="Q26" t="inlineStr">
        <is>
          <t>InStock</t>
        </is>
      </c>
      <c r="R26" t="inlineStr">
        <is>
          <t>undefined</t>
        </is>
      </c>
      <c r="S26" t="inlineStr">
        <is>
          <t>DMAMX1290</t>
        </is>
      </c>
    </row>
    <row r="27" ht="75" customHeight="1">
      <c r="A27" s="1">
        <f>HYPERLINK("https://www.toolnut.com/diablo-dmamx1300-1-1-4-inch-x-16-inch-x-21-inch-rebar-demon-sds-max-4-cutter-carbide-tipped-hammer-drill-bit.html", "https://www.toolnut.com/diablo-dmamx1300-1-1-4-inch-x-16-inch-x-21-inch-rebar-demon-sds-max-4-cutter-carbide-tipped-hammer-drill-bit.html")</f>
        <v/>
      </c>
      <c r="B27" s="1">
        <f>HYPERLINK("https://www.toolnut.com/diablo-dmamx1300-1-1-4-inch-x-16-inch-x-21-inch-rebar-demon-sds-max-4-cutter-carbide-tipped-hammer-drill-bit.html", "https://www.toolnut.com/diablo-dmamx1300-1-1-4-inch-x-16-inch-x-21-inch-rebar-demon-sds-max-4-cutter-carbide-tipped-hammer-drill-bit.html")</f>
        <v/>
      </c>
      <c r="C27" t="inlineStr">
        <is>
          <t>Diablo DMAMX1300 1-1/4 Inch x 16 Inch x 21 Inch Rebar Demon SDS-Max 4-Cutter Carbide-Tipped Hammer Drill Bit</t>
        </is>
      </c>
      <c r="D27" t="inlineStr">
        <is>
          <t>Diablo by Freud DMAMX1400 2 in. x 16 in. x 21 in. Rebar Demon SDS-Max 4-Cutter Carbide-Tipped Hammer Bit</t>
        </is>
      </c>
      <c r="E27" s="1">
        <f>HYPERLINK("https://www.amazon.com/Diablo-SDS-Max-4-Cutter-Carbide-Tipped-Hammer/dp/B089LHKFQ2/ref=sr_1_6?keywords=Diablo+DMAMX1300+1-1%2F4+Inch+x+16+Inch+x+21+Inch+Rebar+Demon+SDS-Max+4-Cutter+Carbide-Tipped+Hammer+Drill+Bit&amp;qid=1695347295&amp;sr=8-6", "https://www.amazon.com/Diablo-SDS-Max-4-Cutter-Carbide-Tipped-Hammer/dp/B089LHKFQ2/ref=sr_1_6?keywords=Diablo+DMAMX1300+1-1%2F4+Inch+x+16+Inch+x+21+Inch+Rebar+Demon+SDS-Max+4-Cutter+Carbide-Tipped+Hammer+Drill+Bit&amp;qid=1695347295&amp;sr=8-6")</f>
        <v/>
      </c>
      <c r="F27" t="inlineStr">
        <is>
          <t>B089LHKFQ2</t>
        </is>
      </c>
      <c r="G27">
        <f>_xlfn.IMAGE("https://www.toolnut.com/media/catalog/product/d/m/dmamx1300_main-image.jpg?quality=100&amp;bg-color=255,255,255&amp;fit=bounds&amp;height=700&amp;width=700&amp;canvas=700:700&amp;dpr=1 1x")</f>
        <v/>
      </c>
      <c r="H27">
        <f>_xlfn.IMAGE("https://m.media-amazon.com/images/I/61p4Q032qYL._AC_UL320_.jpg")</f>
        <v/>
      </c>
      <c r="K27" t="inlineStr">
        <is>
          <t>70.99</t>
        </is>
      </c>
      <c r="L27" t="n">
        <v>151.99</v>
      </c>
      <c r="M27" s="2" t="inlineStr">
        <is>
          <t>114.10%</t>
        </is>
      </c>
      <c r="N27" t="n">
        <v>4.4</v>
      </c>
      <c r="O27" t="n">
        <v>4</v>
      </c>
      <c r="Q27" t="inlineStr">
        <is>
          <t>InStock</t>
        </is>
      </c>
      <c r="R27" t="inlineStr">
        <is>
          <t>undefined</t>
        </is>
      </c>
      <c r="S27" t="inlineStr">
        <is>
          <t>DMAMX1300</t>
        </is>
      </c>
    </row>
    <row r="28" ht="75" customHeight="1">
      <c r="A28" s="1">
        <f>HYPERLINK("https://www.toolnut.com/diablo-dmamx1300-1-1-4-inch-x-16-inch-x-21-inch-rebar-demon-sds-max-4-cutter-carbide-tipped-hammer-drill-bit.html", "https://www.toolnut.com/diablo-dmamx1300-1-1-4-inch-x-16-inch-x-21-inch-rebar-demon-sds-max-4-cutter-carbide-tipped-hammer-drill-bit.html")</f>
        <v/>
      </c>
      <c r="B28" s="1">
        <f>HYPERLINK("https://www.toolnut.com/diablo-dmamx1300-1-1-4-inch-x-16-inch-x-21-inch-rebar-demon-sds-max-4-cutter-carbide-tipped-hammer-drill-bit.html", "https://www.toolnut.com/diablo-dmamx1300-1-1-4-inch-x-16-inch-x-21-inch-rebar-demon-sds-max-4-cutter-carbide-tipped-hammer-drill-bit.html")</f>
        <v/>
      </c>
      <c r="C28" t="inlineStr">
        <is>
          <t>Diablo DMAMX1300 1-1/4 Inch x 16 Inch x 21 Inch Rebar Demon SDS-Max 4-Cutter Carbide-Tipped Hammer Drill Bit</t>
        </is>
      </c>
      <c r="D28" t="inlineStr">
        <is>
          <t>Diablo DMAMX1390 1-3/4 in. x 16 in. x 21 in. Rebar Demon™ SDS-Max 4-Cutter Carbide-Tipped Hammer Bit</t>
        </is>
      </c>
      <c r="E28" s="1">
        <f>HYPERLINK("https://www.amazon.com/Diablo-DMAMX1390-SDS-Max-4-Cutter-Carbide-Tipped/dp/B089KW6C8V/ref=sr_1_5?keywords=Diablo+DMAMX1300+1-1%2F4+Inch+x+16+Inch+x+21+Inch+Rebar+Demon+SDS-Max+4-Cutter+Carbide-Tipped+Hammer+Drill+Bit&amp;qid=1695347295&amp;sr=8-5", "https://www.amazon.com/Diablo-DMAMX1390-SDS-Max-4-Cutter-Carbide-Tipped/dp/B089KW6C8V/ref=sr_1_5?keywords=Diablo+DMAMX1300+1-1%2F4+Inch+x+16+Inch+x+21+Inch+Rebar+Demon+SDS-Max+4-Cutter+Carbide-Tipped+Hammer+Drill+Bit&amp;qid=1695347295&amp;sr=8-5")</f>
        <v/>
      </c>
      <c r="F28" t="inlineStr">
        <is>
          <t>B089KW6C8V</t>
        </is>
      </c>
      <c r="G28">
        <f>_xlfn.IMAGE("https://www.toolnut.com/media/catalog/product/d/m/dmamx1300_main-image.jpg?quality=100&amp;bg-color=255,255,255&amp;fit=bounds&amp;height=700&amp;width=700&amp;canvas=700:700&amp;dpr=1 1x")</f>
        <v/>
      </c>
      <c r="H28">
        <f>_xlfn.IMAGE("https://m.media-amazon.com/images/I/61J-83UaGmL._AC_UL320_.jpg")</f>
        <v/>
      </c>
      <c r="K28" t="inlineStr">
        <is>
          <t>70.99</t>
        </is>
      </c>
      <c r="L28" t="n">
        <v>130.67</v>
      </c>
      <c r="M28" s="2" t="inlineStr">
        <is>
          <t>84.07%</t>
        </is>
      </c>
      <c r="N28" t="n">
        <v>4.8</v>
      </c>
      <c r="O28" t="n">
        <v>10</v>
      </c>
      <c r="Q28" t="inlineStr">
        <is>
          <t>InStock</t>
        </is>
      </c>
      <c r="R28" t="inlineStr">
        <is>
          <t>undefined</t>
        </is>
      </c>
      <c r="S28" t="inlineStr">
        <is>
          <t>DMAMX1300</t>
        </is>
      </c>
    </row>
    <row r="29" ht="75" customHeight="1">
      <c r="A29" s="1">
        <f>HYPERLINK("https://www.toolnut.com/diablo-dmans1030-1-4-inch-tile-stone-carbide-tipped-drill-bit.html", "https://www.toolnut.com/diablo-dmans1030-1-4-inch-tile-stone-carbide-tipped-drill-bit.html")</f>
        <v/>
      </c>
      <c r="B29" s="1">
        <f>HYPERLINK("https://www.toolnut.com/diablo-dmans1030-1-4-inch-tile-stone-carbide-tipped-drill-bit.html", "https://www.toolnut.com/diablo-dmans1030-1-4-inch-tile-stone-carbide-tipped-drill-bit.html")</f>
        <v/>
      </c>
      <c r="C29" t="inlineStr">
        <is>
          <t>Diablo DMANS1030 1/4 Inch Tile &amp; Stone Carbide Tipped Drill Bit</t>
        </is>
      </c>
      <c r="D29" t="inlineStr">
        <is>
          <t>Diablo 4 pc Tile &amp; Stone Carbide Tipped Drill Bit Set (4-Piece)</t>
        </is>
      </c>
      <c r="E29" s="1">
        <f>HYPERLINK("https://www.amazon.com/Diablo-DMANS1070-S4-Carbide-Tipped-4-Piece/dp/B089LCNL5P/ref=sr_1_6?keywords=Diablo+DMANS1030+1%2F4+Inch+Tile+%26+Stone+Carbide+Tipped+Drill+Bit&amp;qid=1695347315&amp;sr=8-6", "https://www.amazon.com/Diablo-DMANS1070-S4-Carbide-Tipped-4-Piece/dp/B089LCNL5P/ref=sr_1_6?keywords=Diablo+DMANS1030+1%2F4+Inch+Tile+%26+Stone+Carbide+Tipped+Drill+Bit&amp;qid=1695347315&amp;sr=8-6")</f>
        <v/>
      </c>
      <c r="F29" t="inlineStr">
        <is>
          <t>B089LCNL5P</t>
        </is>
      </c>
      <c r="G29">
        <f>_xlfn.IMAGE("https://www.toolnut.com/media/catalog/product/d/m/dmans1030_main-image.jpg?quality=100&amp;bg-color=255,255,255&amp;fit=bounds&amp;height=700&amp;width=700&amp;canvas=700:700&amp;dpr=1 1x")</f>
        <v/>
      </c>
      <c r="H29">
        <f>_xlfn.IMAGE("https://m.media-amazon.com/images/I/61iijfDoeDL._AC_UL320_.jpg")</f>
        <v/>
      </c>
      <c r="K29" t="inlineStr">
        <is>
          <t>5.99</t>
        </is>
      </c>
      <c r="L29" t="n">
        <v>15.7</v>
      </c>
      <c r="M29" s="2" t="inlineStr">
        <is>
          <t>162.10%</t>
        </is>
      </c>
      <c r="N29" t="n">
        <v>4.2</v>
      </c>
      <c r="O29" t="n">
        <v>9</v>
      </c>
      <c r="Q29" t="inlineStr">
        <is>
          <t>InStock</t>
        </is>
      </c>
      <c r="R29" t="inlineStr">
        <is>
          <t>undefined</t>
        </is>
      </c>
      <c r="S29" t="inlineStr">
        <is>
          <t>DMANS1030</t>
        </is>
      </c>
    </row>
    <row r="30" ht="75" customHeight="1">
      <c r="A30" s="1">
        <f>HYPERLINK("https://www.toolnut.com/diablo-dmapl2080-3-16-inch-x-16-inch-x-18-inch-sds-plus-2-cutter.html", "https://www.toolnut.com/diablo-dmapl2080-3-16-inch-x-16-inch-x-18-inch-sds-plus-2-cutter.html")</f>
        <v/>
      </c>
      <c r="B30" s="1">
        <f>HYPERLINK("https://www.toolnut.com/diablo-dmapl2080-3-16-inch-x-16-inch-x-18-inch-sds-plus-2-cutter.html", "https://www.toolnut.com/diablo-dmapl2080-3-16-inch-x-16-inch-x-18-inch-sds-plus-2-cutter.html")</f>
        <v/>
      </c>
      <c r="C30" t="inlineStr">
        <is>
          <t>Diablo DMAPL2080 3/16 Inch x 16 Inch x 18 Inch SDS-Plus 2-Cutter</t>
        </is>
      </c>
      <c r="D30" t="inlineStr">
        <is>
          <t>Diablo 3/8 in. x 16 in. x 18 in. SDS-Plus 2-Cutter</t>
        </is>
      </c>
      <c r="E30" s="1">
        <f>HYPERLINK("https://www.amazon.com/Diablo-DMAPL2250-16-SDS-Plus-2-Cutter/dp/B089KW3B6T/ref=sr_1_2?keywords=Diablo+DMAPL2080+3%2F16+Inch+x+16+Inch+x+18+Inch+SDS-Plus+2-Cutter&amp;qid=1695347302&amp;sr=8-2", "https://www.amazon.com/Diablo-DMAPL2250-16-SDS-Plus-2-Cutter/dp/B089KW3B6T/ref=sr_1_2?keywords=Diablo+DMAPL2080+3%2F16+Inch+x+16+Inch+x+18+Inch+SDS-Plus+2-Cutter&amp;qid=1695347302&amp;sr=8-2")</f>
        <v/>
      </c>
      <c r="F30" t="inlineStr">
        <is>
          <t>B089KW3B6T</t>
        </is>
      </c>
      <c r="G30">
        <f>_xlfn.IMAGE("https://www.toolnut.com/media/catalog/product/d/m/dmapl2080_main-image.jpg?quality=100&amp;bg-color=255,255,255&amp;fit=bounds&amp;height=700&amp;width=700&amp;canvas=700:700&amp;dpr=1 1x")</f>
        <v/>
      </c>
      <c r="H30">
        <f>_xlfn.IMAGE("https://m.media-amazon.com/images/I/61JRNqT4IHL._AC_UL320_.jpg")</f>
        <v/>
      </c>
      <c r="K30" t="inlineStr">
        <is>
          <t>10.99</t>
        </is>
      </c>
      <c r="L30" t="n">
        <v>19.99</v>
      </c>
      <c r="M30" s="2" t="inlineStr">
        <is>
          <t>81.89%</t>
        </is>
      </c>
      <c r="N30" t="n">
        <v>4.9</v>
      </c>
      <c r="O30" t="n">
        <v>8</v>
      </c>
      <c r="Q30" t="inlineStr">
        <is>
          <t>InStock</t>
        </is>
      </c>
      <c r="R30" t="inlineStr">
        <is>
          <t>undefined</t>
        </is>
      </c>
      <c r="S30" t="inlineStr">
        <is>
          <t>DMAPL2080</t>
        </is>
      </c>
    </row>
    <row r="31" ht="75" customHeight="1">
      <c r="A31" s="1">
        <f>HYPERLINK("https://www.toolnut.com/diablo-dmapl2210-5-16-inch-x-16-inch-x-18-inch-sds-plus-2-cutter.html", "https://www.toolnut.com/diablo-dmapl2210-5-16-inch-x-16-inch-x-18-inch-sds-plus-2-cutter.html")</f>
        <v/>
      </c>
      <c r="B31" s="1">
        <f>HYPERLINK("https://www.toolnut.com/diablo-dmapl2210-5-16-inch-x-16-inch-x-18-inch-sds-plus-2-cutter.html", "https://www.toolnut.com/diablo-dmapl2210-5-16-inch-x-16-inch-x-18-inch-sds-plus-2-cutter.html")</f>
        <v/>
      </c>
      <c r="C31" t="inlineStr">
        <is>
          <t>Diablo DMAPL2210 5/16 Inch x 16 Inch x 18 Inch SDS-Plus 2-Cutter</t>
        </is>
      </c>
      <c r="D31" t="inlineStr">
        <is>
          <t>Diablo 5/8 in. x 16 in. x 18 in. SDS-Plus 2-Cutter</t>
        </is>
      </c>
      <c r="E31" s="1">
        <f>HYPERLINK("https://www.amazon.com/Diablo-16-18-SDS-Plus-2-Cutter/dp/B089KV7MNH/ref=sr_1_4?keywords=Diablo+DMAPL2210+5%2F16+Inch+x+16+Inch+x+18+Inch+SDS-Plus+2-Cutter&amp;qid=1695347287&amp;sr=8-4", "https://www.amazon.com/Diablo-16-18-SDS-Plus-2-Cutter/dp/B089KV7MNH/ref=sr_1_4?keywords=Diablo+DMAPL2210+5%2F16+Inch+x+16+Inch+x+18+Inch+SDS-Plus+2-Cutter&amp;qid=1695347287&amp;sr=8-4")</f>
        <v/>
      </c>
      <c r="F31" t="inlineStr">
        <is>
          <t>B089KV7MNH</t>
        </is>
      </c>
      <c r="G31">
        <f>_xlfn.IMAGE("https://www.toolnut.com/media/catalog/product/d/m/dmapl2210_main-image.jpg?quality=100&amp;bg-color=255,255,255&amp;fit=bounds&amp;height=700&amp;width=700&amp;canvas=700:700&amp;dpr=1 1x")</f>
        <v/>
      </c>
      <c r="H31">
        <f>_xlfn.IMAGE("https://m.media-amazon.com/images/I/61QBGOEcYkL._AC_UL320_.jpg")</f>
        <v/>
      </c>
      <c r="K31" t="inlineStr">
        <is>
          <t>13.99</t>
        </is>
      </c>
      <c r="L31" t="n">
        <v>24.98</v>
      </c>
      <c r="M31" s="2" t="inlineStr">
        <is>
          <t>78.56%</t>
        </is>
      </c>
      <c r="N31" t="n">
        <v>5</v>
      </c>
      <c r="O31" t="n">
        <v>1</v>
      </c>
      <c r="Q31" t="inlineStr">
        <is>
          <t>InStock</t>
        </is>
      </c>
      <c r="R31" t="inlineStr">
        <is>
          <t>undefined</t>
        </is>
      </c>
      <c r="S31" t="inlineStr">
        <is>
          <t>DMAPL2210</t>
        </is>
      </c>
    </row>
    <row r="32" ht="75" customHeight="1">
      <c r="A32" s="1">
        <f>HYPERLINK("https://www.toolnut.com/diablo-dmapl2230-3-8-inch-x-6-inch-x-8-inch-sds-plus-2-cutter.html", "https://www.toolnut.com/diablo-dmapl2230-3-8-inch-x-6-inch-x-8-inch-sds-plus-2-cutter.html")</f>
        <v/>
      </c>
      <c r="B32" s="1">
        <f>HYPERLINK("https://www.toolnut.com/diablo-dmapl2230-3-8-inch-x-6-inch-x-8-inch-sds-plus-2-cutter.html", "https://www.toolnut.com/diablo-dmapl2230-3-8-inch-x-6-inch-x-8-inch-sds-plus-2-cutter.html")</f>
        <v/>
      </c>
      <c r="C32" t="inlineStr">
        <is>
          <t>Diablo DMAPL2230 3/8 Inch x 6 Inch x 8 Inch SDS-Plus 2-Cutter</t>
        </is>
      </c>
      <c r="D32" t="inlineStr">
        <is>
          <t>Diablo 3/8 in. x 16 in. x 18 in. SDS-Plus 2-Cutter</t>
        </is>
      </c>
      <c r="E32" s="1">
        <f>HYPERLINK("https://www.amazon.com/Diablo-DMAPL2250-16-SDS-Plus-2-Cutter/dp/B089KW3B6T/ref=sr_1_6?keywords=Diablo+DMAPL2230+3%2F8+Inch+x+6+Inch+x+8+Inch+SDS-Plus+2-Cutter&amp;qid=1695347271&amp;sr=8-6", "https://www.amazon.com/Diablo-DMAPL2250-16-SDS-Plus-2-Cutter/dp/B089KW3B6T/ref=sr_1_6?keywords=Diablo+DMAPL2230+3%2F8+Inch+x+6+Inch+x+8+Inch+SDS-Plus+2-Cutter&amp;qid=1695347271&amp;sr=8-6")</f>
        <v/>
      </c>
      <c r="F32" t="inlineStr">
        <is>
          <t>B089KW3B6T</t>
        </is>
      </c>
      <c r="G32">
        <f>_xlfn.IMAGE("https://www.toolnut.com/media/catalog/product/d/m/dmapl2230_main-image.jpg?quality=100&amp;bg-color=255,255,255&amp;fit=bounds&amp;height=700&amp;width=700&amp;canvas=700:700&amp;dpr=1 1x")</f>
        <v/>
      </c>
      <c r="H32">
        <f>_xlfn.IMAGE("https://m.media-amazon.com/images/I/61JRNqT4IHL._AC_UL320_.jpg")</f>
        <v/>
      </c>
      <c r="K32" t="inlineStr">
        <is>
          <t>4.99</t>
        </is>
      </c>
      <c r="L32" t="n">
        <v>19.99</v>
      </c>
      <c r="M32" s="2" t="inlineStr">
        <is>
          <t>300.60%</t>
        </is>
      </c>
      <c r="N32" t="n">
        <v>4.9</v>
      </c>
      <c r="O32" t="n">
        <v>8</v>
      </c>
      <c r="Q32" t="inlineStr">
        <is>
          <t>InStock</t>
        </is>
      </c>
      <c r="R32" t="inlineStr">
        <is>
          <t>undefined</t>
        </is>
      </c>
      <c r="S32" t="inlineStr">
        <is>
          <t>DMAPL2230</t>
        </is>
      </c>
    </row>
    <row r="33" ht="75" customHeight="1">
      <c r="A33" s="1">
        <f>HYPERLINK("https://www.toolnut.com/diablo-dmapl2260-3-8-inch-x-22-inch-x-24-inch-sds-plus-2-cutter.html", "https://www.toolnut.com/diablo-dmapl2260-3-8-inch-x-22-inch-x-24-inch-sds-plus-2-cutter.html")</f>
        <v/>
      </c>
      <c r="B33" s="1">
        <f>HYPERLINK("https://www.toolnut.com/diablo-dmapl2260-3-8-inch-x-22-inch-x-24-inch-sds-plus-2-cutter.html", "https://www.toolnut.com/diablo-dmapl2260-3-8-inch-x-22-inch-x-24-inch-sds-plus-2-cutter.html")</f>
        <v/>
      </c>
      <c r="C33" t="inlineStr">
        <is>
          <t>Diablo DMAPL2260 3/8 Inch x 22 Inch x 24 Inch SDS-Plus 2-Cutter</t>
        </is>
      </c>
      <c r="D33" t="inlineStr">
        <is>
          <t>Diablo DMAPL2480 3/4 in. x 22 in. x 24 in. SDS-Plus 2-Cutter</t>
        </is>
      </c>
      <c r="E33" s="1">
        <f>HYPERLINK("https://www.amazon.com/Diablo-22-24-SDS-Plus-2-Cutter/dp/B089KWB1S4/ref=sr_1_8?keywords=Diablo+DMAPL2260+3%2F8+Inch+x+22+Inch+x+24+Inch+SDS-Plus+2-Cutter&amp;qid=1695347299&amp;sr=8-8", "https://www.amazon.com/Diablo-22-24-SDS-Plus-2-Cutter/dp/B089KWB1S4/ref=sr_1_8?keywords=Diablo+DMAPL2260+3%2F8+Inch+x+22+Inch+x+24+Inch+SDS-Plus+2-Cutter&amp;qid=1695347299&amp;sr=8-8")</f>
        <v/>
      </c>
      <c r="F33" t="inlineStr">
        <is>
          <t>B089KWB1S4</t>
        </is>
      </c>
      <c r="G33">
        <f>_xlfn.IMAGE("https://www.toolnut.com/media/catalog/product/d/m/dmapl2260_main-image.jpg?quality=100&amp;bg-color=255,255,255&amp;fit=bounds&amp;height=700&amp;width=700&amp;canvas=700:700&amp;dpr=1 1x")</f>
        <v/>
      </c>
      <c r="H33">
        <f>_xlfn.IMAGE("https://m.media-amazon.com/images/I/61zyh0h-cXL._AC_UL320_.jpg")</f>
        <v/>
      </c>
      <c r="K33" t="inlineStr">
        <is>
          <t>20.99</t>
        </is>
      </c>
      <c r="L33" t="n">
        <v>36.92</v>
      </c>
      <c r="M33" s="2" t="inlineStr">
        <is>
          <t>75.89%</t>
        </is>
      </c>
      <c r="N33" t="n">
        <v>5</v>
      </c>
      <c r="O33" t="n">
        <v>3</v>
      </c>
      <c r="Q33" t="inlineStr">
        <is>
          <t>InStock</t>
        </is>
      </c>
      <c r="R33" t="inlineStr">
        <is>
          <t>undefined</t>
        </is>
      </c>
      <c r="S33" t="inlineStr">
        <is>
          <t>DMAPL2260</t>
        </is>
      </c>
    </row>
    <row r="34" ht="75" customHeight="1">
      <c r="A34" s="1">
        <f>HYPERLINK("https://www.toolnut.com/diablo-dmapl2400-5-8-inch-x-6-inch-x-8-inch-sds-plus-2-cutter.html", "https://www.toolnut.com/diablo-dmapl2400-5-8-inch-x-6-inch-x-8-inch-sds-plus-2-cutter.html")</f>
        <v/>
      </c>
      <c r="B34" s="1">
        <f>HYPERLINK("https://www.toolnut.com/diablo-dmapl2400-5-8-inch-x-6-inch-x-8-inch-sds-plus-2-cutter.html", "https://www.toolnut.com/diablo-dmapl2400-5-8-inch-x-6-inch-x-8-inch-sds-plus-2-cutter.html")</f>
        <v/>
      </c>
      <c r="C34" t="inlineStr">
        <is>
          <t>Diablo DMAPL2400 5/8 Inch x 6 Inch x 8 Inch SDS-Plus 2-Cutter</t>
        </is>
      </c>
      <c r="D34" t="inlineStr">
        <is>
          <t>Diablo 5/8 in. x 16 in. x 18 in. SDS-Plus 2-Cutter</t>
        </is>
      </c>
      <c r="E34" s="1">
        <f>HYPERLINK("https://www.amazon.com/Diablo-16-18-SDS-Plus-2-Cutter/dp/B089KV7MNH/ref=sr_1_8?keywords=Diablo+DMAPL2400+5%2F8+Inch+x+6+Inch+x+8+Inch+SDS-Plus+2-Cutter&amp;qid=1695347276&amp;sr=8-8", "https://www.amazon.com/Diablo-16-18-SDS-Plus-2-Cutter/dp/B089KV7MNH/ref=sr_1_8?keywords=Diablo+DMAPL2400+5%2F8+Inch+x+6+Inch+x+8+Inch+SDS-Plus+2-Cutter&amp;qid=1695347276&amp;sr=8-8")</f>
        <v/>
      </c>
      <c r="F34" t="inlineStr">
        <is>
          <t>B089KV7MNH</t>
        </is>
      </c>
      <c r="G34">
        <f>_xlfn.IMAGE("https://www.toolnut.com/media/catalog/product/d/m/dmapl2400_main-image.jpg?quality=100&amp;bg-color=255,255,255&amp;fit=bounds&amp;height=700&amp;width=700&amp;canvas=700:700&amp;dpr=1 1x")</f>
        <v/>
      </c>
      <c r="H34">
        <f>_xlfn.IMAGE("https://m.media-amazon.com/images/I/61QBGOEcYkL._AC_UL320_.jpg")</f>
        <v/>
      </c>
      <c r="K34" t="inlineStr">
        <is>
          <t>8.99</t>
        </is>
      </c>
      <c r="L34" t="n">
        <v>24.98</v>
      </c>
      <c r="M34" s="2" t="inlineStr">
        <is>
          <t>177.86%</t>
        </is>
      </c>
      <c r="N34" t="n">
        <v>5</v>
      </c>
      <c r="O34" t="n">
        <v>1</v>
      </c>
      <c r="Q34" t="inlineStr">
        <is>
          <t>InStock</t>
        </is>
      </c>
      <c r="R34" t="inlineStr">
        <is>
          <t>undefined</t>
        </is>
      </c>
      <c r="S34" t="inlineStr">
        <is>
          <t>DMAPL2400</t>
        </is>
      </c>
    </row>
    <row r="35" ht="75" customHeight="1">
      <c r="A35" s="1">
        <f>HYPERLINK("https://www.toolnut.com/diablo-dmapl4080-1-4-inch-x-6-inch-x-8-inch-rebar-demon-sds-plus-4-cutter-full-carbide-head-hammer-drill-bit.html", "https://www.toolnut.com/diablo-dmapl4080-1-4-inch-x-6-inch-x-8-inch-rebar-demon-sds-plus-4-cutter-full-carbide-head-hammer-drill-bit.html")</f>
        <v/>
      </c>
      <c r="B35" s="1">
        <f>HYPERLINK("https://www.toolnut.com/diablo-dmapl4080-1-4-inch-x-6-inch-x-8-inch-rebar-demon-sds-plus-4-cutter-full-carbide-head-hammer-drill-bit.html", "https://www.toolnut.com/diablo-dmapl4080-1-4-inch-x-6-inch-x-8-inch-rebar-demon-sds-plus-4-cutter-full-carbide-head-hammer-drill-bit.html")</f>
        <v/>
      </c>
      <c r="C35" t="inlineStr">
        <is>
          <t>Diablo DMAPL4080 1/4 Inch x 6 Inch x 8 Inch Rebar Demon SDS-Plus 4-Cutter Full Carbide Head Hammer Drill Bit</t>
        </is>
      </c>
      <c r="D35" t="inlineStr">
        <is>
          <t>Diablo by Freud DMAPL4300 1 in. x 8 in. x 10 in. Rebar Demon™ SDS-Plus 4-Cutter Full Carbide Head Hammer Bit</t>
        </is>
      </c>
      <c r="E35" s="1">
        <f>HYPERLINK("https://www.amazon.com/Diablo-Freud-DMAPL4300-SDS-Plus-4-Cutter/dp/B089LL8JD8/ref=sr_1_4?keywords=Diablo+DMAPL4080+1%2F4+Inch+x+6+Inch+x+8+Inch+Rebar+Demon+SDS-Plus+4-Cutter+Full+Carbide+Head+Hammer+Drill+Bit&amp;qid=1695347294&amp;sr=8-4", "https://www.amazon.com/Diablo-Freud-DMAPL4300-SDS-Plus-4-Cutter/dp/B089LL8JD8/ref=sr_1_4?keywords=Diablo+DMAPL4080+1%2F4+Inch+x+6+Inch+x+8+Inch+Rebar+Demon+SDS-Plus+4-Cutter+Full+Carbide+Head+Hammer+Drill+Bit&amp;qid=1695347294&amp;sr=8-4")</f>
        <v/>
      </c>
      <c r="F35" t="inlineStr">
        <is>
          <t>B089LL8JD8</t>
        </is>
      </c>
      <c r="G35">
        <f>_xlfn.IMAGE("https://www.toolnut.com/media/catalog/product/d/m/dmapl4080-p25_main-image_1.jpg?quality=100&amp;bg-color=255,255,255&amp;fit=bounds&amp;height=700&amp;width=700&amp;canvas=700:700&amp;dpr=1 1x")</f>
        <v/>
      </c>
      <c r="H35">
        <f>_xlfn.IMAGE("https://m.media-amazon.com/images/I/616UiJGsK1L._AC_UL320_.jpg")</f>
        <v/>
      </c>
      <c r="K35" t="inlineStr">
        <is>
          <t>4.99</t>
        </is>
      </c>
      <c r="L35" t="n">
        <v>33.99</v>
      </c>
      <c r="M35" s="2" t="inlineStr">
        <is>
          <t>581.16%</t>
        </is>
      </c>
      <c r="N35" t="n">
        <v>4.5</v>
      </c>
      <c r="O35" t="n">
        <v>16</v>
      </c>
      <c r="Q35" t="inlineStr">
        <is>
          <t>InStock</t>
        </is>
      </c>
      <c r="R35" t="inlineStr">
        <is>
          <t>undefined</t>
        </is>
      </c>
      <c r="S35" t="inlineStr">
        <is>
          <t>DMAPL4080</t>
        </is>
      </c>
    </row>
    <row r="36" ht="75" customHeight="1">
      <c r="A36" s="1">
        <f>HYPERLINK("https://www.toolnut.com/diablo-dmapl4080-1-4-inch-x-6-inch-x-8-inch-rebar-demon-sds-plus-4-cutter-full-carbide-head-hammer-drill-bit.html", "https://www.toolnut.com/diablo-dmapl4080-1-4-inch-x-6-inch-x-8-inch-rebar-demon-sds-plus-4-cutter-full-carbide-head-hammer-drill-bit.html")</f>
        <v/>
      </c>
      <c r="B36" s="1">
        <f>HYPERLINK("https://www.toolnut.com/diablo-dmapl4080-1-4-inch-x-6-inch-x-8-inch-rebar-demon-sds-plus-4-cutter-full-carbide-head-hammer-drill-bit.html", "https://www.toolnut.com/diablo-dmapl4080-1-4-inch-x-6-inch-x-8-inch-rebar-demon-sds-plus-4-cutter-full-carbide-head-hammer-drill-bit.html")</f>
        <v/>
      </c>
      <c r="C36" t="inlineStr">
        <is>
          <t>Diablo DMAPL4080 1/4 Inch x 6 Inch x 8 Inch Rebar Demon SDS-Plus 4-Cutter Full Carbide Head Hammer Drill Bit</t>
        </is>
      </c>
      <c r="D36" t="inlineStr">
        <is>
          <t>Diablo by Freud DMAPL4270 27/32 in. x 8 in. x 10 in. Rebar Demon SDS-Plus 4-Cutter Full Carbide Head Hammer Bit</t>
        </is>
      </c>
      <c r="E36" s="1">
        <f>HYPERLINK("https://www.amazon.com/Diablo-Freud-DMAPL4270-SDS-Plus-4-Cutter/dp/B089KXBGLM/ref=sr_1_3?keywords=Diablo+DMAPL4080+1%2F4+Inch+x+6+Inch+x+8+Inch+Rebar+Demon+SDS-Plus+4-Cutter+Full+Carbide+Head+Hammer+Drill+Bit&amp;qid=1695347294&amp;sr=8-3", "https://www.amazon.com/Diablo-Freud-DMAPL4270-SDS-Plus-4-Cutter/dp/B089KXBGLM/ref=sr_1_3?keywords=Diablo+DMAPL4080+1%2F4+Inch+x+6+Inch+x+8+Inch+Rebar+Demon+SDS-Plus+4-Cutter+Full+Carbide+Head+Hammer+Drill+Bit&amp;qid=1695347294&amp;sr=8-3")</f>
        <v/>
      </c>
      <c r="F36" t="inlineStr">
        <is>
          <t>B089KXBGLM</t>
        </is>
      </c>
      <c r="G36">
        <f>_xlfn.IMAGE("https://www.toolnut.com/media/catalog/product/d/m/dmapl4080-p25_main-image_1.jpg?quality=100&amp;bg-color=255,255,255&amp;fit=bounds&amp;height=700&amp;width=700&amp;canvas=700:700&amp;dpr=1 1x")</f>
        <v/>
      </c>
      <c r="H36">
        <f>_xlfn.IMAGE("https://m.media-amazon.com/images/I/611A6sphG9L._AC_UL320_.jpg")</f>
        <v/>
      </c>
      <c r="K36" t="inlineStr">
        <is>
          <t>4.99</t>
        </is>
      </c>
      <c r="L36" t="n">
        <v>31.82</v>
      </c>
      <c r="M36" s="2" t="inlineStr">
        <is>
          <t>537.68%</t>
        </is>
      </c>
      <c r="N36" t="n">
        <v>5</v>
      </c>
      <c r="O36" t="n">
        <v>2</v>
      </c>
      <c r="Q36" t="inlineStr">
        <is>
          <t>InStock</t>
        </is>
      </c>
      <c r="R36" t="inlineStr">
        <is>
          <t>undefined</t>
        </is>
      </c>
      <c r="S36" t="inlineStr">
        <is>
          <t>DMAPL4080</t>
        </is>
      </c>
    </row>
    <row r="37" ht="75" customHeight="1">
      <c r="A37" s="1">
        <f>HYPERLINK("https://www.toolnut.com/diablo-dmapl4090-1-4-inch-x-10-inch-x-12-inch-rebar-demon-sds-plus-4-cutter-full-carbide-head-hammer-drill-bit.html", "https://www.toolnut.com/diablo-dmapl4090-1-4-inch-x-10-inch-x-12-inch-rebar-demon-sds-plus-4-cutter-full-carbide-head-hammer-drill-bit.html")</f>
        <v/>
      </c>
      <c r="B37" s="1">
        <f>HYPERLINK("https://www.toolnut.com/diablo-dmapl4090-1-4-inch-x-10-inch-x-12-inch-rebar-demon-sds-plus-4-cutter-full-carbide-head-hammer-drill-bit.html", "https://www.toolnut.com/diablo-dmapl4090-1-4-inch-x-10-inch-x-12-inch-rebar-demon-sds-plus-4-cutter-full-carbide-head-hammer-drill-bit.html")</f>
        <v/>
      </c>
      <c r="C37" t="inlineStr">
        <is>
          <t>Diablo DMAPL4090 1/4 Inch x 10 Inch x 12 Inch Rebar Demon SDS-Plus 4-Cutter Full Carbide Head Hammer Drill Bit</t>
        </is>
      </c>
      <c r="D37" t="inlineStr">
        <is>
          <t>Diablo by Freud DMAPL4270 27/32 in. x 8 in. x 10 in. Rebar Demon SDS-Plus 4-Cutter Full Carbide Head Hammer Bit</t>
        </is>
      </c>
      <c r="E37" s="1">
        <f>HYPERLINK("https://www.amazon.com/Diablo-Freud-DMAPL4270-SDS-Plus-4-Cutter/dp/B089KXBGLM/ref=sr_1_9?keywords=Diablo+DMAPL4090+1%2F4+Inch+x+10+Inch+x+12+Inch+Rebar+Demon+SDS-Plus+4-Cutter+Full+Carbide+Head+Hammer+Drill+Bit&amp;qid=1695347321&amp;sr=8-9", "https://www.amazon.com/Diablo-Freud-DMAPL4270-SDS-Plus-4-Cutter/dp/B089KXBGLM/ref=sr_1_9?keywords=Diablo+DMAPL4090+1%2F4+Inch+x+10+Inch+x+12+Inch+Rebar+Demon+SDS-Plus+4-Cutter+Full+Carbide+Head+Hammer+Drill+Bit&amp;qid=1695347321&amp;sr=8-9")</f>
        <v/>
      </c>
      <c r="F37" t="inlineStr">
        <is>
          <t>B089KXBGLM</t>
        </is>
      </c>
      <c r="G37">
        <f>_xlfn.IMAGE("https://www.toolnut.com/media/catalog/product/d/m/dmapl4090_main-image.jpg?quality=100&amp;bg-color=255,255,255&amp;fit=bounds&amp;height=700&amp;width=700&amp;canvas=700:700&amp;dpr=1 1x")</f>
        <v/>
      </c>
      <c r="H37">
        <f>_xlfn.IMAGE("https://m.media-amazon.com/images/I/611A6sphG9L._AC_UL320_.jpg")</f>
        <v/>
      </c>
      <c r="K37" t="inlineStr">
        <is>
          <t>10.99</t>
        </is>
      </c>
      <c r="L37" t="n">
        <v>31.82</v>
      </c>
      <c r="M37" s="2" t="inlineStr">
        <is>
          <t>189.54%</t>
        </is>
      </c>
      <c r="N37" t="n">
        <v>5</v>
      </c>
      <c r="O37" t="n">
        <v>2</v>
      </c>
      <c r="Q37" t="inlineStr">
        <is>
          <t>InStock</t>
        </is>
      </c>
      <c r="R37" t="inlineStr">
        <is>
          <t>undefined</t>
        </is>
      </c>
      <c r="S37" t="inlineStr">
        <is>
          <t>DMAPL4090</t>
        </is>
      </c>
    </row>
    <row r="38" ht="75" customHeight="1">
      <c r="A38" s="1">
        <f>HYPERLINK("https://www.toolnut.com/diablo-dmapl4090-1-4-inch-x-10-inch-x-12-inch-rebar-demon-sds-plus-4-cutter-full-carbide-head-hammer-drill-bit.html", "https://www.toolnut.com/diablo-dmapl4090-1-4-inch-x-10-inch-x-12-inch-rebar-demon-sds-plus-4-cutter-full-carbide-head-hammer-drill-bit.html")</f>
        <v/>
      </c>
      <c r="B38" s="1">
        <f>HYPERLINK("https://www.toolnut.com/diablo-dmapl4090-1-4-inch-x-10-inch-x-12-inch-rebar-demon-sds-plus-4-cutter-full-carbide-head-hammer-drill-bit.html", "https://www.toolnut.com/diablo-dmapl4090-1-4-inch-x-10-inch-x-12-inch-rebar-demon-sds-plus-4-cutter-full-carbide-head-hammer-drill-bit.html")</f>
        <v/>
      </c>
      <c r="C38" t="inlineStr">
        <is>
          <t>Diablo DMAPL4090 1/4 Inch x 10 Inch x 12 Inch Rebar Demon SDS-Plus 4-Cutter Full Carbide Head Hammer Drill Bit</t>
        </is>
      </c>
      <c r="D38" t="inlineStr">
        <is>
          <t>Diablo by Freud DMAPL4230 5/8 in. x 10 in. x 12 in. Rebar Demon SDS-Plus 4-Cutter Full Carbide Head Hammer Bit</t>
        </is>
      </c>
      <c r="E38" s="1">
        <f>HYPERLINK("https://www.amazon.com/Diablo-Freud-DMAPL4230-SDS-Plus-4-Cutter/dp/B089LCN234/ref=sr_1_3?keywords=Diablo+DMAPL4090+1%2F4+Inch+x+10+Inch+x+12+Inch+Rebar+Demon+SDS-Plus+4-Cutter+Full+Carbide+Head+Hammer+Drill+Bit&amp;qid=1695347321&amp;sr=8-3", "https://www.amazon.com/Diablo-Freud-DMAPL4230-SDS-Plus-4-Cutter/dp/B089LCN234/ref=sr_1_3?keywords=Diablo+DMAPL4090+1%2F4+Inch+x+10+Inch+x+12+Inch+Rebar+Demon+SDS-Plus+4-Cutter+Full+Carbide+Head+Hammer+Drill+Bit&amp;qid=1695347321&amp;sr=8-3")</f>
        <v/>
      </c>
      <c r="F38" t="inlineStr">
        <is>
          <t>B089LCN234</t>
        </is>
      </c>
      <c r="G38">
        <f>_xlfn.IMAGE("https://www.toolnut.com/media/catalog/product/d/m/dmapl4090_main-image.jpg?quality=100&amp;bg-color=255,255,255&amp;fit=bounds&amp;height=700&amp;width=700&amp;canvas=700:700&amp;dpr=1 1x")</f>
        <v/>
      </c>
      <c r="H38">
        <f>_xlfn.IMAGE("https://m.media-amazon.com/images/I/61r649wmyhL._AC_UL320_.jpg")</f>
        <v/>
      </c>
      <c r="K38" t="inlineStr">
        <is>
          <t>10.99</t>
        </is>
      </c>
      <c r="L38" t="n">
        <v>22.26</v>
      </c>
      <c r="M38" s="2" t="inlineStr">
        <is>
          <t>102.55%</t>
        </is>
      </c>
      <c r="N38" t="n">
        <v>4.7</v>
      </c>
      <c r="O38" t="n">
        <v>47</v>
      </c>
      <c r="Q38" t="inlineStr">
        <is>
          <t>InStock</t>
        </is>
      </c>
      <c r="R38" t="inlineStr">
        <is>
          <t>undefined</t>
        </is>
      </c>
      <c r="S38" t="inlineStr">
        <is>
          <t>DMAPL4090</t>
        </is>
      </c>
    </row>
    <row r="39" ht="75" customHeight="1">
      <c r="A39" s="1">
        <f>HYPERLINK("https://www.toolnut.com/diablo-dmapl4090-1-4-inch-x-10-inch-x-12-inch-rebar-demon-sds-plus-4-cutter-full-carbide-head-hammer-drill-bit.html", "https://www.toolnut.com/diablo-dmapl4090-1-4-inch-x-10-inch-x-12-inch-rebar-demon-sds-plus-4-cutter-full-carbide-head-hammer-drill-bit.html")</f>
        <v/>
      </c>
      <c r="B39" s="1">
        <f>HYPERLINK("https://www.toolnut.com/diablo-dmapl4090-1-4-inch-x-10-inch-x-12-inch-rebar-demon-sds-plus-4-cutter-full-carbide-head-hammer-drill-bit.html", "https://www.toolnut.com/diablo-dmapl4090-1-4-inch-x-10-inch-x-12-inch-rebar-demon-sds-plus-4-cutter-full-carbide-head-hammer-drill-bit.html")</f>
        <v/>
      </c>
      <c r="C39" t="inlineStr">
        <is>
          <t>Diablo DMAPL4090 1/4 Inch x 10 Inch x 12 Inch Rebar Demon SDS-Plus 4-Cutter Full Carbide Head Hammer Drill Bit</t>
        </is>
      </c>
      <c r="D39" t="inlineStr">
        <is>
          <t>Diablo by Freud Diablo DMAPL4190 1/2 in. x 10 in. x 12 in. Rebar Demon SDS-Plus 4-Cutter Full Carbide Head Hammer Bit</t>
        </is>
      </c>
      <c r="E39" s="1">
        <f>HYPERLINK("https://www.amazon.com/Diablo-Freud-DMAPL4190-SDS-Plus-4-Cutter/dp/B089LJZ25M/ref=sr_1_6?keywords=Diablo+DMAPL4090+1%2F4+Inch+x+10+Inch+x+12+Inch+Rebar+Demon+SDS-Plus+4-Cutter+Full+Carbide+Head+Hammer+Drill+Bit&amp;qid=1695347321&amp;sr=8-6", "https://www.amazon.com/Diablo-Freud-DMAPL4190-SDS-Plus-4-Cutter/dp/B089LJZ25M/ref=sr_1_6?keywords=Diablo+DMAPL4090+1%2F4+Inch+x+10+Inch+x+12+Inch+Rebar+Demon+SDS-Plus+4-Cutter+Full+Carbide+Head+Hammer+Drill+Bit&amp;qid=1695347321&amp;sr=8-6")</f>
        <v/>
      </c>
      <c r="F39" t="inlineStr">
        <is>
          <t>B089LJZ25M</t>
        </is>
      </c>
      <c r="G39">
        <f>_xlfn.IMAGE("https://www.toolnut.com/media/catalog/product/d/m/dmapl4090_main-image.jpg?quality=100&amp;bg-color=255,255,255&amp;fit=bounds&amp;height=700&amp;width=700&amp;canvas=700:700&amp;dpr=1 1x")</f>
        <v/>
      </c>
      <c r="H39">
        <f>_xlfn.IMAGE("https://m.media-amazon.com/images/I/61dzudnwI8L._AC_UL320_.jpg")</f>
        <v/>
      </c>
      <c r="K39" t="inlineStr">
        <is>
          <t>10.99</t>
        </is>
      </c>
      <c r="L39" t="n">
        <v>20.18</v>
      </c>
      <c r="M39" s="2" t="inlineStr">
        <is>
          <t>83.62%</t>
        </is>
      </c>
      <c r="N39" t="n">
        <v>4.6</v>
      </c>
      <c r="O39" t="n">
        <v>43</v>
      </c>
      <c r="Q39" t="inlineStr">
        <is>
          <t>InStock</t>
        </is>
      </c>
      <c r="R39" t="inlineStr">
        <is>
          <t>undefined</t>
        </is>
      </c>
      <c r="S39" t="inlineStr">
        <is>
          <t>DMAPL4090</t>
        </is>
      </c>
    </row>
    <row r="40" ht="75" customHeight="1">
      <c r="A40" s="1">
        <f>HYPERLINK("https://www.toolnut.com/diablo-dmapl4090-1-4-inch-x-10-inch-x-12-inch-rebar-demon-sds-plus-4-cutter-full-carbide-head-hammer-drill-bit.html", "https://www.toolnut.com/diablo-dmapl4090-1-4-inch-x-10-inch-x-12-inch-rebar-demon-sds-plus-4-cutter-full-carbide-head-hammer-drill-bit.html")</f>
        <v/>
      </c>
      <c r="B40" s="1">
        <f>HYPERLINK("https://www.toolnut.com/diablo-dmapl4090-1-4-inch-x-10-inch-x-12-inch-rebar-demon-sds-plus-4-cutter-full-carbide-head-hammer-drill-bit.html", "https://www.toolnut.com/diablo-dmapl4090-1-4-inch-x-10-inch-x-12-inch-rebar-demon-sds-plus-4-cutter-full-carbide-head-hammer-drill-bit.html")</f>
        <v/>
      </c>
      <c r="C40" t="inlineStr">
        <is>
          <t>Diablo DMAPL4090 1/4 Inch x 10 Inch x 12 Inch Rebar Demon SDS-Plus 4-Cutter Full Carbide Head Hammer Drill Bit</t>
        </is>
      </c>
      <c r="D40" t="inlineStr">
        <is>
          <t>Diablo 7/16"x10"x12" Rebar Demon™ SDS-Plus 4-Cutter Full Carbide Head Hammer Bit</t>
        </is>
      </c>
      <c r="E40" s="1">
        <f>HYPERLINK("https://www.amazon.com/Diablo-SDS-Plus-4-Cutter-Carbide-Hammer/dp/B089LFSQTY/ref=sr_1_10?keywords=Diablo+DMAPL4090+1%2F4+Inch+x+10+Inch+x+12+Inch+Rebar+Demon+SDS-Plus+4-Cutter+Full+Carbide+Head+Hammer+Drill+Bit&amp;qid=1695347321&amp;sr=8-10", "https://www.amazon.com/Diablo-SDS-Plus-4-Cutter-Carbide-Hammer/dp/B089LFSQTY/ref=sr_1_10?keywords=Diablo+DMAPL4090+1%2F4+Inch+x+10+Inch+x+12+Inch+Rebar+Demon+SDS-Plus+4-Cutter+Full+Carbide+Head+Hammer+Drill+Bit&amp;qid=1695347321&amp;sr=8-10")</f>
        <v/>
      </c>
      <c r="F40" t="inlineStr">
        <is>
          <t>B089LFSQTY</t>
        </is>
      </c>
      <c r="G40">
        <f>_xlfn.IMAGE("https://www.toolnut.com/media/catalog/product/d/m/dmapl4090_main-image.jpg?quality=100&amp;bg-color=255,255,255&amp;fit=bounds&amp;height=700&amp;width=700&amp;canvas=700:700&amp;dpr=1 1x")</f>
        <v/>
      </c>
      <c r="H40">
        <f>_xlfn.IMAGE("https://m.media-amazon.com/images/I/61jzOMGnS3L._AC_UL320_.jpg")</f>
        <v/>
      </c>
      <c r="K40" t="inlineStr">
        <is>
          <t>10.99</t>
        </is>
      </c>
      <c r="L40" t="n">
        <v>18.27</v>
      </c>
      <c r="M40" s="2" t="inlineStr">
        <is>
          <t>66.24%</t>
        </is>
      </c>
      <c r="N40" t="n">
        <v>4.6</v>
      </c>
      <c r="O40" t="n">
        <v>7</v>
      </c>
      <c r="Q40" t="inlineStr">
        <is>
          <t>InStock</t>
        </is>
      </c>
      <c r="R40" t="inlineStr">
        <is>
          <t>undefined</t>
        </is>
      </c>
      <c r="S40" t="inlineStr">
        <is>
          <t>DMAPL4090</t>
        </is>
      </c>
    </row>
    <row r="41" ht="75" customHeight="1">
      <c r="A41" s="1">
        <f>HYPERLINK("https://www.toolnut.com/diablo-dmapl4100-1-4-inch-x-16-inch-x-18-inch-rebar-demon-sds-plus-4-cutter-full-carbide-head-hammer-drill-bit.html", "https://www.toolnut.com/diablo-dmapl4100-1-4-inch-x-16-inch-x-18-inch-rebar-demon-sds-plus-4-cutter-full-carbide-head-hammer-drill-bit.html")</f>
        <v/>
      </c>
      <c r="B41" s="1">
        <f>HYPERLINK("https://www.toolnut.com/diablo-dmapl4100-1-4-inch-x-16-inch-x-18-inch-rebar-demon-sds-plus-4-cutter-full-carbide-head-hammer-drill-bit.html", "https://www.toolnut.com/diablo-dmapl4100-1-4-inch-x-16-inch-x-18-inch-rebar-demon-sds-plus-4-cutter-full-carbide-head-hammer-drill-bit.html")</f>
        <v/>
      </c>
      <c r="C41" t="inlineStr">
        <is>
          <t>Diablo DMAPL4100 1/4 Inch x 16 Inch x 18 Inch Rebar Demon SDS-Plus 4-Cutter Full Carbide Head Hammer Drill Bit</t>
        </is>
      </c>
      <c r="D41" t="inlineStr">
        <is>
          <t>Diablo DMAPL4310 1 in. x 16 in. x 18 in. Rebar Demon™ SDS-Plus 4-Cutter Full Carbide Head Hammer Bit</t>
        </is>
      </c>
      <c r="E41" s="1">
        <f>HYPERLINK("https://www.amazon.com/Diablo-DMAPL4310-SDS-Plus-4-Cutter-Carbide/dp/B089KX2VKR/ref=sr_1_4?keywords=Diablo+DMAPL4100+1%2F4+Inch+x+16+Inch+x+18+Inch+Rebar+Demon+SDS-Plus+4-Cutter+Full+Carbide+Head+Hammer+Drill+Bit&amp;qid=1695347308&amp;sr=8-4", "https://www.amazon.com/Diablo-DMAPL4310-SDS-Plus-4-Cutter-Carbide/dp/B089KX2VKR/ref=sr_1_4?keywords=Diablo+DMAPL4100+1%2F4+Inch+x+16+Inch+x+18+Inch+Rebar+Demon+SDS-Plus+4-Cutter+Full+Carbide+Head+Hammer+Drill+Bit&amp;qid=1695347308&amp;sr=8-4")</f>
        <v/>
      </c>
      <c r="F41" t="inlineStr">
        <is>
          <t>B089KX2VKR</t>
        </is>
      </c>
      <c r="G41">
        <f>_xlfn.IMAGE("https://www.toolnut.com/media/catalog/product/d/m/dmapl4100_main-image.jpg?quality=100&amp;bg-color=255,255,255&amp;fit=bounds&amp;height=700&amp;width=700&amp;canvas=700:700&amp;dpr=1 1x")</f>
        <v/>
      </c>
      <c r="H41">
        <f>_xlfn.IMAGE("https://m.media-amazon.com/images/I/61iwxfqG2VL._AC_UL320_.jpg")</f>
        <v/>
      </c>
      <c r="K41" t="inlineStr">
        <is>
          <t>11.99</t>
        </is>
      </c>
      <c r="L41" t="n">
        <v>48.49</v>
      </c>
      <c r="M41" s="2" t="inlineStr">
        <is>
          <t>304.42%</t>
        </is>
      </c>
      <c r="N41" t="n">
        <v>4.5</v>
      </c>
      <c r="O41" t="n">
        <v>32</v>
      </c>
      <c r="Q41" t="inlineStr">
        <is>
          <t>InStock</t>
        </is>
      </c>
      <c r="R41" t="inlineStr">
        <is>
          <t>undefined</t>
        </is>
      </c>
      <c r="S41" t="inlineStr">
        <is>
          <t>DMAPL4100</t>
        </is>
      </c>
    </row>
    <row r="42" ht="75" customHeight="1">
      <c r="A42" s="1">
        <f>HYPERLINK("https://www.toolnut.com/diablo-dmapl4100-1-4-inch-x-16-inch-x-18-inch-rebar-demon-sds-plus-4-cutter-full-carbide-head-hammer-drill-bit.html", "https://www.toolnut.com/diablo-dmapl4100-1-4-inch-x-16-inch-x-18-inch-rebar-demon-sds-plus-4-cutter-full-carbide-head-hammer-drill-bit.html")</f>
        <v/>
      </c>
      <c r="B42" s="1">
        <f>HYPERLINK("https://www.toolnut.com/diablo-dmapl4100-1-4-inch-x-16-inch-x-18-inch-rebar-demon-sds-plus-4-cutter-full-carbide-head-hammer-drill-bit.html", "https://www.toolnut.com/diablo-dmapl4100-1-4-inch-x-16-inch-x-18-inch-rebar-demon-sds-plus-4-cutter-full-carbide-head-hammer-drill-bit.html")</f>
        <v/>
      </c>
      <c r="C42" t="inlineStr">
        <is>
          <t>Diablo DMAPL4100 1/4 Inch x 16 Inch x 18 Inch Rebar Demon SDS-Plus 4-Cutter Full Carbide Head Hammer Drill Bit</t>
        </is>
      </c>
      <c r="D42" t="inlineStr">
        <is>
          <t>Diablo - DMAPL4170 3/8" x 16" x 18" Rebar Demon SDS+ 4-Cutter Full Carbide Head Hammer Bit</t>
        </is>
      </c>
      <c r="E42" s="1">
        <f>HYPERLINK("https://www.amazon.com/Diablo-Freud-DMAPL4170-SDS-Plus-4-Cutter/dp/B089LLBRMP/ref=sr_1_5?keywords=Diablo+DMAPL4100+1%2F4+Inch+x+16+Inch+x+18+Inch+Rebar+Demon+SDS-Plus+4-Cutter+Full+Carbide+Head+Hammer+Drill+Bit&amp;qid=1695347308&amp;sr=8-5", "https://www.amazon.com/Diablo-Freud-DMAPL4170-SDS-Plus-4-Cutter/dp/B089LLBRMP/ref=sr_1_5?keywords=Diablo+DMAPL4100+1%2F4+Inch+x+16+Inch+x+18+Inch+Rebar+Demon+SDS-Plus+4-Cutter+Full+Carbide+Head+Hammer+Drill+Bit&amp;qid=1695347308&amp;sr=8-5")</f>
        <v/>
      </c>
      <c r="F42" t="inlineStr">
        <is>
          <t>B089LLBRMP</t>
        </is>
      </c>
      <c r="G42">
        <f>_xlfn.IMAGE("https://www.toolnut.com/media/catalog/product/d/m/dmapl4100_main-image.jpg?quality=100&amp;bg-color=255,255,255&amp;fit=bounds&amp;height=700&amp;width=700&amp;canvas=700:700&amp;dpr=1 1x")</f>
        <v/>
      </c>
      <c r="H42">
        <f>_xlfn.IMAGE("https://m.media-amazon.com/images/I/61XkkDVsH2L._AC_UL320_.jpg")</f>
        <v/>
      </c>
      <c r="K42" t="inlineStr">
        <is>
          <t>11.99</t>
        </is>
      </c>
      <c r="L42" t="n">
        <v>22.75</v>
      </c>
      <c r="M42" s="2" t="inlineStr">
        <is>
          <t>89.74%</t>
        </is>
      </c>
      <c r="N42" t="n">
        <v>4.1</v>
      </c>
      <c r="O42" t="n">
        <v>13</v>
      </c>
      <c r="Q42" t="inlineStr">
        <is>
          <t>InStock</t>
        </is>
      </c>
      <c r="R42" t="inlineStr">
        <is>
          <t>undefined</t>
        </is>
      </c>
      <c r="S42" t="inlineStr">
        <is>
          <t>DMAPL4100</t>
        </is>
      </c>
    </row>
    <row r="43" ht="75" customHeight="1">
      <c r="A43" s="1">
        <f>HYPERLINK("https://www.toolnut.com/diablo-dmapl4100-1-4-inch-x-16-inch-x-18-inch-rebar-demon-sds-plus-4-cutter-full-carbide-head-hammer-drill-bit.html", "https://www.toolnut.com/diablo-dmapl4100-1-4-inch-x-16-inch-x-18-inch-rebar-demon-sds-plus-4-cutter-full-carbide-head-hammer-drill-bit.html")</f>
        <v/>
      </c>
      <c r="B43" s="1">
        <f>HYPERLINK("https://www.toolnut.com/diablo-dmapl4100-1-4-inch-x-16-inch-x-18-inch-rebar-demon-sds-plus-4-cutter-full-carbide-head-hammer-drill-bit.html", "https://www.toolnut.com/diablo-dmapl4100-1-4-inch-x-16-inch-x-18-inch-rebar-demon-sds-plus-4-cutter-full-carbide-head-hammer-drill-bit.html")</f>
        <v/>
      </c>
      <c r="C43" t="inlineStr">
        <is>
          <t>Diablo DMAPL4100 1/4 Inch x 16 Inch x 18 Inch Rebar Demon SDS-Plus 4-Cutter Full Carbide Head Hammer Drill Bit</t>
        </is>
      </c>
      <c r="D43" t="inlineStr">
        <is>
          <t>Diablo by Freud DMAPL4200 1/2 in. x 16 in. x 18 in. Rebar Demon SDS-Plus 4-Cutter Full Carbide Head Hammer Bit</t>
        </is>
      </c>
      <c r="E43" s="1">
        <f>HYPERLINK("https://www.amazon.com/Diablo-Freud-DMAPL4200-SDS-Plus-4-Cutter/dp/B089KW2QV1/ref=sr_1_2?keywords=Diablo+DMAPL4100+1%2F4+Inch+x+16+Inch+x+18+Inch+Rebar+Demon+SDS-Plus+4-Cutter+Full+Carbide+Head+Hammer+Drill+Bit&amp;qid=1695347308&amp;sr=8-2", "https://www.amazon.com/Diablo-Freud-DMAPL4200-SDS-Plus-4-Cutter/dp/B089KW2QV1/ref=sr_1_2?keywords=Diablo+DMAPL4100+1%2F4+Inch+x+16+Inch+x+18+Inch+Rebar+Demon+SDS-Plus+4-Cutter+Full+Carbide+Head+Hammer+Drill+Bit&amp;qid=1695347308&amp;sr=8-2")</f>
        <v/>
      </c>
      <c r="F43" t="inlineStr">
        <is>
          <t>B089KW2QV1</t>
        </is>
      </c>
      <c r="G43">
        <f>_xlfn.IMAGE("https://www.toolnut.com/media/catalog/product/d/m/dmapl4100_main-image.jpg?quality=100&amp;bg-color=255,255,255&amp;fit=bounds&amp;height=700&amp;width=700&amp;canvas=700:700&amp;dpr=1 1x")</f>
        <v/>
      </c>
      <c r="H43">
        <f>_xlfn.IMAGE("https://m.media-amazon.com/images/I/61rW+ROVmNL._AC_UL320_.jpg")</f>
        <v/>
      </c>
      <c r="K43" t="inlineStr">
        <is>
          <t>11.99</t>
        </is>
      </c>
      <c r="L43" t="n">
        <v>22</v>
      </c>
      <c r="M43" s="2" t="inlineStr">
        <is>
          <t>83.49%</t>
        </is>
      </c>
      <c r="N43" t="n">
        <v>4.7</v>
      </c>
      <c r="O43" t="n">
        <v>18</v>
      </c>
      <c r="Q43" t="inlineStr">
        <is>
          <t>InStock</t>
        </is>
      </c>
      <c r="R43" t="inlineStr">
        <is>
          <t>undefined</t>
        </is>
      </c>
      <c r="S43" t="inlineStr">
        <is>
          <t>DMAPL4100</t>
        </is>
      </c>
    </row>
    <row r="44" ht="75" customHeight="1">
      <c r="A44" s="1">
        <f>HYPERLINK("https://www.toolnut.com/diablo-dmapl4120-5-16-inch-x-10-inch-x-12-inch-rebar-demon-sds-plus-4-cutter-full-carbide-head-hammer-drill-bit.html", "https://www.toolnut.com/diablo-dmapl4120-5-16-inch-x-10-inch-x-12-inch-rebar-demon-sds-plus-4-cutter-full-carbide-head-hammer-drill-bit.html")</f>
        <v/>
      </c>
      <c r="B44" s="1">
        <f>HYPERLINK("https://www.toolnut.com/diablo-dmapl4120-5-16-inch-x-10-inch-x-12-inch-rebar-demon-sds-plus-4-cutter-full-carbide-head-hammer-drill-bit.html", "https://www.toolnut.com/diablo-dmapl4120-5-16-inch-x-10-inch-x-12-inch-rebar-demon-sds-plus-4-cutter-full-carbide-head-hammer-drill-bit.html")</f>
        <v/>
      </c>
      <c r="C44" t="inlineStr">
        <is>
          <t>Diablo DMAPL4120 5/16 Inch x 10 Inch x 12 Inch Rebar Demon SDS-Plus 4-Cutter Full Carbide Head Hammer Drill Bit</t>
        </is>
      </c>
      <c r="D44" t="inlineStr">
        <is>
          <t>Diablo by Freud DMAPL4230 5/8 in. x 10 in. x 12 in. Rebar Demon SDS-Plus 4-Cutter Full Carbide Head Hammer Bit</t>
        </is>
      </c>
      <c r="E44" s="1">
        <f>HYPERLINK("https://www.amazon.com/Diablo-Freud-DMAPL4230-SDS-Plus-4-Cutter/dp/B089LCN234/ref=sr_1_2?keywords=Diablo+DMAPL4120+5%2F16+Inch+x+10+Inch+x+12+Inch+Rebar+Demon+SDS-Plus+4-Cutter+Full+Carbide+Head+Hammer+Drill+Bit&amp;qid=1695347278&amp;sr=8-2", "https://www.amazon.com/Diablo-Freud-DMAPL4230-SDS-Plus-4-Cutter/dp/B089LCN234/ref=sr_1_2?keywords=Diablo+DMAPL4120+5%2F16+Inch+x+10+Inch+x+12+Inch+Rebar+Demon+SDS-Plus+4-Cutter+Full+Carbide+Head+Hammer+Drill+Bit&amp;qid=1695347278&amp;sr=8-2")</f>
        <v/>
      </c>
      <c r="F44" t="inlineStr">
        <is>
          <t>B089LCN234</t>
        </is>
      </c>
      <c r="G44">
        <f>_xlfn.IMAGE("https://www.toolnut.com/media/catalog/product/d/m/dmapl4120_main-image.jpg?quality=100&amp;bg-color=255,255,255&amp;fit=bounds&amp;height=700&amp;width=700&amp;canvas=700:700&amp;dpr=1 1x")</f>
        <v/>
      </c>
      <c r="H44">
        <f>_xlfn.IMAGE("https://m.media-amazon.com/images/I/61r649wmyhL._AC_UL320_.jpg")</f>
        <v/>
      </c>
      <c r="K44" t="inlineStr">
        <is>
          <t>9.99</t>
        </is>
      </c>
      <c r="L44" t="n">
        <v>22.26</v>
      </c>
      <c r="M44" s="2" t="inlineStr">
        <is>
          <t>122.82%</t>
        </is>
      </c>
      <c r="N44" t="n">
        <v>4.7</v>
      </c>
      <c r="O44" t="n">
        <v>47</v>
      </c>
      <c r="Q44" t="inlineStr">
        <is>
          <t>InStock</t>
        </is>
      </c>
      <c r="R44" t="inlineStr">
        <is>
          <t>undefined</t>
        </is>
      </c>
      <c r="S44" t="inlineStr">
        <is>
          <t>DMAPL4120</t>
        </is>
      </c>
    </row>
    <row r="45" ht="75" customHeight="1">
      <c r="A45" s="1">
        <f>HYPERLINK("https://www.toolnut.com/diablo-dmapl4120-5-16-inch-x-10-inch-x-12-inch-rebar-demon-sds-plus-4-cutter-full-carbide-head-hammer-drill-bit.html", "https://www.toolnut.com/diablo-dmapl4120-5-16-inch-x-10-inch-x-12-inch-rebar-demon-sds-plus-4-cutter-full-carbide-head-hammer-drill-bit.html")</f>
        <v/>
      </c>
      <c r="B45" s="1">
        <f>HYPERLINK("https://www.toolnut.com/diablo-dmapl4120-5-16-inch-x-10-inch-x-12-inch-rebar-demon-sds-plus-4-cutter-full-carbide-head-hammer-drill-bit.html", "https://www.toolnut.com/diablo-dmapl4120-5-16-inch-x-10-inch-x-12-inch-rebar-demon-sds-plus-4-cutter-full-carbide-head-hammer-drill-bit.html")</f>
        <v/>
      </c>
      <c r="C45" t="inlineStr">
        <is>
          <t>Diablo DMAPL4120 5/16 Inch x 10 Inch x 12 Inch Rebar Demon SDS-Plus 4-Cutter Full Carbide Head Hammer Drill Bit</t>
        </is>
      </c>
      <c r="D45" t="inlineStr">
        <is>
          <t>Diablo 7/16"x10"x12" Rebar Demon™ SDS-Plus 4-Cutter Full Carbide Head Hammer Bit</t>
        </is>
      </c>
      <c r="E45" s="1">
        <f>HYPERLINK("https://www.amazon.com/Diablo-SDS-Plus-4-Cutter-Carbide-Hammer/dp/B089LFSQTY/ref=sr_1_7?keywords=Diablo+DMAPL4120+5%2F16+Inch+x+10+Inch+x+12+Inch+Rebar+Demon+SDS-Plus+4-Cutter+Full+Carbide+Head+Hammer+Drill+Bit&amp;qid=1695347278&amp;sr=8-7", "https://www.amazon.com/Diablo-SDS-Plus-4-Cutter-Carbide-Hammer/dp/B089LFSQTY/ref=sr_1_7?keywords=Diablo+DMAPL4120+5%2F16+Inch+x+10+Inch+x+12+Inch+Rebar+Demon+SDS-Plus+4-Cutter+Full+Carbide+Head+Hammer+Drill+Bit&amp;qid=1695347278&amp;sr=8-7")</f>
        <v/>
      </c>
      <c r="F45" t="inlineStr">
        <is>
          <t>B089LFSQTY</t>
        </is>
      </c>
      <c r="G45">
        <f>_xlfn.IMAGE("https://www.toolnut.com/media/catalog/product/d/m/dmapl4120_main-image.jpg?quality=100&amp;bg-color=255,255,255&amp;fit=bounds&amp;height=700&amp;width=700&amp;canvas=700:700&amp;dpr=1 1x")</f>
        <v/>
      </c>
      <c r="H45">
        <f>_xlfn.IMAGE("https://m.media-amazon.com/images/I/61jzOMGnS3L._AC_UL320_.jpg")</f>
        <v/>
      </c>
      <c r="K45" t="inlineStr">
        <is>
          <t>9.99</t>
        </is>
      </c>
      <c r="L45" t="n">
        <v>18.27</v>
      </c>
      <c r="M45" s="2" t="inlineStr">
        <is>
          <t>82.88%</t>
        </is>
      </c>
      <c r="N45" t="n">
        <v>4.6</v>
      </c>
      <c r="O45" t="n">
        <v>7</v>
      </c>
      <c r="Q45" t="inlineStr">
        <is>
          <t>InStock</t>
        </is>
      </c>
      <c r="R45" t="inlineStr">
        <is>
          <t>undefined</t>
        </is>
      </c>
      <c r="S45" t="inlineStr">
        <is>
          <t>DMAPL4120</t>
        </is>
      </c>
    </row>
    <row r="46" ht="75" customHeight="1">
      <c r="A46" s="1">
        <f>HYPERLINK("https://www.toolnut.com/diablo-dmapl4130-5-16-inch-x-16-inch-x-18-inch-rebar-demon-sds-plus-4-cutter-full-carbide-head-hammer-drill-bit.html", "https://www.toolnut.com/diablo-dmapl4130-5-16-inch-x-16-inch-x-18-inch-rebar-demon-sds-plus-4-cutter-full-carbide-head-hammer-drill-bit.html")</f>
        <v/>
      </c>
      <c r="B46" s="1">
        <f>HYPERLINK("https://www.toolnut.com/diablo-dmapl4130-5-16-inch-x-16-inch-x-18-inch-rebar-demon-sds-plus-4-cutter-full-carbide-head-hammer-drill-bit.html", "https://www.toolnut.com/diablo-dmapl4130-5-16-inch-x-16-inch-x-18-inch-rebar-demon-sds-plus-4-cutter-full-carbide-head-hammer-drill-bit.html")</f>
        <v/>
      </c>
      <c r="C46" t="inlineStr">
        <is>
          <t>Diablo DMAPL4130 5/16 Inch x 16 Inch x 18 Inch Rebar Demon SDS-Plus 4-Cutter Full Carbide Head Hammer Drill Bit</t>
        </is>
      </c>
      <c r="D46" t="inlineStr">
        <is>
          <t>Diablo DMAPL4310 1 in. x 16 in. x 18 in. Rebar Demon™ SDS-Plus 4-Cutter Full Carbide Head Hammer Bit</t>
        </is>
      </c>
      <c r="E46" s="1">
        <f>HYPERLINK("https://www.amazon.com/Diablo-DMAPL4310-SDS-Plus-4-Cutter-Carbide/dp/B089KX2VKR/ref=sr_1_2?keywords=Diablo+DMAPL4130+5%2F16+Inch+x+16+Inch+x+18+Inch+Rebar+Demon+SDS-Plus+4-Cutter+Full+Carbide+Head+Hammer+Drill+Bit&amp;qid=1695347328&amp;sr=8-2", "https://www.amazon.com/Diablo-DMAPL4310-SDS-Plus-4-Cutter-Carbide/dp/B089KX2VKR/ref=sr_1_2?keywords=Diablo+DMAPL4130+5%2F16+Inch+x+16+Inch+x+18+Inch+Rebar+Demon+SDS-Plus+4-Cutter+Full+Carbide+Head+Hammer+Drill+Bit&amp;qid=1695347328&amp;sr=8-2")</f>
        <v/>
      </c>
      <c r="F46" t="inlineStr">
        <is>
          <t>B089KX2VKR</t>
        </is>
      </c>
      <c r="G46">
        <f>_xlfn.IMAGE("https://www.toolnut.com/media/catalog/product/d/m/dmapl4130_main-image.jpg?quality=100&amp;bg-color=255,255,255&amp;fit=bounds&amp;height=700&amp;width=700&amp;canvas=700:700&amp;dpr=1 1x")</f>
        <v/>
      </c>
      <c r="H46">
        <f>_xlfn.IMAGE("https://m.media-amazon.com/images/I/61iwxfqG2VL._AC_UL320_.jpg")</f>
        <v/>
      </c>
      <c r="K46" t="inlineStr">
        <is>
          <t>14.99</t>
        </is>
      </c>
      <c r="L46" t="n">
        <v>48.49</v>
      </c>
      <c r="M46" s="2" t="inlineStr">
        <is>
          <t>223.48%</t>
        </is>
      </c>
      <c r="N46" t="n">
        <v>4.5</v>
      </c>
      <c r="O46" t="n">
        <v>32</v>
      </c>
      <c r="Q46" t="inlineStr">
        <is>
          <t>InStock</t>
        </is>
      </c>
      <c r="R46" t="inlineStr">
        <is>
          <t>undefined</t>
        </is>
      </c>
      <c r="S46" t="inlineStr">
        <is>
          <t>DMAPL4130</t>
        </is>
      </c>
    </row>
    <row r="47" ht="75" customHeight="1">
      <c r="A47" s="1">
        <f>HYPERLINK("https://www.toolnut.com/diablo-dmapl4130-5-16-inch-x-16-inch-x-18-inch-rebar-demon-sds-plus-4-cutter-full-carbide-head-hammer-drill-bit.html", "https://www.toolnut.com/diablo-dmapl4130-5-16-inch-x-16-inch-x-18-inch-rebar-demon-sds-plus-4-cutter-full-carbide-head-hammer-drill-bit.html")</f>
        <v/>
      </c>
      <c r="B47" s="1">
        <f>HYPERLINK("https://www.toolnut.com/diablo-dmapl4130-5-16-inch-x-16-inch-x-18-inch-rebar-demon-sds-plus-4-cutter-full-carbide-head-hammer-drill-bit.html", "https://www.toolnut.com/diablo-dmapl4130-5-16-inch-x-16-inch-x-18-inch-rebar-demon-sds-plus-4-cutter-full-carbide-head-hammer-drill-bit.html")</f>
        <v/>
      </c>
      <c r="C47" t="inlineStr">
        <is>
          <t>Diablo DMAPL4130 5/16 Inch x 16 Inch x 18 Inch Rebar Demon SDS-Plus 4-Cutter Full Carbide Head Hammer Drill Bit</t>
        </is>
      </c>
      <c r="D47" t="inlineStr">
        <is>
          <t>Diablo 3/4"x 16"x18" Rebar Demon SDS-Plus 4-Cutter Full Carbide Head Hammer Bit</t>
        </is>
      </c>
      <c r="E47" s="1">
        <f>HYPERLINK("https://www.amazon.com/Diablo-Freud-DMAPL4260-SDS-Plus-4-Cutter/dp/B089LK4H2L/ref=sr_1_8?keywords=Diablo+DMAPL4130+5%2F16+Inch+x+16+Inch+x+18+Inch+Rebar+Demon+SDS-Plus+4-Cutter+Full+Carbide+Head+Hammer+Drill+Bit&amp;qid=1695347328&amp;sr=8-8", "https://www.amazon.com/Diablo-Freud-DMAPL4260-SDS-Plus-4-Cutter/dp/B089LK4H2L/ref=sr_1_8?keywords=Diablo+DMAPL4130+5%2F16+Inch+x+16+Inch+x+18+Inch+Rebar+Demon+SDS-Plus+4-Cutter+Full+Carbide+Head+Hammer+Drill+Bit&amp;qid=1695347328&amp;sr=8-8")</f>
        <v/>
      </c>
      <c r="F47" t="inlineStr">
        <is>
          <t>B089LK4H2L</t>
        </is>
      </c>
      <c r="G47">
        <f>_xlfn.IMAGE("https://www.toolnut.com/media/catalog/product/d/m/dmapl4130_main-image.jpg?quality=100&amp;bg-color=255,255,255&amp;fit=bounds&amp;height=700&amp;width=700&amp;canvas=700:700&amp;dpr=1 1x")</f>
        <v/>
      </c>
      <c r="H47">
        <f>_xlfn.IMAGE("https://m.media-amazon.com/images/I/61K1ugH5-zL._AC_UL320_.jpg")</f>
        <v/>
      </c>
      <c r="K47" t="inlineStr">
        <is>
          <t>14.99</t>
        </is>
      </c>
      <c r="L47" t="n">
        <v>38.22</v>
      </c>
      <c r="M47" s="2" t="inlineStr">
        <is>
          <t>154.97%</t>
        </is>
      </c>
      <c r="N47" t="n">
        <v>4.7</v>
      </c>
      <c r="O47" t="n">
        <v>15</v>
      </c>
      <c r="Q47" t="inlineStr">
        <is>
          <t>InStock</t>
        </is>
      </c>
      <c r="R47" t="inlineStr">
        <is>
          <t>undefined</t>
        </is>
      </c>
      <c r="S47" t="inlineStr">
        <is>
          <t>DMAPL4130</t>
        </is>
      </c>
    </row>
    <row r="48" ht="75" customHeight="1">
      <c r="A48" s="1">
        <f>HYPERLINK("https://www.toolnut.com/diablo-dmapl4130-5-16-inch-x-16-inch-x-18-inch-rebar-demon-sds-plus-4-cutter-full-carbide-head-hammer-drill-bit.html", "https://www.toolnut.com/diablo-dmapl4130-5-16-inch-x-16-inch-x-18-inch-rebar-demon-sds-plus-4-cutter-full-carbide-head-hammer-drill-bit.html")</f>
        <v/>
      </c>
      <c r="B48" s="1">
        <f>HYPERLINK("https://www.toolnut.com/diablo-dmapl4130-5-16-inch-x-16-inch-x-18-inch-rebar-demon-sds-plus-4-cutter-full-carbide-head-hammer-drill-bit.html", "https://www.toolnut.com/diablo-dmapl4130-5-16-inch-x-16-inch-x-18-inch-rebar-demon-sds-plus-4-cutter-full-carbide-head-hammer-drill-bit.html")</f>
        <v/>
      </c>
      <c r="C48" t="inlineStr">
        <is>
          <t>Diablo DMAPL4130 5/16 Inch x 16 Inch x 18 Inch Rebar Demon SDS-Plus 4-Cutter Full Carbide Head Hammer Drill Bit</t>
        </is>
      </c>
      <c r="D48" t="inlineStr">
        <is>
          <t>Diablo 5/8"x 16"x18" Rebar Demon™ SDS-Plus 4-Cutter Full Carbide Head Hammer Bit</t>
        </is>
      </c>
      <c r="E48" s="1">
        <f>HYPERLINK("https://www.amazon.com/Diablo-SDS-Plus-4-Cutter-Carbide-Hammer/dp/B089LDNZSN/ref=sr_1_10?keywords=Diablo+DMAPL4130+5%2F16+Inch+x+16+Inch+x+18+Inch+Rebar+Demon+SDS-Plus+4-Cutter+Full+Carbide+Head+Hammer+Drill+Bit&amp;qid=1695347328&amp;sr=8-10", "https://www.amazon.com/Diablo-SDS-Plus-4-Cutter-Carbide-Hammer/dp/B089LDNZSN/ref=sr_1_10?keywords=Diablo+DMAPL4130+5%2F16+Inch+x+16+Inch+x+18+Inch+Rebar+Demon+SDS-Plus+4-Cutter+Full+Carbide+Head+Hammer+Drill+Bit&amp;qid=1695347328&amp;sr=8-10")</f>
        <v/>
      </c>
      <c r="F48" t="inlineStr">
        <is>
          <t>B089LDNZSN</t>
        </is>
      </c>
      <c r="G48">
        <f>_xlfn.IMAGE("https://www.toolnut.com/media/catalog/product/d/m/dmapl4130_main-image.jpg?quality=100&amp;bg-color=255,255,255&amp;fit=bounds&amp;height=700&amp;width=700&amp;canvas=700:700&amp;dpr=1 1x")</f>
        <v/>
      </c>
      <c r="H48">
        <f>_xlfn.IMAGE("https://m.media-amazon.com/images/I/61Vv8Hsfp5L._AC_UL320_.jpg")</f>
        <v/>
      </c>
      <c r="K48" t="inlineStr">
        <is>
          <t>14.99</t>
        </is>
      </c>
      <c r="L48" t="n">
        <v>33.98</v>
      </c>
      <c r="M48" s="2" t="inlineStr">
        <is>
          <t>126.68%</t>
        </is>
      </c>
      <c r="N48" t="n">
        <v>4.6</v>
      </c>
      <c r="O48" t="n">
        <v>10</v>
      </c>
      <c r="Q48" t="inlineStr">
        <is>
          <t>InStock</t>
        </is>
      </c>
      <c r="R48" t="inlineStr">
        <is>
          <t>undefined</t>
        </is>
      </c>
      <c r="S48" t="inlineStr">
        <is>
          <t>DMAPL4130</t>
        </is>
      </c>
    </row>
    <row r="49" ht="75" customHeight="1">
      <c r="A49" s="1">
        <f>HYPERLINK("https://www.toolnut.com/diablo-dmapl4150-3-8-inch-x-6-inch-x-8-inch-rebar-demon-sds-plus-4-cutter-full-carbide-head-hammer-drill-bit.html", "https://www.toolnut.com/diablo-dmapl4150-3-8-inch-x-6-inch-x-8-inch-rebar-demon-sds-plus-4-cutter-full-carbide-head-hammer-drill-bit.html")</f>
        <v/>
      </c>
      <c r="B49" s="1">
        <f>HYPERLINK("https://www.toolnut.com/diablo-dmapl4150-3-8-inch-x-6-inch-x-8-inch-rebar-demon-sds-plus-4-cutter-full-carbide-head-hammer-drill-bit.html", "https://www.toolnut.com/diablo-dmapl4150-3-8-inch-x-6-inch-x-8-inch-rebar-demon-sds-plus-4-cutter-full-carbide-head-hammer-drill-bit.html")</f>
        <v/>
      </c>
      <c r="C49" t="inlineStr">
        <is>
          <t>Diablo DMAPL4150 3/8 Inch x 6 Inch x 8 Inch Rebar Demon SDS-Plus 4-Cutter Full Carbide Head Hammer Drill Bit</t>
        </is>
      </c>
      <c r="D49" t="inlineStr">
        <is>
          <t>Diablo by Freud DMAPL4300 1 in. x 8 in. x 10 in. Rebar Demon™ SDS-Plus 4-Cutter Full Carbide Head Hammer Bit</t>
        </is>
      </c>
      <c r="E49" s="1">
        <f>HYPERLINK("https://www.amazon.com/Diablo-Freud-DMAPL4300-SDS-Plus-4-Cutter/dp/B089LL8JD8/ref=sr_1_4?keywords=Diablo+DMAPL4150+3%2F8+Inch+x+6+Inch+x+8+Inch+Rebar+Demon+SDS-Plus+4-Cutter+Full+Carbide+Head+Hammer+Drill+Bit&amp;qid=1695347320&amp;sr=8-4", "https://www.amazon.com/Diablo-Freud-DMAPL4300-SDS-Plus-4-Cutter/dp/B089LL8JD8/ref=sr_1_4?keywords=Diablo+DMAPL4150+3%2F8+Inch+x+6+Inch+x+8+Inch+Rebar+Demon+SDS-Plus+4-Cutter+Full+Carbide+Head+Hammer+Drill+Bit&amp;qid=1695347320&amp;sr=8-4")</f>
        <v/>
      </c>
      <c r="F49" t="inlineStr">
        <is>
          <t>B089LL8JD8</t>
        </is>
      </c>
      <c r="G49">
        <f>_xlfn.IMAGE("https://www.toolnut.com/media/catalog/product/d/m/dmapl4150_main-image.jpg?quality=100&amp;bg-color=255,255,255&amp;fit=bounds&amp;height=700&amp;width=700&amp;canvas=700:700&amp;dpr=1 1x")</f>
        <v/>
      </c>
      <c r="H49">
        <f>_xlfn.IMAGE("https://m.media-amazon.com/images/I/616UiJGsK1L._AC_UL320_.jpg")</f>
        <v/>
      </c>
      <c r="K49" t="inlineStr">
        <is>
          <t>6.99</t>
        </is>
      </c>
      <c r="L49" t="n">
        <v>33.95</v>
      </c>
      <c r="M49" s="2" t="inlineStr">
        <is>
          <t>385.69%</t>
        </is>
      </c>
      <c r="N49" t="n">
        <v>4.5</v>
      </c>
      <c r="O49" t="n">
        <v>16</v>
      </c>
      <c r="Q49" t="inlineStr">
        <is>
          <t>InStock</t>
        </is>
      </c>
      <c r="R49" t="inlineStr">
        <is>
          <t>undefined</t>
        </is>
      </c>
      <c r="S49" t="inlineStr">
        <is>
          <t>DMAPL4150</t>
        </is>
      </c>
    </row>
    <row r="50" ht="75" customHeight="1">
      <c r="A50" s="1">
        <f>HYPERLINK("https://www.toolnut.com/diablo-dmapl4150-3-8-inch-x-6-inch-x-8-inch-rebar-demon-sds-plus-4-cutter-full-carbide-head-hammer-drill-bit.html", "https://www.toolnut.com/diablo-dmapl4150-3-8-inch-x-6-inch-x-8-inch-rebar-demon-sds-plus-4-cutter-full-carbide-head-hammer-drill-bit.html")</f>
        <v/>
      </c>
      <c r="B50" s="1">
        <f>HYPERLINK("https://www.toolnut.com/diablo-dmapl4150-3-8-inch-x-6-inch-x-8-inch-rebar-demon-sds-plus-4-cutter-full-carbide-head-hammer-drill-bit.html", "https://www.toolnut.com/diablo-dmapl4150-3-8-inch-x-6-inch-x-8-inch-rebar-demon-sds-plus-4-cutter-full-carbide-head-hammer-drill-bit.html")</f>
        <v/>
      </c>
      <c r="C50" t="inlineStr">
        <is>
          <t>Diablo DMAPL4150 3/8 Inch x 6 Inch x 8 Inch Rebar Demon SDS-Plus 4-Cutter Full Carbide Head Hammer Drill Bit</t>
        </is>
      </c>
      <c r="D50" t="inlineStr">
        <is>
          <t>Diablo by Freud DMAPL4270 27/32 in. x 8 in. x 10 in. Rebar Demon SDS-Plus 4-Cutter Full Carbide Head Hammer Bit</t>
        </is>
      </c>
      <c r="E50" s="1">
        <f>HYPERLINK("https://www.amazon.com/Diablo-Freud-DMAPL4270-SDS-Plus-4-Cutter/dp/B089KXBGLM/ref=sr_1_10?keywords=Diablo+DMAPL4150+3%2F8+Inch+x+6+Inch+x+8+Inch+Rebar+Demon+SDS-Plus+4-Cutter+Full+Carbide+Head+Hammer+Drill+Bit&amp;qid=1695347320&amp;sr=8-10", "https://www.amazon.com/Diablo-Freud-DMAPL4270-SDS-Plus-4-Cutter/dp/B089KXBGLM/ref=sr_1_10?keywords=Diablo+DMAPL4150+3%2F8+Inch+x+6+Inch+x+8+Inch+Rebar+Demon+SDS-Plus+4-Cutter+Full+Carbide+Head+Hammer+Drill+Bit&amp;qid=1695347320&amp;sr=8-10")</f>
        <v/>
      </c>
      <c r="F50" t="inlineStr">
        <is>
          <t>B089KXBGLM</t>
        </is>
      </c>
      <c r="G50">
        <f>_xlfn.IMAGE("https://www.toolnut.com/media/catalog/product/d/m/dmapl4150_main-image.jpg?quality=100&amp;bg-color=255,255,255&amp;fit=bounds&amp;height=700&amp;width=700&amp;canvas=700:700&amp;dpr=1 1x")</f>
        <v/>
      </c>
      <c r="H50">
        <f>_xlfn.IMAGE("https://m.media-amazon.com/images/I/611A6sphG9L._AC_UL320_.jpg")</f>
        <v/>
      </c>
      <c r="K50" t="inlineStr">
        <is>
          <t>6.99</t>
        </is>
      </c>
      <c r="L50" t="n">
        <v>31.82</v>
      </c>
      <c r="M50" s="2" t="inlineStr">
        <is>
          <t>355.22%</t>
        </is>
      </c>
      <c r="N50" t="n">
        <v>5</v>
      </c>
      <c r="O50" t="n">
        <v>2</v>
      </c>
      <c r="Q50" t="inlineStr">
        <is>
          <t>InStock</t>
        </is>
      </c>
      <c r="R50" t="inlineStr">
        <is>
          <t>undefined</t>
        </is>
      </c>
      <c r="S50" t="inlineStr">
        <is>
          <t>DMAPL4150</t>
        </is>
      </c>
    </row>
    <row r="51" ht="75" customHeight="1">
      <c r="A51" s="1">
        <f>HYPERLINK("https://www.toolnut.com/diablo-dmapl4160-3-8-inch-x-10-inch-x-12-inch-rebar-demon-sds-plus-4-cutter-full-carbide-head-hammer-drill-bit.html", "https://www.toolnut.com/diablo-dmapl4160-3-8-inch-x-10-inch-x-12-inch-rebar-demon-sds-plus-4-cutter-full-carbide-head-hammer-drill-bit.html")</f>
        <v/>
      </c>
      <c r="B51" s="1">
        <f>HYPERLINK("https://www.toolnut.com/diablo-dmapl4160-3-8-inch-x-10-inch-x-12-inch-rebar-demon-sds-plus-4-cutter-full-carbide-head-hammer-drill-bit.html", "https://www.toolnut.com/diablo-dmapl4160-3-8-inch-x-10-inch-x-12-inch-rebar-demon-sds-plus-4-cutter-full-carbide-head-hammer-drill-bit.html")</f>
        <v/>
      </c>
      <c r="C51" t="inlineStr">
        <is>
          <t>Diablo DMAPL4160 3/8 Inch x 10 Inch x 12 Inch Rebar Demon SDS-Plus 4-Cutter Full Carbide Head Hammer Drill Bit</t>
        </is>
      </c>
      <c r="D51" t="inlineStr">
        <is>
          <t>Diablo by Freud DMAPL4270 27/32 in. x 8 in. x 10 in. Rebar Demon SDS-Plus 4-Cutter Full Carbide Head Hammer Bit</t>
        </is>
      </c>
      <c r="E51" s="1">
        <f>HYPERLINK("https://www.amazon.com/Diablo-Freud-DMAPL4270-SDS-Plus-4-Cutter/dp/B089KXBGLM/ref=sr_1_9?keywords=Diablo+DMAPL4160+3%2F8+Inch+x+10+Inch+x+12+Inch+Rebar+Demon+SDS-Plus+4-Cutter+Full+Carbide+Head+Hammer+Drill+Bit&amp;qid=1695347267&amp;sr=8-9", "https://www.amazon.com/Diablo-Freud-DMAPL4270-SDS-Plus-4-Cutter/dp/B089KXBGLM/ref=sr_1_9?keywords=Diablo+DMAPL4160+3%2F8+Inch+x+10+Inch+x+12+Inch+Rebar+Demon+SDS-Plus+4-Cutter+Full+Carbide+Head+Hammer+Drill+Bit&amp;qid=1695347267&amp;sr=8-9")</f>
        <v/>
      </c>
      <c r="F51" t="inlineStr">
        <is>
          <t>B089KXBGLM</t>
        </is>
      </c>
      <c r="G51">
        <f>_xlfn.IMAGE("https://www.toolnut.com/media/catalog/product/d/m/dmapl4160-p25_main-image_1.jpg?quality=100&amp;bg-color=255,255,255&amp;fit=bounds&amp;height=700&amp;width=700&amp;canvas=700:700&amp;dpr=1 1x")</f>
        <v/>
      </c>
      <c r="H51">
        <f>_xlfn.IMAGE("https://m.media-amazon.com/images/I/611A6sphG9L._AC_UL320_.jpg")</f>
        <v/>
      </c>
      <c r="K51" t="inlineStr">
        <is>
          <t>9.99</t>
        </is>
      </c>
      <c r="L51" t="n">
        <v>31.82</v>
      </c>
      <c r="M51" s="2" t="inlineStr">
        <is>
          <t>218.52%</t>
        </is>
      </c>
      <c r="N51" t="n">
        <v>5</v>
      </c>
      <c r="O51" t="n">
        <v>2</v>
      </c>
      <c r="Q51" t="inlineStr">
        <is>
          <t>InStock</t>
        </is>
      </c>
      <c r="R51" t="inlineStr">
        <is>
          <t>undefined</t>
        </is>
      </c>
      <c r="S51" t="inlineStr">
        <is>
          <t>DMAPL4160</t>
        </is>
      </c>
    </row>
    <row r="52" ht="75" customHeight="1">
      <c r="A52" s="1">
        <f>HYPERLINK("https://www.toolnut.com/diablo-dmapl4160-3-8-inch-x-10-inch-x-12-inch-rebar-demon-sds-plus-4-cutter-full-carbide-head-hammer-drill-bit.html", "https://www.toolnut.com/diablo-dmapl4160-3-8-inch-x-10-inch-x-12-inch-rebar-demon-sds-plus-4-cutter-full-carbide-head-hammer-drill-bit.html")</f>
        <v/>
      </c>
      <c r="B52" s="1">
        <f>HYPERLINK("https://www.toolnut.com/diablo-dmapl4160-3-8-inch-x-10-inch-x-12-inch-rebar-demon-sds-plus-4-cutter-full-carbide-head-hammer-drill-bit.html", "https://www.toolnut.com/diablo-dmapl4160-3-8-inch-x-10-inch-x-12-inch-rebar-demon-sds-plus-4-cutter-full-carbide-head-hammer-drill-bit.html")</f>
        <v/>
      </c>
      <c r="C52" t="inlineStr">
        <is>
          <t>Diablo DMAPL4160 3/8 Inch x 10 Inch x 12 Inch Rebar Demon SDS-Plus 4-Cutter Full Carbide Head Hammer Drill Bit</t>
        </is>
      </c>
      <c r="D52" t="inlineStr">
        <is>
          <t>Diablo by Freud DMAPL4230 5/8 in. x 10 in. x 12 in. Rebar Demon SDS-Plus 4-Cutter Full Carbide Head Hammer Bit</t>
        </is>
      </c>
      <c r="E52" s="1">
        <f>HYPERLINK("https://www.amazon.com/Diablo-Freud-DMAPL4230-SDS-Plus-4-Cutter/dp/B089LCN234/ref=sr_1_3?keywords=Diablo+DMAPL4160+3%2F8+Inch+x+10+Inch+x+12+Inch+Rebar+Demon+SDS-Plus+4-Cutter+Full+Carbide+Head+Hammer+Drill+Bit&amp;qid=1695347267&amp;sr=8-3", "https://www.amazon.com/Diablo-Freud-DMAPL4230-SDS-Plus-4-Cutter/dp/B089LCN234/ref=sr_1_3?keywords=Diablo+DMAPL4160+3%2F8+Inch+x+10+Inch+x+12+Inch+Rebar+Demon+SDS-Plus+4-Cutter+Full+Carbide+Head+Hammer+Drill+Bit&amp;qid=1695347267&amp;sr=8-3")</f>
        <v/>
      </c>
      <c r="F52" t="inlineStr">
        <is>
          <t>B089LCN234</t>
        </is>
      </c>
      <c r="G52">
        <f>_xlfn.IMAGE("https://www.toolnut.com/media/catalog/product/d/m/dmapl4160-p25_main-image_1.jpg?quality=100&amp;bg-color=255,255,255&amp;fit=bounds&amp;height=700&amp;width=700&amp;canvas=700:700&amp;dpr=1 1x")</f>
        <v/>
      </c>
      <c r="H52">
        <f>_xlfn.IMAGE("https://m.media-amazon.com/images/I/61r649wmyhL._AC_UL320_.jpg")</f>
        <v/>
      </c>
      <c r="K52" t="inlineStr">
        <is>
          <t>9.99</t>
        </is>
      </c>
      <c r="L52" t="n">
        <v>22.26</v>
      </c>
      <c r="M52" s="2" t="inlineStr">
        <is>
          <t>122.82%</t>
        </is>
      </c>
      <c r="N52" t="n">
        <v>4.7</v>
      </c>
      <c r="O52" t="n">
        <v>47</v>
      </c>
      <c r="Q52" t="inlineStr">
        <is>
          <t>InStock</t>
        </is>
      </c>
      <c r="R52" t="inlineStr">
        <is>
          <t>undefined</t>
        </is>
      </c>
      <c r="S52" t="inlineStr">
        <is>
          <t>DMAPL4160</t>
        </is>
      </c>
    </row>
    <row r="53" ht="75" customHeight="1">
      <c r="A53" s="1">
        <f>HYPERLINK("https://www.toolnut.com/diablo-dmapl4170-3-8-inch-x-16-inch-x-18-inch-rebar-demon-sds-plus-4-cutter-full-carbide-head-hammer-drill-bit.html", "https://www.toolnut.com/diablo-dmapl4170-3-8-inch-x-16-inch-x-18-inch-rebar-demon-sds-plus-4-cutter-full-carbide-head-hammer-drill-bit.html")</f>
        <v/>
      </c>
      <c r="B53" s="1">
        <f>HYPERLINK("https://www.toolnut.com/diablo-dmapl4170-3-8-inch-x-16-inch-x-18-inch-rebar-demon-sds-plus-4-cutter-full-carbide-head-hammer-drill-bit.html", "https://www.toolnut.com/diablo-dmapl4170-3-8-inch-x-16-inch-x-18-inch-rebar-demon-sds-plus-4-cutter-full-carbide-head-hammer-drill-bit.html")</f>
        <v/>
      </c>
      <c r="C53" t="inlineStr">
        <is>
          <t>Diablo DMAPL4170 3/8 Inch x 16 Inch x 18 Inch Rebar Demon SDS-Plus 4-Cutter Full Carbide Head Hammer Drill Bit</t>
        </is>
      </c>
      <c r="D53" t="inlineStr">
        <is>
          <t>Diablo DMAPL4310 1 in. x 16 in. x 18 in. Rebar Demon™ SDS-Plus 4-Cutter Full Carbide Head Hammer Bit</t>
        </is>
      </c>
      <c r="E53" s="1">
        <f>HYPERLINK("https://www.amazon.com/Diablo-DMAPL4310-SDS-Plus-4-Cutter-Carbide/dp/B089KX2VKR/ref=sr_1_4?keywords=Diablo+DMAPL4170+3%2F8+Inch+x+16+Inch+x+18+Inch+Rebar+Demon+SDS-Plus+4-Cutter+Full+Carbide+Head+Hammer+Drill+Bit&amp;qid=1695347291&amp;sr=8-4", "https://www.amazon.com/Diablo-DMAPL4310-SDS-Plus-4-Cutter-Carbide/dp/B089KX2VKR/ref=sr_1_4?keywords=Diablo+DMAPL4170+3%2F8+Inch+x+16+Inch+x+18+Inch+Rebar+Demon+SDS-Plus+4-Cutter+Full+Carbide+Head+Hammer+Drill+Bit&amp;qid=1695347291&amp;sr=8-4")</f>
        <v/>
      </c>
      <c r="F53" t="inlineStr">
        <is>
          <t>B089KX2VKR</t>
        </is>
      </c>
      <c r="G53">
        <f>_xlfn.IMAGE("https://www.toolnut.com/media/catalog/product/d/m/dmapl4170_main-image.jpg?quality=100&amp;bg-color=255,255,255&amp;fit=bounds&amp;height=700&amp;width=700&amp;canvas=700:700&amp;dpr=1 1x")</f>
        <v/>
      </c>
      <c r="H53">
        <f>_xlfn.IMAGE("https://m.media-amazon.com/images/I/61iwxfqG2VL._AC_UL320_.jpg")</f>
        <v/>
      </c>
      <c r="K53" t="inlineStr">
        <is>
          <t>16.99</t>
        </is>
      </c>
      <c r="L53" t="n">
        <v>48.49</v>
      </c>
      <c r="M53" s="2" t="inlineStr">
        <is>
          <t>185.40%</t>
        </is>
      </c>
      <c r="N53" t="n">
        <v>4.5</v>
      </c>
      <c r="O53" t="n">
        <v>32</v>
      </c>
      <c r="Q53" t="inlineStr">
        <is>
          <t>InStock</t>
        </is>
      </c>
      <c r="R53" t="inlineStr">
        <is>
          <t>undefined</t>
        </is>
      </c>
      <c r="S53" t="inlineStr">
        <is>
          <t>DMAPL4170</t>
        </is>
      </c>
    </row>
    <row r="54" ht="75" customHeight="1">
      <c r="A54" s="1">
        <f>HYPERLINK("https://www.toolnut.com/diablo-dmapl4174-7-16-inch-x-4-inch-x-6-inch-rebar-demon-sds-plus-4-cutter-full-carbide-head-hammer-drill-bit.html", "https://www.toolnut.com/diablo-dmapl4174-7-16-inch-x-4-inch-x-6-inch-rebar-demon-sds-plus-4-cutter-full-carbide-head-hammer-drill-bit.html")</f>
        <v/>
      </c>
      <c r="B54" s="1">
        <f>HYPERLINK("https://www.toolnut.com/diablo-dmapl4174-7-16-inch-x-4-inch-x-6-inch-rebar-demon-sds-plus-4-cutter-full-carbide-head-hammer-drill-bit.html", "https://www.toolnut.com/diablo-dmapl4174-7-16-inch-x-4-inch-x-6-inch-rebar-demon-sds-plus-4-cutter-full-carbide-head-hammer-drill-bit.html")</f>
        <v/>
      </c>
      <c r="C54" t="inlineStr">
        <is>
          <t>Diablo DMAPL4174 7/16 Inch x 4 Inch x 6 Inch Rebar Demon SDS-Plus 4-Cutter Full Carbide Head Hammer Drill Bit</t>
        </is>
      </c>
      <c r="D54" t="inlineStr">
        <is>
          <t>Diablo 7/16"x10"x12" Rebar Demon™ SDS-Plus 4-Cutter Full Carbide Head Hammer Bit</t>
        </is>
      </c>
      <c r="E54" s="1">
        <f>HYPERLINK("https://www.amazon.com/Diablo-SDS-Plus-4-Cutter-Carbide-Hammer/dp/B089LFSQTY/ref=sr_1_3?keywords=Diablo+DMAPL4174+7%2F16+Inch+x+4+Inch+x+6+Inch+Rebar+Demon+SDS-Plus+4-Cutter+Full+Carbide+Head+Hammer+Drill+Bit&amp;qid=1695347292&amp;sr=8-3", "https://www.amazon.com/Diablo-SDS-Plus-4-Cutter-Carbide-Hammer/dp/B089LFSQTY/ref=sr_1_3?keywords=Diablo+DMAPL4174+7%2F16+Inch+x+4+Inch+x+6+Inch+Rebar+Demon+SDS-Plus+4-Cutter+Full+Carbide+Head+Hammer+Drill+Bit&amp;qid=1695347292&amp;sr=8-3")</f>
        <v/>
      </c>
      <c r="F54" t="inlineStr">
        <is>
          <t>B089LFSQTY</t>
        </is>
      </c>
      <c r="G54">
        <f>_xlfn.IMAGE("https://www.toolnut.com/media/catalog/product/d/m/dmapl4174_main-image.jpg?quality=100&amp;bg-color=255,255,255&amp;fit=bounds&amp;height=700&amp;width=700&amp;canvas=700:700&amp;dpr=1 1x")</f>
        <v/>
      </c>
      <c r="H54">
        <f>_xlfn.IMAGE("https://m.media-amazon.com/images/I/61jzOMGnS3L._AC_UL320_.jpg")</f>
        <v/>
      </c>
      <c r="K54" t="inlineStr">
        <is>
          <t>7.99</t>
        </is>
      </c>
      <c r="L54" t="n">
        <v>18.27</v>
      </c>
      <c r="M54" s="2" t="inlineStr">
        <is>
          <t>128.66%</t>
        </is>
      </c>
      <c r="N54" t="n">
        <v>4.6</v>
      </c>
      <c r="O54" t="n">
        <v>7</v>
      </c>
      <c r="Q54" t="inlineStr">
        <is>
          <t>InStock</t>
        </is>
      </c>
      <c r="R54" t="inlineStr">
        <is>
          <t>undefined</t>
        </is>
      </c>
      <c r="S54" t="inlineStr">
        <is>
          <t>DMAPL4174</t>
        </is>
      </c>
    </row>
    <row r="55" ht="75" customHeight="1">
      <c r="A55" s="1">
        <f>HYPERLINK("https://www.toolnut.com/diablo-dmapl4190-1-2-inch-x-10-inch-x-12-inch-rebar-demon-sds-plus-4-cutter-full-carbide-head-hammer-drill-bit.html", "https://www.toolnut.com/diablo-dmapl4190-1-2-inch-x-10-inch-x-12-inch-rebar-demon-sds-plus-4-cutter-full-carbide-head-hammer-drill-bit.html")</f>
        <v/>
      </c>
      <c r="B55" s="1">
        <f>HYPERLINK("https://www.toolnut.com/diablo-dmapl4190-1-2-inch-x-10-inch-x-12-inch-rebar-demon-sds-plus-4-cutter-full-carbide-head-hammer-drill-bit.html", "https://www.toolnut.com/diablo-dmapl4190-1-2-inch-x-10-inch-x-12-inch-rebar-demon-sds-plus-4-cutter-full-carbide-head-hammer-drill-bit.html")</f>
        <v/>
      </c>
      <c r="C55" t="inlineStr">
        <is>
          <t>Diablo DMAPL4190 1/2 Inch x 10 Inch x 12 Inch Rebar Demon SDS-Plus 4-Cutter Full Carbide Head Hammer Drill Bit</t>
        </is>
      </c>
      <c r="D55" t="inlineStr">
        <is>
          <t>Diablo by Freud DMAPL4270 27/32 in. x 8 in. x 10 in. Rebar Demon SDS-Plus 4-Cutter Full Carbide Head Hammer Bit</t>
        </is>
      </c>
      <c r="E55" s="1">
        <f>HYPERLINK("https://www.amazon.com/Diablo-Freud-DMAPL4270-SDS-Plus-4-Cutter/dp/B089KXBGLM/ref=sr_1_10?keywords=Diablo+DMAPL4190+1%2F2+Inch+x+10+Inch+x+12+Inch+Rebar+Demon+SDS-Plus+4-Cutter+Full+Carbide+Head+Hammer+Drill+Bit&amp;qid=1695347319&amp;sr=8-10", "https://www.amazon.com/Diablo-Freud-DMAPL4270-SDS-Plus-4-Cutter/dp/B089KXBGLM/ref=sr_1_10?keywords=Diablo+DMAPL4190+1%2F2+Inch+x+10+Inch+x+12+Inch+Rebar+Demon+SDS-Plus+4-Cutter+Full+Carbide+Head+Hammer+Drill+Bit&amp;qid=1695347319&amp;sr=8-10")</f>
        <v/>
      </c>
      <c r="F55" t="inlineStr">
        <is>
          <t>B089KXBGLM</t>
        </is>
      </c>
      <c r="G55">
        <f>_xlfn.IMAGE("https://www.toolnut.com/media/catalog/product/d/m/dmapl4190_main-image.jpg?quality=100&amp;bg-color=255,255,255&amp;fit=bounds&amp;height=700&amp;width=700&amp;canvas=700:700&amp;dpr=1 1x")</f>
        <v/>
      </c>
      <c r="H55">
        <f>_xlfn.IMAGE("https://m.media-amazon.com/images/I/611A6sphG9L._AC_UL320_.jpg")</f>
        <v/>
      </c>
      <c r="K55" t="inlineStr">
        <is>
          <t>11.99</t>
        </is>
      </c>
      <c r="L55" t="n">
        <v>31.82</v>
      </c>
      <c r="M55" s="2" t="inlineStr">
        <is>
          <t>165.39%</t>
        </is>
      </c>
      <c r="N55" t="n">
        <v>5</v>
      </c>
      <c r="O55" t="n">
        <v>2</v>
      </c>
      <c r="Q55" t="inlineStr">
        <is>
          <t>InStock</t>
        </is>
      </c>
      <c r="R55" t="inlineStr">
        <is>
          <t>undefined</t>
        </is>
      </c>
      <c r="S55" t="inlineStr">
        <is>
          <t>DMAPL4190</t>
        </is>
      </c>
    </row>
    <row r="56" ht="75" customHeight="1">
      <c r="A56" s="1">
        <f>HYPERLINK("https://www.toolnut.com/diablo-dmapl4190-1-2-inch-x-10-inch-x-12-inch-rebar-demon-sds-plus-4-cutter-full-carbide-head-hammer-drill-bit.html", "https://www.toolnut.com/diablo-dmapl4190-1-2-inch-x-10-inch-x-12-inch-rebar-demon-sds-plus-4-cutter-full-carbide-head-hammer-drill-bit.html")</f>
        <v/>
      </c>
      <c r="B56" s="1">
        <f>HYPERLINK("https://www.toolnut.com/diablo-dmapl4190-1-2-inch-x-10-inch-x-12-inch-rebar-demon-sds-plus-4-cutter-full-carbide-head-hammer-drill-bit.html", "https://www.toolnut.com/diablo-dmapl4190-1-2-inch-x-10-inch-x-12-inch-rebar-demon-sds-plus-4-cutter-full-carbide-head-hammer-drill-bit.html")</f>
        <v/>
      </c>
      <c r="C56" t="inlineStr">
        <is>
          <t>Diablo DMAPL4190 1/2 Inch x 10 Inch x 12 Inch Rebar Demon SDS-Plus 4-Cutter Full Carbide Head Hammer Drill Bit</t>
        </is>
      </c>
      <c r="D56" t="inlineStr">
        <is>
          <t>Diablo by Freud DMAPL4230 5/8 in. x 10 in. x 12 in. Rebar Demon SDS-Plus 4-Cutter Full Carbide Head Hammer Bit</t>
        </is>
      </c>
      <c r="E56" s="1">
        <f>HYPERLINK("https://www.amazon.com/Diablo-Freud-DMAPL4230-SDS-Plus-4-Cutter/dp/B089LCN234/ref=sr_1_3?keywords=Diablo+DMAPL4190+1%2F2+Inch+x+10+Inch+x+12+Inch+Rebar+Demon+SDS-Plus+4-Cutter+Full+Carbide+Head+Hammer+Drill+Bit&amp;qid=1695347319&amp;sr=8-3", "https://www.amazon.com/Diablo-Freud-DMAPL4230-SDS-Plus-4-Cutter/dp/B089LCN234/ref=sr_1_3?keywords=Diablo+DMAPL4190+1%2F2+Inch+x+10+Inch+x+12+Inch+Rebar+Demon+SDS-Plus+4-Cutter+Full+Carbide+Head+Hammer+Drill+Bit&amp;qid=1695347319&amp;sr=8-3")</f>
        <v/>
      </c>
      <c r="F56" t="inlineStr">
        <is>
          <t>B089LCN234</t>
        </is>
      </c>
      <c r="G56">
        <f>_xlfn.IMAGE("https://www.toolnut.com/media/catalog/product/d/m/dmapl4190_main-image.jpg?quality=100&amp;bg-color=255,255,255&amp;fit=bounds&amp;height=700&amp;width=700&amp;canvas=700:700&amp;dpr=1 1x")</f>
        <v/>
      </c>
      <c r="H56">
        <f>_xlfn.IMAGE("https://m.media-amazon.com/images/I/61r649wmyhL._AC_UL320_.jpg")</f>
        <v/>
      </c>
      <c r="K56" t="inlineStr">
        <is>
          <t>11.99</t>
        </is>
      </c>
      <c r="L56" t="n">
        <v>22.51</v>
      </c>
      <c r="M56" s="2" t="inlineStr">
        <is>
          <t>87.74%</t>
        </is>
      </c>
      <c r="N56" t="n">
        <v>4.7</v>
      </c>
      <c r="O56" t="n">
        <v>47</v>
      </c>
      <c r="Q56" t="inlineStr">
        <is>
          <t>InStock</t>
        </is>
      </c>
      <c r="R56" t="inlineStr">
        <is>
          <t>undefined</t>
        </is>
      </c>
      <c r="S56" t="inlineStr">
        <is>
          <t>DMAPL4190</t>
        </is>
      </c>
    </row>
    <row r="57" ht="75" customHeight="1">
      <c r="A57" s="1">
        <f>HYPERLINK("https://www.toolnut.com/diablo-dmapl4190-1-2-inch-x-10-inch-x-12-inch-rebar-demon-sds-plus-4-cutter-full-carbide-head-hammer-drill-bit.html", "https://www.toolnut.com/diablo-dmapl4190-1-2-inch-x-10-inch-x-12-inch-rebar-demon-sds-plus-4-cutter-full-carbide-head-hammer-drill-bit.html")</f>
        <v/>
      </c>
      <c r="B57" s="1">
        <f>HYPERLINK("https://www.toolnut.com/diablo-dmapl4190-1-2-inch-x-10-inch-x-12-inch-rebar-demon-sds-plus-4-cutter-full-carbide-head-hammer-drill-bit.html", "https://www.toolnut.com/diablo-dmapl4190-1-2-inch-x-10-inch-x-12-inch-rebar-demon-sds-plus-4-cutter-full-carbide-head-hammer-drill-bit.html")</f>
        <v/>
      </c>
      <c r="C57" t="inlineStr">
        <is>
          <t>Diablo DMAPL4190 1/2 Inch x 10 Inch x 12 Inch Rebar Demon SDS-Plus 4-Cutter Full Carbide Head Hammer Drill Bit</t>
        </is>
      </c>
      <c r="D57" t="inlineStr">
        <is>
          <t>Diablo by Freud Diablo DMAPL4190 1/2 in. x 10 in. x 12 in. Rebar Demon SDS-Plus 4-Cutter Full Carbide Head Hammer Bit</t>
        </is>
      </c>
      <c r="E57" s="1">
        <f>HYPERLINK("https://www.amazon.com/Diablo-Freud-DMAPL4190-SDS-Plus-4-Cutter/dp/B089LJZ25M/ref=sr_1_1?keywords=Diablo+DMAPL4190+1%2F2+Inch+x+10+Inch+x+12+Inch+Rebar+Demon+SDS-Plus+4-Cutter+Full+Carbide+Head+Hammer+Drill+Bit&amp;qid=1695347319&amp;sr=8-1", "https://www.amazon.com/Diablo-Freud-DMAPL4190-SDS-Plus-4-Cutter/dp/B089LJZ25M/ref=sr_1_1?keywords=Diablo+DMAPL4190+1%2F2+Inch+x+10+Inch+x+12+Inch+Rebar+Demon+SDS-Plus+4-Cutter+Full+Carbide+Head+Hammer+Drill+Bit&amp;qid=1695347319&amp;sr=8-1")</f>
        <v/>
      </c>
      <c r="F57" t="inlineStr">
        <is>
          <t>B089LJZ25M</t>
        </is>
      </c>
      <c r="G57">
        <f>_xlfn.IMAGE("https://www.toolnut.com/media/catalog/product/d/m/dmapl4190_main-image.jpg?quality=100&amp;bg-color=255,255,255&amp;fit=bounds&amp;height=700&amp;width=700&amp;canvas=700:700&amp;dpr=1 1x")</f>
        <v/>
      </c>
      <c r="H57">
        <f>_xlfn.IMAGE("https://m.media-amazon.com/images/I/61dzudnwI8L._AC_UL320_.jpg")</f>
        <v/>
      </c>
      <c r="K57" t="inlineStr">
        <is>
          <t>11.99</t>
        </is>
      </c>
      <c r="L57" t="n">
        <v>20.18</v>
      </c>
      <c r="M57" s="2" t="inlineStr">
        <is>
          <t>68.31%</t>
        </is>
      </c>
      <c r="N57" t="n">
        <v>4.6</v>
      </c>
      <c r="O57" t="n">
        <v>43</v>
      </c>
      <c r="Q57" t="inlineStr">
        <is>
          <t>InStock</t>
        </is>
      </c>
      <c r="R57" t="inlineStr">
        <is>
          <t>undefined</t>
        </is>
      </c>
      <c r="S57" t="inlineStr">
        <is>
          <t>DMAPL4190</t>
        </is>
      </c>
    </row>
    <row r="58" ht="75" customHeight="1">
      <c r="A58" s="1">
        <f>HYPERLINK("https://www.toolnut.com/diablo-dmapl4200-1-2-inch-x-16-inch-x-18-inch-rebar-demon-sds-plus-4-cutter-full-carbide-head-hammer-drill-bit.html", "https://www.toolnut.com/diablo-dmapl4200-1-2-inch-x-16-inch-x-18-inch-rebar-demon-sds-plus-4-cutter-full-carbide-head-hammer-drill-bit.html")</f>
        <v/>
      </c>
      <c r="B58" s="1">
        <f>HYPERLINK("https://www.toolnut.com/diablo-dmapl4200-1-2-inch-x-16-inch-x-18-inch-rebar-demon-sds-plus-4-cutter-full-carbide-head-hammer-drill-bit.html", "https://www.toolnut.com/diablo-dmapl4200-1-2-inch-x-16-inch-x-18-inch-rebar-demon-sds-plus-4-cutter-full-carbide-head-hammer-drill-bit.html")</f>
        <v/>
      </c>
      <c r="C58" t="inlineStr">
        <is>
          <t>Diablo DMAPL4200 1/2 Inch x 16 Inch x 18 Inch Rebar Demon SDS-Plus 4-Cutter Full Carbide Head Hammer Drill Bit</t>
        </is>
      </c>
      <c r="D58" t="inlineStr">
        <is>
          <t>Diablo DMAPL4310 1 in. x 16 in. x 18 in. Rebar Demon™ SDS-Plus 4-Cutter Full Carbide Head Hammer Bit</t>
        </is>
      </c>
      <c r="E58" s="1">
        <f>HYPERLINK("https://www.amazon.com/Diablo-DMAPL4310-SDS-Plus-4-Cutter-Carbide/dp/B089KX2VKR/ref=sr_1_5?keywords=Diablo+DMAPL4200+1%2F2+Inch+x+16+Inch+x+18+Inch+Rebar+Demon+SDS-Plus+4-Cutter+Full+Carbide+Head+Hammer+Drill+Bit&amp;qid=1695347271&amp;sr=8-5", "https://www.amazon.com/Diablo-DMAPL4310-SDS-Plus-4-Cutter-Carbide/dp/B089KX2VKR/ref=sr_1_5?keywords=Diablo+DMAPL4200+1%2F2+Inch+x+16+Inch+x+18+Inch+Rebar+Demon+SDS-Plus+4-Cutter+Full+Carbide+Head+Hammer+Drill+Bit&amp;qid=1695347271&amp;sr=8-5")</f>
        <v/>
      </c>
      <c r="F58" t="inlineStr">
        <is>
          <t>B089KX2VKR</t>
        </is>
      </c>
      <c r="G58">
        <f>_xlfn.IMAGE("https://www.toolnut.com/media/catalog/product/d/m/dmapl4200_main-image.jpg?quality=100&amp;bg-color=255,255,255&amp;fit=bounds&amp;height=700&amp;width=700&amp;canvas=700:700&amp;dpr=1 1x")</f>
        <v/>
      </c>
      <c r="H58">
        <f>_xlfn.IMAGE("https://m.media-amazon.com/images/I/61iwxfqG2VL._AC_UL320_.jpg")</f>
        <v/>
      </c>
      <c r="K58" t="inlineStr">
        <is>
          <t>17.99</t>
        </is>
      </c>
      <c r="L58" t="n">
        <v>48.49</v>
      </c>
      <c r="M58" s="2" t="inlineStr">
        <is>
          <t>169.54%</t>
        </is>
      </c>
      <c r="N58" t="n">
        <v>4.5</v>
      </c>
      <c r="O58" t="n">
        <v>32</v>
      </c>
      <c r="Q58" t="inlineStr">
        <is>
          <t>InStock</t>
        </is>
      </c>
      <c r="R58" t="inlineStr">
        <is>
          <t>undefined</t>
        </is>
      </c>
      <c r="S58" t="inlineStr">
        <is>
          <t>DMAPL4200</t>
        </is>
      </c>
    </row>
    <row r="59" ht="75" customHeight="1">
      <c r="A59" s="1">
        <f>HYPERLINK("https://www.toolnut.com/diablo-dmapl4200-1-2-inch-x-16-inch-x-18-inch-rebar-demon-sds-plus-4-cutter-full-carbide-head-hammer-drill-bit.html", "https://www.toolnut.com/diablo-dmapl4200-1-2-inch-x-16-inch-x-18-inch-rebar-demon-sds-plus-4-cutter-full-carbide-head-hammer-drill-bit.html")</f>
        <v/>
      </c>
      <c r="B59" s="1">
        <f>HYPERLINK("https://www.toolnut.com/diablo-dmapl4200-1-2-inch-x-16-inch-x-18-inch-rebar-demon-sds-plus-4-cutter-full-carbide-head-hammer-drill-bit.html", "https://www.toolnut.com/diablo-dmapl4200-1-2-inch-x-16-inch-x-18-inch-rebar-demon-sds-plus-4-cutter-full-carbide-head-hammer-drill-bit.html")</f>
        <v/>
      </c>
      <c r="C59" t="inlineStr">
        <is>
          <t>Diablo DMAPL4200 1/2 Inch x 16 Inch x 18 Inch Rebar Demon SDS-Plus 4-Cutter Full Carbide Head Hammer Drill Bit</t>
        </is>
      </c>
      <c r="D59" t="inlineStr">
        <is>
          <t>Diablo 5/8"x 16"x18" Rebar Demon™ SDS-Plus 4-Cutter Full Carbide Head Hammer Bit</t>
        </is>
      </c>
      <c r="E59" s="1">
        <f>HYPERLINK("https://www.amazon.com/Diablo-SDS-Plus-4-Cutter-Carbide-Hammer/dp/B089LDNZSN/ref=sr_1_4?keywords=Diablo+DMAPL4200+1%2F2+Inch+x+16+Inch+x+18+Inch+Rebar+Demon+SDS-Plus+4-Cutter+Full+Carbide+Head+Hammer+Drill+Bit&amp;qid=1695347271&amp;sr=8-4", "https://www.amazon.com/Diablo-SDS-Plus-4-Cutter-Carbide-Hammer/dp/B089LDNZSN/ref=sr_1_4?keywords=Diablo+DMAPL4200+1%2F2+Inch+x+16+Inch+x+18+Inch+Rebar+Demon+SDS-Plus+4-Cutter+Full+Carbide+Head+Hammer+Drill+Bit&amp;qid=1695347271&amp;sr=8-4")</f>
        <v/>
      </c>
      <c r="F59" t="inlineStr">
        <is>
          <t>B089LDNZSN</t>
        </is>
      </c>
      <c r="G59">
        <f>_xlfn.IMAGE("https://www.toolnut.com/media/catalog/product/d/m/dmapl4200_main-image.jpg?quality=100&amp;bg-color=255,255,255&amp;fit=bounds&amp;height=700&amp;width=700&amp;canvas=700:700&amp;dpr=1 1x")</f>
        <v/>
      </c>
      <c r="H59">
        <f>_xlfn.IMAGE("https://m.media-amazon.com/images/I/61Vv8Hsfp5L._AC_UL320_.jpg")</f>
        <v/>
      </c>
      <c r="K59" t="inlineStr">
        <is>
          <t>17.99</t>
        </is>
      </c>
      <c r="L59" t="n">
        <v>33.98</v>
      </c>
      <c r="M59" s="2" t="inlineStr">
        <is>
          <t>88.88%</t>
        </is>
      </c>
      <c r="N59" t="n">
        <v>4.6</v>
      </c>
      <c r="O59" t="n">
        <v>10</v>
      </c>
      <c r="Q59" t="inlineStr">
        <is>
          <t>InStock</t>
        </is>
      </c>
      <c r="R59" t="inlineStr">
        <is>
          <t>undefined</t>
        </is>
      </c>
      <c r="S59" t="inlineStr">
        <is>
          <t>DMAPL4200</t>
        </is>
      </c>
    </row>
    <row r="60" ht="75" customHeight="1">
      <c r="A60" s="1">
        <f>HYPERLINK("https://www.toolnut.com/diablo-dmapl4240-5-8-inch-x-16-inch-x-18-inch-rebar-demon-sds-plus-4-cutter-full-carbide-head-hammer-drill-bit.html", "https://www.toolnut.com/diablo-dmapl4240-5-8-inch-x-16-inch-x-18-inch-rebar-demon-sds-plus-4-cutter-full-carbide-head-hammer-drill-bit.html")</f>
        <v/>
      </c>
      <c r="B60" s="1">
        <f>HYPERLINK("https://www.toolnut.com/diablo-dmapl4240-5-8-inch-x-16-inch-x-18-inch-rebar-demon-sds-plus-4-cutter-full-carbide-head-hammer-drill-bit.html", "https://www.toolnut.com/diablo-dmapl4240-5-8-inch-x-16-inch-x-18-inch-rebar-demon-sds-plus-4-cutter-full-carbide-head-hammer-drill-bit.html")</f>
        <v/>
      </c>
      <c r="C60" t="inlineStr">
        <is>
          <t>Diablo DMAPL4240 5/8 Inch x 16 Inch x 18 Inch Rebar Demon SDS-Plus 4-Cutter Full Carbide Head Hammer Drill Bit</t>
        </is>
      </c>
      <c r="D60" t="inlineStr">
        <is>
          <t>Diablo DMAPL4310 1 in. x 16 in. x 18 in. Rebar Demon™ SDS-Plus 4-Cutter Full Carbide Head Hammer Bit</t>
        </is>
      </c>
      <c r="E60" s="1">
        <f>HYPERLINK("https://www.amazon.com/Diablo-DMAPL4310-SDS-Plus-4-Cutter-Carbide/dp/B089KX2VKR/ref=sr_1_3?keywords=Diablo+DMAPL4240+5%2F8+Inch+x+16+Inch+x+18+Inch+Rebar+Demon+SDS-Plus+4-Cutter+Full+Carbide+Head+Hammer+Drill+Bit&amp;qid=1695347284&amp;sr=8-3", "https://www.amazon.com/Diablo-DMAPL4310-SDS-Plus-4-Cutter-Carbide/dp/B089KX2VKR/ref=sr_1_3?keywords=Diablo+DMAPL4240+5%2F8+Inch+x+16+Inch+x+18+Inch+Rebar+Demon+SDS-Plus+4-Cutter+Full+Carbide+Head+Hammer+Drill+Bit&amp;qid=1695347284&amp;sr=8-3")</f>
        <v/>
      </c>
      <c r="F60" t="inlineStr">
        <is>
          <t>B089KX2VKR</t>
        </is>
      </c>
      <c r="G60">
        <f>_xlfn.IMAGE("https://www.toolnut.com/media/catalog/product/d/m/dmapl4240_main-image.jpg?quality=100&amp;bg-color=255,255,255&amp;fit=bounds&amp;height=700&amp;width=700&amp;canvas=700:700&amp;dpr=1 1x")</f>
        <v/>
      </c>
      <c r="H60">
        <f>_xlfn.IMAGE("https://m.media-amazon.com/images/I/61iwxfqG2VL._AC_UL320_.jpg")</f>
        <v/>
      </c>
      <c r="K60" t="inlineStr">
        <is>
          <t>24.99</t>
        </is>
      </c>
      <c r="L60" t="n">
        <v>48.49</v>
      </c>
      <c r="M60" s="2" t="inlineStr">
        <is>
          <t>94.04%</t>
        </is>
      </c>
      <c r="N60" t="n">
        <v>4.5</v>
      </c>
      <c r="O60" t="n">
        <v>32</v>
      </c>
      <c r="Q60" t="inlineStr">
        <is>
          <t>InStock</t>
        </is>
      </c>
      <c r="R60" t="inlineStr">
        <is>
          <t>undefined</t>
        </is>
      </c>
      <c r="S60" t="inlineStr">
        <is>
          <t>DMAPL4240</t>
        </is>
      </c>
    </row>
    <row r="61" ht="75" customHeight="1">
      <c r="A61" s="1">
        <f>HYPERLINK("https://www.toolnut.com/diablo-dmaplcc1010-1-inch-sds-plus-thin-wall-carbide-tipped-core-bit.html", "https://www.toolnut.com/diablo-dmaplcc1010-1-inch-sds-plus-thin-wall-carbide-tipped-core-bit.html")</f>
        <v/>
      </c>
      <c r="B61" s="1">
        <f>HYPERLINK("https://www.toolnut.com/diablo-dmaplcc1010-1-inch-sds-plus-thin-wall-carbide-tipped-core-bit.html", "https://www.toolnut.com/diablo-dmaplcc1010-1-inch-sds-plus-thin-wall-carbide-tipped-core-bit.html")</f>
        <v/>
      </c>
      <c r="C61" t="inlineStr">
        <is>
          <t>Diablo DMAPLCC1010 1 Inch SDS-Plus Thin Wall Carbide Tipped Core Bit</t>
        </is>
      </c>
      <c r="D61" t="inlineStr">
        <is>
          <t>Diablo 3-7/8 in. SDS-Plus Thin Wall Carbide Tipped Core Bit</t>
        </is>
      </c>
      <c r="E61" s="1">
        <f>HYPERLINK("https://www.amazon.com/Diablo-DMAPLCC1110-SDS-Plus-Carbide-Tipped/dp/B089M9D36B/ref=sr_1_7?keywords=Diablo+DMAPLCC1010+1+Inch+SDS-Plus+Thin+Wall+Carbide+Tipped+Core+Bit&amp;qid=1695347309&amp;sr=8-7", "https://www.amazon.com/Diablo-DMAPLCC1110-SDS-Plus-Carbide-Tipped/dp/B089M9D36B/ref=sr_1_7?keywords=Diablo+DMAPLCC1010+1+Inch+SDS-Plus+Thin+Wall+Carbide+Tipped+Core+Bit&amp;qid=1695347309&amp;sr=8-7")</f>
        <v/>
      </c>
      <c r="F61" t="inlineStr">
        <is>
          <t>B089M9D36B</t>
        </is>
      </c>
      <c r="G61">
        <f>_xlfn.IMAGE("https://www.toolnut.com/media/catalog/product/d/m/dmaplcc1010_main-image.jpg?quality=100&amp;bg-color=255,255,255&amp;fit=bounds&amp;height=700&amp;width=700&amp;canvas=700:700&amp;dpr=1 1x")</f>
        <v/>
      </c>
      <c r="H61">
        <f>_xlfn.IMAGE("https://m.media-amazon.com/images/I/81qETLsaFDL._AC_UL320_.jpg")</f>
        <v/>
      </c>
      <c r="K61" t="inlineStr">
        <is>
          <t>35.99</t>
        </is>
      </c>
      <c r="L61" t="n">
        <v>74.98999999999999</v>
      </c>
      <c r="M61" s="2" t="inlineStr">
        <is>
          <t>108.36%</t>
        </is>
      </c>
      <c r="N61" t="n">
        <v>4</v>
      </c>
      <c r="O61" t="n">
        <v>3</v>
      </c>
      <c r="Q61" t="inlineStr">
        <is>
          <t>InStock</t>
        </is>
      </c>
      <c r="R61" t="inlineStr">
        <is>
          <t>undefined</t>
        </is>
      </c>
      <c r="S61" t="inlineStr">
        <is>
          <t>DMAPLCC1010</t>
        </is>
      </c>
    </row>
    <row r="62" ht="75" customHeight="1">
      <c r="A62" s="1">
        <f>HYPERLINK("https://www.toolnut.com/diablo-dmaplcc1010-1-inch-sds-plus-thin-wall-carbide-tipped-core-bit.html", "https://www.toolnut.com/diablo-dmaplcc1010-1-inch-sds-plus-thin-wall-carbide-tipped-core-bit.html")</f>
        <v/>
      </c>
      <c r="B62" s="1">
        <f>HYPERLINK("https://www.toolnut.com/diablo-dmaplcc1010-1-inch-sds-plus-thin-wall-carbide-tipped-core-bit.html", "https://www.toolnut.com/diablo-dmaplcc1010-1-inch-sds-plus-thin-wall-carbide-tipped-core-bit.html")</f>
        <v/>
      </c>
      <c r="C62" t="inlineStr">
        <is>
          <t>Diablo DMAPLCC1010 1 Inch SDS-Plus Thin Wall Carbide Tipped Core Bit</t>
        </is>
      </c>
      <c r="D62" t="inlineStr">
        <is>
          <t>Diablo by Freud DMAPLCC1100 3-1/2 in. SDS-Plus Thin Wall Carbide Tipped Core Bit Multi, One Size</t>
        </is>
      </c>
      <c r="E62" s="1">
        <f>HYPERLINK("https://www.amazon.com/Diablo-DMAPLCC1100-SDS-Plus-Carbide-Tipped/dp/B089M8MJX1/ref=sr_1_9?keywords=Diablo+DMAPLCC1010+1+Inch+SDS-Plus+Thin+Wall+Carbide+Tipped+Core+Bit&amp;qid=1695347309&amp;sr=8-9", "https://www.amazon.com/Diablo-DMAPLCC1100-SDS-Plus-Carbide-Tipped/dp/B089M8MJX1/ref=sr_1_9?keywords=Diablo+DMAPLCC1010+1+Inch+SDS-Plus+Thin+Wall+Carbide+Tipped+Core+Bit&amp;qid=1695347309&amp;sr=8-9")</f>
        <v/>
      </c>
      <c r="F62" t="inlineStr">
        <is>
          <t>B089M8MJX1</t>
        </is>
      </c>
      <c r="G62">
        <f>_xlfn.IMAGE("https://www.toolnut.com/media/catalog/product/d/m/dmaplcc1010_main-image.jpg?quality=100&amp;bg-color=255,255,255&amp;fit=bounds&amp;height=700&amp;width=700&amp;canvas=700:700&amp;dpr=1 1x")</f>
        <v/>
      </c>
      <c r="H62">
        <f>_xlfn.IMAGE("https://m.media-amazon.com/images/I/81ZRJ5T8nKL._AC_UL320_.jpg")</f>
        <v/>
      </c>
      <c r="K62" t="inlineStr">
        <is>
          <t>35.99</t>
        </is>
      </c>
      <c r="L62" t="n">
        <v>72.98</v>
      </c>
      <c r="M62" s="2" t="inlineStr">
        <is>
          <t>102.78%</t>
        </is>
      </c>
      <c r="N62" t="n">
        <v>5</v>
      </c>
      <c r="O62" t="n">
        <v>1</v>
      </c>
      <c r="Q62" t="inlineStr">
        <is>
          <t>InStock</t>
        </is>
      </c>
      <c r="R62" t="inlineStr">
        <is>
          <t>undefined</t>
        </is>
      </c>
      <c r="S62" t="inlineStr">
        <is>
          <t>DMAPLCC1010</t>
        </is>
      </c>
    </row>
    <row r="63" ht="75" customHeight="1">
      <c r="A63" s="1">
        <f>HYPERLINK("https://www.toolnut.com/diablo-dmarg1010-1-8-inch-x-2-inch-x-3-inch-speedemon-red-granite-carbide-tipped-hammer-drill-bit.html", "https://www.toolnut.com/diablo-dmarg1010-1-8-inch-x-2-inch-x-3-inch-speedemon-red-granite-carbide-tipped-hammer-drill-bit.html")</f>
        <v/>
      </c>
      <c r="B63" s="1">
        <f>HYPERLINK("https://www.toolnut.com/diablo-dmarg1010-1-8-inch-x-2-inch-x-3-inch-speedemon-red-granite-carbide-tipped-hammer-drill-bit.html", "https://www.toolnut.com/diablo-dmarg1010-1-8-inch-x-2-inch-x-3-inch-speedemon-red-granite-carbide-tipped-hammer-drill-bit.html")</f>
        <v/>
      </c>
      <c r="C63" t="inlineStr">
        <is>
          <t>Diablo DMARG1010 1/8 Inch x 2 Inch x 3 Inch SPEEDemon Red Granite Carbide Tipped Hammer Drill Bit</t>
        </is>
      </c>
      <c r="D63" t="inlineStr">
        <is>
          <t>Diablo 5/8" x 10"x12" SPEEDemon™ Red Granite Carbide Tipped Hammer Drill Bit</t>
        </is>
      </c>
      <c r="E63" s="1">
        <f>HYPERLINK("https://www.amazon.com/Diablo-SPEEDemon-Granite-Carbide-Tipped/dp/B089LG6VXL/ref=sr_1_9?keywords=Diablo+DMARG1010+1%2F8+Inch+x+2+Inch+x+3+Inch+SPEEDemon+Red+Granite+Carbide+Tipped+Hammer+Drill+Bit&amp;qid=1695347315&amp;sr=8-9", "https://www.amazon.com/Diablo-SPEEDemon-Granite-Carbide-Tipped/dp/B089LG6VXL/ref=sr_1_9?keywords=Diablo+DMARG1010+1%2F8+Inch+x+2+Inch+x+3+Inch+SPEEDemon+Red+Granite+Carbide+Tipped+Hammer+Drill+Bit&amp;qid=1695347315&amp;sr=8-9")</f>
        <v/>
      </c>
      <c r="F63" t="inlineStr">
        <is>
          <t>B089LG6VXL</t>
        </is>
      </c>
      <c r="G63">
        <f>_xlfn.IMAGE("https://www.toolnut.com/media/catalog/product/d/m/dmarg1010_main-image.jpg?quality=100&amp;bg-color=255,255,255&amp;fit=bounds&amp;height=700&amp;width=700&amp;canvas=700:700&amp;dpr=1 1x")</f>
        <v/>
      </c>
      <c r="H63">
        <f>_xlfn.IMAGE("https://m.media-amazon.com/images/I/61oQS6tt6EL._AC_UL320_.jpg")</f>
        <v/>
      </c>
      <c r="K63" t="inlineStr">
        <is>
          <t>2.99</t>
        </is>
      </c>
      <c r="L63" t="n">
        <v>15.53</v>
      </c>
      <c r="M63" s="2" t="inlineStr">
        <is>
          <t>419.40%</t>
        </is>
      </c>
      <c r="N63" t="n">
        <v>4.7</v>
      </c>
      <c r="O63" t="n">
        <v>5</v>
      </c>
      <c r="Q63" t="inlineStr">
        <is>
          <t>InStock</t>
        </is>
      </c>
      <c r="R63" t="inlineStr">
        <is>
          <t>undefined</t>
        </is>
      </c>
      <c r="S63" t="inlineStr">
        <is>
          <t>DMARG1010</t>
        </is>
      </c>
    </row>
    <row r="64" ht="75" customHeight="1">
      <c r="A64" s="1">
        <f>HYPERLINK("https://www.toolnut.com/diablo-dmarg1030-3-16-inch-x-4-inch-x-6-inch-speedemon-red-granite-carbide-tipped-hammer-drill-bit.html", "https://www.toolnut.com/diablo-dmarg1030-3-16-inch-x-4-inch-x-6-inch-speedemon-red-granite-carbide-tipped-hammer-drill-bit.html")</f>
        <v/>
      </c>
      <c r="B64" s="1">
        <f>HYPERLINK("https://www.toolnut.com/diablo-dmarg1030-3-16-inch-x-4-inch-x-6-inch-speedemon-red-granite-carbide-tipped-hammer-drill-bit.html", "https://www.toolnut.com/diablo-dmarg1030-3-16-inch-x-4-inch-x-6-inch-speedemon-red-granite-carbide-tipped-hammer-drill-bit.html")</f>
        <v/>
      </c>
      <c r="C64" t="inlineStr">
        <is>
          <t>Diablo DMARG1030 3/16 Inch x 4 Inch x 6 Inch SPEEDemon Red Granite Carbide Tipped Hammer Drill Bit</t>
        </is>
      </c>
      <c r="D64" t="inlineStr">
        <is>
          <t>Diablo 3/4" x 4" x 6" SPEEDemon™ Red Granite Carbide Tipped Hammer Drill Bit</t>
        </is>
      </c>
      <c r="E64" s="1">
        <f>HYPERLINK("https://www.amazon.com/Diablo-DMARG1190-SPEEDemon-Granite-Carbide/dp/B089KWDFSV/ref=sr_1_4?keywords=Diablo+DMARG1030+3%2F16+Inch+x+4+Inch+x+6+Inch+SPEEDemon+Red+Granite+Carbide+Tipped+Hammer+Drill+Bit&amp;qid=1695347282&amp;sr=8-4", "https://www.amazon.com/Diablo-DMARG1190-SPEEDemon-Granite-Carbide/dp/B089KWDFSV/ref=sr_1_4?keywords=Diablo+DMARG1030+3%2F16+Inch+x+4+Inch+x+6+Inch+SPEEDemon+Red+Granite+Carbide+Tipped+Hammer+Drill+Bit&amp;qid=1695347282&amp;sr=8-4")</f>
        <v/>
      </c>
      <c r="F64" t="inlineStr">
        <is>
          <t>B089KWDFSV</t>
        </is>
      </c>
      <c r="G64">
        <f>_xlfn.IMAGE("https://www.toolnut.com/media/catalog/product/d/m/dmarg1030-p5_main-image_1.jpg?quality=100&amp;bg-color=255,255,255&amp;fit=bounds&amp;height=700&amp;width=700&amp;canvas=700:700&amp;dpr=1 1x")</f>
        <v/>
      </c>
      <c r="H64">
        <f>_xlfn.IMAGE("https://m.media-amazon.com/images/I/614DQf6-m2L._AC_UL320_.jpg")</f>
        <v/>
      </c>
      <c r="K64" t="inlineStr">
        <is>
          <t>5.47</t>
        </is>
      </c>
      <c r="L64" t="n">
        <v>17.49</v>
      </c>
      <c r="M64" s="2" t="inlineStr">
        <is>
          <t>219.74%</t>
        </is>
      </c>
      <c r="N64" t="n">
        <v>4.5</v>
      </c>
      <c r="O64" t="n">
        <v>17</v>
      </c>
      <c r="Q64" t="inlineStr">
        <is>
          <t>InStock</t>
        </is>
      </c>
      <c r="R64" t="inlineStr">
        <is>
          <t>undefined</t>
        </is>
      </c>
      <c r="S64" t="inlineStr">
        <is>
          <t>DMARG1030</t>
        </is>
      </c>
    </row>
    <row r="65" ht="75" customHeight="1">
      <c r="A65" s="1">
        <f>HYPERLINK("https://www.toolnut.com/diablo-dmarg1070-1-4-inch-x-4-inch-x-6-inch-speedemon-red-granite-carbide-tipped-hammer-drill-bit.html", "https://www.toolnut.com/diablo-dmarg1070-1-4-inch-x-4-inch-x-6-inch-speedemon-red-granite-carbide-tipped-hammer-drill-bit.html")</f>
        <v/>
      </c>
      <c r="B65" s="1">
        <f>HYPERLINK("https://www.toolnut.com/diablo-dmarg1070-1-4-inch-x-4-inch-x-6-inch-speedemon-red-granite-carbide-tipped-hammer-drill-bit.html", "https://www.toolnut.com/diablo-dmarg1070-1-4-inch-x-4-inch-x-6-inch-speedemon-red-granite-carbide-tipped-hammer-drill-bit.html")</f>
        <v/>
      </c>
      <c r="C65" t="inlineStr">
        <is>
          <t>Diablo DMARG1070 1/4 Inch x 4 Inch x 6 Inch SPEEDemon Red Granite Carbide Tipped Hammer Drill Bit</t>
        </is>
      </c>
      <c r="D65" t="inlineStr">
        <is>
          <t>Diablo 3/4" x 4" x 6" SPEEDemon™ Red Granite Carbide Tipped Hammer Drill Bit</t>
        </is>
      </c>
      <c r="E65" s="1">
        <f>HYPERLINK("https://www.amazon.com/Diablo-DMARG1190-SPEEDemon-Granite-Carbide/dp/B089KWDFSV/ref=sr_1_7?keywords=Diablo+DMARG1070+1%2F4+Inch+x+4+Inch+x+6+Inch+SPEEDemon+Red+Granite+Carbide+Tipped+Hammer+Drill+Bit&amp;qid=1695347276&amp;sr=8-7", "https://www.amazon.com/Diablo-DMARG1190-SPEEDemon-Granite-Carbide/dp/B089KWDFSV/ref=sr_1_7?keywords=Diablo+DMARG1070+1%2F4+Inch+x+4+Inch+x+6+Inch+SPEEDemon+Red+Granite+Carbide+Tipped+Hammer+Drill+Bit&amp;qid=1695347276&amp;sr=8-7")</f>
        <v/>
      </c>
      <c r="F65" t="inlineStr">
        <is>
          <t>B089KWDFSV</t>
        </is>
      </c>
      <c r="G65">
        <f>_xlfn.IMAGE("https://www.toolnut.com/media/catalog/product/d/m/dmarg1070-p5_main-image_1.jpg?quality=100&amp;bg-color=255,255,255&amp;fit=bounds&amp;height=700&amp;width=700&amp;canvas=700:700&amp;dpr=1 1x")</f>
        <v/>
      </c>
      <c r="H65">
        <f>_xlfn.IMAGE("https://m.media-amazon.com/images/I/614DQf6-m2L._AC_UL320_.jpg")</f>
        <v/>
      </c>
      <c r="K65" t="inlineStr">
        <is>
          <t>6.47</t>
        </is>
      </c>
      <c r="L65" t="n">
        <v>17.49</v>
      </c>
      <c r="M65" s="2" t="inlineStr">
        <is>
          <t>170.32%</t>
        </is>
      </c>
      <c r="N65" t="n">
        <v>4.5</v>
      </c>
      <c r="O65" t="n">
        <v>17</v>
      </c>
      <c r="Q65" t="inlineStr">
        <is>
          <t>InStock</t>
        </is>
      </c>
      <c r="R65" t="inlineStr">
        <is>
          <t>undefined</t>
        </is>
      </c>
      <c r="S65" t="inlineStr">
        <is>
          <t>DMARG1070</t>
        </is>
      </c>
    </row>
    <row r="66" ht="75" customHeight="1">
      <c r="A66" s="1">
        <f>HYPERLINK("https://www.toolnut.com/diablo-dmarg1090-1-4-inch-x-10-inch-x-12-inch-speedemon-red-granite-carbide-tipped-hammer-drill-bit.html", "https://www.toolnut.com/diablo-dmarg1090-1-4-inch-x-10-inch-x-12-inch-speedemon-red-granite-carbide-tipped-hammer-drill-bit.html")</f>
        <v/>
      </c>
      <c r="B66" s="1">
        <f>HYPERLINK("https://www.toolnut.com/diablo-dmarg1090-1-4-inch-x-10-inch-x-12-inch-speedemon-red-granite-carbide-tipped-hammer-drill-bit.html", "https://www.toolnut.com/diablo-dmarg1090-1-4-inch-x-10-inch-x-12-inch-speedemon-red-granite-carbide-tipped-hammer-drill-bit.html")</f>
        <v/>
      </c>
      <c r="C66" t="inlineStr">
        <is>
          <t>Diablo DMARG1090 1/4 Inch x 10 Inch x 12 Inch SPEEDemon Red Granite Carbide Tipped Hammer Drill Bit</t>
        </is>
      </c>
      <c r="D66" t="inlineStr">
        <is>
          <t>Diablo 1 in. x 10" x 12" SPEEDemon™ Red Granite Carbide Tipped Hammer Drill Bit</t>
        </is>
      </c>
      <c r="E66" s="1">
        <f>HYPERLINK("https://www.amazon.com/Diablo-Freud-DMARG1210-SPEEDemon-Granite/dp/B089KW1B5V/ref=sr_1_6?keywords=Diablo+DMARG1090+1%2F4+Inch+x+10+Inch+x+12+Inch+SPEEDemon+Red+Granite+Carbide+Tipped+Hammer+Drill+Bit&amp;qid=1695347277&amp;sr=8-6", "https://www.amazon.com/Diablo-Freud-DMARG1210-SPEEDemon-Granite/dp/B089KW1B5V/ref=sr_1_6?keywords=Diablo+DMARG1090+1%2F4+Inch+x+10+Inch+x+12+Inch+SPEEDemon+Red+Granite+Carbide+Tipped+Hammer+Drill+Bit&amp;qid=1695347277&amp;sr=8-6")</f>
        <v/>
      </c>
      <c r="F66" t="inlineStr">
        <is>
          <t>B089KW1B5V</t>
        </is>
      </c>
      <c r="G66">
        <f>_xlfn.IMAGE("https://www.toolnut.com/media/catalog/product/d/m/dmarg1090_main-image.jpg?quality=100&amp;bg-color=255,255,255&amp;fit=bounds&amp;height=700&amp;width=700&amp;canvas=700:700")</f>
        <v/>
      </c>
      <c r="H66">
        <f>_xlfn.IMAGE("https://m.media-amazon.com/images/I/61+EqrM-43L._AC_UL320_.jpg")</f>
        <v/>
      </c>
      <c r="K66" t="inlineStr">
        <is>
          <t>7.99</t>
        </is>
      </c>
      <c r="L66" t="n">
        <v>26.49</v>
      </c>
      <c r="M66" s="2" t="inlineStr">
        <is>
          <t>231.54%</t>
        </is>
      </c>
      <c r="N66" t="n">
        <v>4.7</v>
      </c>
      <c r="O66" t="n">
        <v>31</v>
      </c>
      <c r="Q66" t="inlineStr">
        <is>
          <t>InStock</t>
        </is>
      </c>
      <c r="R66" t="inlineStr">
        <is>
          <t>undefined</t>
        </is>
      </c>
      <c r="S66" t="inlineStr">
        <is>
          <t>DMARG1090</t>
        </is>
      </c>
    </row>
    <row r="67" ht="75" customHeight="1">
      <c r="A67" s="1">
        <f>HYPERLINK("https://www.toolnut.com/diablo-dmarg1090-1-4-inch-x-10-inch-x-12-inch-speedemon-red-granite-carbide-tipped-hammer-drill-bit.html", "https://www.toolnut.com/diablo-dmarg1090-1-4-inch-x-10-inch-x-12-inch-speedemon-red-granite-carbide-tipped-hammer-drill-bit.html")</f>
        <v/>
      </c>
      <c r="B67" s="1">
        <f>HYPERLINK("https://www.toolnut.com/diablo-dmarg1090-1-4-inch-x-10-inch-x-12-inch-speedemon-red-granite-carbide-tipped-hammer-drill-bit.html", "https://www.toolnut.com/diablo-dmarg1090-1-4-inch-x-10-inch-x-12-inch-speedemon-red-granite-carbide-tipped-hammer-drill-bit.html")</f>
        <v/>
      </c>
      <c r="C67" t="inlineStr">
        <is>
          <t>Diablo DMARG1090 1/4 Inch x 10 Inch x 12 Inch SPEEDemon Red Granite Carbide Tipped Hammer Drill Bit</t>
        </is>
      </c>
      <c r="D67" t="inlineStr">
        <is>
          <t>Diablo by Freud DMARG1200 3/4 in. x 10 in. x 12 in. SPEEDemon Red Granite Carbide Tipped Hammer Drill Bit</t>
        </is>
      </c>
      <c r="E67" s="1">
        <f>HYPERLINK("https://www.amazon.com/Diablo-Freud-DMARG1200-SPEEDemon-Granite/dp/B089KWGLL5/ref=sr_1_2?keywords=Diablo+DMARG1090+1%2F4+Inch+x+10+Inch+x+12+Inch+SPEEDemon+Red+Granite+Carbide+Tipped+Hammer+Drill+Bit&amp;qid=1695347277&amp;sr=8-2", "https://www.amazon.com/Diablo-Freud-DMARG1200-SPEEDemon-Granite/dp/B089KWGLL5/ref=sr_1_2?keywords=Diablo+DMARG1090+1%2F4+Inch+x+10+Inch+x+12+Inch+SPEEDemon+Red+Granite+Carbide+Tipped+Hammer+Drill+Bit&amp;qid=1695347277&amp;sr=8-2")</f>
        <v/>
      </c>
      <c r="F67" t="inlineStr">
        <is>
          <t>B089KWGLL5</t>
        </is>
      </c>
      <c r="G67">
        <f>_xlfn.IMAGE("https://www.toolnut.com/media/catalog/product/d/m/dmarg1090_main-image.jpg?quality=100&amp;bg-color=255,255,255&amp;fit=bounds&amp;height=700&amp;width=700&amp;canvas=700:700")</f>
        <v/>
      </c>
      <c r="H67">
        <f>_xlfn.IMAGE("https://m.media-amazon.com/images/I/61fi8hhRaDL._AC_UL320_.jpg")</f>
        <v/>
      </c>
      <c r="K67" t="inlineStr">
        <is>
          <t>7.99</t>
        </is>
      </c>
      <c r="L67" t="n">
        <v>18</v>
      </c>
      <c r="M67" s="2" t="inlineStr">
        <is>
          <t>125.28%</t>
        </is>
      </c>
      <c r="N67" t="n">
        <v>3.9</v>
      </c>
      <c r="O67" t="n">
        <v>13</v>
      </c>
      <c r="Q67" t="inlineStr">
        <is>
          <t>InStock</t>
        </is>
      </c>
      <c r="R67" t="inlineStr">
        <is>
          <t>undefined</t>
        </is>
      </c>
      <c r="S67" t="inlineStr">
        <is>
          <t>DMARG1090</t>
        </is>
      </c>
    </row>
    <row r="68" ht="75" customHeight="1">
      <c r="A68" s="1">
        <f>HYPERLINK("https://www.toolnut.com/diablo-dmarg1090-1-4-inch-x-10-inch-x-12-inch-speedemon-red-granite-carbide-tipped-hammer-drill-bit.html", "https://www.toolnut.com/diablo-dmarg1090-1-4-inch-x-10-inch-x-12-inch-speedemon-red-granite-carbide-tipped-hammer-drill-bit.html")</f>
        <v/>
      </c>
      <c r="B68" s="1">
        <f>HYPERLINK("https://www.toolnut.com/diablo-dmarg1090-1-4-inch-x-10-inch-x-12-inch-speedemon-red-granite-carbide-tipped-hammer-drill-bit.html", "https://www.toolnut.com/diablo-dmarg1090-1-4-inch-x-10-inch-x-12-inch-speedemon-red-granite-carbide-tipped-hammer-drill-bit.html")</f>
        <v/>
      </c>
      <c r="C68" t="inlineStr">
        <is>
          <t>Diablo DMARG1090 1/4 Inch x 10 Inch x 12 Inch SPEEDemon Red Granite Carbide Tipped Hammer Drill Bit</t>
        </is>
      </c>
      <c r="D68" t="inlineStr">
        <is>
          <t>Diablo 5/8" x 10"x12" SPEEDemon™ Red Granite Carbide Tipped Hammer Drill Bit</t>
        </is>
      </c>
      <c r="E68" s="1">
        <f>HYPERLINK("https://www.amazon.com/Diablo-SPEEDemon-Granite-Carbide-Tipped/dp/B089LG6VXL/ref=sr_1_9?keywords=Diablo+DMARG1090+1%2F4+Inch+x+10+Inch+x+12+Inch+SPEEDemon+Red+Granite+Carbide+Tipped+Hammer+Drill+Bit&amp;qid=1695347277&amp;sr=8-9", "https://www.amazon.com/Diablo-SPEEDemon-Granite-Carbide-Tipped/dp/B089LG6VXL/ref=sr_1_9?keywords=Diablo+DMARG1090+1%2F4+Inch+x+10+Inch+x+12+Inch+SPEEDemon+Red+Granite+Carbide+Tipped+Hammer+Drill+Bit&amp;qid=1695347277&amp;sr=8-9")</f>
        <v/>
      </c>
      <c r="F68" t="inlineStr">
        <is>
          <t>B089LG6VXL</t>
        </is>
      </c>
      <c r="G68">
        <f>_xlfn.IMAGE("https://www.toolnut.com/media/catalog/product/d/m/dmarg1090_main-image.jpg?quality=100&amp;bg-color=255,255,255&amp;fit=bounds&amp;height=700&amp;width=700&amp;canvas=700:700")</f>
        <v/>
      </c>
      <c r="H68">
        <f>_xlfn.IMAGE("https://m.media-amazon.com/images/I/61oQS6tt6EL._AC_UL320_.jpg")</f>
        <v/>
      </c>
      <c r="K68" t="inlineStr">
        <is>
          <t>7.99</t>
        </is>
      </c>
      <c r="L68" t="n">
        <v>15.53</v>
      </c>
      <c r="M68" s="2" t="inlineStr">
        <is>
          <t>94.37%</t>
        </is>
      </c>
      <c r="N68" t="n">
        <v>4.7</v>
      </c>
      <c r="O68" t="n">
        <v>5</v>
      </c>
      <c r="Q68" t="inlineStr">
        <is>
          <t>InStock</t>
        </is>
      </c>
      <c r="R68" t="inlineStr">
        <is>
          <t>undefined</t>
        </is>
      </c>
      <c r="S68" t="inlineStr">
        <is>
          <t>DMARG1090</t>
        </is>
      </c>
    </row>
    <row r="69" ht="75" customHeight="1">
      <c r="A69" s="1">
        <f>HYPERLINK("https://www.toolnut.com/diablo-dmarg1120-3-8-inch-x-4-inch-x-6-inch-speedemon-red-granite-carbide-tipped-hammer-drill-bit.html", "https://www.toolnut.com/diablo-dmarg1120-3-8-inch-x-4-inch-x-6-inch-speedemon-red-granite-carbide-tipped-hammer-drill-bit.html")</f>
        <v/>
      </c>
      <c r="B69" s="1">
        <f>HYPERLINK("https://www.toolnut.com/diablo-dmarg1120-3-8-inch-x-4-inch-x-6-inch-speedemon-red-granite-carbide-tipped-hammer-drill-bit.html", "https://www.toolnut.com/diablo-dmarg1120-3-8-inch-x-4-inch-x-6-inch-speedemon-red-granite-carbide-tipped-hammer-drill-bit.html")</f>
        <v/>
      </c>
      <c r="C69" t="inlineStr">
        <is>
          <t>Diablo DMARG1120 3/8 Inch x 4 Inch x 6 Inch SPEEDemon Red Granite Carbide Tipped Hammer Drill Bit</t>
        </is>
      </c>
      <c r="D69" t="inlineStr">
        <is>
          <t>Diablo 3/4" x 4" x 6" SPEEDemon™ Red Granite Carbide Tipped Hammer Drill Bit</t>
        </is>
      </c>
      <c r="E69" s="1">
        <f>HYPERLINK("https://www.amazon.com/Diablo-DMARG1190-SPEEDemon-Granite-Carbide/dp/B089KWDFSV/ref=sr_1_4?keywords=Diablo+DMARG1120+3%2F8+Inch+x+4+Inch+x+6+Inch+SPEEDemon+Red+Granite+Carbide+Tipped+Hammer+Drill+Bit&amp;qid=1695347315&amp;sr=8-4", "https://www.amazon.com/Diablo-DMARG1190-SPEEDemon-Granite-Carbide/dp/B089KWDFSV/ref=sr_1_4?keywords=Diablo+DMARG1120+3%2F8+Inch+x+4+Inch+x+6+Inch+SPEEDemon+Red+Granite+Carbide+Tipped+Hammer+Drill+Bit&amp;qid=1695347315&amp;sr=8-4")</f>
        <v/>
      </c>
      <c r="F69" t="inlineStr">
        <is>
          <t>B089KWDFSV</t>
        </is>
      </c>
      <c r="G69">
        <f>_xlfn.IMAGE("https://www.toolnut.com/media/catalog/product/d/m/dmarg1120_main-image.jpg?quality=100&amp;bg-color=255,255,255&amp;fit=bounds&amp;height=700&amp;width=700&amp;canvas=700:700&amp;dpr=1 1x")</f>
        <v/>
      </c>
      <c r="H69">
        <f>_xlfn.IMAGE("https://m.media-amazon.com/images/I/614DQf6-m2L._AC_UL320_.jpg")</f>
        <v/>
      </c>
      <c r="K69" t="inlineStr">
        <is>
          <t>7.97</t>
        </is>
      </c>
      <c r="L69" t="n">
        <v>17.49</v>
      </c>
      <c r="M69" s="2" t="inlineStr">
        <is>
          <t>119.45%</t>
        </is>
      </c>
      <c r="N69" t="n">
        <v>4.5</v>
      </c>
      <c r="O69" t="n">
        <v>17</v>
      </c>
      <c r="Q69" t="inlineStr">
        <is>
          <t>InStock</t>
        </is>
      </c>
      <c r="R69" t="inlineStr">
        <is>
          <t>undefined</t>
        </is>
      </c>
      <c r="S69" t="inlineStr">
        <is>
          <t>DMARG1120</t>
        </is>
      </c>
    </row>
    <row r="70" ht="75" customHeight="1">
      <c r="A70" s="1">
        <f>HYPERLINK("https://www.toolnut.com/diablo-dmarg1160-1-2-inch-x-10-inch-x-12-inch-speedemon-red-granite-carbide-tipped-hammer-drill-bit.html", "https://www.toolnut.com/diablo-dmarg1160-1-2-inch-x-10-inch-x-12-inch-speedemon-red-granite-carbide-tipped-hammer-drill-bit.html")</f>
        <v/>
      </c>
      <c r="B70" s="1">
        <f>HYPERLINK("https://www.toolnut.com/diablo-dmarg1160-1-2-inch-x-10-inch-x-12-inch-speedemon-red-granite-carbide-tipped-hammer-drill-bit.html", "https://www.toolnut.com/diablo-dmarg1160-1-2-inch-x-10-inch-x-12-inch-speedemon-red-granite-carbide-tipped-hammer-drill-bit.html")</f>
        <v/>
      </c>
      <c r="C70" t="inlineStr">
        <is>
          <t>Diablo DMARG1160 1/2 Inch x 10 Inch x 12 Inch SPEEDemon Red Granite Carbide Tipped Hammer Drill Bit</t>
        </is>
      </c>
      <c r="D70" t="inlineStr">
        <is>
          <t>Diablo 1 in. x 10" x 12" SPEEDemon™ Red Granite Carbide Tipped Hammer Drill Bit</t>
        </is>
      </c>
      <c r="E70" s="1">
        <f>HYPERLINK("https://www.amazon.com/Diablo-Freud-DMARG1210-SPEEDemon-Granite/dp/B089KW1B5V/ref=sr_1_6?keywords=Diablo+DMARG1160+1%2F2+Inch+x+10+Inch+x+12+Inch+SPEEDemon+Red+Granite+Carbide+Tipped+Hammer+Drill+Bit&amp;qid=1695347281&amp;sr=8-6", "https://www.amazon.com/Diablo-Freud-DMARG1210-SPEEDemon-Granite/dp/B089KW1B5V/ref=sr_1_6?keywords=Diablo+DMARG1160+1%2F2+Inch+x+10+Inch+x+12+Inch+SPEEDemon+Red+Granite+Carbide+Tipped+Hammer+Drill+Bit&amp;qid=1695347281&amp;sr=8-6")</f>
        <v/>
      </c>
      <c r="F70" t="inlineStr">
        <is>
          <t>B089KW1B5V</t>
        </is>
      </c>
      <c r="G70">
        <f>_xlfn.IMAGE("https://www.toolnut.com/media/catalog/product/d/m/dmarg1160_main-image.jpg?quality=100&amp;bg-color=255,255,255&amp;fit=bounds&amp;height=700&amp;width=700&amp;canvas=700:700&amp;dpr=1 1x")</f>
        <v/>
      </c>
      <c r="H70">
        <f>_xlfn.IMAGE("https://m.media-amazon.com/images/I/61+EqrM-43L._AC_UL320_.jpg")</f>
        <v/>
      </c>
      <c r="K70" t="inlineStr">
        <is>
          <t>11.99</t>
        </is>
      </c>
      <c r="L70" t="n">
        <v>26.49</v>
      </c>
      <c r="M70" s="2" t="inlineStr">
        <is>
          <t>120.93%</t>
        </is>
      </c>
      <c r="N70" t="n">
        <v>4.7</v>
      </c>
      <c r="O70" t="n">
        <v>31</v>
      </c>
      <c r="Q70" t="inlineStr">
        <is>
          <t>InStock</t>
        </is>
      </c>
      <c r="R70" t="inlineStr">
        <is>
          <t>undefined</t>
        </is>
      </c>
      <c r="S70" t="inlineStr">
        <is>
          <t>DMARG1160</t>
        </is>
      </c>
    </row>
    <row r="71" ht="75" customHeight="1">
      <c r="A71" s="1">
        <f>HYPERLINK("https://www.toolnut.com/diablo-dsa0250-1-4-inch-square-x-1-4-inch-hex-socket-adapter.html", "https://www.toolnut.com/diablo-dsa0250-1-4-inch-square-x-1-4-inch-hex-socket-adapter.html")</f>
        <v/>
      </c>
      <c r="B71" s="1">
        <f>HYPERLINK("https://www.toolnut.com/diablo-dsa0250-1-4-inch-square-x-1-4-inch-hex-socket-adapter.html", "https://www.toolnut.com/diablo-dsa0250-1-4-inch-square-x-1-4-inch-hex-socket-adapter.html")</f>
        <v/>
      </c>
      <c r="C71" t="inlineStr">
        <is>
          <t>Diablo DSA0250 1/4 Inch Square x 1/4 Inch Hex Socket Adapter</t>
        </is>
      </c>
      <c r="D71" t="inlineStr">
        <is>
          <t>IRWIN 1869511 Impact Performance Series Square Drive to Hex Shank Socket Adapter, 1/4-Inch Square to 1/4-Inch Hex</t>
        </is>
      </c>
      <c r="E71" s="1">
        <f>HYPERLINK("https://www.amazon.com/1869511-Impact-Performance-Square-Adapter/dp/B00LMDV634/ref=sr_1_9?keywords=Diablo+DSA0250+1%2F4+Inch+Square+x+1%2F4+Inch+Hex+Socket+Adapter&amp;qid=1695347224&amp;sr=8-9", "https://www.amazon.com/1869511-Impact-Performance-Square-Adapter/dp/B00LMDV634/ref=sr_1_9?keywords=Diablo+DSA0250+1%2F4+Inch+Square+x+1%2F4+Inch+Hex+Socket+Adapter&amp;qid=1695347224&amp;sr=8-9")</f>
        <v/>
      </c>
      <c r="F71" t="inlineStr">
        <is>
          <t>B00LMDV634</t>
        </is>
      </c>
      <c r="G71">
        <f>_xlfn.IMAGE("https://www.toolnut.com/media/catalog/product/d/s/dsa0250_main-image.jpg?quality=100&amp;bg-color=255,255,255&amp;fit=bounds&amp;height=700&amp;width=700&amp;canvas=700:700&amp;dpr=1 1x")</f>
        <v/>
      </c>
      <c r="H71">
        <f>_xlfn.IMAGE("https://m.media-amazon.com/images/I/71+j3zePp6L._AC_UL320_.jpg")</f>
        <v/>
      </c>
      <c r="K71" t="inlineStr">
        <is>
          <t>1.99</t>
        </is>
      </c>
      <c r="L71" t="n">
        <v>23.99</v>
      </c>
      <c r="M71" s="2" t="inlineStr">
        <is>
          <t>1105.53%</t>
        </is>
      </c>
      <c r="N71" t="n">
        <v>3.9</v>
      </c>
      <c r="O71" t="n">
        <v>44</v>
      </c>
      <c r="Q71" t="inlineStr">
        <is>
          <t>InStock</t>
        </is>
      </c>
      <c r="R71" t="inlineStr">
        <is>
          <t>undefined</t>
        </is>
      </c>
      <c r="S71" t="inlineStr">
        <is>
          <t>DSA0250</t>
        </is>
      </c>
    </row>
    <row r="72" ht="75" customHeight="1">
      <c r="A72" s="1">
        <f>HYPERLINK("https://www.toolnut.com/diablo-dsa0375-3-8-inch-square-x-1-4-inch-hex-socket-adapter.html", "https://www.toolnut.com/diablo-dsa0375-3-8-inch-square-x-1-4-inch-hex-socket-adapter.html")</f>
        <v/>
      </c>
      <c r="B72" s="1">
        <f>HYPERLINK("https://www.toolnut.com/diablo-dsa0375-3-8-inch-square-x-1-4-inch-hex-socket-adapter.html", "https://www.toolnut.com/diablo-dsa0375-3-8-inch-square-x-1-4-inch-hex-socket-adapter.html")</f>
        <v/>
      </c>
      <c r="C72" t="inlineStr">
        <is>
          <t>Diablo DSA0375 3/8 Inch Square x 1/4 Inch Hex Socket Adapter</t>
        </is>
      </c>
      <c r="D72" t="inlineStr">
        <is>
          <t>20 Pieces 3/8 inch Impact Adapter Square Socket Bit Adapter Hex Impact Socket for Drills Extension Socket Driver Bits Impact Socket Adapter for Automotive DIY-1/4 Hex Shank (Silver)</t>
        </is>
      </c>
      <c r="E72" s="1">
        <f>HYPERLINK("https://www.amazon.com/Pieces-Impact-Adapter-Extension-Automotive/dp/B0B3LNMLW9/ref=sr_1_8?keywords=Diablo+DSA0375+3%2F8+Inch+Square+x+1%2F4+Inch+Hex+Socket+Adapter&amp;qid=1695347221&amp;sr=8-8", "https://www.amazon.com/Pieces-Impact-Adapter-Extension-Automotive/dp/B0B3LNMLW9/ref=sr_1_8?keywords=Diablo+DSA0375+3%2F8+Inch+Square+x+1%2F4+Inch+Hex+Socket+Adapter&amp;qid=1695347221&amp;sr=8-8")</f>
        <v/>
      </c>
      <c r="F72" t="inlineStr">
        <is>
          <t>B0B3LNMLW9</t>
        </is>
      </c>
      <c r="G72">
        <f>_xlfn.IMAGE("https://www.toolnut.com/media/catalog/product/d/s/dsa0375_main-image.jpg?quality=100&amp;bg-color=255,255,255&amp;fit=bounds&amp;height=700&amp;width=700&amp;canvas=700:700&amp;dpr=1 1x")</f>
        <v/>
      </c>
      <c r="H72">
        <f>_xlfn.IMAGE("https://m.media-amazon.com/images/I/81anBH+26EL._AC_UL320_.jpg")</f>
        <v/>
      </c>
      <c r="K72" t="inlineStr">
        <is>
          <t>2.99</t>
        </is>
      </c>
      <c r="L72" t="n">
        <v>15.99</v>
      </c>
      <c r="M72" s="2" t="inlineStr">
        <is>
          <t>434.78%</t>
        </is>
      </c>
      <c r="N72" t="n">
        <v>4.5</v>
      </c>
      <c r="O72" t="n">
        <v>65</v>
      </c>
      <c r="Q72" t="inlineStr">
        <is>
          <t>InStock</t>
        </is>
      </c>
      <c r="R72" t="inlineStr">
        <is>
          <t>undefined</t>
        </is>
      </c>
      <c r="S72" t="inlineStr">
        <is>
          <t>DSA0375</t>
        </is>
      </c>
    </row>
    <row r="73" ht="75" customHeight="1">
      <c r="A73" s="1">
        <f>HYPERLINK("https://www.toolnut.com/diablo-dsp3010-3-8-inch-x-16-inch-speedemon-spade-bit.html", "https://www.toolnut.com/diablo-dsp3010-3-8-inch-x-16-inch-speedemon-spade-bit.html")</f>
        <v/>
      </c>
      <c r="B73" s="1">
        <f>HYPERLINK("https://www.toolnut.com/diablo-dsp3010-3-8-inch-x-16-inch-speedemon-spade-bit.html", "https://www.toolnut.com/diablo-dsp3010-3-8-inch-x-16-inch-speedemon-spade-bit.html")</f>
        <v/>
      </c>
      <c r="C73" t="inlineStr">
        <is>
          <t>Diablo DSP3010 3/8 Inch x 16 Inch SPEEDemon Spade Bit</t>
        </is>
      </c>
      <c r="D73" t="inlineStr">
        <is>
          <t>DEWALT Drill Bit, Spade, 3/8 Inch x 16 Inch (DW1590)</t>
        </is>
      </c>
      <c r="E73" s="1">
        <f>HYPERLINK("https://www.amazon.com/DEWALT-DW1590-8-Inch-16-Inch-Spade/dp/B0001LQYJY/ref=sr_1_8?keywords=Diablo+DSP3010+3%2F8+Inch+x+16+Inch+SPEEDemon+Spade+Bit&amp;qid=1695347239&amp;sr=8-8", "https://www.amazon.com/DEWALT-DW1590-8-Inch-16-Inch-Spade/dp/B0001LQYJY/ref=sr_1_8?keywords=Diablo+DSP3010+3%2F8+Inch+x+16+Inch+SPEEDemon+Spade+Bit&amp;qid=1695347239&amp;sr=8-8")</f>
        <v/>
      </c>
      <c r="F73" t="inlineStr">
        <is>
          <t>B0001LQYJY</t>
        </is>
      </c>
      <c r="G73">
        <f>_xlfn.IMAGE("https://www.toolnut.com/media/catalog/product/d/s/dsp3010_main-image.jpg?quality=100&amp;bg-color=255,255,255&amp;fit=bounds&amp;height=700&amp;width=700&amp;canvas=700:700&amp;dpr=1 1x")</f>
        <v/>
      </c>
      <c r="H73">
        <f>_xlfn.IMAGE("https://m.media-amazon.com/images/I/51osIAWvRkS._AC_UL320_.jpg")</f>
        <v/>
      </c>
      <c r="K73" t="inlineStr">
        <is>
          <t>5.99</t>
        </is>
      </c>
      <c r="L73" t="n">
        <v>17.61</v>
      </c>
      <c r="M73" s="2" t="inlineStr">
        <is>
          <t>193.99%</t>
        </is>
      </c>
      <c r="N73" t="n">
        <v>4.6</v>
      </c>
      <c r="O73" t="n">
        <v>93</v>
      </c>
      <c r="Q73" t="inlineStr">
        <is>
          <t>InStock</t>
        </is>
      </c>
      <c r="R73" t="inlineStr">
        <is>
          <t>undefined</t>
        </is>
      </c>
      <c r="S73" t="inlineStr">
        <is>
          <t>DSP3010</t>
        </is>
      </c>
    </row>
    <row r="74" ht="75" customHeight="1">
      <c r="A74" s="1">
        <f>HYPERLINK("https://www.toolnut.com/freud-bp50057l-5mm-brad-point-bit.html", "https://www.toolnut.com/freud-bp50057l-5mm-brad-point-bit.html")</f>
        <v/>
      </c>
      <c r="B74" s="1">
        <f>HYPERLINK("https://www.toolnut.com/freud-bp50057l-5mm-brad-point-bit.html", "https://www.toolnut.com/freud-bp50057l-5mm-brad-point-bit.html")</f>
        <v/>
      </c>
      <c r="C74" t="inlineStr">
        <is>
          <t>Freud BP50057L 5mm Brad Point Bit</t>
        </is>
      </c>
      <c r="D74" t="inlineStr">
        <is>
          <t>Freud BP30057L: 3 mm (Dia.) Brad Point Bit with Left Hand Rotation 57.5mm overall length</t>
        </is>
      </c>
      <c r="E74" s="1">
        <f>HYPERLINK("https://www.amazon.com/Freud-BP30057L-Industrial-Carbide-Diameter/dp/B000UCUS3W/ref=sr_1_3?keywords=Freud+BP50057L+5mm+Brad+Point+Bit&amp;qid=1695347260&amp;sr=8-3", "https://www.amazon.com/Freud-BP30057L-Industrial-Carbide-Diameter/dp/B000UCUS3W/ref=sr_1_3?keywords=Freud+BP50057L+5mm+Brad+Point+Bit&amp;qid=1695347260&amp;sr=8-3")</f>
        <v/>
      </c>
      <c r="F74" t="inlineStr">
        <is>
          <t>B000UCUS3W</t>
        </is>
      </c>
      <c r="G74">
        <f>_xlfn.IMAGE("https://www.toolnut.com/media/catalog/product/b/p/bp50057l_main-image.jpg?quality=100&amp;bg-color=255,255,255&amp;fit=bounds&amp;height=700&amp;width=700&amp;canvas=700:700&amp;dpr=1 1x")</f>
        <v/>
      </c>
      <c r="H74">
        <f>_xlfn.IMAGE("https://m.media-amazon.com/images/I/51BCzsao+7L._AC_UL320_.jpg")</f>
        <v/>
      </c>
      <c r="K74" t="inlineStr">
        <is>
          <t>9.99</t>
        </is>
      </c>
      <c r="L74" t="n">
        <v>19.56</v>
      </c>
      <c r="M74" s="2" t="inlineStr">
        <is>
          <t>95.80%</t>
        </is>
      </c>
      <c r="N74" t="n">
        <v>5</v>
      </c>
      <c r="O74" t="n">
        <v>1</v>
      </c>
      <c r="Q74" t="inlineStr">
        <is>
          <t>InStock</t>
        </is>
      </c>
      <c r="R74" t="inlineStr">
        <is>
          <t>undefined</t>
        </is>
      </c>
      <c r="S74" t="inlineStr">
        <is>
          <t>BP50057L</t>
        </is>
      </c>
    </row>
    <row r="75" ht="75" customHeight="1">
      <c r="A75" s="1">
        <f>HYPERLINK("https://www.toolnut.com/freud-bp50057r-5mm-brad-point-bit.html", "https://www.toolnut.com/freud-bp50057r-5mm-brad-point-bit.html")</f>
        <v/>
      </c>
      <c r="B75" s="1">
        <f>HYPERLINK("https://www.toolnut.com/freud-bp50057r-5mm-brad-point-bit.html", "https://www.toolnut.com/freud-bp50057r-5mm-brad-point-bit.html")</f>
        <v/>
      </c>
      <c r="C75" t="inlineStr">
        <is>
          <t>Freud BP50057R 5mm Brad Point Bit</t>
        </is>
      </c>
      <c r="D75" t="inlineStr">
        <is>
          <t>Freud BP30057L: 3 mm (Dia.) Brad Point Bit with Left Hand Rotation 57.5mm overall length</t>
        </is>
      </c>
      <c r="E75" s="1">
        <f>HYPERLINK("https://www.amazon.com/Freud-BP30057L-Industrial-Carbide-Diameter/dp/B000UCUS3W/ref=sr_1_4?keywords=Freud+BP50057R+5mm+Brad+Point+Bit&amp;qid=1695347262&amp;sr=8-4", "https://www.amazon.com/Freud-BP30057L-Industrial-Carbide-Diameter/dp/B000UCUS3W/ref=sr_1_4?keywords=Freud+BP50057R+5mm+Brad+Point+Bit&amp;qid=1695347262&amp;sr=8-4")</f>
        <v/>
      </c>
      <c r="F75" t="inlineStr">
        <is>
          <t>B000UCUS3W</t>
        </is>
      </c>
      <c r="G75">
        <f>_xlfn.IMAGE("https://www.toolnut.com/media/catalog/product/b/p/bp50057r_main-image.jpg?quality=100&amp;bg-color=255,255,255&amp;fit=bounds&amp;height=700&amp;width=700&amp;canvas=700:700&amp;dpr=1 1x")</f>
        <v/>
      </c>
      <c r="H75">
        <f>_xlfn.IMAGE("https://m.media-amazon.com/images/I/51BCzsao+7L._AC_UL320_.jpg")</f>
        <v/>
      </c>
      <c r="K75" t="inlineStr">
        <is>
          <t>9.99</t>
        </is>
      </c>
      <c r="L75" t="n">
        <v>19.56</v>
      </c>
      <c r="M75" s="2" t="inlineStr">
        <is>
          <t>95.80%</t>
        </is>
      </c>
      <c r="N75" t="n">
        <v>5</v>
      </c>
      <c r="O75" t="n">
        <v>1</v>
      </c>
      <c r="Q75" t="inlineStr">
        <is>
          <t>InStock</t>
        </is>
      </c>
      <c r="R75" t="inlineStr">
        <is>
          <t>undefined</t>
        </is>
      </c>
      <c r="S75" t="inlineStr">
        <is>
          <t>BP50057R</t>
        </is>
      </c>
    </row>
    <row r="76" ht="75" customHeight="1">
      <c r="A76" s="1">
        <f>HYPERLINK("https://www.toolnut.com/freud-bp50070l-5mm-brad-point-bit.html", "https://www.toolnut.com/freud-bp50070l-5mm-brad-point-bit.html")</f>
        <v/>
      </c>
      <c r="B76" s="1">
        <f>HYPERLINK("https://www.toolnut.com/freud-bp50070l-5mm-brad-point-bit.html", "https://www.toolnut.com/freud-bp50070l-5mm-brad-point-bit.html")</f>
        <v/>
      </c>
      <c r="C76" t="inlineStr">
        <is>
          <t>Freud BP50070L 5mm Brad Point Bit</t>
        </is>
      </c>
      <c r="D76" t="inlineStr">
        <is>
          <t>Freud BP30057L: 3 mm (Dia.) Brad Point Bit with Left Hand Rotation 57.5mm overall length</t>
        </is>
      </c>
      <c r="E76" s="1">
        <f>HYPERLINK("https://www.amazon.com/Freud-BP30057L-Industrial-Carbide-Diameter/dp/B000UCUS3W/ref=sr_1_3?keywords=Freud+BP50070L+5mm+Brad+Point+Bit&amp;qid=1695347265&amp;sr=8-3", "https://www.amazon.com/Freud-BP30057L-Industrial-Carbide-Diameter/dp/B000UCUS3W/ref=sr_1_3?keywords=Freud+BP50070L+5mm+Brad+Point+Bit&amp;qid=1695347265&amp;sr=8-3")</f>
        <v/>
      </c>
      <c r="F76" t="inlineStr">
        <is>
          <t>B000UCUS3W</t>
        </is>
      </c>
      <c r="G76">
        <f>_xlfn.IMAGE("https://www.toolnut.com/media/catalog/product/b/p/bp50070l_main-image.jpg?quality=100&amp;bg-color=255,255,255&amp;fit=bounds&amp;height=700&amp;width=700&amp;canvas=700:700&amp;dpr=1 1x")</f>
        <v/>
      </c>
      <c r="H76">
        <f>_xlfn.IMAGE("https://m.media-amazon.com/images/I/51BCzsao+7L._AC_UL320_.jpg")</f>
        <v/>
      </c>
      <c r="K76" t="inlineStr">
        <is>
          <t>11.99</t>
        </is>
      </c>
      <c r="L76" t="n">
        <v>20</v>
      </c>
      <c r="M76" s="2" t="inlineStr">
        <is>
          <t>66.81%</t>
        </is>
      </c>
      <c r="N76" t="n">
        <v>5</v>
      </c>
      <c r="O76" t="n">
        <v>1</v>
      </c>
      <c r="Q76" t="inlineStr">
        <is>
          <t>InStock</t>
        </is>
      </c>
      <c r="R76" t="inlineStr">
        <is>
          <t>undefined</t>
        </is>
      </c>
      <c r="S76" t="inlineStr">
        <is>
          <t>BP50070L</t>
        </is>
      </c>
    </row>
    <row r="77" ht="75" customHeight="1">
      <c r="A77" s="1">
        <f>HYPERLINK("https://www.toolnut.com/freud-bp50070r-5mm-brad-point-bit.html", "https://www.toolnut.com/freud-bp50070r-5mm-brad-point-bit.html")</f>
        <v/>
      </c>
      <c r="B77" s="1">
        <f>HYPERLINK("https://www.toolnut.com/freud-bp50070r-5mm-brad-point-bit.html", "https://www.toolnut.com/freud-bp50070r-5mm-brad-point-bit.html")</f>
        <v/>
      </c>
      <c r="C77" t="inlineStr">
        <is>
          <t>Freud BP50070R 5mm Brad Point Bit</t>
        </is>
      </c>
      <c r="D77" t="inlineStr">
        <is>
          <t>Freud BP30057L: 3 mm (Dia.) Brad Point Bit with Left Hand Rotation 57.5mm overall length</t>
        </is>
      </c>
      <c r="E77" s="1">
        <f>HYPERLINK("https://www.amazon.com/Freud-BP30057L-Industrial-Carbide-Diameter/dp/B000UCUS3W/ref=sr_1_4?keywords=Freud+BP50070R+5mm+Brad+Point+Bit&amp;qid=1695347260&amp;sr=8-4", "https://www.amazon.com/Freud-BP30057L-Industrial-Carbide-Diameter/dp/B000UCUS3W/ref=sr_1_4?keywords=Freud+BP50070R+5mm+Brad+Point+Bit&amp;qid=1695347260&amp;sr=8-4")</f>
        <v/>
      </c>
      <c r="F77" t="inlineStr">
        <is>
          <t>B000UCUS3W</t>
        </is>
      </c>
      <c r="G77">
        <f>_xlfn.IMAGE("https://www.toolnut.com/media/catalog/product/b/p/bp50070r_main-image.jpg?quality=100&amp;bg-color=255,255,255&amp;fit=bounds&amp;height=700&amp;width=700&amp;canvas=700:700")</f>
        <v/>
      </c>
      <c r="H77">
        <f>_xlfn.IMAGE("https://m.media-amazon.com/images/I/51BCzsao+7L._AC_UL320_.jpg")</f>
        <v/>
      </c>
      <c r="K77" t="inlineStr">
        <is>
          <t>11.99</t>
        </is>
      </c>
      <c r="L77" t="n">
        <v>20</v>
      </c>
      <c r="M77" s="2" t="inlineStr">
        <is>
          <t>66.81%</t>
        </is>
      </c>
      <c r="N77" t="n">
        <v>5</v>
      </c>
      <c r="O77" t="n">
        <v>1</v>
      </c>
      <c r="Q77" t="inlineStr">
        <is>
          <t>InStock</t>
        </is>
      </c>
      <c r="R77" t="inlineStr">
        <is>
          <t>undefined</t>
        </is>
      </c>
      <c r="S77" t="inlineStr">
        <is>
          <t>BP50070R</t>
        </is>
      </c>
    </row>
    <row r="78" ht="75" customHeight="1">
      <c r="A78" s="1">
        <f>HYPERLINK("https://www.toolnut.com/freud-pb-0015-5-16-inch-forstner-bit.html", "https://www.toolnut.com/freud-pb-0015-5-16-inch-forstner-bit.html")</f>
        <v/>
      </c>
      <c r="B78" s="1">
        <f>HYPERLINK("https://www.toolnut.com/freud-pb-0015-5-16-inch-forstner-bit.html", "https://www.toolnut.com/freud-pb-0015-5-16-inch-forstner-bit.html")</f>
        <v/>
      </c>
      <c r="C78" t="inlineStr">
        <is>
          <t>Freud PB-0015 5/16-Inch Forstner Bit</t>
        </is>
      </c>
      <c r="D78" t="inlineStr">
        <is>
          <t>Freud FC-003: Carbide Forstner Drill Bit 1/2-Inch by 5/16-Inch Shank</t>
        </is>
      </c>
      <c r="E78" s="1">
        <f>HYPERLINK("https://www.amazon.com/Freud-Carbide-Forstner-16-Inch-FC-003/dp/B00004RK57/ref=sr_1_5?keywords=Freud+PB-0015+5%2F16-Inch+Forstner+Bit&amp;qid=1695347324&amp;sr=8-5", "https://www.amazon.com/Freud-Carbide-Forstner-16-Inch-FC-003/dp/B00004RK57/ref=sr_1_5?keywords=Freud+PB-0015+5%2F16-Inch+Forstner+Bit&amp;qid=1695347324&amp;sr=8-5")</f>
        <v/>
      </c>
      <c r="F78" t="inlineStr">
        <is>
          <t>B00004RK57</t>
        </is>
      </c>
      <c r="G78">
        <f>_xlfn.IMAGE("https://www.toolnut.com/media/catalog/product/p/b/pb-0015_main-image_1.jpg?quality=100&amp;bg-color=255,255,255&amp;fit=bounds&amp;height=700&amp;width=700&amp;canvas=700:700&amp;dpr=1 1x")</f>
        <v/>
      </c>
      <c r="H78">
        <f>_xlfn.IMAGE("https://m.media-amazon.com/images/I/61-R+HP1LaL._AC_UL320_.jpg")</f>
        <v/>
      </c>
      <c r="K78" t="inlineStr">
        <is>
          <t>8.99</t>
        </is>
      </c>
      <c r="L78" t="n">
        <v>25.69</v>
      </c>
      <c r="M78" s="2" t="inlineStr">
        <is>
          <t>185.76%</t>
        </is>
      </c>
      <c r="N78" t="n">
        <v>4.6</v>
      </c>
      <c r="O78" t="n">
        <v>167</v>
      </c>
      <c r="Q78" t="inlineStr">
        <is>
          <t>InStock</t>
        </is>
      </c>
      <c r="R78" t="inlineStr">
        <is>
          <t>undefined</t>
        </is>
      </c>
      <c r="S78" t="inlineStr">
        <is>
          <t>PB-0015</t>
        </is>
      </c>
    </row>
    <row r="79" ht="75" customHeight="1">
      <c r="A79" s="1">
        <f>HYPERLINK("https://www.toolnut.com/freud-pb-0025-7-16-inch-forstner-bit.html", "https://www.toolnut.com/freud-pb-0025-7-16-inch-forstner-bit.html")</f>
        <v/>
      </c>
      <c r="B79" s="1">
        <f>HYPERLINK("https://www.toolnut.com/freud-pb-0025-7-16-inch-forstner-bit.html", "https://www.toolnut.com/freud-pb-0025-7-16-inch-forstner-bit.html")</f>
        <v/>
      </c>
      <c r="C79" t="inlineStr">
        <is>
          <t>Freud PB-0025 7/16-Inch Forstner Bit</t>
        </is>
      </c>
      <c r="D79" t="inlineStr">
        <is>
          <t>Freud PB-107 Precision Shear 7 Piece 1/4-Inch to 1-Inch Serrated Edge Forstner Drill Bit Assortment</t>
        </is>
      </c>
      <c r="E79" s="1">
        <f>HYPERLINK("https://www.amazon.com/Freud-Precision-Serrated-Forstner-Assortment/dp/B0000225ZO/ref=sr_1_7?keywords=Freud+PB-0025+7%2F16-Inch+Forstner+Bit&amp;qid=1695347328&amp;sr=8-7", "https://www.amazon.com/Freud-Precision-Serrated-Forstner-Assortment/dp/B0000225ZO/ref=sr_1_7?keywords=Freud+PB-0025+7%2F16-Inch+Forstner+Bit&amp;qid=1695347328&amp;sr=8-7")</f>
        <v/>
      </c>
      <c r="F79" t="inlineStr">
        <is>
          <t>B0000225ZO</t>
        </is>
      </c>
      <c r="G79">
        <f>_xlfn.IMAGE("https://www.toolnut.com/media/catalog/product/p/b/pb-0025_main-image.jpg?quality=100&amp;bg-color=255,255,255&amp;fit=bounds&amp;height=700&amp;width=700&amp;canvas=700:700&amp;dpr=1 1x")</f>
        <v/>
      </c>
      <c r="H79">
        <f>_xlfn.IMAGE("https://m.media-amazon.com/images/I/61XfiXLM7KL._AC_UL320_.jpg")</f>
        <v/>
      </c>
      <c r="K79" t="inlineStr">
        <is>
          <t>9.99</t>
        </is>
      </c>
      <c r="L79" t="n">
        <v>62.94</v>
      </c>
      <c r="M79" s="2" t="inlineStr">
        <is>
          <t>530.03%</t>
        </is>
      </c>
      <c r="N79" t="n">
        <v>4.7</v>
      </c>
      <c r="O79" t="n">
        <v>1394</v>
      </c>
      <c r="Q79" t="inlineStr">
        <is>
          <t>InStock</t>
        </is>
      </c>
      <c r="R79" t="inlineStr">
        <is>
          <t>undefined</t>
        </is>
      </c>
      <c r="S79" t="inlineStr">
        <is>
          <t>PB-0025</t>
        </is>
      </c>
    </row>
    <row r="80" ht="75" customHeight="1">
      <c r="A80" s="1">
        <f>HYPERLINK("https://www.toolnut.com/freud-pb-0065-15-16-inch-forstner-bit.html", "https://www.toolnut.com/freud-pb-0065-15-16-inch-forstner-bit.html")</f>
        <v/>
      </c>
      <c r="B80" s="1">
        <f>HYPERLINK("https://www.toolnut.com/freud-pb-0065-15-16-inch-forstner-bit.html", "https://www.toolnut.com/freud-pb-0065-15-16-inch-forstner-bit.html")</f>
        <v/>
      </c>
      <c r="C80" t="inlineStr">
        <is>
          <t>Freud PB-0065 15/16-Inch Forstner Bit</t>
        </is>
      </c>
      <c r="D80" t="inlineStr">
        <is>
          <t>PLS-24 PRO Concealed Magnetic Catch, Silver &amp; Freud PB-0065: Precision Shear™ Serrated Edge Forstner Drill Bit 3-1/2-inch</t>
        </is>
      </c>
      <c r="E80" s="1">
        <f>HYPERLINK("https://www.amazon.com/Precision-Lock-Concealed-Magnetic-PB-0065/dp/B0BZ8DQVBN/ref=sr_1_2?keywords=Freud+PB-0065+15%2F16-Inch+Forstner+Bit&amp;qid=1695347341&amp;sr=8-2", "https://www.amazon.com/Precision-Lock-Concealed-Magnetic-PB-0065/dp/B0BZ8DQVBN/ref=sr_1_2?keywords=Freud+PB-0065+15%2F16-Inch+Forstner+Bit&amp;qid=1695347341&amp;sr=8-2")</f>
        <v/>
      </c>
      <c r="F80" t="inlineStr">
        <is>
          <t>B0BZ8DQVBN</t>
        </is>
      </c>
      <c r="G80">
        <f>_xlfn.IMAGE("https://www.toolnut.com/media/catalog/product/p/b/pb-0065_main-image.jpg?quality=100&amp;bg-color=255,255,255&amp;fit=bounds&amp;height=700&amp;width=700&amp;canvas=700:700&amp;dpr=1 1x")</f>
        <v/>
      </c>
      <c r="H80">
        <f>_xlfn.IMAGE("https://m.media-amazon.com/images/I/510yBy0UrOL._AC_UL320_.jpg")</f>
        <v/>
      </c>
      <c r="K80" t="inlineStr">
        <is>
          <t>18.99</t>
        </is>
      </c>
      <c r="L80" t="n">
        <v>34.67</v>
      </c>
      <c r="M80" s="2" t="inlineStr">
        <is>
          <t>82.57%</t>
        </is>
      </c>
      <c r="N80" t="n">
        <v>4.6</v>
      </c>
      <c r="O80" t="n">
        <v>537</v>
      </c>
      <c r="Q80" t="inlineStr">
        <is>
          <t>InStock</t>
        </is>
      </c>
      <c r="R80" t="inlineStr">
        <is>
          <t>undefined</t>
        </is>
      </c>
      <c r="S80" t="inlineStr">
        <is>
          <t>PB-0065</t>
        </is>
      </c>
    </row>
    <row r="81" ht="75" customHeight="1">
      <c r="A81" s="1">
        <f>HYPERLINK("https://www.toolnut.com/makita-b-68719-1-8-x-3-carbide-tipped-percussion-masonry-hammer-drill-bit.html", "https://www.toolnut.com/makita-b-68719-1-8-x-3-carbide-tipped-percussion-masonry-hammer-drill-bit.html")</f>
        <v/>
      </c>
      <c r="B81" s="1">
        <f>HYPERLINK("https://www.toolnut.com/makita-b-68719-1-8-x-3-carbide-tipped-percussion-masonry-hammer-drill-bit.html", "https://www.toolnut.com/makita-b-68719-1-8-x-3-carbide-tipped-percussion-masonry-hammer-drill-bit.html")</f>
        <v/>
      </c>
      <c r="C81" t="inlineStr">
        <is>
          <t>Makita B-68719 1/8" x 3" Carbide Tipped Percussion Masonry Hammer Drill Bit</t>
        </is>
      </c>
      <c r="D81" t="inlineStr">
        <is>
          <t>Makita B-68890 3/4" x 6" Carbide Tipped Percussion Masonry Hammer Drill Bit</t>
        </is>
      </c>
      <c r="E81" s="1">
        <f>HYPERLINK("https://www.amazon.com/Makita-B-68890-Carbide-Percussion-Masonry/dp/B089HJN165/ref=sr_1_8?keywords=Makita+B-68719+1%2F8%22+x+3%22+Carbide+Tipped+Percussion+Masonry+Hammer+Drill+Bit&amp;qid=1695347410&amp;sr=8-8", "https://www.amazon.com/Makita-B-68890-Carbide-Percussion-Masonry/dp/B089HJN165/ref=sr_1_8?keywords=Makita+B-68719+1%2F8%22+x+3%22+Carbide+Tipped+Percussion+Masonry+Hammer+Drill+Bit&amp;qid=1695347410&amp;sr=8-8")</f>
        <v/>
      </c>
      <c r="F81" t="inlineStr">
        <is>
          <t>B089HJN165</t>
        </is>
      </c>
      <c r="G81">
        <f>_xlfn.IMAGE("https://www.toolnut.com/media/catalog/product/m/a/makita_b-68719_packaging_shot.jpg?quality=100&amp;bg-color=255,255,255&amp;fit=bounds&amp;height=700&amp;width=700&amp;canvas=700:700&amp;dpr=1 1x")</f>
        <v/>
      </c>
      <c r="H81">
        <f>_xlfn.IMAGE("https://m.media-amazon.com/images/I/51cUFhYWAnL._AC_UL320_.jpg")</f>
        <v/>
      </c>
      <c r="K81" t="inlineStr">
        <is>
          <t>2.57</t>
        </is>
      </c>
      <c r="L81" t="n">
        <v>19.05</v>
      </c>
      <c r="M81" s="2" t="inlineStr">
        <is>
          <t>641.25%</t>
        </is>
      </c>
      <c r="N81" t="n">
        <v>4</v>
      </c>
      <c r="O81" t="n">
        <v>23</v>
      </c>
      <c r="Q81" t="inlineStr">
        <is>
          <t>InStock</t>
        </is>
      </c>
      <c r="R81" t="inlineStr">
        <is>
          <t>undefined</t>
        </is>
      </c>
      <c r="S81" t="inlineStr">
        <is>
          <t>B-68719</t>
        </is>
      </c>
    </row>
    <row r="82" ht="75" customHeight="1">
      <c r="A82" s="1">
        <f>HYPERLINK("https://www.toolnut.com/makita-b-68781-1-4-x-12-carbide-tipped-percussion-masonry-hammer-drill-bit.html", "https://www.toolnut.com/makita-b-68781-1-4-x-12-carbide-tipped-percussion-masonry-hammer-drill-bit.html")</f>
        <v/>
      </c>
      <c r="B82" s="1">
        <f>HYPERLINK("https://www.toolnut.com/makita-b-68781-1-4-x-12-carbide-tipped-percussion-masonry-hammer-drill-bit.html", "https://www.toolnut.com/makita-b-68781-1-4-x-12-carbide-tipped-percussion-masonry-hammer-drill-bit.html")</f>
        <v/>
      </c>
      <c r="C82" t="inlineStr">
        <is>
          <t>Makita B-68781 1/4" x 12" Carbide Tipped Percussion Masonry Hammer Drill Bit</t>
        </is>
      </c>
      <c r="D82" t="inlineStr">
        <is>
          <t>Makita B-68890 3/4" x 6" Carbide Tipped Percussion Masonry Hammer Drill Bit</t>
        </is>
      </c>
      <c r="E82" s="1">
        <f>HYPERLINK("https://www.amazon.com/Makita-B-68890-Carbide-Percussion-Masonry/dp/B089HJN165/ref=sr_1_9?keywords=Makita+B-68781+1%2F4%22+x+12%22+Carbide+Tipped+Percussion+Masonry+Hammer+Drill+Bit&amp;qid=1695347415&amp;sr=8-9", "https://www.amazon.com/Makita-B-68890-Carbide-Percussion-Masonry/dp/B089HJN165/ref=sr_1_9?keywords=Makita+B-68781+1%2F4%22+x+12%22+Carbide+Tipped+Percussion+Masonry+Hammer+Drill+Bit&amp;qid=1695347415&amp;sr=8-9")</f>
        <v/>
      </c>
      <c r="F82" t="inlineStr">
        <is>
          <t>B089HJN165</t>
        </is>
      </c>
      <c r="G82">
        <f>_xlfn.IMAGE("https://www.toolnut.com/media/catalog/product/m/a/makita_b-68781_packaging_shot.jpg?quality=100&amp;bg-color=255,255,255&amp;fit=bounds&amp;height=700&amp;width=700&amp;canvas=700:700&amp;dpr=1 1x")</f>
        <v/>
      </c>
      <c r="H82">
        <f>_xlfn.IMAGE("https://m.media-amazon.com/images/I/51cUFhYWAnL._AC_UL320_.jpg")</f>
        <v/>
      </c>
      <c r="K82" t="inlineStr">
        <is>
          <t>5.27</t>
        </is>
      </c>
      <c r="L82" t="n">
        <v>19.05</v>
      </c>
      <c r="M82" s="2" t="inlineStr">
        <is>
          <t>261.48%</t>
        </is>
      </c>
      <c r="N82" t="n">
        <v>4</v>
      </c>
      <c r="O82" t="n">
        <v>23</v>
      </c>
      <c r="Q82" t="inlineStr">
        <is>
          <t>InStock</t>
        </is>
      </c>
      <c r="R82" t="inlineStr">
        <is>
          <t>undefined</t>
        </is>
      </c>
      <c r="S82" t="inlineStr">
        <is>
          <t>B-68781</t>
        </is>
      </c>
    </row>
    <row r="83" ht="75" customHeight="1">
      <c r="A83" s="1">
        <f>HYPERLINK("https://www.toolnut.com/makita-b-68856-1-2-x-12-carbide-tipped-percussion-masonry-hammer-drill-bit.html", "https://www.toolnut.com/makita-b-68856-1-2-x-12-carbide-tipped-percussion-masonry-hammer-drill-bit.html")</f>
        <v/>
      </c>
      <c r="B83" s="1">
        <f>HYPERLINK("https://www.toolnut.com/makita-b-68856-1-2-x-12-carbide-tipped-percussion-masonry-hammer-drill-bit.html", "https://www.toolnut.com/makita-b-68856-1-2-x-12-carbide-tipped-percussion-masonry-hammer-drill-bit.html")</f>
        <v/>
      </c>
      <c r="C83" t="inlineStr">
        <is>
          <t>Makita B-68856 1/2" x 12" Carbide Tipped Percussion Masonry Hammer Drill Bit</t>
        </is>
      </c>
      <c r="D83" t="inlineStr">
        <is>
          <t>Makita B-68890 3/4" x 6" Carbide Tipped Percussion Masonry Hammer Drill Bit</t>
        </is>
      </c>
      <c r="E83" s="1">
        <f>HYPERLINK("https://www.amazon.com/Makita-B-68890-Carbide-Percussion-Masonry/dp/B089HJN165/ref=sr_1_10?keywords=Makita+B-68856+1%2F2+x+12+Carbide+Tipped+Percussion+Masonry+Hammer+Drill+Bit&amp;qid=1695347405&amp;sr=8-10", "https://www.amazon.com/Makita-B-68890-Carbide-Percussion-Masonry/dp/B089HJN165/ref=sr_1_10?keywords=Makita+B-68856+1%2F2+x+12+Carbide+Tipped+Percussion+Masonry+Hammer+Drill+Bit&amp;qid=1695347405&amp;sr=8-10")</f>
        <v/>
      </c>
      <c r="F83" t="inlineStr">
        <is>
          <t>B089HJN165</t>
        </is>
      </c>
      <c r="G83">
        <f>_xlfn.IMAGE("https://www.toolnut.com/media/catalog/product/m/a/makita_b-68856_packaging_shot.jpg?quality=100&amp;bg-color=255,255,255&amp;fit=bounds&amp;height=700&amp;width=700&amp;canvas=700:700&amp;dpr=1 1x")</f>
        <v/>
      </c>
      <c r="H83">
        <f>_xlfn.IMAGE("https://m.media-amazon.com/images/I/51cUFhYWAnL._AC_UL320_.jpg")</f>
        <v/>
      </c>
      <c r="K83" t="inlineStr">
        <is>
          <t>8.97</t>
        </is>
      </c>
      <c r="L83" t="n">
        <v>19.05</v>
      </c>
      <c r="M83" s="2" t="inlineStr">
        <is>
          <t>112.37%</t>
        </is>
      </c>
      <c r="N83" t="n">
        <v>4</v>
      </c>
      <c r="O83" t="n">
        <v>23</v>
      </c>
      <c r="Q83" t="inlineStr">
        <is>
          <t>InStock</t>
        </is>
      </c>
      <c r="R83" t="inlineStr">
        <is>
          <t>undefined</t>
        </is>
      </c>
      <c r="S83" t="inlineStr">
        <is>
          <t>B-68856</t>
        </is>
      </c>
    </row>
    <row r="84" ht="75" customHeight="1">
      <c r="A84" s="1">
        <f>HYPERLINK("https://www.toolnut.com/makita-b-68890-3-4-x-6-carbide-tipped-percussion-masonry-hammer-drill-bit.html", "https://www.toolnut.com/makita-b-68890-3-4-x-6-carbide-tipped-percussion-masonry-hammer-drill-bit.html")</f>
        <v/>
      </c>
      <c r="B84" s="1">
        <f>HYPERLINK("https://www.toolnut.com/makita-b-68890-3-4-x-6-carbide-tipped-percussion-masonry-hammer-drill-bit.html", "https://www.toolnut.com/makita-b-68890-3-4-x-6-carbide-tipped-percussion-masonry-hammer-drill-bit.html")</f>
        <v/>
      </c>
      <c r="C84" t="inlineStr">
        <is>
          <t>Makita B-68890 3/4" x 6" Carbide Tipped Percussion Masonry Hammer Drill Bit</t>
        </is>
      </c>
      <c r="D84" t="inlineStr">
        <is>
          <t>3/4 Inch x 18 Inch SDS Plus Rotary Hammer Drill Bit, Carbide Tipped for Brick, Stone, and Concrete (3/4" x 16" x 18")</t>
        </is>
      </c>
      <c r="E84" s="1">
        <f>HYPERLINK("https://www.amazon.com/Sabre-Tools-Rotary-Carbide-Concrete/dp/B08CWMXK2F/ref=sr_1_3?keywords=Makita+B-68890+3%2F4+x+6+Carbide+Tipped+Percussion+Masonry+Hammer+Drill+Bit&amp;qid=1695347408&amp;sr=8-3", "https://www.amazon.com/Sabre-Tools-Rotary-Carbide-Concrete/dp/B08CWMXK2F/ref=sr_1_3?keywords=Makita+B-68890+3%2F4+x+6+Carbide+Tipped+Percussion+Masonry+Hammer+Drill+Bit&amp;qid=1695347408&amp;sr=8-3")</f>
        <v/>
      </c>
      <c r="F84" t="inlineStr">
        <is>
          <t>B08CWMXK2F</t>
        </is>
      </c>
      <c r="G84">
        <f>_xlfn.IMAGE("https://www.toolnut.com/media/catalog/product/m/a/makita_b-68890_packaging_shot.jpg?quality=100&amp;bg-color=255,255,255&amp;fit=bounds&amp;height=700&amp;width=700&amp;canvas=700:700&amp;dpr=1 1x")</f>
        <v/>
      </c>
      <c r="H84">
        <f>_xlfn.IMAGE("https://m.media-amazon.com/images/I/61S-Tro0Z5L._AC_UL320_.jpg")</f>
        <v/>
      </c>
      <c r="K84" t="inlineStr">
        <is>
          <t>10.97</t>
        </is>
      </c>
      <c r="L84" t="n">
        <v>22.99</v>
      </c>
      <c r="M84" s="2" t="inlineStr">
        <is>
          <t>109.57%</t>
        </is>
      </c>
      <c r="N84" t="n">
        <v>4.6</v>
      </c>
      <c r="O84" t="n">
        <v>403</v>
      </c>
      <c r="Q84" t="inlineStr">
        <is>
          <t>InStock</t>
        </is>
      </c>
      <c r="R84" t="inlineStr">
        <is>
          <t>undefined</t>
        </is>
      </c>
      <c r="S84" t="inlineStr">
        <is>
          <t>B-68890</t>
        </is>
      </c>
    </row>
    <row r="85" ht="75" customHeight="1">
      <c r="A85" s="1">
        <f>HYPERLINK("https://www.toolnut.com/milwaukee-48-17-5007-3-4-inch-diamond-ultra-wet-core-bit.html", "https://www.toolnut.com/milwaukee-48-17-5007-3-4-inch-diamond-ultra-wet-core-bit.html")</f>
        <v/>
      </c>
      <c r="B85" s="1">
        <f>HYPERLINK("https://www.toolnut.com/milwaukee-48-17-5007-3-4-inch-diamond-ultra-wet-core-bit.html", "https://www.toolnut.com/milwaukee-48-17-5007-3-4-inch-diamond-ultra-wet-core-bit.html")</f>
        <v/>
      </c>
      <c r="C85" t="inlineStr">
        <is>
          <t>Milwaukee 48-17-5007 3/4-Inch Diamond Ultra Wet Core Bit</t>
        </is>
      </c>
      <c r="D85" t="inlineStr">
        <is>
          <t>Milwaukee 48-17-3080 8" Diamond Premium Wet Core Bit</t>
        </is>
      </c>
      <c r="E85" s="1">
        <f>HYPERLINK("https://www.amazon.com/Milwaukee-48-17-3080-Diamond-Premium-Core/dp/B017Y7UUM4/ref=sr_1_7?keywords=Milwaukee+48-17-5007+3%2F4-Inch+Diamond+Ultra+Wet+Core+Bit&amp;qid=1695347385&amp;sr=8-7", "https://www.amazon.com/Milwaukee-48-17-3080-Diamond-Premium-Core/dp/B017Y7UUM4/ref=sr_1_7?keywords=Milwaukee+48-17-5007+3%2F4-Inch+Diamond+Ultra+Wet+Core+Bit&amp;qid=1695347385&amp;sr=8-7")</f>
        <v/>
      </c>
      <c r="F85" t="inlineStr">
        <is>
          <t>B017Y7UUM4</t>
        </is>
      </c>
      <c r="G85">
        <f>_xlfn.IMAGE("https://www.toolnut.com/media/catalog/product/4/8/48-17-5007_1.jpg?quality=100&amp;bg-color=255,255,255&amp;fit=bounds&amp;height=700&amp;width=700&amp;canvas=700:700&amp;dpr=1 1x")</f>
        <v/>
      </c>
      <c r="H85">
        <f>_xlfn.IMAGE("https://m.media-amazon.com/images/I/8137k3Mi8YL._AC_UL320_.jpg")</f>
        <v/>
      </c>
      <c r="K85" t="inlineStr">
        <is>
          <t>119.99</t>
        </is>
      </c>
      <c r="L85" t="n">
        <v>561.03</v>
      </c>
      <c r="M85" s="2" t="inlineStr">
        <is>
          <t>367.56%</t>
        </is>
      </c>
      <c r="N85" t="n">
        <v>5</v>
      </c>
      <c r="O85" t="n">
        <v>1</v>
      </c>
      <c r="Q85" t="inlineStr">
        <is>
          <t>InStock</t>
        </is>
      </c>
      <c r="R85" t="inlineStr">
        <is>
          <t>undefined</t>
        </is>
      </c>
      <c r="S85" t="inlineStr">
        <is>
          <t>48-17-5007</t>
        </is>
      </c>
    </row>
    <row r="86" ht="75" customHeight="1">
      <c r="A86" s="1">
        <f>HYPERLINK("https://www.toolnut.com/milwaukee-48-17-5007-3-4-inch-diamond-ultra-wet-core-bit.html", "https://www.toolnut.com/milwaukee-48-17-5007-3-4-inch-diamond-ultra-wet-core-bit.html")</f>
        <v/>
      </c>
      <c r="B86" s="1">
        <f>HYPERLINK("https://www.toolnut.com/milwaukee-48-17-5007-3-4-inch-diamond-ultra-wet-core-bit.html", "https://www.toolnut.com/milwaukee-48-17-5007-3-4-inch-diamond-ultra-wet-core-bit.html")</f>
        <v/>
      </c>
      <c r="C86" t="inlineStr">
        <is>
          <t>Milwaukee 48-17-5007 3/4-Inch Diamond Ultra Wet Core Bit</t>
        </is>
      </c>
      <c r="D86" t="inlineStr">
        <is>
          <t>Milwaukee 48-17-1030 3" Pre-Stressed Diamond Wet Core Bit</t>
        </is>
      </c>
      <c r="E86" s="1">
        <f>HYPERLINK("https://www.amazon.com/Milwaukee-48-17-1030-Pre-Stressed-Diamond-Core/dp/B017Y7UC8G/ref=sr_1_2?keywords=Milwaukee+48-17-5007+3%2F4-Inch+Diamond+Ultra+Wet+Core+Bit&amp;qid=1695347385&amp;sr=8-2", "https://www.amazon.com/Milwaukee-48-17-1030-Pre-Stressed-Diamond-Core/dp/B017Y7UC8G/ref=sr_1_2?keywords=Milwaukee+48-17-5007+3%2F4-Inch+Diamond+Ultra+Wet+Core+Bit&amp;qid=1695347385&amp;sr=8-2")</f>
        <v/>
      </c>
      <c r="F86" t="inlineStr">
        <is>
          <t>B017Y7UC8G</t>
        </is>
      </c>
      <c r="G86">
        <f>_xlfn.IMAGE("https://www.toolnut.com/media/catalog/product/4/8/48-17-5007_1.jpg?quality=100&amp;bg-color=255,255,255&amp;fit=bounds&amp;height=700&amp;width=700&amp;canvas=700:700&amp;dpr=1 1x")</f>
        <v/>
      </c>
      <c r="H86">
        <f>_xlfn.IMAGE("https://m.media-amazon.com/images/I/61yJRlYoxmL._AC_UL320_.jpg")</f>
        <v/>
      </c>
      <c r="K86" t="inlineStr">
        <is>
          <t>119.99</t>
        </is>
      </c>
      <c r="L86" t="n">
        <v>217.41</v>
      </c>
      <c r="M86" s="2" t="inlineStr">
        <is>
          <t>81.19%</t>
        </is>
      </c>
      <c r="N86" t="n">
        <v>5</v>
      </c>
      <c r="O86" t="n">
        <v>2</v>
      </c>
      <c r="Q86" t="inlineStr">
        <is>
          <t>InStock</t>
        </is>
      </c>
      <c r="R86" t="inlineStr">
        <is>
          <t>undefined</t>
        </is>
      </c>
      <c r="S86" t="inlineStr">
        <is>
          <t>48-17-5007</t>
        </is>
      </c>
    </row>
    <row r="87" ht="75" customHeight="1">
      <c r="A87" s="1">
        <f>HYPERLINK("https://www.toolnut.com/milwaukee-48-17-5009-7-8-inch-diamond-ultra-wet-core-bit.html", "https://www.toolnut.com/milwaukee-48-17-5009-7-8-inch-diamond-ultra-wet-core-bit.html")</f>
        <v/>
      </c>
      <c r="B87" s="1">
        <f>HYPERLINK("https://www.toolnut.com/milwaukee-48-17-5009-7-8-inch-diamond-ultra-wet-core-bit.html", "https://www.toolnut.com/milwaukee-48-17-5009-7-8-inch-diamond-ultra-wet-core-bit.html")</f>
        <v/>
      </c>
      <c r="C87" t="inlineStr">
        <is>
          <t>Milwaukee 48-17-5009 7/8-Inch Diamond Ultra Wet Core Bit</t>
        </is>
      </c>
      <c r="D87" t="inlineStr">
        <is>
          <t>Milwaukee 48-17-3080 8" Diamond Premium Wet Core Bit</t>
        </is>
      </c>
      <c r="E87" s="1">
        <f>HYPERLINK("https://www.amazon.com/Milwaukee-48-17-3080-Diamond-Premium-Core/dp/B017Y7UUM4/ref=sr_1_9?keywords=Milwaukee+48-17-5009+7%2F8-Inch+Diamond+Ultra+Wet+Core+Bit&amp;qid=1695347389&amp;sr=8-9", "https://www.amazon.com/Milwaukee-48-17-3080-Diamond-Premium-Core/dp/B017Y7UUM4/ref=sr_1_9?keywords=Milwaukee+48-17-5009+7%2F8-Inch+Diamond+Ultra+Wet+Core+Bit&amp;qid=1695347389&amp;sr=8-9")</f>
        <v/>
      </c>
      <c r="F87" t="inlineStr">
        <is>
          <t>B017Y7UUM4</t>
        </is>
      </c>
      <c r="G87">
        <f>_xlfn.IMAGE("https://www.toolnut.com/media/catalog/product/4/8/48-17-5040_1_1_2.jpg?quality=100&amp;bg-color=255,255,255&amp;fit=bounds&amp;height=700&amp;width=700&amp;canvas=700:700&amp;dpr=1 1x")</f>
        <v/>
      </c>
      <c r="H87">
        <f>_xlfn.IMAGE("https://m.media-amazon.com/images/I/8137k3Mi8YL._AC_UL320_.jpg")</f>
        <v/>
      </c>
      <c r="K87" t="inlineStr">
        <is>
          <t>129.99</t>
        </is>
      </c>
      <c r="L87" t="n">
        <v>561.03</v>
      </c>
      <c r="M87" s="2" t="inlineStr">
        <is>
          <t>331.59%</t>
        </is>
      </c>
      <c r="N87" t="n">
        <v>5</v>
      </c>
      <c r="O87" t="n">
        <v>1</v>
      </c>
      <c r="Q87" t="inlineStr">
        <is>
          <t>InStock</t>
        </is>
      </c>
      <c r="R87" t="inlineStr">
        <is>
          <t>undefined</t>
        </is>
      </c>
      <c r="S87" t="inlineStr">
        <is>
          <t>48-17-5009</t>
        </is>
      </c>
    </row>
    <row r="88" ht="75" customHeight="1">
      <c r="A88" s="1">
        <f>HYPERLINK("https://www.toolnut.com/milwaukee-48-17-5009-7-8-inch-diamond-ultra-wet-core-bit.html", "https://www.toolnut.com/milwaukee-48-17-5009-7-8-inch-diamond-ultra-wet-core-bit.html")</f>
        <v/>
      </c>
      <c r="B88" s="1">
        <f>HYPERLINK("https://www.toolnut.com/milwaukee-48-17-5009-7-8-inch-diamond-ultra-wet-core-bit.html", "https://www.toolnut.com/milwaukee-48-17-5009-7-8-inch-diamond-ultra-wet-core-bit.html")</f>
        <v/>
      </c>
      <c r="C88" t="inlineStr">
        <is>
          <t>Milwaukee 48-17-5009 7/8-Inch Diamond Ultra Wet Core Bit</t>
        </is>
      </c>
      <c r="D88" t="inlineStr">
        <is>
          <t>Milwaukee 48-17-1030 3" Pre-Stressed Diamond Wet Core Bit</t>
        </is>
      </c>
      <c r="E88" s="1">
        <f>HYPERLINK("https://www.amazon.com/Milwaukee-48-17-1030-Pre-Stressed-Diamond-Core/dp/B017Y7UC8G/ref=sr_1_2?keywords=Milwaukee+48-17-5009+7%2F8-Inch+Diamond+Ultra+Wet+Core+Bit&amp;qid=1695347389&amp;sr=8-2", "https://www.amazon.com/Milwaukee-48-17-1030-Pre-Stressed-Diamond-Core/dp/B017Y7UC8G/ref=sr_1_2?keywords=Milwaukee+48-17-5009+7%2F8-Inch+Diamond+Ultra+Wet+Core+Bit&amp;qid=1695347389&amp;sr=8-2")</f>
        <v/>
      </c>
      <c r="F88" t="inlineStr">
        <is>
          <t>B017Y7UC8G</t>
        </is>
      </c>
      <c r="G88">
        <f>_xlfn.IMAGE("https://www.toolnut.com/media/catalog/product/4/8/48-17-5040_1_1_2.jpg?quality=100&amp;bg-color=255,255,255&amp;fit=bounds&amp;height=700&amp;width=700&amp;canvas=700:700&amp;dpr=1 1x")</f>
        <v/>
      </c>
      <c r="H88">
        <f>_xlfn.IMAGE("https://m.media-amazon.com/images/I/61yJRlYoxmL._AC_UL320_.jpg")</f>
        <v/>
      </c>
      <c r="K88" t="inlineStr">
        <is>
          <t>129.99</t>
        </is>
      </c>
      <c r="L88" t="n">
        <v>217.41</v>
      </c>
      <c r="M88" s="2" t="inlineStr">
        <is>
          <t>67.25%</t>
        </is>
      </c>
      <c r="N88" t="n">
        <v>5</v>
      </c>
      <c r="O88" t="n">
        <v>2</v>
      </c>
      <c r="Q88" t="inlineStr">
        <is>
          <t>InStock</t>
        </is>
      </c>
      <c r="R88" t="inlineStr">
        <is>
          <t>undefined</t>
        </is>
      </c>
      <c r="S88" t="inlineStr">
        <is>
          <t>48-17-5009</t>
        </is>
      </c>
    </row>
    <row r="89" ht="75" customHeight="1">
      <c r="A89" s="1">
        <f>HYPERLINK("https://www.toolnut.com/milwaukee-48-17-5010-1-inch-diamond-ultra-wet-core-bit.html", "https://www.toolnut.com/milwaukee-48-17-5010-1-inch-diamond-ultra-wet-core-bit.html")</f>
        <v/>
      </c>
      <c r="B89" s="1">
        <f>HYPERLINK("https://www.toolnut.com/milwaukee-48-17-5010-1-inch-diamond-ultra-wet-core-bit.html", "https://www.toolnut.com/milwaukee-48-17-5010-1-inch-diamond-ultra-wet-core-bit.html")</f>
        <v/>
      </c>
      <c r="C89" t="inlineStr">
        <is>
          <t>Milwaukee 48-17-5010 1-Inch Diamond Ultra Wet Core Bit</t>
        </is>
      </c>
      <c r="D89" t="inlineStr">
        <is>
          <t>Milwaukee 48-17-3080 8" Diamond Premium Wet Core Bit</t>
        </is>
      </c>
      <c r="E89" s="1">
        <f>HYPERLINK("https://www.amazon.com/Milwaukee-48-17-3080-Diamond-Premium-Core/dp/B017Y7UUM4/ref=sr_1_5?keywords=Milwaukee+48-17-5010+1-Inch+Diamond+Ultra+Wet+Core+Bit&amp;qid=1695347384&amp;sr=8-5", "https://www.amazon.com/Milwaukee-48-17-3080-Diamond-Premium-Core/dp/B017Y7UUM4/ref=sr_1_5?keywords=Milwaukee+48-17-5010+1-Inch+Diamond+Ultra+Wet+Core+Bit&amp;qid=1695347384&amp;sr=8-5")</f>
        <v/>
      </c>
      <c r="F89" t="inlineStr">
        <is>
          <t>B017Y7UUM4</t>
        </is>
      </c>
      <c r="G89">
        <f>_xlfn.IMAGE("https://www.toolnut.com/media/catalog/product/4/8/48-17-5040_1_5.jpg?quality=100&amp;bg-color=255,255,255&amp;fit=bounds&amp;height=700&amp;width=700&amp;canvas=700:700&amp;dpr=1 1x")</f>
        <v/>
      </c>
      <c r="H89">
        <f>_xlfn.IMAGE("https://m.media-amazon.com/images/I/8137k3Mi8YL._AC_UL320_.jpg")</f>
        <v/>
      </c>
      <c r="K89" t="inlineStr">
        <is>
          <t>139.99</t>
        </is>
      </c>
      <c r="L89" t="n">
        <v>561.03</v>
      </c>
      <c r="M89" s="2" t="inlineStr">
        <is>
          <t>300.76%</t>
        </is>
      </c>
      <c r="N89" t="n">
        <v>5</v>
      </c>
      <c r="O89" t="n">
        <v>1</v>
      </c>
      <c r="Q89" t="inlineStr">
        <is>
          <t>InStock</t>
        </is>
      </c>
      <c r="R89" t="inlineStr">
        <is>
          <t>undefined</t>
        </is>
      </c>
      <c r="S89" t="inlineStr">
        <is>
          <t>48-17-5010</t>
        </is>
      </c>
    </row>
    <row r="90" ht="75" customHeight="1">
      <c r="A90" s="1">
        <f>HYPERLINK("https://www.toolnut.com/milwaukee-48-17-5030-3-inch-diamond-ultra-wet-core-bit.html", "https://www.toolnut.com/milwaukee-48-17-5030-3-inch-diamond-ultra-wet-core-bit.html")</f>
        <v/>
      </c>
      <c r="B90" s="1">
        <f>HYPERLINK("https://www.toolnut.com/milwaukee-48-17-5030-3-inch-diamond-ultra-wet-core-bit.html", "https://www.toolnut.com/milwaukee-48-17-5030-3-inch-diamond-ultra-wet-core-bit.html")</f>
        <v/>
      </c>
      <c r="C90" t="inlineStr">
        <is>
          <t>Milwaukee 48-17-5030 3-Inch Diamond Ultra Wet Core Bit</t>
        </is>
      </c>
      <c r="D90" t="inlineStr">
        <is>
          <t>Milwaukee 48-17-3080 8" Diamond Premium Wet Core Bit</t>
        </is>
      </c>
      <c r="E90" s="1">
        <f>HYPERLINK("https://www.amazon.com/Milwaukee-48-17-3080-Diamond-Premium-Core/dp/B017Y7UUM4/ref=sr_1_5?keywords=Milwaukee+48-17-5030+3-Inch+Diamond+Ultra+Wet+Core+Bit&amp;qid=1695347402&amp;sr=8-5", "https://www.amazon.com/Milwaukee-48-17-3080-Diamond-Premium-Core/dp/B017Y7UUM4/ref=sr_1_5?keywords=Milwaukee+48-17-5030+3-Inch+Diamond+Ultra+Wet+Core+Bit&amp;qid=1695347402&amp;sr=8-5")</f>
        <v/>
      </c>
      <c r="F90" t="inlineStr">
        <is>
          <t>B017Y7UUM4</t>
        </is>
      </c>
      <c r="G90">
        <f>_xlfn.IMAGE("https://www.toolnut.com/media/catalog/product/4/8/48-17-5040_1_4.jpg?quality=100&amp;bg-color=255,255,255&amp;fit=bounds&amp;height=700&amp;width=700&amp;canvas=700:700&amp;dpr=1 1x")</f>
        <v/>
      </c>
      <c r="H90">
        <f>_xlfn.IMAGE("https://m.media-amazon.com/images/I/8137k3Mi8YL._AC_UL320_.jpg")</f>
        <v/>
      </c>
      <c r="K90" t="inlineStr">
        <is>
          <t>229.99</t>
        </is>
      </c>
      <c r="L90" t="n">
        <v>561.03</v>
      </c>
      <c r="M90" s="2" t="inlineStr">
        <is>
          <t>143.94%</t>
        </is>
      </c>
      <c r="N90" t="n">
        <v>5</v>
      </c>
      <c r="O90" t="n">
        <v>1</v>
      </c>
      <c r="Q90" t="inlineStr">
        <is>
          <t>InStock</t>
        </is>
      </c>
      <c r="R90" t="inlineStr">
        <is>
          <t>undefined</t>
        </is>
      </c>
      <c r="S90" t="inlineStr">
        <is>
          <t>48-17-5030</t>
        </is>
      </c>
    </row>
    <row r="91" ht="75" customHeight="1">
      <c r="A91" s="1">
        <f>HYPERLINK("https://www.toolnut.com/milwaukee-48-17-5040-4-inch-diamond-ultra-wet-core-bit.html", "https://www.toolnut.com/milwaukee-48-17-5040-4-inch-diamond-ultra-wet-core-bit.html")</f>
        <v/>
      </c>
      <c r="B91" s="1">
        <f>HYPERLINK("https://www.toolnut.com/milwaukee-48-17-5040-4-inch-diamond-ultra-wet-core-bit.html", "https://www.toolnut.com/milwaukee-48-17-5040-4-inch-diamond-ultra-wet-core-bit.html")</f>
        <v/>
      </c>
      <c r="C91" t="inlineStr">
        <is>
          <t>Milwaukee 48-17-5040 4-Inch Diamond Ultra Wet Core Bit</t>
        </is>
      </c>
      <c r="D91" t="inlineStr">
        <is>
          <t>Milwaukee 48-17-3080 8" Diamond Premium Wet Core Bit</t>
        </is>
      </c>
      <c r="E91" s="1">
        <f>HYPERLINK("https://www.amazon.com/Milwaukee-48-17-3080-Diamond-Premium-Core/dp/B017Y7UUM4/ref=sr_1_5?keywords=Milwaukee+48-17-5040+4-Inch+Diamond+Ultra+Wet+Core+Bit&amp;qid=1695347388&amp;sr=8-5", "https://www.amazon.com/Milwaukee-48-17-3080-Diamond-Premium-Core/dp/B017Y7UUM4/ref=sr_1_5?keywords=Milwaukee+48-17-5040+4-Inch+Diamond+Ultra+Wet+Core+Bit&amp;qid=1695347388&amp;sr=8-5")</f>
        <v/>
      </c>
      <c r="F91" t="inlineStr">
        <is>
          <t>B017Y7UUM4</t>
        </is>
      </c>
      <c r="G91">
        <f>_xlfn.IMAGE("https://www.toolnut.com/media/catalog/product/4/8/48-17-5040_1.jpg?quality=100&amp;bg-color=255,255,255&amp;fit=bounds&amp;height=700&amp;width=700&amp;canvas=700:700&amp;dpr=1 1x")</f>
        <v/>
      </c>
      <c r="H91">
        <f>_xlfn.IMAGE("https://m.media-amazon.com/images/I/8137k3Mi8YL._AC_UL320_.jpg")</f>
        <v/>
      </c>
      <c r="K91" t="inlineStr">
        <is>
          <t>279.99</t>
        </is>
      </c>
      <c r="L91" t="n">
        <v>561.03</v>
      </c>
      <c r="M91" s="2" t="inlineStr">
        <is>
          <t>100.38%</t>
        </is>
      </c>
      <c r="N91" t="n">
        <v>5</v>
      </c>
      <c r="O91" t="n">
        <v>1</v>
      </c>
      <c r="Q91" t="inlineStr">
        <is>
          <t>InStock</t>
        </is>
      </c>
      <c r="R91" t="inlineStr">
        <is>
          <t>undefined</t>
        </is>
      </c>
      <c r="S91" t="inlineStr">
        <is>
          <t>48-17-5040</t>
        </is>
      </c>
    </row>
    <row r="92" ht="75" customHeight="1">
      <c r="A92" s="1">
        <f>HYPERLINK("https://www.toolnut.com/milwaukee-48-20-3580-sds-plus-core-centering-bit.html", "https://www.toolnut.com/milwaukee-48-20-3580-sds-plus-core-centering-bit.html")</f>
        <v/>
      </c>
      <c r="B92" s="1">
        <f>HYPERLINK("https://www.toolnut.com/milwaukee-48-20-3580-sds-plus-core-centering-bit.html", "https://www.toolnut.com/milwaukee-48-20-3580-sds-plus-core-centering-bit.html")</f>
        <v/>
      </c>
      <c r="C92" t="inlineStr">
        <is>
          <t>Milwaukee 48-20-3580 SDS Plus Core Centering Bit</t>
        </is>
      </c>
      <c r="D92" t="inlineStr">
        <is>
          <t>Milwaukee 48-20-5230 2-9/16 Carbide SDS-Plus Masonry Core Bit</t>
        </is>
      </c>
      <c r="E92" s="1">
        <f>HYPERLINK("https://www.amazon.com/Milwaukee-48-20-5230-Carbide-SDS-Plus-Masonry/dp/B07B4VGQMS/ref=sr_1_2?keywords=Milwaukee+48-20-3580+SDS+Plus+Core+Centering+Bit&amp;qid=1695347387&amp;sr=8-2", "https://www.amazon.com/Milwaukee-48-20-5230-Carbide-SDS-Plus-Masonry/dp/B07B4VGQMS/ref=sr_1_2?keywords=Milwaukee+48-20-3580+SDS+Plus+Core+Centering+Bit&amp;qid=1695347387&amp;sr=8-2")</f>
        <v/>
      </c>
      <c r="F92" t="inlineStr">
        <is>
          <t>B07B4VGQMS</t>
        </is>
      </c>
      <c r="G92">
        <f>_xlfn.IMAGE("https://www.toolnut.com/media/catalog/product/4/8/48-20-3580-1.jpg?quality=100&amp;bg-color=255,255,255&amp;fit=bounds&amp;height=700&amp;width=700&amp;canvas=700:700&amp;dpr=1 1x")</f>
        <v/>
      </c>
      <c r="H92">
        <f>_xlfn.IMAGE("https://m.media-amazon.com/images/I/61elPku-1uL._AC_UL320_.jpg")</f>
        <v/>
      </c>
      <c r="K92" t="inlineStr">
        <is>
          <t>7.99</t>
        </is>
      </c>
      <c r="L92" t="n">
        <v>48</v>
      </c>
      <c r="M92" s="2" t="inlineStr">
        <is>
          <t>500.75%</t>
        </is>
      </c>
      <c r="N92" t="n">
        <v>4</v>
      </c>
      <c r="O92" t="n">
        <v>10</v>
      </c>
      <c r="Q92" t="inlineStr">
        <is>
          <t>InStock</t>
        </is>
      </c>
      <c r="R92" t="inlineStr">
        <is>
          <t>undefined</t>
        </is>
      </c>
      <c r="S92" t="inlineStr">
        <is>
          <t>48-20-3580</t>
        </is>
      </c>
    </row>
    <row r="93" ht="75" customHeight="1">
      <c r="A93" s="1">
        <f>HYPERLINK("https://www.toolnut.com/milwaukee-48-20-7498-sds-plus-4ct-mx4-5-pc-kit.html", "https://www.toolnut.com/milwaukee-48-20-7498-sds-plus-4ct-mx4-5-pc-kit.html")</f>
        <v/>
      </c>
      <c r="B93" s="1">
        <f>HYPERLINK("https://www.toolnut.com/milwaukee-48-20-7498-sds-plus-4ct-mx4-5-pc-kit.html", "https://www.toolnut.com/milwaukee-48-20-7498-sds-plus-4ct-mx4-5-pc-kit.html")</f>
        <v/>
      </c>
      <c r="C93" t="inlineStr">
        <is>
          <t>Milwaukee 48-20-7498 SDS-PLUS 4-Cutter MX4 5-Piece Kit</t>
        </is>
      </c>
      <c r="D93" t="inlineStr">
        <is>
          <t>Milwaukee 48-20-7499 SDS-Plus 4Ct Mx4 Kit (6-Piece)</t>
        </is>
      </c>
      <c r="E93" s="1">
        <f>HYPERLINK("https://www.amazon.com/Milwaukee-48-20-7499-SDS-Plus-4Ct-6-Piece/dp/B01G48W62Q/ref=sr_1_2?keywords=Milwaukee+48-20-7498+SDS-PLUS+4-Cutter+MX4+5-Piece+Kit&amp;qid=1695347393&amp;sr=8-2", "https://www.amazon.com/Milwaukee-48-20-7499-SDS-Plus-4Ct-6-Piece/dp/B01G48W62Q/ref=sr_1_2?keywords=Milwaukee+48-20-7498+SDS-PLUS+4-Cutter+MX4+5-Piece+Kit&amp;qid=1695347393&amp;sr=8-2")</f>
        <v/>
      </c>
      <c r="F93" t="inlineStr">
        <is>
          <t>B01G48W62Q</t>
        </is>
      </c>
      <c r="G93">
        <f>_xlfn.IMAGE("https://www.toolnut.com/media/catalog/product/4/8/48-20-7498-1.jpg?quality=100&amp;bg-color=255,255,255&amp;fit=bounds&amp;height=700&amp;width=700&amp;canvas=700:700&amp;dpr=1 1x")</f>
        <v/>
      </c>
      <c r="H93">
        <f>_xlfn.IMAGE("https://m.media-amazon.com/images/I/81jxqDVUHIL._AC_UL320_.jpg")</f>
        <v/>
      </c>
      <c r="K93" t="inlineStr">
        <is>
          <t>39.99</t>
        </is>
      </c>
      <c r="L93" t="n">
        <v>68.39</v>
      </c>
      <c r="M93" s="2" t="inlineStr">
        <is>
          <t>71.02%</t>
        </is>
      </c>
      <c r="N93" t="n">
        <v>4.8</v>
      </c>
      <c r="O93" t="n">
        <v>6</v>
      </c>
      <c r="Q93" t="inlineStr">
        <is>
          <t>InStock</t>
        </is>
      </c>
      <c r="R93" t="inlineStr">
        <is>
          <t>undefined</t>
        </is>
      </c>
      <c r="S93" t="inlineStr">
        <is>
          <t>48-20-7498</t>
        </is>
      </c>
    </row>
    <row r="94" ht="75" customHeight="1">
      <c r="A94" s="1">
        <f>HYPERLINK("https://www.toolnut.com/milwaukee-48-32-4418-shockwave-insert-bit-slotted-1-4.html", "https://www.toolnut.com/milwaukee-48-32-4418-shockwave-insert-bit-slotted-1-4.html")</f>
        <v/>
      </c>
      <c r="B94" s="1">
        <f>HYPERLINK("https://www.toolnut.com/milwaukee-48-32-4418-shockwave-insert-bit-slotted-1-4.html", "https://www.toolnut.com/milwaukee-48-32-4418-shockwave-insert-bit-slotted-1-4.html")</f>
        <v/>
      </c>
      <c r="C94" t="inlineStr">
        <is>
          <t>Milwaukee 48-32-4418 'SHOCKWAVE INSERT BIT SLOTTED 1/4"</t>
        </is>
      </c>
      <c r="D94" t="inlineStr">
        <is>
          <t>MILWAUKEE ELECTRIC TOOL 48-32-4717 Shockwave Insert Bit Slotted 3/16" Bulk (25)</t>
        </is>
      </c>
      <c r="E94" s="1">
        <f>HYPERLINK("https://www.amazon.com/MILWAUKEE-ELECTRIC-48-32-4717-Shockwave-Slotted/dp/B007FUIEPG/ref=sr_1_2?keywords=Milwaukee+48-32-4418+%27SHOCKWAVE+INSERT+BIT+SLOTTED+1%2F4%22&amp;qid=1695347434&amp;sr=8-2", "https://www.amazon.com/MILWAUKEE-ELECTRIC-48-32-4717-Shockwave-Slotted/dp/B007FUIEPG/ref=sr_1_2?keywords=Milwaukee+48-32-4418+%27SHOCKWAVE+INSERT+BIT+SLOTTED+1%2F4%22&amp;qid=1695347434&amp;sr=8-2")</f>
        <v/>
      </c>
      <c r="F94" t="inlineStr">
        <is>
          <t>B007FUIEPG</t>
        </is>
      </c>
      <c r="G94">
        <f>_xlfn.IMAGE("https://www.toolnut.com/media/catalog/product/m/i/milwaukee-48-32-4418-1.jpg?quality=100&amp;bg-color=255,255,255&amp;fit=bounds&amp;height=700&amp;width=700&amp;canvas=700:700&amp;dpr=1 1x")</f>
        <v/>
      </c>
      <c r="H94">
        <f>_xlfn.IMAGE("https://m.media-amazon.com/images/I/41W7snr7MoL._AC_UL320_.jpg")</f>
        <v/>
      </c>
      <c r="K94" t="inlineStr">
        <is>
          <t>1.99</t>
        </is>
      </c>
      <c r="L94" t="n">
        <v>26.49</v>
      </c>
      <c r="M94" s="2" t="inlineStr">
        <is>
          <t>1231.16%</t>
        </is>
      </c>
      <c r="N94" t="n">
        <v>5</v>
      </c>
      <c r="O94" t="n">
        <v>1</v>
      </c>
      <c r="Q94" t="inlineStr">
        <is>
          <t>OutOfStock</t>
        </is>
      </c>
      <c r="R94" t="inlineStr">
        <is>
          <t>undefined</t>
        </is>
      </c>
      <c r="S94" t="inlineStr">
        <is>
          <t>48-32-4418</t>
        </is>
      </c>
    </row>
    <row r="95" ht="75" customHeight="1">
      <c r="A95" s="1">
        <f>HYPERLINK("https://www.toolnut.com/milwaukee-48-32-4482-shockwave-2-power-bit-torx-t10-3-pack.html", "https://www.toolnut.com/milwaukee-48-32-4482-shockwave-2-power-bit-torx-t10-3-pack.html")</f>
        <v/>
      </c>
      <c r="B95" s="1">
        <f>HYPERLINK("https://www.toolnut.com/milwaukee-48-32-4482-shockwave-2-power-bit-torx-t10-3-pack.html", "https://www.toolnut.com/milwaukee-48-32-4482-shockwave-2-power-bit-torx-t10-3-pack.html")</f>
        <v/>
      </c>
      <c r="C95" t="inlineStr">
        <is>
          <t>Milwaukee 48-32-4482 SHOCKWAVE 2" POWER BIT TORX T10</t>
        </is>
      </c>
      <c r="D95" t="inlineStr">
        <is>
          <t>Milwaukee SHOCKWAVE T25 Torx 6" Power Bit, 48-32-4846, Lot of 1</t>
        </is>
      </c>
      <c r="E95" s="1">
        <f>HYPERLINK("https://www.amazon.com/Milwaukee-SHOCKWAVE-Torx-Power-48-32-4846/dp/B007FUJY8W/ref=sr_1_6?keywords=Milwaukee+48-32-4482+SHOCKWAVE+2%22+POWER+BIT+TORX+T10&amp;qid=1695347434&amp;sr=8-6", "https://www.amazon.com/Milwaukee-SHOCKWAVE-Torx-Power-48-32-4846/dp/B007FUJY8W/ref=sr_1_6?keywords=Milwaukee+48-32-4482+SHOCKWAVE+2%22+POWER+BIT+TORX+T10&amp;qid=1695347434&amp;sr=8-6")</f>
        <v/>
      </c>
      <c r="F95" t="inlineStr">
        <is>
          <t>B007FUJY8W</t>
        </is>
      </c>
      <c r="G95">
        <f>_xlfn.IMAGE("https://www.toolnut.com/media/catalog/product/4/8/48-32-4482-1.jpg?quality=100&amp;bg-color=255,255,255&amp;fit=bounds&amp;height=700&amp;width=700&amp;canvas=700:700&amp;dpr=1 1x")</f>
        <v/>
      </c>
      <c r="H95">
        <f>_xlfn.IMAGE("https://m.media-amazon.com/images/I/61bXL5DCvwL._AC_UL320_.jpg")</f>
        <v/>
      </c>
      <c r="K95" t="inlineStr">
        <is>
          <t>1.55</t>
        </is>
      </c>
      <c r="L95" t="n">
        <v>30.55</v>
      </c>
      <c r="M95" s="2" t="inlineStr">
        <is>
          <t>1870.97%</t>
        </is>
      </c>
      <c r="N95" t="n">
        <v>5</v>
      </c>
      <c r="O95" t="n">
        <v>1</v>
      </c>
      <c r="Q95" t="inlineStr">
        <is>
          <t>InStock</t>
        </is>
      </c>
      <c r="R95" t="inlineStr">
        <is>
          <t>undefined</t>
        </is>
      </c>
      <c r="S95" t="inlineStr">
        <is>
          <t>48-32-4482</t>
        </is>
      </c>
    </row>
    <row r="96" ht="75" customHeight="1">
      <c r="A96" s="1">
        <f>HYPERLINK("https://www.toolnut.com/milwaukee-48-32-4483-t15-torx-shockwave-2-power-bit.html", "https://www.toolnut.com/milwaukee-48-32-4483-t15-torx-shockwave-2-power-bit.html")</f>
        <v/>
      </c>
      <c r="B96" s="1">
        <f>HYPERLINK("https://www.toolnut.com/milwaukee-48-32-4483-t15-torx-shockwave-2-power-bit.html", "https://www.toolnut.com/milwaukee-48-32-4483-t15-torx-shockwave-2-power-bit.html")</f>
        <v/>
      </c>
      <c r="C96" t="inlineStr">
        <is>
          <t>Milwaukee 48-32-4483 T15 Torx SHOCKWAVE 2" Power Bit</t>
        </is>
      </c>
      <c r="D96" t="inlineStr">
        <is>
          <t>Milwaukee SHOCKWAVE T25 Torx 6" Power Bit, 48-32-4846, Lot of 1</t>
        </is>
      </c>
      <c r="E96" s="1">
        <f>HYPERLINK("https://www.amazon.com/Milwaukee-SHOCKWAVE-Torx-Power-48-32-4846/dp/B007FUJY8W/ref=sr_1_7?keywords=Milwaukee+48-32-4483+T15+Torx+SHOCKWAVE+2%22+Power+Bit&amp;qid=1695347432&amp;sr=8-7", "https://www.amazon.com/Milwaukee-SHOCKWAVE-Torx-Power-48-32-4846/dp/B007FUJY8W/ref=sr_1_7?keywords=Milwaukee+48-32-4483+T15+Torx+SHOCKWAVE+2%22+Power+Bit&amp;qid=1695347432&amp;sr=8-7")</f>
        <v/>
      </c>
      <c r="F96" t="inlineStr">
        <is>
          <t>B007FUJY8W</t>
        </is>
      </c>
      <c r="G96">
        <f>_xlfn.IMAGE("https://www.toolnut.com/media/catalog/product/m/i/milwaukee-48-32-4483-1.jpg?quality=100&amp;bg-color=255,255,255&amp;fit=bounds&amp;height=700&amp;width=700&amp;canvas=700:700&amp;dpr=1 1x")</f>
        <v/>
      </c>
      <c r="H96">
        <f>_xlfn.IMAGE("https://m.media-amazon.com/images/I/61bXL5DCvwL._AC_UL320_.jpg")</f>
        <v/>
      </c>
      <c r="K96" t="inlineStr">
        <is>
          <t>1.99</t>
        </is>
      </c>
      <c r="L96" t="n">
        <v>30.55</v>
      </c>
      <c r="M96" s="2" t="inlineStr">
        <is>
          <t>1435.18%</t>
        </is>
      </c>
      <c r="N96" t="n">
        <v>5</v>
      </c>
      <c r="O96" t="n">
        <v>1</v>
      </c>
      <c r="Q96" t="inlineStr">
        <is>
          <t>OutOfStock</t>
        </is>
      </c>
      <c r="R96" t="inlineStr">
        <is>
          <t>undefined</t>
        </is>
      </c>
      <c r="S96" t="inlineStr">
        <is>
          <t>48-32-4483</t>
        </is>
      </c>
    </row>
    <row r="97" ht="75" customHeight="1">
      <c r="A97" s="1">
        <f>HYPERLINK("https://www.toolnut.com/milwaukee-48-32-4484-t20-torx-shockwave-2-power-bit.html", "https://www.toolnut.com/milwaukee-48-32-4484-t20-torx-shockwave-2-power-bit.html")</f>
        <v/>
      </c>
      <c r="B97" s="1">
        <f>HYPERLINK("https://www.toolnut.com/milwaukee-48-32-4484-t20-torx-shockwave-2-power-bit.html", "https://www.toolnut.com/milwaukee-48-32-4484-t20-torx-shockwave-2-power-bit.html")</f>
        <v/>
      </c>
      <c r="C97" t="inlineStr">
        <is>
          <t>Milwaukee 48-32-4484 T20 Torx SHOCKWAVE 2" Power Bit</t>
        </is>
      </c>
      <c r="D97" t="inlineStr">
        <is>
          <t>Milwaukee SHOCKWAVE T25 Torx 6" Power Bit, 48-32-4846, Lot of 1</t>
        </is>
      </c>
      <c r="E97" s="1">
        <f>HYPERLINK("https://www.amazon.com/Milwaukee-SHOCKWAVE-Torx-Power-48-32-4846/dp/B007FUJY8W/ref=sr_1_6?keywords=Milwaukee+48-32-4484+T20+Torx+SHOCKWAVE+2%22+Power+Bit&amp;qid=1695347436&amp;sr=8-6", "https://www.amazon.com/Milwaukee-SHOCKWAVE-Torx-Power-48-32-4846/dp/B007FUJY8W/ref=sr_1_6?keywords=Milwaukee+48-32-4484+T20+Torx+SHOCKWAVE+2%22+Power+Bit&amp;qid=1695347436&amp;sr=8-6")</f>
        <v/>
      </c>
      <c r="F97" t="inlineStr">
        <is>
          <t>B007FUJY8W</t>
        </is>
      </c>
      <c r="G97">
        <f>_xlfn.IMAGE("https://www.toolnut.com/media/catalog/product/4/8/48-32-4484_1.jpg?quality=100&amp;bg-color=255,255,255&amp;fit=bounds&amp;height=700&amp;width=700&amp;canvas=700:700&amp;dpr=1 1x")</f>
        <v/>
      </c>
      <c r="H97">
        <f>_xlfn.IMAGE("https://m.media-amazon.com/images/I/61bXL5DCvwL._AC_UL320_.jpg")</f>
        <v/>
      </c>
      <c r="K97" t="inlineStr">
        <is>
          <t>1.99</t>
        </is>
      </c>
      <c r="L97" t="n">
        <v>30.55</v>
      </c>
      <c r="M97" s="2" t="inlineStr">
        <is>
          <t>1435.18%</t>
        </is>
      </c>
      <c r="N97" t="n">
        <v>5</v>
      </c>
      <c r="O97" t="n">
        <v>1</v>
      </c>
      <c r="Q97" t="inlineStr">
        <is>
          <t>OutOfStock</t>
        </is>
      </c>
      <c r="R97" t="inlineStr">
        <is>
          <t>undefined</t>
        </is>
      </c>
      <c r="S97" t="inlineStr">
        <is>
          <t>48-32-4484</t>
        </is>
      </c>
    </row>
    <row r="98" ht="75" customHeight="1">
      <c r="A98" s="1">
        <f>HYPERLINK("https://www.toolnut.com/milwaukee-48-32-4485-t25-torx-shockwave-2-power-bit.html", "https://www.toolnut.com/milwaukee-48-32-4485-t25-torx-shockwave-2-power-bit.html")</f>
        <v/>
      </c>
      <c r="B98" s="1">
        <f>HYPERLINK("https://www.toolnut.com/milwaukee-48-32-4485-t25-torx-shockwave-2-power-bit.html", "https://www.toolnut.com/milwaukee-48-32-4485-t25-torx-shockwave-2-power-bit.html")</f>
        <v/>
      </c>
      <c r="C98" t="inlineStr">
        <is>
          <t>Milwaukee 48-32-4485 T25 Torx SHOCKWAVE 2" Power Bit</t>
        </is>
      </c>
      <c r="D98" t="inlineStr">
        <is>
          <t>Milwaukee SHOCKWAVE T25 Torx 6" Power Bit, 48-32-4846, Lot of 1</t>
        </is>
      </c>
      <c r="E98" s="1">
        <f>HYPERLINK("https://www.amazon.com/Milwaukee-SHOCKWAVE-Torx-Power-48-32-4846/dp/B007FUJY8W/ref=sr_1_5?keywords=Milwaukee+48-32-4485+T25+Torx+SHOCKWAVE+2%22+Power+Bit&amp;qid=1695347433&amp;sr=8-5", "https://www.amazon.com/Milwaukee-SHOCKWAVE-Torx-Power-48-32-4846/dp/B007FUJY8W/ref=sr_1_5?keywords=Milwaukee+48-32-4485+T25+Torx+SHOCKWAVE+2%22+Power+Bit&amp;qid=1695347433&amp;sr=8-5")</f>
        <v/>
      </c>
      <c r="F98" t="inlineStr">
        <is>
          <t>B007FUJY8W</t>
        </is>
      </c>
      <c r="G98">
        <f>_xlfn.IMAGE("https://www.toolnut.com/media/catalog/product/4/8/48-32-4485-1.jpg?quality=100&amp;bg-color=255,255,255&amp;fit=bounds&amp;height=700&amp;width=700&amp;canvas=700:700&amp;dpr=1 1x")</f>
        <v/>
      </c>
      <c r="H98">
        <f>_xlfn.IMAGE("https://m.media-amazon.com/images/I/61bXL5DCvwL._AC_UL320_.jpg")</f>
        <v/>
      </c>
      <c r="K98" t="inlineStr">
        <is>
          <t>1.99</t>
        </is>
      </c>
      <c r="L98" t="n">
        <v>30.55</v>
      </c>
      <c r="M98" s="2" t="inlineStr">
        <is>
          <t>1435.18%</t>
        </is>
      </c>
      <c r="N98" t="n">
        <v>5</v>
      </c>
      <c r="O98" t="n">
        <v>1</v>
      </c>
      <c r="Q98" t="inlineStr">
        <is>
          <t>OutOfStock</t>
        </is>
      </c>
      <c r="R98" t="inlineStr">
        <is>
          <t>undefined</t>
        </is>
      </c>
      <c r="S98" t="inlineStr">
        <is>
          <t>48-32-4485</t>
        </is>
      </c>
    </row>
    <row r="99" ht="75" customHeight="1">
      <c r="A99" s="1">
        <f>HYPERLINK("https://www.toolnut.com/milwaukee-48-32-4486-shockwave-2-power-bit-torx-t27.html", "https://www.toolnut.com/milwaukee-48-32-4486-shockwave-2-power-bit-torx-t27.html")</f>
        <v/>
      </c>
      <c r="B99" s="1">
        <f>HYPERLINK("https://www.toolnut.com/milwaukee-48-32-4486-shockwave-2-power-bit-torx-t27.html", "https://www.toolnut.com/milwaukee-48-32-4486-shockwave-2-power-bit-torx-t27.html")</f>
        <v/>
      </c>
      <c r="C99" t="inlineStr">
        <is>
          <t>Milwaukee 48-32-4486 SHOCKWAVE 2" POWER BIT TORX T27</t>
        </is>
      </c>
      <c r="D99" t="inlineStr">
        <is>
          <t>Milwaukee SHOCKWAVE T25 Torx 6" Power Bit, 48-32-4846, Lot of 1</t>
        </is>
      </c>
      <c r="E99" s="1">
        <f>HYPERLINK("https://www.amazon.com/Milwaukee-SHOCKWAVE-Torx-Power-48-32-4846/dp/B007FUJY8W/ref=sr_1_5?keywords=Milwaukee+48-32-4486+SHOCKWAVE+2%22+POWER+BIT+TORX+T27&amp;qid=1695347435&amp;sr=8-5", "https://www.amazon.com/Milwaukee-SHOCKWAVE-Torx-Power-48-32-4846/dp/B007FUJY8W/ref=sr_1_5?keywords=Milwaukee+48-32-4486+SHOCKWAVE+2%22+POWER+BIT+TORX+T27&amp;qid=1695347435&amp;sr=8-5")</f>
        <v/>
      </c>
      <c r="F99" t="inlineStr">
        <is>
          <t>B007FUJY8W</t>
        </is>
      </c>
      <c r="G99">
        <f>_xlfn.IMAGE("https://www.toolnut.com/media/catalog/product/4/8/48-32-4486_1.jpg?quality=100&amp;bg-color=255,255,255&amp;fit=bounds&amp;height=700&amp;width=700&amp;canvas=700:700&amp;dpr=1 1x")</f>
        <v/>
      </c>
      <c r="H99">
        <f>_xlfn.IMAGE("https://m.media-amazon.com/images/I/61bXL5DCvwL._AC_UL320_.jpg")</f>
        <v/>
      </c>
      <c r="K99" t="inlineStr">
        <is>
          <t>2.99</t>
        </is>
      </c>
      <c r="L99" t="n">
        <v>30.55</v>
      </c>
      <c r="M99" s="2" t="inlineStr">
        <is>
          <t>921.74%</t>
        </is>
      </c>
      <c r="N99" t="n">
        <v>5</v>
      </c>
      <c r="O99" t="n">
        <v>1</v>
      </c>
      <c r="Q99" t="inlineStr">
        <is>
          <t>OutOfStock</t>
        </is>
      </c>
      <c r="R99" t="inlineStr">
        <is>
          <t>undefined</t>
        </is>
      </c>
      <c r="S99" t="inlineStr">
        <is>
          <t>48-32-4486</t>
        </is>
      </c>
    </row>
    <row r="100" ht="75" customHeight="1">
      <c r="A100" s="1">
        <f>HYPERLINK("https://www.toolnut.com/milwaukee-48-32-4487-t30-torx-shockwave-2-power-bit.html", "https://www.toolnut.com/milwaukee-48-32-4487-t30-torx-shockwave-2-power-bit.html")</f>
        <v/>
      </c>
      <c r="B100" s="1">
        <f>HYPERLINK("https://www.toolnut.com/milwaukee-48-32-4487-t30-torx-shockwave-2-power-bit.html", "https://www.toolnut.com/milwaukee-48-32-4487-t30-torx-shockwave-2-power-bit.html")</f>
        <v/>
      </c>
      <c r="C100" t="inlineStr">
        <is>
          <t>Milwaukee 48-32-4487 T30 Torx SHOCKWAVE 2" Power Bit</t>
        </is>
      </c>
      <c r="D100" t="inlineStr">
        <is>
          <t>Milwaukee SHOCKWAVE T25 Torx 6" Power Bit, 48-32-4846, Lot of 1</t>
        </is>
      </c>
      <c r="E100" s="1">
        <f>HYPERLINK("https://www.amazon.com/Milwaukee-SHOCKWAVE-Torx-Power-48-32-4846/dp/B007FUJY8W/ref=sr_1_7?keywords=Milwaukee+48-32-4487+T30+Torx+SHOCKWAVE+2%22+Power+Bit&amp;qid=1695347436&amp;sr=8-7", "https://www.amazon.com/Milwaukee-SHOCKWAVE-Torx-Power-48-32-4846/dp/B007FUJY8W/ref=sr_1_7?keywords=Milwaukee+48-32-4487+T30+Torx+SHOCKWAVE+2%22+Power+Bit&amp;qid=1695347436&amp;sr=8-7")</f>
        <v/>
      </c>
      <c r="F100" t="inlineStr">
        <is>
          <t>B007FUJY8W</t>
        </is>
      </c>
      <c r="G100">
        <f>_xlfn.IMAGE("https://www.toolnut.com/media/catalog/product/m/i/milwaukee-48-32-4487-1.jpg?quality=100&amp;bg-color=255,255,255&amp;fit=bounds&amp;height=700&amp;width=700&amp;canvas=700:700&amp;dpr=1 1x")</f>
        <v/>
      </c>
      <c r="H100">
        <f>_xlfn.IMAGE("https://m.media-amazon.com/images/I/61bXL5DCvwL._AC_UL320_.jpg")</f>
        <v/>
      </c>
      <c r="K100" t="inlineStr">
        <is>
          <t>1.99</t>
        </is>
      </c>
      <c r="L100" t="n">
        <v>30.55</v>
      </c>
      <c r="M100" s="2" t="inlineStr">
        <is>
          <t>1435.18%</t>
        </is>
      </c>
      <c r="N100" t="n">
        <v>5</v>
      </c>
      <c r="O100" t="n">
        <v>1</v>
      </c>
      <c r="Q100" t="inlineStr">
        <is>
          <t>OutOfStock</t>
        </is>
      </c>
      <c r="R100" t="inlineStr">
        <is>
          <t>undefined</t>
        </is>
      </c>
      <c r="S100" t="inlineStr">
        <is>
          <t>48-32-4487</t>
        </is>
      </c>
    </row>
    <row r="101" ht="75" customHeight="1">
      <c r="A101" s="1">
        <f>HYPERLINK("https://www.toolnut.com/milwaukee-48-32-4488-shockwave-2-inch-t40-impact-bit.html", "https://www.toolnut.com/milwaukee-48-32-4488-shockwave-2-inch-t40-impact-bit.html")</f>
        <v/>
      </c>
      <c r="B101" s="1">
        <f>HYPERLINK("https://www.toolnut.com/milwaukee-48-32-4488-shockwave-2-inch-t40-impact-bit.html", "https://www.toolnut.com/milwaukee-48-32-4488-shockwave-2-inch-t40-impact-bit.html")</f>
        <v/>
      </c>
      <c r="C101" t="inlineStr">
        <is>
          <t>Milwaukee 48-32-4488 Shockwave 2-Inch T40 Impact Bit</t>
        </is>
      </c>
      <c r="D101" t="inlineStr">
        <is>
          <t>48-32-4023 for Milwaukee SHOCKWAVE Impact Duty Steel Driver Bit Set (45-Piece)</t>
        </is>
      </c>
      <c r="E101" s="1">
        <f>HYPERLINK("https://www.amazon.com/48-32-4023-Milwaukee-SHOCKWAVE-Impact-45-Piece/dp/B0BVV894PD/ref=sr_1_10?keywords=Milwaukee+48-32-4488+Shockwave+2-Inch+T40+Impact+Bit&amp;qid=1695347374&amp;sr=8-10", "https://www.amazon.com/48-32-4023-Milwaukee-SHOCKWAVE-Impact-45-Piece/dp/B0BVV894PD/ref=sr_1_10?keywords=Milwaukee+48-32-4488+Shockwave+2-Inch+T40+Impact+Bit&amp;qid=1695347374&amp;sr=8-10")</f>
        <v/>
      </c>
      <c r="F101" t="inlineStr">
        <is>
          <t>B0BVV894PD</t>
        </is>
      </c>
      <c r="G101">
        <f>_xlfn.IMAGE("https://www.toolnut.com/media/catalog/product/4/8/48-32-4488_1.jpg?quality=100&amp;bg-color=255,255,255&amp;fit=bounds&amp;height=700&amp;width=700&amp;canvas=700:700&amp;dpr=1 1x")</f>
        <v/>
      </c>
      <c r="H101">
        <f>_xlfn.IMAGE("https://m.media-amazon.com/images/I/61fidTI8HvL._AC_UL320_.jpg")</f>
        <v/>
      </c>
      <c r="K101" t="inlineStr">
        <is>
          <t>1.79</t>
        </is>
      </c>
      <c r="L101" t="n">
        <v>36.99</v>
      </c>
      <c r="M101" s="2" t="inlineStr">
        <is>
          <t>1966.48%</t>
        </is>
      </c>
      <c r="N101" t="n">
        <v>5</v>
      </c>
      <c r="O101" t="n">
        <v>9</v>
      </c>
      <c r="Q101" t="inlineStr">
        <is>
          <t>InStock</t>
        </is>
      </c>
      <c r="R101" t="inlineStr">
        <is>
          <t>undefined</t>
        </is>
      </c>
      <c r="S101" t="inlineStr">
        <is>
          <t>48-32-4488</t>
        </is>
      </c>
    </row>
    <row r="102" ht="75" customHeight="1">
      <c r="A102" s="1">
        <f>HYPERLINK("https://www.toolnut.com/milwaukee-48-32-4488-shockwave-2-inch-t40-impact-bit.html", "https://www.toolnut.com/milwaukee-48-32-4488-shockwave-2-inch-t40-impact-bit.html")</f>
        <v/>
      </c>
      <c r="B102" s="1">
        <f>HYPERLINK("https://www.toolnut.com/milwaukee-48-32-4488-shockwave-2-inch-t40-impact-bit.html", "https://www.toolnut.com/milwaukee-48-32-4488-shockwave-2-inch-t40-impact-bit.html")</f>
        <v/>
      </c>
      <c r="C102" t="inlineStr">
        <is>
          <t>Milwaukee 48-32-4488 Shockwave 2-Inch T40 Impact Bit</t>
        </is>
      </c>
      <c r="D102" t="inlineStr">
        <is>
          <t>Milwaukee Electric Tool 48-32-4004 Shockwave Heavy Duty Impact Driver Bit Set, 32 Pc</t>
        </is>
      </c>
      <c r="E102" s="1">
        <f>HYPERLINK("https://www.amazon.com/Milwaukee-48-32-4004-Shockwave-Driver-32-Piece/dp/B00UB3AE3O/ref=sr_1_2?keywords=Milwaukee+48-32-4488+Shockwave+2-Inch+T40+Impact+Bit&amp;qid=1695347374&amp;sr=8-2", "https://www.amazon.com/Milwaukee-48-32-4004-Shockwave-Driver-32-Piece/dp/B00UB3AE3O/ref=sr_1_2?keywords=Milwaukee+48-32-4488+Shockwave+2-Inch+T40+Impact+Bit&amp;qid=1695347374&amp;sr=8-2")</f>
        <v/>
      </c>
      <c r="F102" t="inlineStr">
        <is>
          <t>B00UB3AE3O</t>
        </is>
      </c>
      <c r="G102">
        <f>_xlfn.IMAGE("https://www.toolnut.com/media/catalog/product/4/8/48-32-4488_1.jpg?quality=100&amp;bg-color=255,255,255&amp;fit=bounds&amp;height=700&amp;width=700&amp;canvas=700:700&amp;dpr=1 1x")</f>
        <v/>
      </c>
      <c r="H102">
        <f>_xlfn.IMAGE("https://m.media-amazon.com/images/I/61Rui9p6xrL._AC_UL320_.jpg")</f>
        <v/>
      </c>
      <c r="K102" t="inlineStr">
        <is>
          <t>1.79</t>
        </is>
      </c>
      <c r="L102" t="n">
        <v>21.99</v>
      </c>
      <c r="M102" s="2" t="inlineStr">
        <is>
          <t>1128.49%</t>
        </is>
      </c>
      <c r="N102" t="n">
        <v>4.7</v>
      </c>
      <c r="O102" t="n">
        <v>104</v>
      </c>
      <c r="Q102" t="inlineStr">
        <is>
          <t>InStock</t>
        </is>
      </c>
      <c r="R102" t="inlineStr">
        <is>
          <t>undefined</t>
        </is>
      </c>
      <c r="S102" t="inlineStr">
        <is>
          <t>48-32-4488</t>
        </is>
      </c>
    </row>
    <row r="103" ht="75" customHeight="1">
      <c r="A103" s="1">
        <f>HYPERLINK("https://www.toolnut.com/milwaukee-48-32-4685-t25-torx-shockwave-2-power-bit.html", "https://www.toolnut.com/milwaukee-48-32-4685-t25-torx-shockwave-2-power-bit.html")</f>
        <v/>
      </c>
      <c r="B103" s="1">
        <f>HYPERLINK("https://www.toolnut.com/milwaukee-48-32-4685-t25-torx-shockwave-2-power-bit.html", "https://www.toolnut.com/milwaukee-48-32-4685-t25-torx-shockwave-2-power-bit.html")</f>
        <v/>
      </c>
      <c r="C103" t="inlineStr">
        <is>
          <t>Milwaukee 48-32-4685 T25 Torx SHOCKWAVE 2" Power Bit</t>
        </is>
      </c>
      <c r="D103" t="inlineStr">
        <is>
          <t>Milwaukee SHOCKWAVE T25 Torx 6" Power Bit, 48-32-4846, Lot of 1</t>
        </is>
      </c>
      <c r="E103" s="1">
        <f>HYPERLINK("https://www.amazon.com/Milwaukee-SHOCKWAVE-Torx-Power-48-32-4846/dp/B007FUJY8W/ref=sr_1_5?keywords=Milwaukee+48-32-4685+T25+Torx+SHOCKWAVE+2%22+Power+Bit&amp;qid=1695347431&amp;sr=8-5", "https://www.amazon.com/Milwaukee-SHOCKWAVE-Torx-Power-48-32-4846/dp/B007FUJY8W/ref=sr_1_5?keywords=Milwaukee+48-32-4685+T25+Torx+SHOCKWAVE+2%22+Power+Bit&amp;qid=1695347431&amp;sr=8-5")</f>
        <v/>
      </c>
      <c r="F103" t="inlineStr">
        <is>
          <t>B007FUJY8W</t>
        </is>
      </c>
      <c r="G103">
        <f>_xlfn.IMAGE("https://www.toolnut.com/media/catalog/product/4/8/48-32-4685-1.jpg?quality=100&amp;bg-color=255,255,255&amp;fit=bounds&amp;height=700&amp;width=700&amp;canvas=700:700&amp;dpr=1 1x")</f>
        <v/>
      </c>
      <c r="H103">
        <f>_xlfn.IMAGE("https://m.media-amazon.com/images/I/61bXL5DCvwL._AC_UL320_.jpg")</f>
        <v/>
      </c>
      <c r="K103" t="inlineStr">
        <is>
          <t>5.99</t>
        </is>
      </c>
      <c r="L103" t="n">
        <v>30.55</v>
      </c>
      <c r="M103" s="2" t="inlineStr">
        <is>
          <t>410.02%</t>
        </is>
      </c>
      <c r="N103" t="n">
        <v>5</v>
      </c>
      <c r="O103" t="n">
        <v>1</v>
      </c>
      <c r="Q103" t="inlineStr">
        <is>
          <t>InStock</t>
        </is>
      </c>
      <c r="R103" t="inlineStr">
        <is>
          <t>undefined</t>
        </is>
      </c>
      <c r="S103" t="inlineStr">
        <is>
          <t>48-32-4685</t>
        </is>
      </c>
    </row>
    <row r="104" ht="75" customHeight="1">
      <c r="A104" s="1">
        <f>HYPERLINK("https://www.toolnut.com/milwaukee-48-32-4717-shockwave-3-16-slotted-bit.html", "https://www.toolnut.com/milwaukee-48-32-4717-shockwave-3-16-slotted-bit.html")</f>
        <v/>
      </c>
      <c r="B104" s="1">
        <f>HYPERLINK("https://www.toolnut.com/milwaukee-48-32-4717-shockwave-3-16-slotted-bit.html", "https://www.toolnut.com/milwaukee-48-32-4717-shockwave-3-16-slotted-bit.html")</f>
        <v/>
      </c>
      <c r="C104" t="inlineStr">
        <is>
          <t>Milwaukee 48-32-4717 Shockwave 3/16" Slotted Bit -</t>
        </is>
      </c>
      <c r="D104" t="inlineStr">
        <is>
          <t>MILWAUKEE ELECTRIC TOOL 48-32-4028 Shockwave ID Bit Set 55P</t>
        </is>
      </c>
      <c r="E104" s="1">
        <f>HYPERLINK("https://www.amazon.com/MILWAUKEE-ELECTRIC-TOOL-48-32-4028-Shockwave/dp/B077DKW4YX/ref=sr_1_6?keywords=Milwaukee+48-32-4717+Shockwave+3%2F16%22+Slotted+Bit+-&amp;qid=1695347432&amp;sr=8-6", "https://www.amazon.com/MILWAUKEE-ELECTRIC-TOOL-48-32-4028-Shockwave/dp/B077DKW4YX/ref=sr_1_6?keywords=Milwaukee+48-32-4717+Shockwave+3%2F16%22+Slotted+Bit+-&amp;qid=1695347432&amp;sr=8-6")</f>
        <v/>
      </c>
      <c r="F104" t="inlineStr">
        <is>
          <t>B077DKW4YX</t>
        </is>
      </c>
      <c r="G104">
        <f>_xlfn.IMAGE("https://www.toolnut.com/media/catalog/product/m/i/milwaukee-48-32-4717-1.jpg?quality=100&amp;bg-color=255,255,255&amp;fit=bounds&amp;height=700&amp;width=700&amp;canvas=700:700&amp;dpr=1 1x")</f>
        <v/>
      </c>
      <c r="H104">
        <f>_xlfn.IMAGE("https://m.media-amazon.com/images/I/71tr5UI053L._AC_UL320_.jpg")</f>
        <v/>
      </c>
      <c r="K104" t="inlineStr">
        <is>
          <t>0.99</t>
        </is>
      </c>
      <c r="L104" t="n">
        <v>47</v>
      </c>
      <c r="M104" s="2" t="inlineStr">
        <is>
          <t>4647.47%</t>
        </is>
      </c>
      <c r="N104" t="n">
        <v>4.6</v>
      </c>
      <c r="O104" t="n">
        <v>108</v>
      </c>
      <c r="Q104" t="inlineStr">
        <is>
          <t>OutOfStock</t>
        </is>
      </c>
      <c r="R104" t="inlineStr">
        <is>
          <t>undefined</t>
        </is>
      </c>
      <c r="S104" t="inlineStr">
        <is>
          <t>48-32-4717</t>
        </is>
      </c>
    </row>
    <row r="105" ht="75" customHeight="1">
      <c r="A105" s="1">
        <f>HYPERLINK("https://www.toolnut.com/milwaukee-48-32-4717-shockwave-3-16-slotted-bit.html", "https://www.toolnut.com/milwaukee-48-32-4717-shockwave-3-16-slotted-bit.html")</f>
        <v/>
      </c>
      <c r="B105" s="1">
        <f>HYPERLINK("https://www.toolnut.com/milwaukee-48-32-4717-shockwave-3-16-slotted-bit.html", "https://www.toolnut.com/milwaukee-48-32-4717-shockwave-3-16-slotted-bit.html")</f>
        <v/>
      </c>
      <c r="C105" t="inlineStr">
        <is>
          <t>Milwaukee 48-32-4717 Shockwave 3/16" Slotted Bit -</t>
        </is>
      </c>
      <c r="D105" t="inlineStr">
        <is>
          <t>Milwaukee Electric Tool 48-32-4006 Shockwave Bit Set (40 Piece)</t>
        </is>
      </c>
      <c r="E105" s="1">
        <f>HYPERLINK("https://www.amazon.com/Milwaukee-Electric-48-32-4006-Shockwave-Piece/dp/B082T52VK4/ref=sr_1_7?keywords=Milwaukee+48-32-4717+Shockwave+3%2F16%22+Slotted+Bit+-&amp;qid=1695347432&amp;sr=8-7", "https://www.amazon.com/Milwaukee-Electric-48-32-4006-Shockwave-Piece/dp/B082T52VK4/ref=sr_1_7?keywords=Milwaukee+48-32-4717+Shockwave+3%2F16%22+Slotted+Bit+-&amp;qid=1695347432&amp;sr=8-7")</f>
        <v/>
      </c>
      <c r="F105" t="inlineStr">
        <is>
          <t>B082T52VK4</t>
        </is>
      </c>
      <c r="G105">
        <f>_xlfn.IMAGE("https://www.toolnut.com/media/catalog/product/m/i/milwaukee-48-32-4717-1.jpg?quality=100&amp;bg-color=255,255,255&amp;fit=bounds&amp;height=700&amp;width=700&amp;canvas=700:700&amp;dpr=1 1x")</f>
        <v/>
      </c>
      <c r="H105">
        <f>_xlfn.IMAGE("https://m.media-amazon.com/images/I/81aFioipBWL._AC_UL320_.jpg")</f>
        <v/>
      </c>
      <c r="K105" t="inlineStr">
        <is>
          <t>0.99</t>
        </is>
      </c>
      <c r="L105" t="n">
        <v>39.86</v>
      </c>
      <c r="M105" s="2" t="inlineStr">
        <is>
          <t>3926.26%</t>
        </is>
      </c>
      <c r="N105" t="n">
        <v>4.2</v>
      </c>
      <c r="O105" t="n">
        <v>6</v>
      </c>
      <c r="Q105" t="inlineStr">
        <is>
          <t>OutOfStock</t>
        </is>
      </c>
      <c r="R105" t="inlineStr">
        <is>
          <t>undefined</t>
        </is>
      </c>
      <c r="S105" t="inlineStr">
        <is>
          <t>48-32-4717</t>
        </is>
      </c>
    </row>
    <row r="106" ht="75" customHeight="1">
      <c r="A106" s="1">
        <f>HYPERLINK("https://www.toolnut.com/milwaukee-48-32-4717-shockwave-3-16-slotted-bit.html", "https://www.toolnut.com/milwaukee-48-32-4717-shockwave-3-16-slotted-bit.html")</f>
        <v/>
      </c>
      <c r="B106" s="1">
        <f>HYPERLINK("https://www.toolnut.com/milwaukee-48-32-4717-shockwave-3-16-slotted-bit.html", "https://www.toolnut.com/milwaukee-48-32-4717-shockwave-3-16-slotted-bit.html")</f>
        <v/>
      </c>
      <c r="C106" t="inlineStr">
        <is>
          <t>Milwaukee 48-32-4717 Shockwave 3/16" Slotted Bit -</t>
        </is>
      </c>
      <c r="D106" t="inlineStr">
        <is>
          <t>Milwaukee Electric Tool 48-32-4005 Shockwave Bit Set (36 Piece)</t>
        </is>
      </c>
      <c r="E106" s="1">
        <f>HYPERLINK("https://www.amazon.com/Milwaukee-Electric-Tool-48-32-4005-Shockwave/dp/B00V3I0K9E/ref=sr_1_4?keywords=Milwaukee+48-32-4717+Shockwave+3%2F16%22+Slotted+Bit+-&amp;qid=1695347432&amp;sr=8-4", "https://www.amazon.com/Milwaukee-Electric-Tool-48-32-4005-Shockwave/dp/B00V3I0K9E/ref=sr_1_4?keywords=Milwaukee+48-32-4717+Shockwave+3%2F16%22+Slotted+Bit+-&amp;qid=1695347432&amp;sr=8-4")</f>
        <v/>
      </c>
      <c r="F106" t="inlineStr">
        <is>
          <t>B00V3I0K9E</t>
        </is>
      </c>
      <c r="G106">
        <f>_xlfn.IMAGE("https://www.toolnut.com/media/catalog/product/m/i/milwaukee-48-32-4717-1.jpg?quality=100&amp;bg-color=255,255,255&amp;fit=bounds&amp;height=700&amp;width=700&amp;canvas=700:700&amp;dpr=1 1x")</f>
        <v/>
      </c>
      <c r="H106">
        <f>_xlfn.IMAGE("https://m.media-amazon.com/images/I/719OAVFsm-L._AC_UL320_.jpg")</f>
        <v/>
      </c>
      <c r="K106" t="inlineStr">
        <is>
          <t>0.99</t>
        </is>
      </c>
      <c r="L106" t="n">
        <v>24.99</v>
      </c>
      <c r="M106" s="2" t="inlineStr">
        <is>
          <t>2424.24%</t>
        </is>
      </c>
      <c r="N106" t="n">
        <v>4.3</v>
      </c>
      <c r="O106" t="n">
        <v>31</v>
      </c>
      <c r="Q106" t="inlineStr">
        <is>
          <t>OutOfStock</t>
        </is>
      </c>
      <c r="R106" t="inlineStr">
        <is>
          <t>undefined</t>
        </is>
      </c>
      <c r="S106" t="inlineStr">
        <is>
          <t>48-32-4717</t>
        </is>
      </c>
    </row>
    <row r="107" ht="75" customHeight="1">
      <c r="A107" s="1">
        <f>HYPERLINK("https://www.toolnut.com/milwaukee-48-32-4717-shockwave-3-16-slotted-bit.html", "https://www.toolnut.com/milwaukee-48-32-4717-shockwave-3-16-slotted-bit.html")</f>
        <v/>
      </c>
      <c r="B107" s="1">
        <f>HYPERLINK("https://www.toolnut.com/milwaukee-48-32-4717-shockwave-3-16-slotted-bit.html", "https://www.toolnut.com/milwaukee-48-32-4717-shockwave-3-16-slotted-bit.html")</f>
        <v/>
      </c>
      <c r="C107" t="inlineStr">
        <is>
          <t>Milwaukee 48-32-4717 Shockwave 3/16" Slotted Bit -</t>
        </is>
      </c>
      <c r="D107" t="inlineStr">
        <is>
          <t>Milwaukee Electric Tool 48-32-4004 Shockwave Heavy Duty Impact Driver Bit Set, 32 Pc</t>
        </is>
      </c>
      <c r="E107" s="1">
        <f>HYPERLINK("https://www.amazon.com/Milwaukee-48-32-4004-Shockwave-Driver-32-Piece/dp/B00UB3AE3O/ref=sr_1_3?keywords=Milwaukee+48-32-4717+Shockwave+3%2F16%22+Slotted+Bit+-&amp;qid=1695347432&amp;sr=8-3", "https://www.amazon.com/Milwaukee-48-32-4004-Shockwave-Driver-32-Piece/dp/B00UB3AE3O/ref=sr_1_3?keywords=Milwaukee+48-32-4717+Shockwave+3%2F16%22+Slotted+Bit+-&amp;qid=1695347432&amp;sr=8-3")</f>
        <v/>
      </c>
      <c r="F107" t="inlineStr">
        <is>
          <t>B00UB3AE3O</t>
        </is>
      </c>
      <c r="G107">
        <f>_xlfn.IMAGE("https://www.toolnut.com/media/catalog/product/m/i/milwaukee-48-32-4717-1.jpg?quality=100&amp;bg-color=255,255,255&amp;fit=bounds&amp;height=700&amp;width=700&amp;canvas=700:700&amp;dpr=1 1x")</f>
        <v/>
      </c>
      <c r="H107">
        <f>_xlfn.IMAGE("https://m.media-amazon.com/images/I/61Rui9p6xrL._AC_UL320_.jpg")</f>
        <v/>
      </c>
      <c r="K107" t="inlineStr">
        <is>
          <t>0.99</t>
        </is>
      </c>
      <c r="L107" t="n">
        <v>21.99</v>
      </c>
      <c r="M107" s="2" t="inlineStr">
        <is>
          <t>2121.21%</t>
        </is>
      </c>
      <c r="N107" t="n">
        <v>4.7</v>
      </c>
      <c r="O107" t="n">
        <v>104</v>
      </c>
      <c r="Q107" t="inlineStr">
        <is>
          <t>OutOfStock</t>
        </is>
      </c>
      <c r="R107" t="inlineStr">
        <is>
          <t>undefined</t>
        </is>
      </c>
      <c r="S107" t="inlineStr">
        <is>
          <t>48-32-4717</t>
        </is>
      </c>
    </row>
    <row r="108" ht="75" customHeight="1">
      <c r="A108" s="1">
        <f>HYPERLINK("https://www.toolnut.com/milwaukee-48-32-4718-shockwave-insert-bit-slotted-1-4.html", "https://www.toolnut.com/milwaukee-48-32-4718-shockwave-insert-bit-slotted-1-4.html")</f>
        <v/>
      </c>
      <c r="B108" s="1">
        <f>HYPERLINK("https://www.toolnut.com/milwaukee-48-32-4718-shockwave-insert-bit-slotted-1-4.html", "https://www.toolnut.com/milwaukee-48-32-4718-shockwave-insert-bit-slotted-1-4.html")</f>
        <v/>
      </c>
      <c r="C108" t="inlineStr">
        <is>
          <t>Milwaukee 48-32-4718 SHOCKWAVE INSERT BIT SLOTTED 1/4"</t>
        </is>
      </c>
      <c r="D108" t="inlineStr">
        <is>
          <t>MILWAUKEE ELECTRIC TOOL 48-32-4717 Shockwave Insert Bit Slotted 3/16" Bulk (25)</t>
        </is>
      </c>
      <c r="E108" s="1">
        <f>HYPERLINK("https://www.amazon.com/MILWAUKEE-ELECTRIC-48-32-4717-Shockwave-Slotted/dp/B007FUIEPG/ref=sr_1_2?keywords=Milwaukee+48-32-4718+SHOCKWAVE+INSERT+BIT+SLOTTED+1%2F4%22&amp;qid=1695347428&amp;sr=8-2", "https://www.amazon.com/MILWAUKEE-ELECTRIC-48-32-4717-Shockwave-Slotted/dp/B007FUIEPG/ref=sr_1_2?keywords=Milwaukee+48-32-4718+SHOCKWAVE+INSERT+BIT+SLOTTED+1%2F4%22&amp;qid=1695347428&amp;sr=8-2")</f>
        <v/>
      </c>
      <c r="F108" t="inlineStr">
        <is>
          <t>B007FUIEPG</t>
        </is>
      </c>
      <c r="G108">
        <f>_xlfn.IMAGE("https://www.toolnut.com/media/catalog/product/m/i/milwaukee-48-32-4718-1.jpg?quality=100&amp;bg-color=255,255,255&amp;fit=bounds&amp;height=700&amp;width=700&amp;canvas=700:700&amp;dpr=1 1x")</f>
        <v/>
      </c>
      <c r="H108">
        <f>_xlfn.IMAGE("https://m.media-amazon.com/images/I/41W7snr7MoL._AC_UL320_.jpg")</f>
        <v/>
      </c>
      <c r="K108" t="inlineStr">
        <is>
          <t>0.99</t>
        </is>
      </c>
      <c r="L108" t="n">
        <v>26.49</v>
      </c>
      <c r="M108" s="2" t="inlineStr">
        <is>
          <t>2575.76%</t>
        </is>
      </c>
      <c r="N108" t="n">
        <v>5</v>
      </c>
      <c r="O108" t="n">
        <v>1</v>
      </c>
      <c r="Q108" t="inlineStr">
        <is>
          <t>OutOfStock</t>
        </is>
      </c>
      <c r="R108" t="inlineStr">
        <is>
          <t>undefined</t>
        </is>
      </c>
      <c r="S108" t="inlineStr">
        <is>
          <t>48-32-4718</t>
        </is>
      </c>
    </row>
    <row r="109" ht="75" customHeight="1">
      <c r="A109" s="1">
        <f>HYPERLINK("https://www.toolnut.com/milwaukee-48-32-4757-shockwave-2-power-bit-slotted-3-16-bulk-25.html", "https://www.toolnut.com/milwaukee-48-32-4757-shockwave-2-power-bit-slotted-3-16-bulk-25.html")</f>
        <v/>
      </c>
      <c r="B109" s="1">
        <f>HYPERLINK("https://www.toolnut.com/milwaukee-48-32-4757-shockwave-2-power-bit-slotted-3-16-bulk-25.html", "https://www.toolnut.com/milwaukee-48-32-4757-shockwave-2-power-bit-slotted-3-16-bulk-25.html")</f>
        <v/>
      </c>
      <c r="C109" t="inlineStr">
        <is>
          <t>Milwaukee 48-32-4757 SHOCKWAVE 2" POWER BIT SLOTTED 3/16" - BULK (25)</t>
        </is>
      </c>
      <c r="D109" t="inlineStr">
        <is>
          <t>MILWAUKEE ELECTRIC TOOL 48-32-4717 Shockwave Insert Bit Slotted 3/16" Bulk (25)</t>
        </is>
      </c>
      <c r="E109" s="1">
        <f>HYPERLINK("https://www.amazon.com/MILWAUKEE-ELECTRIC-48-32-4717-Shockwave-Slotted/dp/B007FUIEPG/ref=sr_1_1?keywords=Milwaukee+48-32-4757+SHOCKWAVE+2%22+POWER+BIT+SLOTTED+3%2F16%22+-+BULK+%2825%29&amp;qid=1695347424&amp;sr=8-1", "https://www.amazon.com/MILWAUKEE-ELECTRIC-48-32-4717-Shockwave-Slotted/dp/B007FUIEPG/ref=sr_1_1?keywords=Milwaukee+48-32-4757+SHOCKWAVE+2%22+POWER+BIT+SLOTTED+3%2F16%22+-+BULK+%2825%29&amp;qid=1695347424&amp;sr=8-1")</f>
        <v/>
      </c>
      <c r="F109" t="inlineStr">
        <is>
          <t>B007FUIEPG</t>
        </is>
      </c>
      <c r="G109">
        <f>_xlfn.IMAGE("https://www.toolnut.com/media/catalog/product/m/i/milwaukee-48-32-4757-1.jpg?quality=100&amp;bg-color=255,255,255&amp;fit=bounds&amp;height=700&amp;width=700&amp;canvas=700:700&amp;dpr=1 1x")</f>
        <v/>
      </c>
      <c r="H109">
        <f>_xlfn.IMAGE("https://m.media-amazon.com/images/I/41W7snr7MoL._AC_UL320_.jpg")</f>
        <v/>
      </c>
      <c r="K109" t="inlineStr">
        <is>
          <t>1.99</t>
        </is>
      </c>
      <c r="L109" t="n">
        <v>26.49</v>
      </c>
      <c r="M109" s="2" t="inlineStr">
        <is>
          <t>1231.16%</t>
        </is>
      </c>
      <c r="N109" t="n">
        <v>5</v>
      </c>
      <c r="O109" t="n">
        <v>1</v>
      </c>
      <c r="Q109" t="inlineStr">
        <is>
          <t>OutOfStock</t>
        </is>
      </c>
      <c r="R109" t="inlineStr">
        <is>
          <t>undefined</t>
        </is>
      </c>
      <c r="S109" t="inlineStr">
        <is>
          <t>48-32-4757</t>
        </is>
      </c>
    </row>
    <row r="110" ht="75" customHeight="1">
      <c r="A110" s="1">
        <f>HYPERLINK("https://www.toolnut.com/milwaukee-48-32-4783-shockwave-2-power-bit-torx.html", "https://www.toolnut.com/milwaukee-48-32-4783-shockwave-2-power-bit-torx.html")</f>
        <v/>
      </c>
      <c r="B110" s="1">
        <f>HYPERLINK("https://www.toolnut.com/milwaukee-48-32-4783-shockwave-2-power-bit-torx.html", "https://www.toolnut.com/milwaukee-48-32-4783-shockwave-2-power-bit-torx.html")</f>
        <v/>
      </c>
      <c r="C110" t="inlineStr">
        <is>
          <t>Milwaukee 48-32-4783 SHOCKWAVE 2" Power Bit Torx</t>
        </is>
      </c>
      <c r="D110" t="inlineStr">
        <is>
          <t>Milwaukee SHOCKWAVE T25 Torx 6" Power Bit, 48-32-4846, Lot of 1</t>
        </is>
      </c>
      <c r="E110" s="1">
        <f>HYPERLINK("https://www.amazon.com/Milwaukee-SHOCKWAVE-Torx-Power-48-32-4846/dp/B007FUJY8W/ref=sr_1_8?keywords=Milwaukee+48-32-4783+SHOCKWAVE+2%22+Power+Bit+Torx&amp;qid=1695347425&amp;sr=8-8", "https://www.amazon.com/Milwaukee-SHOCKWAVE-Torx-Power-48-32-4846/dp/B007FUJY8W/ref=sr_1_8?keywords=Milwaukee+48-32-4783+SHOCKWAVE+2%22+Power+Bit+Torx&amp;qid=1695347425&amp;sr=8-8")</f>
        <v/>
      </c>
      <c r="F110" t="inlineStr">
        <is>
          <t>B007FUJY8W</t>
        </is>
      </c>
      <c r="G110">
        <f>_xlfn.IMAGE("https://www.toolnut.com/media/catalog/product/m/i/milwaukee-48-32-4783-1.jpg?quality=100&amp;bg-color=255,255,255&amp;fit=bounds&amp;height=700&amp;width=700&amp;canvas=700:700&amp;dpr=1 1x")</f>
        <v/>
      </c>
      <c r="H110">
        <f>_xlfn.IMAGE("https://m.media-amazon.com/images/I/61bXL5DCvwL._AC_UL320_.jpg")</f>
        <v/>
      </c>
      <c r="K110" t="inlineStr">
        <is>
          <t>1.99</t>
        </is>
      </c>
      <c r="L110" t="n">
        <v>30.55</v>
      </c>
      <c r="M110" s="2" t="inlineStr">
        <is>
          <t>1435.18%</t>
        </is>
      </c>
      <c r="N110" t="n">
        <v>5</v>
      </c>
      <c r="O110" t="n">
        <v>1</v>
      </c>
      <c r="Q110" t="inlineStr">
        <is>
          <t>OutOfStock</t>
        </is>
      </c>
      <c r="R110" t="inlineStr">
        <is>
          <t>undefined</t>
        </is>
      </c>
      <c r="S110" t="inlineStr">
        <is>
          <t>48-32-4783</t>
        </is>
      </c>
    </row>
    <row r="111" ht="75" customHeight="1">
      <c r="A111" s="1">
        <f>HYPERLINK("https://www.toolnut.com/milwaukee-48-32-4785-shockwave-torx-t25-x-2-dri.html", "https://www.toolnut.com/milwaukee-48-32-4785-shockwave-torx-t25-x-2-dri.html")</f>
        <v/>
      </c>
      <c r="B111" s="1">
        <f>HYPERLINK("https://www.toolnut.com/milwaukee-48-32-4785-shockwave-torx-t25-x-2-dri.html", "https://www.toolnut.com/milwaukee-48-32-4785-shockwave-torx-t25-x-2-dri.html")</f>
        <v/>
      </c>
      <c r="C111" t="inlineStr">
        <is>
          <t>Milwaukee 48-32-4785 Shockwave Torx T25 x 2" - Dri</t>
        </is>
      </c>
      <c r="D111" t="inlineStr">
        <is>
          <t>Milwaukee SHOCKWAVE T25 Torx 6" Power Bit, 48-32-4846, Lot of 1</t>
        </is>
      </c>
      <c r="E111" s="1">
        <f>HYPERLINK("https://www.amazon.com/Milwaukee-SHOCKWAVE-Torx-Power-48-32-4846/dp/B007FUJY8W/ref=sr_1_7?keywords=Milwaukee+48-32-4785+Shockwave+Torx+T25+x+2%22+-+Dri&amp;qid=1695347421&amp;sr=8-7", "https://www.amazon.com/Milwaukee-SHOCKWAVE-Torx-Power-48-32-4846/dp/B007FUJY8W/ref=sr_1_7?keywords=Milwaukee+48-32-4785+Shockwave+Torx+T25+x+2%22+-+Dri&amp;qid=1695347421&amp;sr=8-7")</f>
        <v/>
      </c>
      <c r="F111" t="inlineStr">
        <is>
          <t>B007FUJY8W</t>
        </is>
      </c>
      <c r="G111">
        <f>_xlfn.IMAGE("https://www.toolnut.com/media/catalog/product/m/i/milwaukee-48-32-4785-1.jpg?quality=100&amp;bg-color=255,255,255&amp;fit=bounds&amp;height=700&amp;width=700&amp;canvas=700:700&amp;dpr=1 1x")</f>
        <v/>
      </c>
      <c r="H111">
        <f>_xlfn.IMAGE("https://m.media-amazon.com/images/I/61bXL5DCvwL._AC_UL320_.jpg")</f>
        <v/>
      </c>
      <c r="K111" t="inlineStr">
        <is>
          <t>1.99</t>
        </is>
      </c>
      <c r="L111" t="n">
        <v>30.55</v>
      </c>
      <c r="M111" s="2" t="inlineStr">
        <is>
          <t>1435.18%</t>
        </is>
      </c>
      <c r="N111" t="n">
        <v>5</v>
      </c>
      <c r="O111" t="n">
        <v>1</v>
      </c>
      <c r="Q111" t="inlineStr">
        <is>
          <t>OutOfStock</t>
        </is>
      </c>
      <c r="R111" t="inlineStr">
        <is>
          <t>undefined</t>
        </is>
      </c>
      <c r="S111" t="inlineStr">
        <is>
          <t>48-32-4785</t>
        </is>
      </c>
    </row>
    <row r="112" ht="75" customHeight="1">
      <c r="A112" s="1">
        <f>HYPERLINK("https://www.toolnut.com/milwaukee-48-32-4786-shockwave-2-power-bit-torx.html", "https://www.toolnut.com/milwaukee-48-32-4786-shockwave-2-power-bit-torx.html")</f>
        <v/>
      </c>
      <c r="B112" s="1">
        <f>HYPERLINK("https://www.toolnut.com/milwaukee-48-32-4786-shockwave-2-power-bit-torx.html", "https://www.toolnut.com/milwaukee-48-32-4786-shockwave-2-power-bit-torx.html")</f>
        <v/>
      </c>
      <c r="C112" t="inlineStr">
        <is>
          <t>Milwaukee 48-32-4786 SHOCKWAVE 2" Power Bit TORX</t>
        </is>
      </c>
      <c r="D112" t="inlineStr">
        <is>
          <t>Milwaukee SHOCKWAVE T25 Torx 6" Power Bit, 48-32-4846, Lot of 1</t>
        </is>
      </c>
      <c r="E112" s="1">
        <f>HYPERLINK("https://www.amazon.com/Milwaukee-SHOCKWAVE-Torx-Power-48-32-4846/dp/B007FUJY8W/ref=sr_1_8?keywords=Milwaukee+48-32-4786+SHOCKWAVE+2%22+Power+Bit+TORX&amp;qid=1695347434&amp;sr=8-8", "https://www.amazon.com/Milwaukee-SHOCKWAVE-Torx-Power-48-32-4846/dp/B007FUJY8W/ref=sr_1_8?keywords=Milwaukee+48-32-4786+SHOCKWAVE+2%22+Power+Bit+TORX&amp;qid=1695347434&amp;sr=8-8")</f>
        <v/>
      </c>
      <c r="F112" t="inlineStr">
        <is>
          <t>B007FUJY8W</t>
        </is>
      </c>
      <c r="G112">
        <f>_xlfn.IMAGE("https://www.toolnut.com/media/catalog/product/m/i/milwaukee-48-32-4786-1.jpg?quality=100&amp;bg-color=255,255,255&amp;fit=bounds&amp;height=700&amp;width=700&amp;canvas=700:700&amp;dpr=1 1x")</f>
        <v/>
      </c>
      <c r="H112">
        <f>_xlfn.IMAGE("https://m.media-amazon.com/images/I/61bXL5DCvwL._AC_UL320_.jpg")</f>
        <v/>
      </c>
      <c r="K112" t="inlineStr">
        <is>
          <t>1.3</t>
        </is>
      </c>
      <c r="L112" t="n">
        <v>30.55</v>
      </c>
      <c r="M112" s="2" t="inlineStr">
        <is>
          <t>2250.00%</t>
        </is>
      </c>
      <c r="N112" t="n">
        <v>5</v>
      </c>
      <c r="O112" t="n">
        <v>1</v>
      </c>
      <c r="Q112" t="inlineStr">
        <is>
          <t>OutOfStock</t>
        </is>
      </c>
      <c r="R112" t="inlineStr">
        <is>
          <t>undefined</t>
        </is>
      </c>
      <c r="S112" t="inlineStr">
        <is>
          <t>48-32-4786</t>
        </is>
      </c>
    </row>
    <row r="113" ht="75" customHeight="1">
      <c r="A113" s="1">
        <f>HYPERLINK("https://www.toolnut.com/milwaukee-48-32-4919-shockwave-2-power-bit-slotted-3-16-3-pack.html", "https://www.toolnut.com/milwaukee-48-32-4919-shockwave-2-power-bit-slotted-3-16-3-pack.html")</f>
        <v/>
      </c>
      <c r="B113" s="1">
        <f>HYPERLINK("https://www.toolnut.com/milwaukee-48-32-4919-shockwave-2-power-bit-slotted-3-16-3-pack.html", "https://www.toolnut.com/milwaukee-48-32-4919-shockwave-2-power-bit-slotted-3-16-3-pack.html")</f>
        <v/>
      </c>
      <c r="C113" t="inlineStr">
        <is>
          <t>Milwaukee 48-32-4919 SHOCKWAVE 2" POWER BIT SLOTTED 3/16"</t>
        </is>
      </c>
      <c r="D113" t="inlineStr">
        <is>
          <t>MILWAUKEE ELECTRIC TOOL 48-32-4717 Shockwave Insert Bit Slotted 3/16" Bulk (25)</t>
        </is>
      </c>
      <c r="E113" s="1">
        <f>HYPERLINK("https://www.amazon.com/MILWAUKEE-ELECTRIC-48-32-4717-Shockwave-Slotted/dp/B007FUIEPG/ref=sr_1_2?keywords=Milwaukee+48-32-4919+SHOCKWAVE+2+POWER+BIT+SLOTTED+3%2F16&amp;qid=1695347413&amp;sr=8-2", "https://www.amazon.com/MILWAUKEE-ELECTRIC-48-32-4717-Shockwave-Slotted/dp/B007FUIEPG/ref=sr_1_2?keywords=Milwaukee+48-32-4919+SHOCKWAVE+2+POWER+BIT+SLOTTED+3%2F16&amp;qid=1695347413&amp;sr=8-2")</f>
        <v/>
      </c>
      <c r="F113" t="inlineStr">
        <is>
          <t>B007FUIEPG</t>
        </is>
      </c>
      <c r="G113">
        <f>_xlfn.IMAGE("https://www.toolnut.com/media/catalog/product/4/8/48-32-4919-1.jpg?quality=100&amp;bg-color=255,255,255&amp;fit=bounds&amp;height=700&amp;width=700&amp;canvas=700:700&amp;dpr=1 1x")</f>
        <v/>
      </c>
      <c r="H113">
        <f>_xlfn.IMAGE("https://m.media-amazon.com/images/I/41W7snr7MoL._AC_UL320_.jpg")</f>
        <v/>
      </c>
      <c r="K113" t="inlineStr">
        <is>
          <t>1.99</t>
        </is>
      </c>
      <c r="L113" t="n">
        <v>26.49</v>
      </c>
      <c r="M113" s="2" t="inlineStr">
        <is>
          <t>1231.16%</t>
        </is>
      </c>
      <c r="N113" t="n">
        <v>5</v>
      </c>
      <c r="O113" t="n">
        <v>1</v>
      </c>
      <c r="Q113" t="inlineStr">
        <is>
          <t>InStock</t>
        </is>
      </c>
      <c r="R113" t="inlineStr">
        <is>
          <t>undefined</t>
        </is>
      </c>
      <c r="S113" t="inlineStr">
        <is>
          <t>48-32-4919</t>
        </is>
      </c>
    </row>
    <row r="114" ht="75" customHeight="1">
      <c r="A114" s="1">
        <f>HYPERLINK("https://www.toolnut.com/milwaukee-48-32-4920-shockwave-2-inch-2pc-slotted-impact-bit-set.html", "https://www.toolnut.com/milwaukee-48-32-4920-shockwave-2-inch-2pc-slotted-impact-bit-set.html")</f>
        <v/>
      </c>
      <c r="B114" s="1">
        <f>HYPERLINK("https://www.toolnut.com/milwaukee-48-32-4920-shockwave-2-inch-2pc-slotted-impact-bit-set.html", "https://www.toolnut.com/milwaukee-48-32-4920-shockwave-2-inch-2pc-slotted-impact-bit-set.html")</f>
        <v/>
      </c>
      <c r="C114" t="inlineStr">
        <is>
          <t>Milwaukee 48-32-4920 Shockwave 2-Inch 2-Piece Slotted Impact Bit Set</t>
        </is>
      </c>
      <c r="D114" t="inlineStr">
        <is>
          <t>Milwaukee Shockwave Impact Driver Bit Set (100 Piece) 48-32-4083</t>
        </is>
      </c>
      <c r="E114" s="1">
        <f>HYPERLINK("https://www.amazon.com/Milwaukee-Shockwave-Impact-Driver-48-32-4083/dp/B08BJD6FR9/ref=sr_1_9?keywords=Milwaukee+48-32-4920+Shockwave+2-Inch+2-Piece+Slotted+Impact+Bit+Set&amp;qid=1695347373&amp;sr=8-9", "https://www.amazon.com/Milwaukee-Shockwave-Impact-Driver-48-32-4083/dp/B08BJD6FR9/ref=sr_1_9?keywords=Milwaukee+48-32-4920+Shockwave+2-Inch+2-Piece+Slotted+Impact+Bit+Set&amp;qid=1695347373&amp;sr=8-9")</f>
        <v/>
      </c>
      <c r="F114" t="inlineStr">
        <is>
          <t>B08BJD6FR9</t>
        </is>
      </c>
      <c r="G114">
        <f>_xlfn.IMAGE("https://www.toolnut.com/media/catalog/product/4/8/48-32-4920_1.jpg?quality=100&amp;bg-color=255,255,255&amp;fit=bounds&amp;height=700&amp;width=700&amp;canvas=700:700&amp;dpr=1 1x")</f>
        <v/>
      </c>
      <c r="H114">
        <f>_xlfn.IMAGE("https://m.media-amazon.com/images/I/51Yeoqk-XuS._AC_UL320_.jpg")</f>
        <v/>
      </c>
      <c r="K114" t="inlineStr">
        <is>
          <t>2.99</t>
        </is>
      </c>
      <c r="L114" t="n">
        <v>69</v>
      </c>
      <c r="M114" s="2" t="inlineStr">
        <is>
          <t>2207.69%</t>
        </is>
      </c>
      <c r="N114" t="n">
        <v>4.7</v>
      </c>
      <c r="O114" t="n">
        <v>272</v>
      </c>
      <c r="Q114" t="inlineStr">
        <is>
          <t>InStock</t>
        </is>
      </c>
      <c r="R114" t="inlineStr">
        <is>
          <t>undefined</t>
        </is>
      </c>
      <c r="S114" t="inlineStr">
        <is>
          <t>48-32-4920</t>
        </is>
      </c>
    </row>
    <row r="115" ht="75" customHeight="1">
      <c r="A115" s="1">
        <f>HYPERLINK("https://www.toolnut.com/milwaukee-48-32-4920-shockwave-2-inch-2pc-slotted-impact-bit-set.html", "https://www.toolnut.com/milwaukee-48-32-4920-shockwave-2-inch-2pc-slotted-impact-bit-set.html")</f>
        <v/>
      </c>
      <c r="B115" s="1">
        <f>HYPERLINK("https://www.toolnut.com/milwaukee-48-32-4920-shockwave-2-inch-2pc-slotted-impact-bit-set.html", "https://www.toolnut.com/milwaukee-48-32-4920-shockwave-2-inch-2pc-slotted-impact-bit-set.html")</f>
        <v/>
      </c>
      <c r="C115" t="inlineStr">
        <is>
          <t>Milwaukee 48-32-4920 Shockwave 2-Inch 2-Piece Slotted Impact Bit Set</t>
        </is>
      </c>
      <c r="D115" t="inlineStr">
        <is>
          <t>48-32-4023 for Milwaukee SHOCKWAVE Impact Duty Steel Driver Bit Set (45-Piece)</t>
        </is>
      </c>
      <c r="E115" s="1">
        <f>HYPERLINK("https://www.amazon.com/48-32-4023-Milwaukee-SHOCKWAVE-Impact-45-Piece/dp/B0BVV894PD/ref=sr_1_3?keywords=Milwaukee+48-32-4920+Shockwave+2-Inch+2-Piece+Slotted+Impact+Bit+Set&amp;qid=1695347373&amp;sr=8-3", "https://www.amazon.com/48-32-4023-Milwaukee-SHOCKWAVE-Impact-45-Piece/dp/B0BVV894PD/ref=sr_1_3?keywords=Milwaukee+48-32-4920+Shockwave+2-Inch+2-Piece+Slotted+Impact+Bit+Set&amp;qid=1695347373&amp;sr=8-3")</f>
        <v/>
      </c>
      <c r="F115" t="inlineStr">
        <is>
          <t>B0BVV894PD</t>
        </is>
      </c>
      <c r="G115">
        <f>_xlfn.IMAGE("https://www.toolnut.com/media/catalog/product/4/8/48-32-4920_1.jpg?quality=100&amp;bg-color=255,255,255&amp;fit=bounds&amp;height=700&amp;width=700&amp;canvas=700:700&amp;dpr=1 1x")</f>
        <v/>
      </c>
      <c r="H115">
        <f>_xlfn.IMAGE("https://m.media-amazon.com/images/I/61fidTI8HvL._AC_UL320_.jpg")</f>
        <v/>
      </c>
      <c r="K115" t="inlineStr">
        <is>
          <t>2.99</t>
        </is>
      </c>
      <c r="L115" t="n">
        <v>36.99</v>
      </c>
      <c r="M115" s="2" t="inlineStr">
        <is>
          <t>1137.12%</t>
        </is>
      </c>
      <c r="N115" t="n">
        <v>5</v>
      </c>
      <c r="O115" t="n">
        <v>9</v>
      </c>
      <c r="Q115" t="inlineStr">
        <is>
          <t>InStock</t>
        </is>
      </c>
      <c r="R115" t="inlineStr">
        <is>
          <t>undefined</t>
        </is>
      </c>
      <c r="S115" t="inlineStr">
        <is>
          <t>48-32-4920</t>
        </is>
      </c>
    </row>
    <row r="116" ht="75" customHeight="1">
      <c r="A116" s="1">
        <f>HYPERLINK("https://www.toolnut.com/milwaukee-48-32-4920-shockwave-2-inch-2pc-slotted-impact-bit-set.html", "https://www.toolnut.com/milwaukee-48-32-4920-shockwave-2-inch-2pc-slotted-impact-bit-set.html")</f>
        <v/>
      </c>
      <c r="B116" s="1">
        <f>HYPERLINK("https://www.toolnut.com/milwaukee-48-32-4920-shockwave-2-inch-2pc-slotted-impact-bit-set.html", "https://www.toolnut.com/milwaukee-48-32-4920-shockwave-2-inch-2pc-slotted-impact-bit-set.html")</f>
        <v/>
      </c>
      <c r="C116" t="inlineStr">
        <is>
          <t>Milwaukee 48-32-4920 Shockwave 2-Inch 2-Piece Slotted Impact Bit Set</t>
        </is>
      </c>
      <c r="D116" t="inlineStr">
        <is>
          <t>Milwaukee 48-32-4016 Automotive Shockwave Kit 22 Piece Automotive Impact Driver Bit Set</t>
        </is>
      </c>
      <c r="E116" s="1">
        <f>HYPERLINK("https://www.amazon.com/Milwaukee-48-32-4016-Automotive-Shockwave-Impact/dp/B074HG7KXR/ref=sr_1_7?keywords=Milwaukee+48-32-4920+Shockwave+2-Inch+2-Piece+Slotted+Impact+Bit+Set&amp;qid=1695347373&amp;sr=8-7", "https://www.amazon.com/Milwaukee-48-32-4016-Automotive-Shockwave-Impact/dp/B074HG7KXR/ref=sr_1_7?keywords=Milwaukee+48-32-4920+Shockwave+2-Inch+2-Piece+Slotted+Impact+Bit+Set&amp;qid=1695347373&amp;sr=8-7")</f>
        <v/>
      </c>
      <c r="F116" t="inlineStr">
        <is>
          <t>B074HG7KXR</t>
        </is>
      </c>
      <c r="G116">
        <f>_xlfn.IMAGE("https://www.toolnut.com/media/catalog/product/4/8/48-32-4920_1.jpg?quality=100&amp;bg-color=255,255,255&amp;fit=bounds&amp;height=700&amp;width=700&amp;canvas=700:700&amp;dpr=1 1x")</f>
        <v/>
      </c>
      <c r="H116">
        <f>_xlfn.IMAGE("https://m.media-amazon.com/images/I/81fSCaDu-qL._AC_UL320_.jpg")</f>
        <v/>
      </c>
      <c r="K116" t="inlineStr">
        <is>
          <t>2.99</t>
        </is>
      </c>
      <c r="L116" t="n">
        <v>27</v>
      </c>
      <c r="M116" s="2" t="inlineStr">
        <is>
          <t>803.01%</t>
        </is>
      </c>
      <c r="N116" t="n">
        <v>4.8</v>
      </c>
      <c r="O116" t="n">
        <v>123</v>
      </c>
      <c r="Q116" t="inlineStr">
        <is>
          <t>InStock</t>
        </is>
      </c>
      <c r="R116" t="inlineStr">
        <is>
          <t>undefined</t>
        </is>
      </c>
      <c r="S116" t="inlineStr">
        <is>
          <t>48-32-4920</t>
        </is>
      </c>
    </row>
    <row r="117" ht="75" customHeight="1">
      <c r="A117" s="1">
        <f>HYPERLINK("https://www.toolnut.com/milwaukee-48-32-4984-t20-torx-shockwave-2-power-bit.html", "https://www.toolnut.com/milwaukee-48-32-4984-t20-torx-shockwave-2-power-bit.html")</f>
        <v/>
      </c>
      <c r="B117" s="1">
        <f>HYPERLINK("https://www.toolnut.com/milwaukee-48-32-4984-t20-torx-shockwave-2-power-bit.html", "https://www.toolnut.com/milwaukee-48-32-4984-t20-torx-shockwave-2-power-bit.html")</f>
        <v/>
      </c>
      <c r="C117" t="inlineStr">
        <is>
          <t>Milwaukee 48-32-4984 T20 Torx SHOCKWAVE 2" Power Bit</t>
        </is>
      </c>
      <c r="D117" t="inlineStr">
        <is>
          <t>Milwaukee SHOCKWAVE T25 Torx 6" Power Bit, 48-32-4846, Lot of 1</t>
        </is>
      </c>
      <c r="E117" s="1">
        <f>HYPERLINK("https://www.amazon.com/Milwaukee-SHOCKWAVE-Torx-Power-48-32-4846/dp/B007FUJY8W/ref=sr_1_6?keywords=Milwaukee+48-32-4984+T20+Torx+SHOCKWAVE+2%22+Power+Bit&amp;qid=1695347427&amp;sr=8-6", "https://www.amazon.com/Milwaukee-SHOCKWAVE-Torx-Power-48-32-4846/dp/B007FUJY8W/ref=sr_1_6?keywords=Milwaukee+48-32-4984+T20+Torx+SHOCKWAVE+2%22+Power+Bit&amp;qid=1695347427&amp;sr=8-6")</f>
        <v/>
      </c>
      <c r="F117" t="inlineStr">
        <is>
          <t>B007FUJY8W</t>
        </is>
      </c>
      <c r="G117">
        <f>_xlfn.IMAGE("https://www.toolnut.com/media/catalog/product/m/i/milwaukee-48-32-4984-1.jpg?quality=100&amp;bg-color=255,255,255&amp;fit=bounds&amp;height=700&amp;width=700&amp;canvas=700:700&amp;dpr=1 1x")</f>
        <v/>
      </c>
      <c r="H117">
        <f>_xlfn.IMAGE("https://m.media-amazon.com/images/I/61bXL5DCvwL._AC_UL320_.jpg")</f>
        <v/>
      </c>
      <c r="K117" t="inlineStr">
        <is>
          <t>2.99</t>
        </is>
      </c>
      <c r="L117" t="n">
        <v>30.55</v>
      </c>
      <c r="M117" s="2" t="inlineStr">
        <is>
          <t>921.74%</t>
        </is>
      </c>
      <c r="N117" t="n">
        <v>5</v>
      </c>
      <c r="O117" t="n">
        <v>1</v>
      </c>
      <c r="Q117" t="inlineStr">
        <is>
          <t>OutOfStock</t>
        </is>
      </c>
      <c r="R117" t="inlineStr">
        <is>
          <t>undefined</t>
        </is>
      </c>
      <c r="S117" t="inlineStr">
        <is>
          <t>48-32-4984</t>
        </is>
      </c>
    </row>
    <row r="118" ht="75" customHeight="1">
      <c r="A118" s="1">
        <f>HYPERLINK("https://www.toolnut.com/milwaukee-48-89-2505-metric-cobalt-red-helix-3mm-bit.html", "https://www.toolnut.com/milwaukee-48-89-2505-metric-cobalt-red-helix-3mm-bit.html")</f>
        <v/>
      </c>
      <c r="B118" s="1">
        <f>HYPERLINK("https://www.toolnut.com/milwaukee-48-89-2505-metric-cobalt-red-helix-3mm-bit.html", "https://www.toolnut.com/milwaukee-48-89-2505-metric-cobalt-red-helix-3mm-bit.html")</f>
        <v/>
      </c>
      <c r="C118" t="inlineStr">
        <is>
          <t>Milwaukee 48-89-2505 Metric Cobalt Red Helix 3mm Bit</t>
        </is>
      </c>
      <c r="D118" t="inlineStr">
        <is>
          <t>Milwaukee 48-89-2331 15-Piece Cobalt Red Helix Secure Grip Drill Bit Set w/ Hard Plastic Foldout Storage Case</t>
        </is>
      </c>
      <c r="E118" s="1">
        <f>HYPERLINK("https://www.amazon.com/Milwaukee-48-89-2331-15-Piece-Plastic-Foldout/dp/B017POPUTE/ref=sr_1_4?keywords=Milwaukee+48-89-2505+Metric+Cobalt+Red+Helix+3mm+Bit&amp;qid=1695347371&amp;sr=8-4", "https://www.amazon.com/Milwaukee-48-89-2331-15-Piece-Plastic-Foldout/dp/B017POPUTE/ref=sr_1_4?keywords=Milwaukee+48-89-2505+Metric+Cobalt+Red+Helix+3mm+Bit&amp;qid=1695347371&amp;sr=8-4")</f>
        <v/>
      </c>
      <c r="F118" t="inlineStr">
        <is>
          <t>B017POPUTE</t>
        </is>
      </c>
      <c r="G118">
        <f>_xlfn.IMAGE("https://www.toolnut.com/media/catalog/product/4/8/48-89-2505_1.jpg?quality=100&amp;bg-color=255,255,255&amp;fit=bounds&amp;height=700&amp;width=700&amp;canvas=700:700&amp;dpr=1 1x")</f>
        <v/>
      </c>
      <c r="H118">
        <f>_xlfn.IMAGE("https://m.media-amazon.com/images/I/71d2fa85tHL._AC_UL320_.jpg")</f>
        <v/>
      </c>
      <c r="K118" t="inlineStr">
        <is>
          <t>5.99</t>
        </is>
      </c>
      <c r="L118" t="n">
        <v>48</v>
      </c>
      <c r="M118" s="2" t="inlineStr">
        <is>
          <t>701.34%</t>
        </is>
      </c>
      <c r="N118" t="n">
        <v>4.3</v>
      </c>
      <c r="O118" t="n">
        <v>152</v>
      </c>
      <c r="Q118" t="inlineStr">
        <is>
          <t>InStock</t>
        </is>
      </c>
      <c r="R118" t="inlineStr">
        <is>
          <t>undefined</t>
        </is>
      </c>
      <c r="S118" t="inlineStr">
        <is>
          <t>48-89-2505</t>
        </is>
      </c>
    </row>
    <row r="119" ht="75" customHeight="1">
      <c r="A119" s="1">
        <f>HYPERLINK("https://www.toolnut.com/milwaukee-48-89-2512-metric-cobalt-red-helix-5mm-bit.html", "https://www.toolnut.com/milwaukee-48-89-2512-metric-cobalt-red-helix-5mm-bit.html")</f>
        <v/>
      </c>
      <c r="B119" s="1">
        <f>HYPERLINK("https://www.toolnut.com/milwaukee-48-89-2512-metric-cobalt-red-helix-5mm-bit.html", "https://www.toolnut.com/milwaukee-48-89-2512-metric-cobalt-red-helix-5mm-bit.html")</f>
        <v/>
      </c>
      <c r="C119" t="inlineStr">
        <is>
          <t>Milwaukee 48-89-2512 Metric Cobalt Red Helix 5mm Bit</t>
        </is>
      </c>
      <c r="D119" t="inlineStr">
        <is>
          <t>Milwaukee 48-89-2331 15-Piece Cobalt Red Helix Secure Grip Drill Bit Set w/ Hard Plastic Foldout Storage Case</t>
        </is>
      </c>
      <c r="E119" s="1">
        <f>HYPERLINK("https://www.amazon.com/Milwaukee-48-89-2331-15-Piece-Plastic-Foldout/dp/B017POPUTE/ref=sr_1_5?keywords=Milwaukee+48-89-2512+Metric+Cobalt+Red+Helix+5mm+Bit&amp;qid=1695347372&amp;sr=8-5", "https://www.amazon.com/Milwaukee-48-89-2331-15-Piece-Plastic-Foldout/dp/B017POPUTE/ref=sr_1_5?keywords=Milwaukee+48-89-2512+Metric+Cobalt+Red+Helix+5mm+Bit&amp;qid=1695347372&amp;sr=8-5")</f>
        <v/>
      </c>
      <c r="F119" t="inlineStr">
        <is>
          <t>B017POPUTE</t>
        </is>
      </c>
      <c r="G119">
        <f>_xlfn.IMAGE("https://www.toolnut.com/media/catalog/product/4/8/48-89-2512_1.jpg?quality=100&amp;bg-color=255,255,255&amp;fit=bounds&amp;height=700&amp;width=700&amp;canvas=700:700&amp;dpr=1 1x")</f>
        <v/>
      </c>
      <c r="H119">
        <f>_xlfn.IMAGE("https://m.media-amazon.com/images/I/71d2fa85tHL._AC_UL320_.jpg")</f>
        <v/>
      </c>
      <c r="K119" t="inlineStr">
        <is>
          <t>3.99</t>
        </is>
      </c>
      <c r="L119" t="n">
        <v>48.65</v>
      </c>
      <c r="M119" s="2" t="inlineStr">
        <is>
          <t>1119.30%</t>
        </is>
      </c>
      <c r="N119" t="n">
        <v>4.3</v>
      </c>
      <c r="O119" t="n">
        <v>152</v>
      </c>
      <c r="Q119" t="inlineStr">
        <is>
          <t>InStock</t>
        </is>
      </c>
      <c r="R119" t="inlineStr">
        <is>
          <t>undefined</t>
        </is>
      </c>
      <c r="S119" t="inlineStr">
        <is>
          <t>48-89-2512</t>
        </is>
      </c>
    </row>
    <row r="120" ht="75" customHeight="1">
      <c r="A120" s="1">
        <f>HYPERLINK("https://www.toolnut.com/milwaukee-48-89-2514-metric-cobalt-red-helix-6mm-bit.html", "https://www.toolnut.com/milwaukee-48-89-2514-metric-cobalt-red-helix-6mm-bit.html")</f>
        <v/>
      </c>
      <c r="B120" s="1">
        <f>HYPERLINK("https://www.toolnut.com/milwaukee-48-89-2514-metric-cobalt-red-helix-6mm-bit.html", "https://www.toolnut.com/milwaukee-48-89-2514-metric-cobalt-red-helix-6mm-bit.html")</f>
        <v/>
      </c>
      <c r="C120" t="inlineStr">
        <is>
          <t>Milwaukee 48-89-2514 Metric Cobalt Red Helix 6mm Bit</t>
        </is>
      </c>
      <c r="D120" t="inlineStr">
        <is>
          <t>Milwaukee 48-89-2331 15-Piece Cobalt Red Helix Secure Grip Drill Bit Set w/ Hard Plastic Foldout Storage Case</t>
        </is>
      </c>
      <c r="E120" s="1">
        <f>HYPERLINK("https://www.amazon.com/Milwaukee-48-89-2331-15-Piece-Plastic-Foldout/dp/B017POPUTE/ref=sr_1_5?keywords=Milwaukee+48-89-2514+Metric+Cobalt+Red+Helix+6mm+Bit&amp;qid=1695347379&amp;sr=8-5", "https://www.amazon.com/Milwaukee-48-89-2331-15-Piece-Plastic-Foldout/dp/B017POPUTE/ref=sr_1_5?keywords=Milwaukee+48-89-2514+Metric+Cobalt+Red+Helix+6mm+Bit&amp;qid=1695347379&amp;sr=8-5")</f>
        <v/>
      </c>
      <c r="F120" t="inlineStr">
        <is>
          <t>B017POPUTE</t>
        </is>
      </c>
      <c r="G120">
        <f>_xlfn.IMAGE("https://www.toolnut.com/media/catalog/product/4/8/48-89-2514_1.jpg?quality=100&amp;bg-color=255,255,255&amp;fit=bounds&amp;height=700&amp;width=700&amp;canvas=700:700&amp;dpr=1 1x")</f>
        <v/>
      </c>
      <c r="H120">
        <f>_xlfn.IMAGE("https://m.media-amazon.com/images/I/71d2fa85tHL._AC_UL320_.jpg")</f>
        <v/>
      </c>
      <c r="K120" t="inlineStr">
        <is>
          <t>5.99</t>
        </is>
      </c>
      <c r="L120" t="n">
        <v>48</v>
      </c>
      <c r="M120" s="2" t="inlineStr">
        <is>
          <t>701.34%</t>
        </is>
      </c>
      <c r="N120" t="n">
        <v>4.3</v>
      </c>
      <c r="O120" t="n">
        <v>152</v>
      </c>
      <c r="Q120" t="inlineStr">
        <is>
          <t>InStock</t>
        </is>
      </c>
      <c r="R120" t="inlineStr">
        <is>
          <t>undefined</t>
        </is>
      </c>
      <c r="S120" t="inlineStr">
        <is>
          <t>48-89-2514</t>
        </is>
      </c>
    </row>
    <row r="121" ht="75" customHeight="1">
      <c r="A121" s="1">
        <f>HYPERLINK("https://www.toolnut.com/milwaukee-48-89-2519-metric-cobalt-red-helix-8mm-bit.html", "https://www.toolnut.com/milwaukee-48-89-2519-metric-cobalt-red-helix-8mm-bit.html")</f>
        <v/>
      </c>
      <c r="B121" s="1">
        <f>HYPERLINK("https://www.toolnut.com/milwaukee-48-89-2519-metric-cobalt-red-helix-8mm-bit.html", "https://www.toolnut.com/milwaukee-48-89-2519-metric-cobalt-red-helix-8mm-bit.html")</f>
        <v/>
      </c>
      <c r="C121" t="inlineStr">
        <is>
          <t>Milwaukee 48-89-2519 Metric Cobalt Red Helix 8mm Bit</t>
        </is>
      </c>
      <c r="D121" t="inlineStr">
        <is>
          <t>Milwaukee 48-89-2331 15-Piece Cobalt Red Helix Secure Grip Drill Bit Set w/ Hard Plastic Foldout Storage Case</t>
        </is>
      </c>
      <c r="E121" s="1">
        <f>HYPERLINK("https://www.amazon.com/Milwaukee-48-89-2331-15-Piece-Plastic-Foldout/dp/B017POPUTE/ref=sr_1_5?keywords=Milwaukee+48-89-2519+Metric+Cobalt+Red+Helix+8mm+Bit&amp;qid=1695347371&amp;sr=8-5", "https://www.amazon.com/Milwaukee-48-89-2331-15-Piece-Plastic-Foldout/dp/B017POPUTE/ref=sr_1_5?keywords=Milwaukee+48-89-2519+Metric+Cobalt+Red+Helix+8mm+Bit&amp;qid=1695347371&amp;sr=8-5")</f>
        <v/>
      </c>
      <c r="F121" t="inlineStr">
        <is>
          <t>B017POPUTE</t>
        </is>
      </c>
      <c r="G121">
        <f>_xlfn.IMAGE("https://www.toolnut.com/media/catalog/product/4/8/48-89-2519_1.jpg?quality=100&amp;bg-color=255,255,255&amp;fit=bounds&amp;height=700&amp;width=700&amp;canvas=700:700&amp;dpr=1 1x")</f>
        <v/>
      </c>
      <c r="H121">
        <f>_xlfn.IMAGE("https://m.media-amazon.com/images/I/71d2fa85tHL._AC_UL320_.jpg")</f>
        <v/>
      </c>
      <c r="K121" t="inlineStr">
        <is>
          <t>7.99</t>
        </is>
      </c>
      <c r="L121" t="n">
        <v>48.65</v>
      </c>
      <c r="M121" s="2" t="inlineStr">
        <is>
          <t>508.89%</t>
        </is>
      </c>
      <c r="N121" t="n">
        <v>4.3</v>
      </c>
      <c r="O121" t="n">
        <v>152</v>
      </c>
      <c r="Q121" t="inlineStr">
        <is>
          <t>InStock</t>
        </is>
      </c>
      <c r="R121" t="inlineStr">
        <is>
          <t>undefined</t>
        </is>
      </c>
      <c r="S121" t="inlineStr">
        <is>
          <t>48-89-2519</t>
        </is>
      </c>
    </row>
    <row r="122" ht="75" customHeight="1">
      <c r="A122" s="1">
        <f>HYPERLINK("https://www.toolnut.com/milwaukee-48-89-2523-metric-cobalt-red-helix-10mm-bit.html", "https://www.toolnut.com/milwaukee-48-89-2523-metric-cobalt-red-helix-10mm-bit.html")</f>
        <v/>
      </c>
      <c r="B122" s="1">
        <f>HYPERLINK("https://www.toolnut.com/milwaukee-48-89-2523-metric-cobalt-red-helix-10mm-bit.html", "https://www.toolnut.com/milwaukee-48-89-2523-metric-cobalt-red-helix-10mm-bit.html")</f>
        <v/>
      </c>
      <c r="C122" t="inlineStr">
        <is>
          <t>Milwaukee 48-89-2523 Metric Cobalt Red Helix 10mm Bit</t>
        </is>
      </c>
      <c r="D122" t="inlineStr">
        <is>
          <t>Milwaukee 48-89-2331 15-Piece Cobalt Red Helix Secure Grip Drill Bit Set w/ Hard Plastic Foldout Storage Case</t>
        </is>
      </c>
      <c r="E122" s="1">
        <f>HYPERLINK("https://www.amazon.com/Milwaukee-48-89-2331-15-Piece-Plastic-Foldout/dp/B017POPUTE/ref=sr_1_4?keywords=Milwaukee+48-89-2523+Metric+Cobalt+Red+Helix+10mm+Bit&amp;qid=1695347374&amp;sr=8-4", "https://www.amazon.com/Milwaukee-48-89-2331-15-Piece-Plastic-Foldout/dp/B017POPUTE/ref=sr_1_4?keywords=Milwaukee+48-89-2523+Metric+Cobalt+Red+Helix+10mm+Bit&amp;qid=1695347374&amp;sr=8-4")</f>
        <v/>
      </c>
      <c r="F122" t="inlineStr">
        <is>
          <t>B017POPUTE</t>
        </is>
      </c>
      <c r="G122">
        <f>_xlfn.IMAGE("https://www.toolnut.com/media/catalog/product/4/8/48-89-2523_1.jpg?quality=100&amp;bg-color=255,255,255&amp;fit=bounds&amp;height=700&amp;width=700&amp;canvas=700:700&amp;dpr=1 1x")</f>
        <v/>
      </c>
      <c r="H122">
        <f>_xlfn.IMAGE("https://m.media-amazon.com/images/I/71d2fa85tHL._AC_UL320_.jpg")</f>
        <v/>
      </c>
      <c r="K122" t="inlineStr">
        <is>
          <t>11.99</t>
        </is>
      </c>
      <c r="L122" t="n">
        <v>48</v>
      </c>
      <c r="M122" s="2" t="inlineStr">
        <is>
          <t>300.33%</t>
        </is>
      </c>
      <c r="N122" t="n">
        <v>4.3</v>
      </c>
      <c r="O122" t="n">
        <v>152</v>
      </c>
      <c r="Q122" t="inlineStr">
        <is>
          <t>OutOfStock</t>
        </is>
      </c>
      <c r="R122" t="inlineStr">
        <is>
          <t>undefined</t>
        </is>
      </c>
      <c r="S122" t="inlineStr">
        <is>
          <t>48-89-2523</t>
        </is>
      </c>
    </row>
    <row r="123" ht="75" customHeight="1">
      <c r="A123" s="1">
        <f>HYPERLINK("https://www.toolnut.com/milwaukee-48-89-2525-metric-cobalt-red-helix-11mm-bit.html", "https://www.toolnut.com/milwaukee-48-89-2525-metric-cobalt-red-helix-11mm-bit.html")</f>
        <v/>
      </c>
      <c r="B123" s="1">
        <f>HYPERLINK("https://www.toolnut.com/milwaukee-48-89-2525-metric-cobalt-red-helix-11mm-bit.html", "https://www.toolnut.com/milwaukee-48-89-2525-metric-cobalt-red-helix-11mm-bit.html")</f>
        <v/>
      </c>
      <c r="C123" t="inlineStr">
        <is>
          <t>Milwaukee 48-89-2525 Metric Cobalt Red Helix 11mm Bit</t>
        </is>
      </c>
      <c r="D123" t="inlineStr">
        <is>
          <t>Milwaukee 48-89-2331 15-Piece Cobalt Red Helix Secure Grip Drill Bit Set w/ Hard Plastic Foldout Storage Case</t>
        </is>
      </c>
      <c r="E123" s="1">
        <f>HYPERLINK("https://www.amazon.com/Milwaukee-48-89-2331-15-Piece-Plastic-Foldout/dp/B017POPUTE/ref=sr_1_4?keywords=Milwaukee+48-89-2525+Metric+Cobalt+Red+Helix+11mm+Bit&amp;qid=1695347377&amp;sr=8-4", "https://www.amazon.com/Milwaukee-48-89-2331-15-Piece-Plastic-Foldout/dp/B017POPUTE/ref=sr_1_4?keywords=Milwaukee+48-89-2525+Metric+Cobalt+Red+Helix+11mm+Bit&amp;qid=1695347377&amp;sr=8-4")</f>
        <v/>
      </c>
      <c r="F123" t="inlineStr">
        <is>
          <t>B017POPUTE</t>
        </is>
      </c>
      <c r="G123">
        <f>_xlfn.IMAGE("https://www.toolnut.com/media/catalog/product/4/8/48-89-2525_1.jpg?quality=100&amp;bg-color=255,255,255&amp;fit=bounds&amp;height=700&amp;width=700&amp;canvas=700:700&amp;dpr=1 1x")</f>
        <v/>
      </c>
      <c r="H123">
        <f>_xlfn.IMAGE("https://m.media-amazon.com/images/I/71d2fa85tHL._AC_UL320_.jpg")</f>
        <v/>
      </c>
      <c r="K123" t="inlineStr">
        <is>
          <t>14.99</t>
        </is>
      </c>
      <c r="L123" t="n">
        <v>48.65</v>
      </c>
      <c r="M123" s="2" t="inlineStr">
        <is>
          <t>224.55%</t>
        </is>
      </c>
      <c r="N123" t="n">
        <v>4.3</v>
      </c>
      <c r="O123" t="n">
        <v>152</v>
      </c>
      <c r="Q123" t="inlineStr">
        <is>
          <t>InStock</t>
        </is>
      </c>
      <c r="R123" t="inlineStr">
        <is>
          <t>undefined</t>
        </is>
      </c>
      <c r="S123" t="inlineStr">
        <is>
          <t>48-89-2525</t>
        </is>
      </c>
    </row>
    <row r="124" ht="75" customHeight="1">
      <c r="A124" s="1">
        <f>HYPERLINK("https://www.toolnut.com/milwaukee-48-89-2527-metric-cobalt-red-helix-12mm-bit.html", "https://www.toolnut.com/milwaukee-48-89-2527-metric-cobalt-red-helix-12mm-bit.html")</f>
        <v/>
      </c>
      <c r="B124" s="1">
        <f>HYPERLINK("https://www.toolnut.com/milwaukee-48-89-2527-metric-cobalt-red-helix-12mm-bit.html", "https://www.toolnut.com/milwaukee-48-89-2527-metric-cobalt-red-helix-12mm-bit.html")</f>
        <v/>
      </c>
      <c r="C124" t="inlineStr">
        <is>
          <t>Milwaukee 48-89-2527 Metric Cobalt Red Helix 12mm Bit</t>
        </is>
      </c>
      <c r="D124" t="inlineStr">
        <is>
          <t>Milwaukee 48-89-2331 15-Piece Cobalt Red Helix Secure Grip Drill Bit Set w/ Hard Plastic Foldout Storage Case</t>
        </is>
      </c>
      <c r="E124" s="1">
        <f>HYPERLINK("https://www.amazon.com/Milwaukee-48-89-2331-15-Piece-Plastic-Foldout/dp/B017POPUTE/ref=sr_1_5?keywords=Milwaukee+48-89-2527+Metric+Cobalt+Red+Helix+12mm+Bit&amp;qid=1695347369&amp;sr=8-5", "https://www.amazon.com/Milwaukee-48-89-2331-15-Piece-Plastic-Foldout/dp/B017POPUTE/ref=sr_1_5?keywords=Milwaukee+48-89-2527+Metric+Cobalt+Red+Helix+12mm+Bit&amp;qid=1695347369&amp;sr=8-5")</f>
        <v/>
      </c>
      <c r="F124" t="inlineStr">
        <is>
          <t>B017POPUTE</t>
        </is>
      </c>
      <c r="G124">
        <f>_xlfn.IMAGE("https://www.toolnut.com/media/catalog/product/4/8/48-89-2527_1.jpg?quality=100&amp;bg-color=255,255,255&amp;fit=bounds&amp;height=700&amp;width=700&amp;canvas=700:700&amp;dpr=1 1x")</f>
        <v/>
      </c>
      <c r="H124">
        <f>_xlfn.IMAGE("https://m.media-amazon.com/images/I/71d2fa85tHL._AC_UL320_.jpg")</f>
        <v/>
      </c>
      <c r="K124" t="inlineStr">
        <is>
          <t>15.99</t>
        </is>
      </c>
      <c r="L124" t="n">
        <v>48.65</v>
      </c>
      <c r="M124" s="2" t="inlineStr">
        <is>
          <t>204.25%</t>
        </is>
      </c>
      <c r="N124" t="n">
        <v>4.3</v>
      </c>
      <c r="O124" t="n">
        <v>152</v>
      </c>
      <c r="Q124" t="inlineStr">
        <is>
          <t>OutOfStock</t>
        </is>
      </c>
      <c r="R124" t="inlineStr">
        <is>
          <t>undefined</t>
        </is>
      </c>
      <c r="S124" t="inlineStr">
        <is>
          <t>48-89-2527</t>
        </is>
      </c>
    </row>
    <row r="125" ht="75" customHeight="1">
      <c r="A125" s="1">
        <f>HYPERLINK("https://www.toolnut.com/milwaukee-48-89-2529-metric-cobalt-red-helix-13mm-bit.html", "https://www.toolnut.com/milwaukee-48-89-2529-metric-cobalt-red-helix-13mm-bit.html")</f>
        <v/>
      </c>
      <c r="B125" s="1">
        <f>HYPERLINK("https://www.toolnut.com/milwaukee-48-89-2529-metric-cobalt-red-helix-13mm-bit.html", "https://www.toolnut.com/milwaukee-48-89-2529-metric-cobalt-red-helix-13mm-bit.html")</f>
        <v/>
      </c>
      <c r="C125" t="inlineStr">
        <is>
          <t>Milwaukee 48-89-2529 Metric Cobalt Red Helix 13mm Bit</t>
        </is>
      </c>
      <c r="D125" t="inlineStr">
        <is>
          <t>Milwaukee 48-89-2331 15-Piece Cobalt Red Helix Secure Grip Drill Bit Set w/ Hard Plastic Foldout Storage Case</t>
        </is>
      </c>
      <c r="E125" s="1">
        <f>HYPERLINK("https://www.amazon.com/Milwaukee-48-89-2331-15-Piece-Plastic-Foldout/dp/B017POPUTE/ref=sr_1_5?keywords=Milwaukee+48-89-2529+Metric+Cobalt+Red+Helix+13mm+Bit&amp;qid=1695347373&amp;sr=8-5", "https://www.amazon.com/Milwaukee-48-89-2331-15-Piece-Plastic-Foldout/dp/B017POPUTE/ref=sr_1_5?keywords=Milwaukee+48-89-2529+Metric+Cobalt+Red+Helix+13mm+Bit&amp;qid=1695347373&amp;sr=8-5")</f>
        <v/>
      </c>
      <c r="F125" t="inlineStr">
        <is>
          <t>B017POPUTE</t>
        </is>
      </c>
      <c r="G125">
        <f>_xlfn.IMAGE("https://www.toolnut.com/media/catalog/product/4/8/48-89-2529_1.jpg?quality=100&amp;bg-color=255,255,255&amp;fit=bounds&amp;height=700&amp;width=700&amp;canvas=700:700&amp;dpr=1 1x")</f>
        <v/>
      </c>
      <c r="H125">
        <f>_xlfn.IMAGE("https://m.media-amazon.com/images/I/71d2fa85tHL._AC_UL320_.jpg")</f>
        <v/>
      </c>
      <c r="K125" t="inlineStr">
        <is>
          <t>18.99</t>
        </is>
      </c>
      <c r="L125" t="n">
        <v>48.65</v>
      </c>
      <c r="M125" s="2" t="inlineStr">
        <is>
          <t>156.19%</t>
        </is>
      </c>
      <c r="N125" t="n">
        <v>4.3</v>
      </c>
      <c r="O125" t="n">
        <v>152</v>
      </c>
      <c r="Q125" t="inlineStr">
        <is>
          <t>InStock</t>
        </is>
      </c>
      <c r="R125" t="inlineStr">
        <is>
          <t>undefined</t>
        </is>
      </c>
      <c r="S125" t="inlineStr">
        <is>
          <t>48-89-2529</t>
        </is>
      </c>
    </row>
    <row r="126" ht="75" customHeight="1">
      <c r="A126" s="1">
        <f>HYPERLINK("https://www.toolnut.com/milwaukee-49-59-4138-1-3-8-inch-tct-annular-cutter-2-inch-depth.html", "https://www.toolnut.com/milwaukee-49-59-4138-1-3-8-inch-tct-annular-cutter-2-inch-depth.html")</f>
        <v/>
      </c>
      <c r="B126" s="1">
        <f>HYPERLINK("https://www.toolnut.com/milwaukee-49-59-4138-1-3-8-inch-tct-annular-cutter-2-inch-depth.html", "https://www.toolnut.com/milwaukee-49-59-4138-1-3-8-inch-tct-annular-cutter-2-inch-depth.html")</f>
        <v/>
      </c>
      <c r="C126" t="inlineStr">
        <is>
          <t>Milwaukee 49-59-4138 1-3/8-Inch TCT Annular Cutter 2-Inch Depth</t>
        </is>
      </c>
      <c r="D126" t="inlineStr">
        <is>
          <t>Annular Cutter Set Carbide TCT 13 pcs JESTUOUS 3/4 Inch Weldon Shank 1-3/8 Cutting Depth and Cutting Diameter from 1/2 to 1-1/8 Two Flat Bit for Drill Press with 2 Pilot Pins</t>
        </is>
      </c>
      <c r="E126" s="1">
        <f>HYPERLINK("https://www.amazon.com/Annular-Carbide-JESTUOUS-Cutting-Diameter/dp/B093WLKSDR/ref=sr_1_9?keywords=Milwaukee+49-59-4138+1-3%2F8-Inch+TCT+Annular+Cutter+2-Inch+Depth&amp;qid=1695347342&amp;sr=8-9", "https://www.amazon.com/Annular-Carbide-JESTUOUS-Cutting-Diameter/dp/B093WLKSDR/ref=sr_1_9?keywords=Milwaukee+49-59-4138+1-3%2F8-Inch+TCT+Annular+Cutter+2-Inch+Depth&amp;qid=1695347342&amp;sr=8-9")</f>
        <v/>
      </c>
      <c r="F126" t="inlineStr">
        <is>
          <t>B093WLKSDR</t>
        </is>
      </c>
      <c r="G126">
        <f>_xlfn.IMAGE("https://www.toolnut.com/media/catalog/product/4/9/49-59-4106_1_5.jpg?quality=100&amp;bg-color=255,255,255&amp;fit=bounds&amp;height=700&amp;width=700&amp;canvas=700:700&amp;dpr=1 1x")</f>
        <v/>
      </c>
      <c r="H126">
        <f>_xlfn.IMAGE("https://m.media-amazon.com/images/I/812F6VIax5S._AC_UL320_.jpg")</f>
        <v/>
      </c>
      <c r="K126" t="inlineStr">
        <is>
          <t>67.99</t>
        </is>
      </c>
      <c r="L126" t="n">
        <v>265.99</v>
      </c>
      <c r="M126" s="2" t="inlineStr">
        <is>
          <t>291.22%</t>
        </is>
      </c>
      <c r="N126" t="n">
        <v>4.2</v>
      </c>
      <c r="O126" t="n">
        <v>17</v>
      </c>
      <c r="Q126" t="inlineStr">
        <is>
          <t>InStock</t>
        </is>
      </c>
      <c r="R126" t="inlineStr">
        <is>
          <t>undefined</t>
        </is>
      </c>
      <c r="S126" t="inlineStr">
        <is>
          <t>49-59-4138</t>
        </is>
      </c>
    </row>
    <row r="127" ht="75" customHeight="1">
      <c r="A127" s="1">
        <f>HYPERLINK("https://www.toolup.com/Bosch-HC2051-SDS-Plus-S4-Rotary-Hammer-Bit", "https://www.toolup.com/Bosch-HC2051-SDS-Plus-S4-Rotary-Hammer-Bit")</f>
        <v/>
      </c>
      <c r="B127" s="1">
        <f>HYPERLINK("https://www.toolup.com/Bosch-HC2051-SDS-Plus-S4-Rotary-Hammer-Bit", "https://www.toolup.com/Bosch-HC2051-SDS-Plus-S4-Rotary-Hammer-Bit")</f>
        <v/>
      </c>
      <c r="C127" t="inlineStr">
        <is>
          <t>Bosch HC2051 SDS-Plus S4 Rotary Hammer Bit</t>
        </is>
      </c>
      <c r="D127" t="inlineStr">
        <is>
          <t>BOSCH HCK005 5 Piece Carbide-Tipped SDS-plus Rotary Hammer Drill Bit Set</t>
        </is>
      </c>
      <c r="E127" s="1">
        <f>HYPERLINK("https://www.amazon.com/Bosch-HCK005-5-Piece-SDS-plus-Rotary/dp/B0000TZYZW/ref=sr_1_10?keywords=Bosch+HC2051+SDS-Plus+S4+Rotary+Hammer+Bit&amp;qid=1695347559&amp;sr=8-10", "https://www.amazon.com/Bosch-HCK005-5-Piece-SDS-plus-Rotary/dp/B0000TZYZW/ref=sr_1_10?keywords=Bosch+HC2051+SDS-Plus+S4+Rotary+Hammer+Bit&amp;qid=1695347559&amp;sr=8-10")</f>
        <v/>
      </c>
      <c r="F127" t="inlineStr">
        <is>
          <t>B0000TZYZW</t>
        </is>
      </c>
      <c r="G127">
        <f>_xlfn.IMAGE("https://www.toolup.com/product-images/Bosch-hc2051_01.jpg?resizeid=36&amp;resizeh=510&amp;resizew=510")</f>
        <v/>
      </c>
      <c r="H127">
        <f>_xlfn.IMAGE("https://m.media-amazon.com/images/I/71oKPCgHEsL._AC_UL320_.jpg")</f>
        <v/>
      </c>
      <c r="K127" t="inlineStr">
        <is>
          <t>5.29</t>
        </is>
      </c>
      <c r="L127" t="n">
        <v>17.75</v>
      </c>
      <c r="M127" s="2" t="inlineStr">
        <is>
          <t>235.54%</t>
        </is>
      </c>
      <c r="N127" t="n">
        <v>4.7</v>
      </c>
      <c r="O127" t="n">
        <v>972</v>
      </c>
      <c r="Q127" t="inlineStr">
        <is>
          <t>InStock</t>
        </is>
      </c>
      <c r="R127" t="inlineStr">
        <is>
          <t>7.89</t>
        </is>
      </c>
      <c r="S127" t="inlineStr">
        <is>
          <t>Bosch HC2051</t>
        </is>
      </c>
    </row>
    <row r="128" ht="75" customHeight="1">
      <c r="A128" s="1">
        <f>HYPERLINK("https://www.toolup.com/Bosch-HC2051-SDS-Plus-S4-Rotary-Hammer-Bit", "https://www.toolup.com/Bosch-HC2051-SDS-Plus-S4-Rotary-Hammer-Bit")</f>
        <v/>
      </c>
      <c r="B128" s="1">
        <f>HYPERLINK("https://www.toolup.com/Bosch-HC2051-SDS-Plus-S4-Rotary-Hammer-Bit", "https://www.toolup.com/Bosch-HC2051-SDS-Plus-S4-Rotary-Hammer-Bit")</f>
        <v/>
      </c>
      <c r="C128" t="inlineStr">
        <is>
          <t>Bosch HC2051 SDS-Plus S4 Rotary Hammer Bit</t>
        </is>
      </c>
      <c r="D128" t="inlineStr">
        <is>
          <t>BOSCH HC2102 5/8" X 6" X 8" SDS-plus S4 Rotary Hammer Bit</t>
        </is>
      </c>
      <c r="E128" s="1">
        <f>HYPERLINK("https://www.amazon.com/Bosch-HC2102-SDS-plus-Rotary-Hammer/dp/B0002EVG8Y/ref=sr_1_1?keywords=Bosch+HC2051+SDS-Plus+S4+Rotary+Hammer+Bit&amp;qid=1695347559&amp;sr=8-1", "https://www.amazon.com/Bosch-HC2102-SDS-plus-Rotary-Hammer/dp/B0002EVG8Y/ref=sr_1_1?keywords=Bosch+HC2051+SDS-Plus+S4+Rotary+Hammer+Bit&amp;qid=1695347559&amp;sr=8-1")</f>
        <v/>
      </c>
      <c r="F128" t="inlineStr">
        <is>
          <t>B0002EVG8Y</t>
        </is>
      </c>
      <c r="G128">
        <f>_xlfn.IMAGE("https://www.toolup.com/product-images/Bosch-hc2051_01.jpg?resizeid=36&amp;resizeh=510&amp;resizew=510")</f>
        <v/>
      </c>
      <c r="H128">
        <f>_xlfn.IMAGE("https://m.media-amazon.com/images/I/31L4STPNhzL._AC_UL320_.jpg")</f>
        <v/>
      </c>
      <c r="K128" t="inlineStr">
        <is>
          <t>5.29</t>
        </is>
      </c>
      <c r="L128" t="n">
        <v>15.49</v>
      </c>
      <c r="M128" s="2" t="inlineStr">
        <is>
          <t>192.82%</t>
        </is>
      </c>
      <c r="N128" t="n">
        <v>5</v>
      </c>
      <c r="O128" t="n">
        <v>6</v>
      </c>
      <c r="Q128" t="inlineStr">
        <is>
          <t>InStock</t>
        </is>
      </c>
      <c r="R128" t="inlineStr">
        <is>
          <t>7.89</t>
        </is>
      </c>
      <c r="S128" t="inlineStr">
        <is>
          <t>Bosch HC2051</t>
        </is>
      </c>
    </row>
    <row r="129" ht="75" customHeight="1">
      <c r="A129" s="1">
        <f>HYPERLINK("https://www.toolup.com/Bosch-HCK001-7-Piece-S4-SDS-Plus-Rotary-Hammer-Drill-Bit-Set", "https://www.toolup.com/Bosch-HCK001-7-Piece-S4-SDS-Plus-Rotary-Hammer-Drill-Bit-Set")</f>
        <v/>
      </c>
      <c r="B129" s="1">
        <f>HYPERLINK("https://www.toolup.com/Bosch-HCK001-7-Piece-S4-SDS-Plus-Rotary-Hammer-Drill-Bit-Set", "https://www.toolup.com/Bosch-HCK001-7-Piece-S4-SDS-Plus-Rotary-Hammer-Drill-Bit-Set")</f>
        <v/>
      </c>
      <c r="C129" t="inlineStr">
        <is>
          <t>Bosch HCK001 7-Piece S4 SDS Plus Rotary Hammer Drill Bit Set</t>
        </is>
      </c>
      <c r="D129" t="inlineStr">
        <is>
          <t>BOSCH 11255VSR Bulldog Xtreme 8 Amp 1 Inch Corded Variable Speed SDS-Plus Concrete/Masonry Rotary Hammer &amp; HCK001 7 Piece Carbide-Tipped SDS-plus Rotary Hammer Drill Bit Set with Storage Case</t>
        </is>
      </c>
      <c r="E129" s="1">
        <f>HYPERLINK("https://www.amazon.com/Bosch-11255VSR-Bulldog-Xtreme-Carbide-Tipped/dp/B071SF7LTK/ref=sr_1_2?keywords=Bosch+HCK001+7-Piece+S4+SDS+Plus+Rotary+Hammer+Drill+Bit+Set&amp;qid=1695347552&amp;sr=8-2", "https://www.amazon.com/Bosch-11255VSR-Bulldog-Xtreme-Carbide-Tipped/dp/B071SF7LTK/ref=sr_1_2?keywords=Bosch+HCK001+7-Piece+S4+SDS+Plus+Rotary+Hammer+Drill+Bit+Set&amp;qid=1695347552&amp;sr=8-2")</f>
        <v/>
      </c>
      <c r="F129" t="inlineStr">
        <is>
          <t>B071SF7LTK</t>
        </is>
      </c>
      <c r="G129">
        <f>_xlfn.IMAGE("https://www.toolup.com/product-images/Bosch-hck001_01.jpg?resizeid=36&amp;resizeh=510&amp;resizew=510")</f>
        <v/>
      </c>
      <c r="H129">
        <f>_xlfn.IMAGE("https://m.media-amazon.com/images/I/51zjJifM2LS._AC_UL320_.jpg")</f>
        <v/>
      </c>
      <c r="K129" t="inlineStr">
        <is>
          <t>45.7</t>
        </is>
      </c>
      <c r="L129" t="n">
        <v>209.54</v>
      </c>
      <c r="M129" s="2" t="inlineStr">
        <is>
          <t>358.51%</t>
        </is>
      </c>
      <c r="N129" t="n">
        <v>4.8</v>
      </c>
      <c r="O129" t="n">
        <v>2556</v>
      </c>
      <c r="Q129" t="inlineStr">
        <is>
          <t>InStock</t>
        </is>
      </c>
      <c r="R129" t="inlineStr">
        <is>
          <t>81.09</t>
        </is>
      </c>
      <c r="S129" t="inlineStr">
        <is>
          <t>Bosch HCK001</t>
        </is>
      </c>
    </row>
    <row r="130" ht="75" customHeight="1">
      <c r="A130" s="1">
        <f>HYPERLINK("https://www.toolup.com/Bosch-HCST006-6-Piece-SDS-plus-Bulldog-Rotary-Hammer-Bit-Set", "https://www.toolup.com/Bosch-HCST006-6-Piece-SDS-plus-Bulldog-Rotary-Hammer-Bit-Set")</f>
        <v/>
      </c>
      <c r="B130" s="1">
        <f>HYPERLINK("https://www.toolup.com/Bosch-HCST006-6-Piece-SDS-plus-Bulldog-Rotary-Hammer-Bit-Set", "https://www.toolup.com/Bosch-HCST006-6-Piece-SDS-plus-Bulldog-Rotary-Hammer-Bit-Set")</f>
        <v/>
      </c>
      <c r="C130" t="inlineStr">
        <is>
          <t>Bosch HCST006 6 Piece SDS-plus Bulldog Rotary Hammer Bit Set</t>
        </is>
      </c>
      <c r="D130" t="inlineStr">
        <is>
          <t>Bosch GBH2-28L 1-1/8" SDS-plus Bulldog Xtreme Max Rotary Hammer and 6 Piece SDS-plus Masonry Trade Bit Set, Chisels and Carbide, HCST006</t>
        </is>
      </c>
      <c r="E130" s="1">
        <f>HYPERLINK("https://www.amazon.com/GBH2-28L-SDS-plus-Bulldog-Masonry-Chisels/dp/B08VY3ZFVN/ref=sr_1_1?keywords=Bosch+HCST006+6+Piece+SDS-plus+Bulldog+Rotary+Hammer+Bit+Set&amp;qid=1695347566&amp;sr=8-1", "https://www.amazon.com/GBH2-28L-SDS-plus-Bulldog-Masonry-Chisels/dp/B08VY3ZFVN/ref=sr_1_1?keywords=Bosch+HCST006+6+Piece+SDS-plus+Bulldog+Rotary+Hammer+Bit+Set&amp;qid=1695347566&amp;sr=8-1")</f>
        <v/>
      </c>
      <c r="F130" t="inlineStr">
        <is>
          <t>B08VY3ZFVN</t>
        </is>
      </c>
      <c r="G130">
        <f>_xlfn.IMAGE("https://www.toolup.com/product-images/Bosch-HCST006_01.jpg?resizeid=36&amp;resizeh=510&amp;resizew=510")</f>
        <v/>
      </c>
      <c r="H130">
        <f>_xlfn.IMAGE("https://m.media-amazon.com/images/I/51MbP7x-+OL._AC_UL320_.jpg")</f>
        <v/>
      </c>
      <c r="K130" t="inlineStr">
        <is>
          <t>34.97</t>
        </is>
      </c>
      <c r="L130" t="n">
        <v>225.36</v>
      </c>
      <c r="M130" s="2" t="inlineStr">
        <is>
          <t>544.44%</t>
        </is>
      </c>
      <c r="N130" t="n">
        <v>4.7</v>
      </c>
      <c r="O130" t="n">
        <v>899</v>
      </c>
      <c r="Q130" t="inlineStr">
        <is>
          <t>InStock</t>
        </is>
      </c>
      <c r="R130" t="inlineStr">
        <is>
          <t>88.99</t>
        </is>
      </c>
      <c r="S130" t="inlineStr">
        <is>
          <t>Bosch HCST006</t>
        </is>
      </c>
    </row>
    <row r="131" ht="75" customHeight="1">
      <c r="A131" s="1">
        <f>HYPERLINK("https://www.toolup.com/Bosch-NS300-1-4-In.-Natural-Stone-Tile-Bit", "https://www.toolup.com/Bosch-NS300-1-4-In.-Natural-Stone-Tile-Bit")</f>
        <v/>
      </c>
      <c r="B131" s="1">
        <f>HYPERLINK("https://www.toolup.com/Bosch-NS300-1-4-In.-Natural-Stone-Tile-Bit", "https://www.toolup.com/Bosch-NS300-1-4-In.-Natural-Stone-Tile-Bit")</f>
        <v/>
      </c>
      <c r="C131" t="inlineStr">
        <is>
          <t>Bosch NS300 1/4 In. Natural Stone Tile Bit</t>
        </is>
      </c>
      <c r="D131" t="inlineStr">
        <is>
          <t>BOSCH NS2000 4-Piece Carbide Tipped Natural Stone Tile Bits Assorted Set for Drilling Natural Stone, Granite, Slate, Ceramic and Glass Tiles, Easy Application with No Water Required</t>
        </is>
      </c>
      <c r="E131" s="1">
        <f>HYPERLINK("https://www.amazon.com/Bosch-NS2000-Natural-Stone-Piece/dp/B01MQXZTR7/ref=sr_1_2?keywords=Bosch+NS300+1%2F4+In.+Natural+Stone+Tile+Bit&amp;qid=1695347557&amp;sr=8-2", "https://www.amazon.com/Bosch-NS2000-Natural-Stone-Piece/dp/B01MQXZTR7/ref=sr_1_2?keywords=Bosch+NS300+1%2F4+In.+Natural+Stone+Tile+Bit&amp;qid=1695347557&amp;sr=8-2")</f>
        <v/>
      </c>
      <c r="F131" t="inlineStr">
        <is>
          <t>B01MQXZTR7</t>
        </is>
      </c>
      <c r="G131">
        <f>_xlfn.IMAGE("https://www.toolup.com/product-images/Bosch-NS300_01.jpg?resizeid=36&amp;resizeh=510&amp;resizew=510")</f>
        <v/>
      </c>
      <c r="H131">
        <f>_xlfn.IMAGE("https://m.media-amazon.com/images/I/71+T9IcEVQL._AC_UL320_.jpg")</f>
        <v/>
      </c>
      <c r="K131" t="inlineStr">
        <is>
          <t>5.6</t>
        </is>
      </c>
      <c r="L131" t="n">
        <v>19.98</v>
      </c>
      <c r="M131" s="2" t="inlineStr">
        <is>
          <t>256.79%</t>
        </is>
      </c>
      <c r="N131" t="n">
        <v>4.3</v>
      </c>
      <c r="O131" t="n">
        <v>534</v>
      </c>
      <c r="Q131" t="inlineStr">
        <is>
          <t>InStock</t>
        </is>
      </c>
      <c r="R131" t="inlineStr">
        <is>
          <t>14.49</t>
        </is>
      </c>
      <c r="S131" t="inlineStr">
        <is>
          <t>Bosch NS300</t>
        </is>
      </c>
    </row>
    <row r="132" ht="75" customHeight="1">
      <c r="A132" s="1">
        <f>HYPERLINK("https://www.toolup.com/Custom-Leather-Craft-125XL-Handyman-Glove-X-Large", "https://www.toolup.com/Custom-Leather-Craft-125XL-Handyman-Glove-X-Large")</f>
        <v/>
      </c>
      <c r="B132" s="1">
        <f>HYPERLINK("https://www.toolup.com/Custom-Leather-Craft-125XL-Handyman-Glove-X-Large", "https://www.toolup.com/Custom-Leather-Craft-125XL-Handyman-Glove-X-Large")</f>
        <v/>
      </c>
      <c r="C132" t="inlineStr">
        <is>
          <t>Custom Leather Craft 125XL Handyman Glove X-Large</t>
        </is>
      </c>
      <c r="D132" t="inlineStr">
        <is>
          <t>Custom Leathercraft 130XL Subcontractor Flex Grip Work Gloves, Extra Large</t>
        </is>
      </c>
      <c r="E132" s="1">
        <f>HYPERLINK("https://www.amazon.com/Custom-Leathercraft-130XL-Subcontractor-Gloves/dp/B0042T8840/ref=sr_1_7?keywords=Custom+Leather+Craft+125XL+Handyman+Glove+X-Large&amp;qid=1695347526&amp;sr=8-7", "https://www.amazon.com/Custom-Leathercraft-130XL-Subcontractor-Gloves/dp/B0042T8840/ref=sr_1_7?keywords=Custom+Leather+Craft+125XL+Handyman+Glove+X-Large&amp;qid=1695347526&amp;sr=8-7")</f>
        <v/>
      </c>
      <c r="F132" t="inlineStr">
        <is>
          <t>B0042T8840</t>
        </is>
      </c>
      <c r="G132">
        <f>_xlfn.IMAGE("https://www.toolup.com/product-images/Custom-Leather-Craft-125xl_01.jpg?resizeid=36&amp;resizeh=510&amp;resizew=510")</f>
        <v/>
      </c>
      <c r="H132">
        <f>_xlfn.IMAGE("https://m.media-amazon.com/images/I/81RDNErwUXL._AC_UL320_.jpg")</f>
        <v/>
      </c>
      <c r="K132" t="inlineStr">
        <is>
          <t>14.4</t>
        </is>
      </c>
      <c r="L132" t="n">
        <v>23.73</v>
      </c>
      <c r="M132" s="2" t="inlineStr">
        <is>
          <t>64.79%</t>
        </is>
      </c>
      <c r="N132" t="n">
        <v>4.6</v>
      </c>
      <c r="O132" t="n">
        <v>578</v>
      </c>
      <c r="Q132" t="inlineStr">
        <is>
          <t>InStock</t>
        </is>
      </c>
      <c r="R132" t="inlineStr">
        <is>
          <t>21.95</t>
        </is>
      </c>
      <c r="S132" t="inlineStr">
        <is>
          <t>Custom Leather 125XL</t>
        </is>
      </c>
    </row>
    <row r="133" ht="75" customHeight="1">
      <c r="A133" s="1">
        <f>HYPERLINK("https://www.toolup.com/DeWalt-DW5431-3-8-x-16-x-18-Rock-Carbide-SDS-Plus-Hammer-Bit", "https://www.toolup.com/DeWalt-DW5431-3-8-x-16-x-18-Rock-Carbide-SDS-Plus-Hammer-Bit")</f>
        <v/>
      </c>
      <c r="B133" s="1">
        <f>HYPERLINK("https://www.toolup.com/DeWalt-DW5431-3-8-x-16-x-18-Rock-Carbide-SDS-Plus-Hammer-Bit", "https://www.toolup.com/DeWalt-DW5431-3-8-x-16-x-18-Rock-Carbide-SDS-Plus-Hammer-Bit")</f>
        <v/>
      </c>
      <c r="C133" t="inlineStr">
        <is>
          <t>DeWalt DW5431 3/8" x 16" x 18" Rock Carbide SDS Plus Hammer Bit</t>
        </is>
      </c>
      <c r="D133" t="inlineStr">
        <is>
          <t>Diablo - DMAPL4170 3/8" x 16" x 18" Rebar Demon SDS+ 4-Cutter Full Carbide Head Hammer Bit</t>
        </is>
      </c>
      <c r="E133" s="1">
        <f>HYPERLINK("https://www.amazon.com/Diablo-Freud-DMAPL4170-SDS-Plus-4-Cutter/dp/B089LLBRMP/ref=sr_1_7?keywords=DeWalt+DW5431+3%2F8%22+x+16%22+x+18%22+Rock+Carbide+SDS+Plus+Hammer+Bit&amp;qid=1695347466&amp;sr=8-7", "https://www.amazon.com/Diablo-Freud-DMAPL4170-SDS-Plus-4-Cutter/dp/B089LLBRMP/ref=sr_1_7?keywords=DeWalt+DW5431+3%2F8%22+x+16%22+x+18%22+Rock+Carbide+SDS+Plus+Hammer+Bit&amp;qid=1695347466&amp;sr=8-7")</f>
        <v/>
      </c>
      <c r="F133" t="inlineStr">
        <is>
          <t>B089LLBRMP</t>
        </is>
      </c>
      <c r="G133">
        <f>_xlfn.IMAGE("https://www.toolup.com/product-images/DeWalt-DW5431_01.jpg?resizeid=36&amp;resizeh=510&amp;resizew=510")</f>
        <v/>
      </c>
      <c r="H133">
        <f>_xlfn.IMAGE("https://m.media-amazon.com/images/I/61XkkDVsH2L._AC_UL320_.jpg")</f>
        <v/>
      </c>
      <c r="K133" t="inlineStr">
        <is>
          <t>13.71</t>
        </is>
      </c>
      <c r="L133" t="n">
        <v>22.75</v>
      </c>
      <c r="M133" s="2" t="inlineStr">
        <is>
          <t>65.94%</t>
        </is>
      </c>
      <c r="N133" t="n">
        <v>4.1</v>
      </c>
      <c r="O133" t="n">
        <v>13</v>
      </c>
      <c r="Q133" t="inlineStr">
        <is>
          <t>InStock</t>
        </is>
      </c>
      <c r="R133" t="inlineStr">
        <is>
          <t>30.54</t>
        </is>
      </c>
      <c r="S133" t="inlineStr">
        <is>
          <t>DeWalt DW5431</t>
        </is>
      </c>
    </row>
    <row r="134" ht="75" customHeight="1">
      <c r="A134" s="1">
        <f>HYPERLINK("https://www.toolup.com/DeWalt-DW5431-3-8-x-16-x-18-Rock-Carbide-SDS-Plus-Hammer-Bit", "https://www.toolup.com/DeWalt-DW5431-3-8-x-16-x-18-Rock-Carbide-SDS-Plus-Hammer-Bit")</f>
        <v/>
      </c>
      <c r="B134" s="1">
        <f>HYPERLINK("https://www.toolup.com/DeWalt-DW5431-3-8-x-16-x-18-Rock-Carbide-SDS-Plus-Hammer-Bit", "https://www.toolup.com/DeWalt-DW5431-3-8-x-16-x-18-Rock-Carbide-SDS-Plus-Hammer-Bit")</f>
        <v/>
      </c>
      <c r="C134" t="inlineStr">
        <is>
          <t>DeWalt DW5431 3/8" x 16" x 18" Rock Carbide SDS Plus Hammer Bit</t>
        </is>
      </c>
      <c r="D134" t="inlineStr">
        <is>
          <t>Diablo - DMAPL4170 3/8" x 16" x 18" Rebar Demon SDS+ 4-Cutter Full Carbide Head Hammer Bit</t>
        </is>
      </c>
      <c r="E134" s="1">
        <f>HYPERLINK("https://www.amazon.com/Diablo-Freud-DMAPL4170-SDS-Plus-4-Cutter/dp/B089LLBRMP/ref=sr_1_6?keywords=DeWalt+DW5431+3%2F8%22+x+16%22+x+18%22+Rock+Carbide+SDS+Plus+Hammer+Bit&amp;qid=1695347555&amp;sr=8-6", "https://www.amazon.com/Diablo-Freud-DMAPL4170-SDS-Plus-4-Cutter/dp/B089LLBRMP/ref=sr_1_6?keywords=DeWalt+DW5431+3%2F8%22+x+16%22+x+18%22+Rock+Carbide+SDS+Plus+Hammer+Bit&amp;qid=1695347555&amp;sr=8-6")</f>
        <v/>
      </c>
      <c r="F134" t="inlineStr">
        <is>
          <t>B089LLBRMP</t>
        </is>
      </c>
      <c r="G134">
        <f>_xlfn.IMAGE("https://www.toolup.com/product-images/DeWalt-DW5431_01.jpg?resizeid=36&amp;resizeh=510&amp;resizew=510")</f>
        <v/>
      </c>
      <c r="H134">
        <f>_xlfn.IMAGE("https://m.media-amazon.com/images/I/61XkkDVsH2L._AC_UL320_.jpg")</f>
        <v/>
      </c>
      <c r="K134" t="inlineStr">
        <is>
          <t>13.71</t>
        </is>
      </c>
      <c r="L134" t="n">
        <v>22.75</v>
      </c>
      <c r="M134" s="2" t="inlineStr">
        <is>
          <t>65.94%</t>
        </is>
      </c>
      <c r="N134" t="n">
        <v>4.1</v>
      </c>
      <c r="O134" t="n">
        <v>13</v>
      </c>
      <c r="Q134" t="inlineStr">
        <is>
          <t>InStock</t>
        </is>
      </c>
      <c r="R134" t="inlineStr">
        <is>
          <t>30.54</t>
        </is>
      </c>
      <c r="S134" t="inlineStr">
        <is>
          <t>DeWalt DW5431</t>
        </is>
      </c>
    </row>
    <row r="135" ht="75" customHeight="1">
      <c r="A135" s="1">
        <f>HYPERLINK("https://www.toolup.com/DeWalt-DW5803-1-2-x-8-x-13-1-2-2-Cutter-SDS-Max-Rotary-Hammer-Bit", "https://www.toolup.com/DeWalt-DW5803-1-2-x-8-x-13-1-2-2-Cutter-SDS-Max-Rotary-Hammer-Bit")</f>
        <v/>
      </c>
      <c r="B135" s="1">
        <f>HYPERLINK("https://www.toolup.com/DeWalt-DW5803-1-2-x-8-x-13-1-2-2-Cutter-SDS-Max-Rotary-Hammer-Bit", "https://www.toolup.com/DeWalt-DW5803-1-2-x-8-x-13-1-2-2-Cutter-SDS-Max-Rotary-Hammer-Bit")</f>
        <v/>
      </c>
      <c r="C135" t="inlineStr">
        <is>
          <t>DeWalt DW5803 1/2" x 8" x 13-1/2" 2-Cutter SDS Max Rotary Hammer Bit</t>
        </is>
      </c>
      <c r="D135" t="inlineStr">
        <is>
          <t>DEWALT SDS MAX Bit for Rotary Hammer, 4 Cutter, 2-Inch x 22-1/2-Inch (DW5831)</t>
        </is>
      </c>
      <c r="E135" s="1">
        <f>HYPERLINK("https://www.amazon.com/DEWALT-DW5831-2-Inch-18-Inch-4-Cutter/dp/B00004RHF3/ref=sr_1_8?keywords=DeWalt+DW5803+1%2F2%22+x+8%22+x+13-1%2F2%22+2-Cutter+SDS+Max+Rotary+Hammer+Bit&amp;qid=1695347470&amp;sr=8-8", "https://www.amazon.com/DEWALT-DW5831-2-Inch-18-Inch-4-Cutter/dp/B00004RHF3/ref=sr_1_8?keywords=DeWalt+DW5803+1%2F2%22+x+8%22+x+13-1%2F2%22+2-Cutter+SDS+Max+Rotary+Hammer+Bit&amp;qid=1695347470&amp;sr=8-8")</f>
        <v/>
      </c>
      <c r="F135" t="inlineStr">
        <is>
          <t>B00004RHF3</t>
        </is>
      </c>
      <c r="G135">
        <f>_xlfn.IMAGE("https://www.toolup.com/product-images/Dewalt-DW5803_01.jpg?resizeid=36&amp;resizeh=510&amp;resizew=510")</f>
        <v/>
      </c>
      <c r="H135">
        <f>_xlfn.IMAGE("https://m.media-amazon.com/images/I/71yz2H2BvAL._AC_UY218_.jpg")</f>
        <v/>
      </c>
      <c r="K135" t="inlineStr">
        <is>
          <t>33.3</t>
        </is>
      </c>
      <c r="L135" t="n">
        <v>149</v>
      </c>
      <c r="M135" s="2" t="inlineStr">
        <is>
          <t>347.45%</t>
        </is>
      </c>
      <c r="N135" t="n">
        <v>4.2</v>
      </c>
      <c r="O135" t="n">
        <v>40</v>
      </c>
      <c r="Q135" t="inlineStr">
        <is>
          <t>InStock</t>
        </is>
      </c>
      <c r="R135" t="inlineStr">
        <is>
          <t>68.02</t>
        </is>
      </c>
      <c r="S135" t="inlineStr">
        <is>
          <t>DeWalt DW5803</t>
        </is>
      </c>
    </row>
    <row r="136" ht="75" customHeight="1">
      <c r="A136" s="1">
        <f>HYPERLINK("https://www.toolup.com/DeWalt-DW5803-1-2-x-8-x-13-1-2-2-Cutter-SDS-Max-Rotary-Hammer-Bit", "https://www.toolup.com/DeWalt-DW5803-1-2-x-8-x-13-1-2-2-Cutter-SDS-Max-Rotary-Hammer-Bit")</f>
        <v/>
      </c>
      <c r="B136" s="1">
        <f>HYPERLINK("https://www.toolup.com/DeWalt-DW5803-1-2-x-8-x-13-1-2-2-Cutter-SDS-Max-Rotary-Hammer-Bit", "https://www.toolup.com/DeWalt-DW5803-1-2-x-8-x-13-1-2-2-Cutter-SDS-Max-Rotary-Hammer-Bit")</f>
        <v/>
      </c>
      <c r="C136" t="inlineStr">
        <is>
          <t>DeWalt DW5803 1/2" x 8" x 13-1/2" 2-Cutter SDS Max Rotary Hammer Bit</t>
        </is>
      </c>
      <c r="D136" t="inlineStr">
        <is>
          <t>DEWALT SDS MAX Bit for Rotary Hammer, 4 Cutter, 2-Inch x 22-1/2-Inch (DW5831)</t>
        </is>
      </c>
      <c r="E136" s="1">
        <f>HYPERLINK("https://www.amazon.com/DEWALT-DW5831-2-Inch-18-Inch-4-Cutter/dp/B00004RHF3/ref=sr_1_9?keywords=DeWalt+DW5803+1%2F2%22+x+8%22+x+13-1%2F2%22+2-Cutter+SDS+Max+Rotary+Hammer+Bit&amp;qid=1695347554&amp;sr=8-9", "https://www.amazon.com/DEWALT-DW5831-2-Inch-18-Inch-4-Cutter/dp/B00004RHF3/ref=sr_1_9?keywords=DeWalt+DW5803+1%2F2%22+x+8%22+x+13-1%2F2%22+2-Cutter+SDS+Max+Rotary+Hammer+Bit&amp;qid=1695347554&amp;sr=8-9")</f>
        <v/>
      </c>
      <c r="F136" t="inlineStr">
        <is>
          <t>B00004RHF3</t>
        </is>
      </c>
      <c r="G136">
        <f>_xlfn.IMAGE("https://www.toolup.com/product-images/Dewalt-DW5803_01.jpg?resizeid=36&amp;resizeh=510&amp;resizew=510")</f>
        <v/>
      </c>
      <c r="H136">
        <f>_xlfn.IMAGE("https://m.media-amazon.com/images/I/71yz2H2BvAL._AC_UY218_.jpg")</f>
        <v/>
      </c>
      <c r="K136" t="inlineStr">
        <is>
          <t>33.3</t>
        </is>
      </c>
      <c r="L136" t="n">
        <v>149</v>
      </c>
      <c r="M136" s="2" t="inlineStr">
        <is>
          <t>347.45%</t>
        </is>
      </c>
      <c r="N136" t="n">
        <v>4.2</v>
      </c>
      <c r="O136" t="n">
        <v>40</v>
      </c>
      <c r="Q136" t="inlineStr">
        <is>
          <t>InStock</t>
        </is>
      </c>
      <c r="R136" t="inlineStr">
        <is>
          <t>68.02</t>
        </is>
      </c>
      <c r="S136" t="inlineStr">
        <is>
          <t>DeWalt DW5803</t>
        </is>
      </c>
    </row>
    <row r="137" ht="75" customHeight="1">
      <c r="A137" s="1">
        <f>HYPERLINK("https://www.toolup.com/DeWalt-DW5804-1-2-x-16-x-21-1-2-2-Cutter-SDS-Max-Rotary-Hammer-Bit", "https://www.toolup.com/DeWalt-DW5804-1-2-x-16-x-21-1-2-2-Cutter-SDS-Max-Rotary-Hammer-Bit")</f>
        <v/>
      </c>
      <c r="B137" s="1">
        <f>HYPERLINK("https://www.toolup.com/DeWalt-DW5804-1-2-x-16-x-21-1-2-2-Cutter-SDS-Max-Rotary-Hammer-Bit", "https://www.toolup.com/DeWalt-DW5804-1-2-x-16-x-21-1-2-2-Cutter-SDS-Max-Rotary-Hammer-Bit")</f>
        <v/>
      </c>
      <c r="C137" t="inlineStr">
        <is>
          <t>DeWalt DW5804 1/2" x 16" x 21-1/2" 2-Cutter SDS Max Rotary Hammer Bit</t>
        </is>
      </c>
      <c r="D137" t="inlineStr">
        <is>
          <t>DEWALT DW5808 11/16-Inch by 16-Inch by 21-1/2-Inch 4-Cutter SDS Max Rotary Hammer Bit</t>
        </is>
      </c>
      <c r="E137" s="1">
        <f>HYPERLINK("https://www.amazon.com/DEWALT-DW5808-16-Inch-2-Inch-4-Cutter/dp/B00004RHEH/ref=sr_1_6?keywords=DeWalt+DW5804+1%2F2%22+x+16%22+x+21-1%2F2%22+2-Cutter+SDS+Max+Rotary+Hammer+Bit&amp;qid=1695347477&amp;sr=8-6", "https://www.amazon.com/DEWALT-DW5808-16-Inch-2-Inch-4-Cutter/dp/B00004RHEH/ref=sr_1_6?keywords=DeWalt+DW5804+1%2F2%22+x+16%22+x+21-1%2F2%22+2-Cutter+SDS+Max+Rotary+Hammer+Bit&amp;qid=1695347477&amp;sr=8-6")</f>
        <v/>
      </c>
      <c r="F137" t="inlineStr">
        <is>
          <t>B00004RHEH</t>
        </is>
      </c>
      <c r="G137">
        <f>_xlfn.IMAGE("https://www.toolup.com/product-images/DeWalt-DW5804_01.jpg?resizeid=36&amp;resizeh=510&amp;resizew=510")</f>
        <v/>
      </c>
      <c r="H137">
        <f>_xlfn.IMAGE("https://m.media-amazon.com/images/I/31yYbw2A2+L._AC_UL320_.jpg")</f>
        <v/>
      </c>
      <c r="K137" t="inlineStr">
        <is>
          <t>31.67</t>
        </is>
      </c>
      <c r="L137" t="n">
        <v>67.20999999999999</v>
      </c>
      <c r="M137" s="2" t="inlineStr">
        <is>
          <t>112.22%</t>
        </is>
      </c>
      <c r="N137" t="n">
        <v>5</v>
      </c>
      <c r="O137" t="n">
        <v>2</v>
      </c>
      <c r="Q137" t="inlineStr">
        <is>
          <t>InStock</t>
        </is>
      </c>
      <c r="R137" t="inlineStr">
        <is>
          <t>92.76</t>
        </is>
      </c>
      <c r="S137" t="inlineStr">
        <is>
          <t>DeWalt DW5804</t>
        </is>
      </c>
    </row>
    <row r="138" ht="75" customHeight="1">
      <c r="A138" s="1">
        <f>HYPERLINK("https://www.toolup.com/DeWalt-DW5804-1-2-x-16-x-21-1-2-2-Cutter-SDS-Max-Rotary-Hammer-Bit", "https://www.toolup.com/DeWalt-DW5804-1-2-x-16-x-21-1-2-2-Cutter-SDS-Max-Rotary-Hammer-Bit")</f>
        <v/>
      </c>
      <c r="B138" s="1">
        <f>HYPERLINK("https://www.toolup.com/DeWalt-DW5804-1-2-x-16-x-21-1-2-2-Cutter-SDS-Max-Rotary-Hammer-Bit", "https://www.toolup.com/DeWalt-DW5804-1-2-x-16-x-21-1-2-2-Cutter-SDS-Max-Rotary-Hammer-Bit")</f>
        <v/>
      </c>
      <c r="C138" t="inlineStr">
        <is>
          <t>DeWalt DW5804 1/2" x 16" x 21-1/2" 2-Cutter SDS Max Rotary Hammer Bit</t>
        </is>
      </c>
      <c r="D138" t="inlineStr">
        <is>
          <t>DEWALT DW5808 11/16-Inch by 16-Inch by 21-1/2-Inch 4-Cutter SDS Max Rotary Hammer Bit</t>
        </is>
      </c>
      <c r="E138" s="1">
        <f>HYPERLINK("https://www.amazon.com/DEWALT-DW5808-16-Inch-2-Inch-4-Cutter/dp/B00004RHEH/ref=sr_1_10?keywords=DeWalt+DW5804+1%2F2%22+x+16%22+x+21-1%2F2%22+2-Cutter+SDS+Max+Rotary+Hammer+Bit&amp;qid=1695347556&amp;sr=8-10", "https://www.amazon.com/DEWALT-DW5808-16-Inch-2-Inch-4-Cutter/dp/B00004RHEH/ref=sr_1_10?keywords=DeWalt+DW5804+1%2F2%22+x+16%22+x+21-1%2F2%22+2-Cutter+SDS+Max+Rotary+Hammer+Bit&amp;qid=1695347556&amp;sr=8-10")</f>
        <v/>
      </c>
      <c r="F138" t="inlineStr">
        <is>
          <t>B00004RHEH</t>
        </is>
      </c>
      <c r="G138">
        <f>_xlfn.IMAGE("https://www.toolup.com/product-images/DeWalt-DW5804_01.jpg?resizeid=36&amp;resizeh=510&amp;resizew=510")</f>
        <v/>
      </c>
      <c r="H138">
        <f>_xlfn.IMAGE("https://m.media-amazon.com/images/I/31yYbw2A2+L._AC_UL320_.jpg")</f>
        <v/>
      </c>
      <c r="K138" t="inlineStr">
        <is>
          <t>31.67</t>
        </is>
      </c>
      <c r="L138" t="n">
        <v>64.7</v>
      </c>
      <c r="M138" s="2" t="inlineStr">
        <is>
          <t>104.29%</t>
        </is>
      </c>
      <c r="N138" t="n">
        <v>5</v>
      </c>
      <c r="O138" t="n">
        <v>2</v>
      </c>
      <c r="Q138" t="inlineStr">
        <is>
          <t>InStock</t>
        </is>
      </c>
      <c r="R138" t="inlineStr">
        <is>
          <t>92.76</t>
        </is>
      </c>
      <c r="S138" t="inlineStr">
        <is>
          <t>DeWalt DW5804</t>
        </is>
      </c>
    </row>
    <row r="139" ht="75" customHeight="1">
      <c r="A139" s="1">
        <f>HYPERLINK("https://www.toolup.com/DeWalt-DW5810-3-4-x-8-x-13-1-2-4-Cutter-SDS-Max-Rotary-Hammer-Bit", "https://www.toolup.com/DeWalt-DW5810-3-4-x-8-x-13-1-2-4-Cutter-SDS-Max-Rotary-Hammer-Bit")</f>
        <v/>
      </c>
      <c r="B139" s="1">
        <f>HYPERLINK("https://www.toolup.com/DeWalt-DW5810-3-4-x-8-x-13-1-2-4-Cutter-SDS-Max-Rotary-Hammer-Bit", "https://www.toolup.com/DeWalt-DW5810-3-4-x-8-x-13-1-2-4-Cutter-SDS-Max-Rotary-Hammer-Bit")</f>
        <v/>
      </c>
      <c r="C139" t="inlineStr">
        <is>
          <t>DeWalt DW5810 3/4" x 8" x 13-1/2" 4-Cutter SDS Max Rotary Hammer Bit</t>
        </is>
      </c>
      <c r="D139" t="inlineStr">
        <is>
          <t>DEWALT DW5813 3/4-Inch by 31-Inch by 36-Inch 4-Cutter SDS Max Rotary Hammer Bit</t>
        </is>
      </c>
      <c r="E139" s="1">
        <f>HYPERLINK("https://www.amazon.com/DEWALT-DW5813-31-Inch-36-Inch-4-Cutter/dp/B00004RHEL/ref=sr_1_8?keywords=DeWalt+DW5810+3%2F4%22+x+8%22+x+13-1%2F2%22+4-Cutter+SDS+Max+Rotary+Hammer+Bit&amp;qid=1695347574&amp;sr=8-8", "https://www.amazon.com/DEWALT-DW5813-31-Inch-36-Inch-4-Cutter/dp/B00004RHEL/ref=sr_1_8?keywords=DeWalt+DW5810+3%2F4%22+x+8%22+x+13-1%2F2%22+4-Cutter+SDS+Max+Rotary+Hammer+Bit&amp;qid=1695347574&amp;sr=8-8")</f>
        <v/>
      </c>
      <c r="F139" t="inlineStr">
        <is>
          <t>B00004RHEL</t>
        </is>
      </c>
      <c r="G139">
        <f>_xlfn.IMAGE("https://www.toolup.com/product-images/Dewalt-DW5803_01.jpg?resizeid=36&amp;resizeh=510&amp;resizew=510")</f>
        <v/>
      </c>
      <c r="H139">
        <f>_xlfn.IMAGE("https://m.media-amazon.com/images/I/51nl84MSbuL._AC_UL320_.jpg")</f>
        <v/>
      </c>
      <c r="K139" t="inlineStr">
        <is>
          <t>28.69</t>
        </is>
      </c>
      <c r="L139" t="n">
        <v>80.19</v>
      </c>
      <c r="M139" s="2" t="inlineStr">
        <is>
          <t>179.51%</t>
        </is>
      </c>
      <c r="N139" t="n">
        <v>4</v>
      </c>
      <c r="O139" t="n">
        <v>8</v>
      </c>
      <c r="Q139" t="inlineStr">
        <is>
          <t>InStock</t>
        </is>
      </c>
      <c r="R139" t="inlineStr">
        <is>
          <t>80.42</t>
        </is>
      </c>
      <c r="S139" t="inlineStr">
        <is>
          <t>DeWalt DW5810</t>
        </is>
      </c>
    </row>
    <row r="140" ht="75" customHeight="1">
      <c r="A140" s="1">
        <f>HYPERLINK("https://www.toolup.com/DeWalt-DW5812-3-4-x-16-x-21-1-2-4-Cutter-SDS-Max-Rotary-Hammer-Bit", "https://www.toolup.com/DeWalt-DW5812-3-4-x-16-x-21-1-2-4-Cutter-SDS-Max-Rotary-Hammer-Bit")</f>
        <v/>
      </c>
      <c r="B140" s="1">
        <f>HYPERLINK("https://www.toolup.com/DeWalt-DW5812-3-4-x-16-x-21-1-2-4-Cutter-SDS-Max-Rotary-Hammer-Bit", "https://www.toolup.com/DeWalt-DW5812-3-4-x-16-x-21-1-2-4-Cutter-SDS-Max-Rotary-Hammer-Bit")</f>
        <v/>
      </c>
      <c r="C140" t="inlineStr">
        <is>
          <t>DeWalt DW5812 3/4" x 16" x 21-1/2" 4-Cutter SDS Max Rotary Hammer Bit</t>
        </is>
      </c>
      <c r="D140" t="inlineStr">
        <is>
          <t>DEWALT DW5814 13/16-Inch by 16-Inch by 21-1/2-Inch 4-Cutter SDS Max Rotary Hammer Bit</t>
        </is>
      </c>
      <c r="E140" s="1">
        <f>HYPERLINK("https://www.amazon.com/DEWALT-DW5814-16-Inch-2-Inch-4-Cutter/dp/B00004RHEM/ref=sr_1_6?keywords=DeWalt+DW5812+3%2F4%22+x+16%22+x+21-1%2F2%22+4-Cutter+SDS+Max+Rotary+Hammer+Bit&amp;qid=1695347470&amp;sr=8-6", "https://www.amazon.com/DEWALT-DW5814-16-Inch-2-Inch-4-Cutter/dp/B00004RHEM/ref=sr_1_6?keywords=DeWalt+DW5812+3%2F4%22+x+16%22+x+21-1%2F2%22+4-Cutter+SDS+Max+Rotary+Hammer+Bit&amp;qid=1695347470&amp;sr=8-6")</f>
        <v/>
      </c>
      <c r="F140" t="inlineStr">
        <is>
          <t>B00004RHEM</t>
        </is>
      </c>
      <c r="G140">
        <f>_xlfn.IMAGE("https://www.toolup.com/product-images/Dewalt-DW5803_01.jpg?resizeid=36&amp;resizeh=510&amp;resizew=510")</f>
        <v/>
      </c>
      <c r="H140">
        <f>_xlfn.IMAGE("https://m.media-amazon.com/images/I/51o8mRyYbGL._AC_UL320_.jpg")</f>
        <v/>
      </c>
      <c r="K140" t="inlineStr">
        <is>
          <t>35.63</t>
        </is>
      </c>
      <c r="L140" t="n">
        <v>66.48999999999999</v>
      </c>
      <c r="M140" s="2" t="inlineStr">
        <is>
          <t>86.61%</t>
        </is>
      </c>
      <c r="N140" t="n">
        <v>5</v>
      </c>
      <c r="O140" t="n">
        <v>2</v>
      </c>
      <c r="Q140" t="inlineStr">
        <is>
          <t>InStock</t>
        </is>
      </c>
      <c r="R140" t="inlineStr">
        <is>
          <t>98.99</t>
        </is>
      </c>
      <c r="S140" t="inlineStr">
        <is>
          <t>DeWalt DW5812</t>
        </is>
      </c>
    </row>
    <row r="141" ht="75" customHeight="1">
      <c r="A141" s="1">
        <f>HYPERLINK("https://www.toolup.com/DeWalt-DW5812-3-4-x-16-x-21-1-2-4-Cutter-SDS-Max-Rotary-Hammer-Bit", "https://www.toolup.com/DeWalt-DW5812-3-4-x-16-x-21-1-2-4-Cutter-SDS-Max-Rotary-Hammer-Bit")</f>
        <v/>
      </c>
      <c r="B141" s="1">
        <f>HYPERLINK("https://www.toolup.com/DeWalt-DW5812-3-4-x-16-x-21-1-2-4-Cutter-SDS-Max-Rotary-Hammer-Bit", "https://www.toolup.com/DeWalt-DW5812-3-4-x-16-x-21-1-2-4-Cutter-SDS-Max-Rotary-Hammer-Bit")</f>
        <v/>
      </c>
      <c r="C141" t="inlineStr">
        <is>
          <t>DeWalt DW5812 3/4" x 16" x 21-1/2" 4-Cutter SDS Max Rotary Hammer Bit</t>
        </is>
      </c>
      <c r="D141" t="inlineStr">
        <is>
          <t>DEWALT DW5808 11/16-Inch by 16-Inch by 21-1/2-Inch 4-Cutter SDS Max Rotary Hammer Bit</t>
        </is>
      </c>
      <c r="E141" s="1">
        <f>HYPERLINK("https://www.amazon.com/DEWALT-DW5808-16-Inch-2-Inch-4-Cutter/dp/B00004RHEH/ref=sr_1_2?keywords=DeWalt+DW5812+3%2F4%22+x+16%22+x+21-1%2F2%22+4-Cutter+SDS+Max+Rotary+Hammer+Bit&amp;qid=1695347470&amp;sr=8-2", "https://www.amazon.com/DEWALT-DW5808-16-Inch-2-Inch-4-Cutter/dp/B00004RHEH/ref=sr_1_2?keywords=DeWalt+DW5812+3%2F4%22+x+16%22+x+21-1%2F2%22+4-Cutter+SDS+Max+Rotary+Hammer+Bit&amp;qid=1695347470&amp;sr=8-2")</f>
        <v/>
      </c>
      <c r="F141" t="inlineStr">
        <is>
          <t>B00004RHEH</t>
        </is>
      </c>
      <c r="G141">
        <f>_xlfn.IMAGE("https://www.toolup.com/product-images/Dewalt-DW5803_01.jpg?resizeid=36&amp;resizeh=510&amp;resizew=510")</f>
        <v/>
      </c>
      <c r="H141">
        <f>_xlfn.IMAGE("https://m.media-amazon.com/images/I/31yYbw2A2+L._AC_UL320_.jpg")</f>
        <v/>
      </c>
      <c r="K141" t="inlineStr">
        <is>
          <t>35.63</t>
        </is>
      </c>
      <c r="L141" t="n">
        <v>64.7</v>
      </c>
      <c r="M141" s="2" t="inlineStr">
        <is>
          <t>81.59%</t>
        </is>
      </c>
      <c r="N141" t="n">
        <v>5</v>
      </c>
      <c r="O141" t="n">
        <v>2</v>
      </c>
      <c r="Q141" t="inlineStr">
        <is>
          <t>InStock</t>
        </is>
      </c>
      <c r="R141" t="inlineStr">
        <is>
          <t>98.99</t>
        </is>
      </c>
      <c r="S141" t="inlineStr">
        <is>
          <t>DeWalt DW5812</t>
        </is>
      </c>
    </row>
    <row r="142" ht="75" customHeight="1">
      <c r="A142" s="1">
        <f>HYPERLINK("https://www.toolup.com/DeWalt-DW5812-3-4-x-16-x-21-1-2-4-Cutter-SDS-Max-Rotary-Hammer-Bit", "https://www.toolup.com/DeWalt-DW5812-3-4-x-16-x-21-1-2-4-Cutter-SDS-Max-Rotary-Hammer-Bit")</f>
        <v/>
      </c>
      <c r="B142" s="1">
        <f>HYPERLINK("https://www.toolup.com/DeWalt-DW5812-3-4-x-16-x-21-1-2-4-Cutter-SDS-Max-Rotary-Hammer-Bit", "https://www.toolup.com/DeWalt-DW5812-3-4-x-16-x-21-1-2-4-Cutter-SDS-Max-Rotary-Hammer-Bit")</f>
        <v/>
      </c>
      <c r="C142" t="inlineStr">
        <is>
          <t>DeWalt DW5812 3/4" x 16" x 21-1/2" 4-Cutter SDS Max Rotary Hammer Bit</t>
        </is>
      </c>
      <c r="D142" t="inlineStr">
        <is>
          <t>DEWALT DW5814 13/16-Inch by 16-Inch by 21-1/2-Inch 4-Cutter SDS Max Rotary Hammer Bit</t>
        </is>
      </c>
      <c r="E142" s="1">
        <f>HYPERLINK("https://www.amazon.com/DEWALT-DW5814-16-Inch-2-Inch-4-Cutter/dp/B00004RHEM/ref=sr_1_6?keywords=DeWalt+DW5812+3%2F4%22+x+16%22+x+21-1%2F2%22+4-Cutter+SDS+Max+Rotary+Hammer+Bit&amp;qid=1695347551&amp;sr=8-6", "https://www.amazon.com/DEWALT-DW5814-16-Inch-2-Inch-4-Cutter/dp/B00004RHEM/ref=sr_1_6?keywords=DeWalt+DW5812+3%2F4%22+x+16%22+x+21-1%2F2%22+4-Cutter+SDS+Max+Rotary+Hammer+Bit&amp;qid=1695347551&amp;sr=8-6")</f>
        <v/>
      </c>
      <c r="F142" t="inlineStr">
        <is>
          <t>B00004RHEM</t>
        </is>
      </c>
      <c r="G142">
        <f>_xlfn.IMAGE("https://www.toolup.com/product-images/Dewalt-DW5803_01.jpg?resizeid=36&amp;resizeh=510&amp;resizew=510")</f>
        <v/>
      </c>
      <c r="H142">
        <f>_xlfn.IMAGE("https://m.media-amazon.com/images/I/51o8mRyYbGL._AC_UL320_.jpg")</f>
        <v/>
      </c>
      <c r="K142" t="inlineStr">
        <is>
          <t>35.63</t>
        </is>
      </c>
      <c r="L142" t="n">
        <v>66.48999999999999</v>
      </c>
      <c r="M142" s="2" t="inlineStr">
        <is>
          <t>86.61%</t>
        </is>
      </c>
      <c r="N142" t="n">
        <v>5</v>
      </c>
      <c r="O142" t="n">
        <v>2</v>
      </c>
      <c r="Q142" t="inlineStr">
        <is>
          <t>InStock</t>
        </is>
      </c>
      <c r="R142" t="inlineStr">
        <is>
          <t>98.99</t>
        </is>
      </c>
      <c r="S142" t="inlineStr">
        <is>
          <t>DeWalt DW5812</t>
        </is>
      </c>
    </row>
    <row r="143" ht="75" customHeight="1">
      <c r="A143" s="1">
        <f>HYPERLINK("https://www.toolup.com/DeWalt-DW5812-3-4-x-16-x-21-1-2-4-Cutter-SDS-Max-Rotary-Hammer-Bit", "https://www.toolup.com/DeWalt-DW5812-3-4-x-16-x-21-1-2-4-Cutter-SDS-Max-Rotary-Hammer-Bit")</f>
        <v/>
      </c>
      <c r="B143" s="1">
        <f>HYPERLINK("https://www.toolup.com/DeWalt-DW5812-3-4-x-16-x-21-1-2-4-Cutter-SDS-Max-Rotary-Hammer-Bit", "https://www.toolup.com/DeWalt-DW5812-3-4-x-16-x-21-1-2-4-Cutter-SDS-Max-Rotary-Hammer-Bit")</f>
        <v/>
      </c>
      <c r="C143" t="inlineStr">
        <is>
          <t>DeWalt DW5812 3/4" x 16" x 21-1/2" 4-Cutter SDS Max Rotary Hammer Bit</t>
        </is>
      </c>
      <c r="D143" t="inlineStr">
        <is>
          <t>DEWALT DW5808 11/16-Inch by 16-Inch by 21-1/2-Inch 4-Cutter SDS Max Rotary Hammer Bit</t>
        </is>
      </c>
      <c r="E143" s="1">
        <f>HYPERLINK("https://www.amazon.com/DEWALT-DW5808-16-Inch-2-Inch-4-Cutter/dp/B00004RHEH/ref=sr_1_2?keywords=DeWalt+DW5812+3%2F4%22+x+16%22+x+21-1%2F2%22+4-Cutter+SDS+Max+Rotary+Hammer+Bit&amp;qid=1695347551&amp;sr=8-2", "https://www.amazon.com/DEWALT-DW5808-16-Inch-2-Inch-4-Cutter/dp/B00004RHEH/ref=sr_1_2?keywords=DeWalt+DW5812+3%2F4%22+x+16%22+x+21-1%2F2%22+4-Cutter+SDS+Max+Rotary+Hammer+Bit&amp;qid=1695347551&amp;sr=8-2")</f>
        <v/>
      </c>
      <c r="F143" t="inlineStr">
        <is>
          <t>B00004RHEH</t>
        </is>
      </c>
      <c r="G143">
        <f>_xlfn.IMAGE("https://www.toolup.com/product-images/Dewalt-DW5803_01.jpg?resizeid=36&amp;resizeh=510&amp;resizew=510")</f>
        <v/>
      </c>
      <c r="H143">
        <f>_xlfn.IMAGE("https://m.media-amazon.com/images/I/31yYbw2A2+L._AC_UL320_.jpg")</f>
        <v/>
      </c>
      <c r="K143" t="inlineStr">
        <is>
          <t>35.63</t>
        </is>
      </c>
      <c r="L143" t="n">
        <v>64.7</v>
      </c>
      <c r="M143" s="2" t="inlineStr">
        <is>
          <t>81.59%</t>
        </is>
      </c>
      <c r="N143" t="n">
        <v>5</v>
      </c>
      <c r="O143" t="n">
        <v>2</v>
      </c>
      <c r="Q143" t="inlineStr">
        <is>
          <t>InStock</t>
        </is>
      </c>
      <c r="R143" t="inlineStr">
        <is>
          <t>98.99</t>
        </is>
      </c>
      <c r="S143" t="inlineStr">
        <is>
          <t>DeWalt DW5812</t>
        </is>
      </c>
    </row>
    <row r="144" ht="75" customHeight="1">
      <c r="A144" s="1">
        <f>HYPERLINK("https://www.toolup.com/DeWalt-DW5822-1-1-8-x-18-x-22-1-2-4-Cutter-SDS-Max-Rotary-Hammer-Bit", "https://www.toolup.com/DeWalt-DW5822-1-1-8-x-18-x-22-1-2-4-Cutter-SDS-Max-Rotary-Hammer-Bit")</f>
        <v/>
      </c>
      <c r="B144" s="1">
        <f>HYPERLINK("https://www.toolup.com/DeWalt-DW5822-1-1-8-x-18-x-22-1-2-4-Cutter-SDS-Max-Rotary-Hammer-Bit", "https://www.toolup.com/DeWalt-DW5822-1-1-8-x-18-x-22-1-2-4-Cutter-SDS-Max-Rotary-Hammer-Bit")</f>
        <v/>
      </c>
      <c r="C144" t="inlineStr">
        <is>
          <t>DeWalt DW5822 1-1/8" x 18" x 22-1/2" 4-Cutter SDS Max Rotary Hammer Bit</t>
        </is>
      </c>
      <c r="D144" t="inlineStr">
        <is>
          <t>DEWALT SDS MAX Bit for Rotary Hammer, 4 Cutter, 2-Inch x 22-1/2-Inch (DW5831)</t>
        </is>
      </c>
      <c r="E144" s="1">
        <f>HYPERLINK("https://www.amazon.com/DEWALT-DW5831-2-Inch-18-Inch-4-Cutter/dp/B00004RHF3/ref=sr_1_10?keywords=DeWalt+DW5822+1-1%2F8%22+x+18%22+x+22-1%2F2%22+4-Cutter+SDS+Max+Rotary+Hammer+Bit&amp;qid=1695347567&amp;sr=8-10", "https://www.amazon.com/DEWALT-DW5831-2-Inch-18-Inch-4-Cutter/dp/B00004RHF3/ref=sr_1_10?keywords=DeWalt+DW5822+1-1%2F8%22+x+18%22+x+22-1%2F2%22+4-Cutter+SDS+Max+Rotary+Hammer+Bit&amp;qid=1695347567&amp;sr=8-10")</f>
        <v/>
      </c>
      <c r="F144" t="inlineStr">
        <is>
          <t>B00004RHF3</t>
        </is>
      </c>
      <c r="G144">
        <f>_xlfn.IMAGE("https://www.toolup.com/product-images/Dewalt-DW5803_01.jpg?resizeid=36&amp;resizeh=510&amp;resizew=510")</f>
        <v/>
      </c>
      <c r="H144">
        <f>_xlfn.IMAGE("https://m.media-amazon.com/images/I/71yz2H2BvAL._AC_UL320_.jpg")</f>
        <v/>
      </c>
      <c r="K144" t="inlineStr">
        <is>
          <t>62.98</t>
        </is>
      </c>
      <c r="L144" t="n">
        <v>149</v>
      </c>
      <c r="M144" s="2" t="inlineStr">
        <is>
          <t>136.58%</t>
        </is>
      </c>
      <c r="N144" t="n">
        <v>4.2</v>
      </c>
      <c r="O144" t="n">
        <v>40</v>
      </c>
      <c r="Q144" t="inlineStr">
        <is>
          <t>InStock</t>
        </is>
      </c>
      <c r="R144" t="inlineStr">
        <is>
          <t>158.79</t>
        </is>
      </c>
      <c r="S144" t="inlineStr">
        <is>
          <t>DeWalt DW5822</t>
        </is>
      </c>
    </row>
    <row r="145" ht="75" customHeight="1">
      <c r="A145" s="1">
        <f>HYPERLINK("https://www.toolup.com/DeWalt-DW5822-1-1-8-x-18-x-22-1-2-4-Cutter-SDS-Max-Rotary-Hammer-Bit", "https://www.toolup.com/DeWalt-DW5822-1-1-8-x-18-x-22-1-2-4-Cutter-SDS-Max-Rotary-Hammer-Bit")</f>
        <v/>
      </c>
      <c r="B145" s="1">
        <f>HYPERLINK("https://www.toolup.com/DeWalt-DW5822-1-1-8-x-18-x-22-1-2-4-Cutter-SDS-Max-Rotary-Hammer-Bit", "https://www.toolup.com/DeWalt-DW5822-1-1-8-x-18-x-22-1-2-4-Cutter-SDS-Max-Rotary-Hammer-Bit")</f>
        <v/>
      </c>
      <c r="C145" t="inlineStr">
        <is>
          <t>DeWalt DW5822 1-1/8" x 18" x 22-1/2" 4-Cutter SDS Max Rotary Hammer Bit</t>
        </is>
      </c>
      <c r="D145" t="inlineStr">
        <is>
          <t>DEWALT DW5828 1-1/2-Inch by 18-Inch by 22-1/2-Inch 4-Cutter SDS Max Rotary Hammer Bit</t>
        </is>
      </c>
      <c r="E145" s="1">
        <f>HYPERLINK("https://www.amazon.com/DEWALT-DW5828-2-Inch-18-Inch-4-Cutter/dp/B00004RHF0/ref=sr_1_2?keywords=DeWalt+DW5822+1-1%2F8%22+x+18%22+x+22-1%2F2%22+4-Cutter+SDS+Max+Rotary+Hammer+Bit&amp;qid=1695347567&amp;sr=8-2", "https://www.amazon.com/DEWALT-DW5828-2-Inch-18-Inch-4-Cutter/dp/B00004RHF0/ref=sr_1_2?keywords=DeWalt+DW5822+1-1%2F8%22+x+18%22+x+22-1%2F2%22+4-Cutter+SDS+Max+Rotary+Hammer+Bit&amp;qid=1695347567&amp;sr=8-2")</f>
        <v/>
      </c>
      <c r="F145" t="inlineStr">
        <is>
          <t>B00004RHF0</t>
        </is>
      </c>
      <c r="G145">
        <f>_xlfn.IMAGE("https://www.toolup.com/product-images/Dewalt-DW5803_01.jpg?resizeid=36&amp;resizeh=510&amp;resizew=510")</f>
        <v/>
      </c>
      <c r="H145">
        <f>_xlfn.IMAGE("https://m.media-amazon.com/images/I/61QFn-f3m4L._AC_UL320_.jpg")</f>
        <v/>
      </c>
      <c r="K145" t="inlineStr">
        <is>
          <t>62.98</t>
        </is>
      </c>
      <c r="L145" t="n">
        <v>105.99</v>
      </c>
      <c r="M145" s="2" t="inlineStr">
        <is>
          <t>68.29%</t>
        </is>
      </c>
      <c r="N145" t="n">
        <v>4.4</v>
      </c>
      <c r="O145" t="n">
        <v>13</v>
      </c>
      <c r="Q145" t="inlineStr">
        <is>
          <t>InStock</t>
        </is>
      </c>
      <c r="R145" t="inlineStr">
        <is>
          <t>158.79</t>
        </is>
      </c>
      <c r="S145" t="inlineStr">
        <is>
          <t>DeWalt DW5822</t>
        </is>
      </c>
    </row>
    <row r="146" ht="75" customHeight="1">
      <c r="A146" s="1">
        <f>HYPERLINK("https://www.toolup.com/DeWalt-DW5824-1-1-4-x-10-x-15-4-Cutter-SDS-Max-Rotary-Hammer-Bit", "https://www.toolup.com/DeWalt-DW5824-1-1-4-x-10-x-15-4-Cutter-SDS-Max-Rotary-Hammer-Bit")</f>
        <v/>
      </c>
      <c r="B146" s="1">
        <f>HYPERLINK("https://www.toolup.com/DeWalt-DW5824-1-1-4-x-10-x-15-4-Cutter-SDS-Max-Rotary-Hammer-Bit", "https://www.toolup.com/DeWalt-DW5824-1-1-4-x-10-x-15-4-Cutter-SDS-Max-Rotary-Hammer-Bit")</f>
        <v/>
      </c>
      <c r="C146" t="inlineStr">
        <is>
          <t>DeWalt DW5824 1-1/4" x 10" x 15" 4-Cutter SDS Max Rotary Hammer Bit</t>
        </is>
      </c>
      <c r="D146" t="inlineStr">
        <is>
          <t>DEWALT SDS MAX Bit for Rotary Hammer, 4 Cutter, 2-Inch x 22-1/2-Inch (DW5831)</t>
        </is>
      </c>
      <c r="E146" s="1">
        <f>HYPERLINK("https://www.amazon.com/DEWALT-DW5831-2-Inch-18-Inch-4-Cutter/dp/B00004RHF3/ref=sr_1_10?keywords=DeWalt+DW5824+1-1%2F4%22+x+10%22+x+15%22+4-Cutter+SDS+Max+Rotary+Hammer+Bit&amp;qid=1695347471&amp;sr=8-10", "https://www.amazon.com/DEWALT-DW5831-2-Inch-18-Inch-4-Cutter/dp/B00004RHF3/ref=sr_1_10?keywords=DeWalt+DW5824+1-1%2F4%22+x+10%22+x+15%22+4-Cutter+SDS+Max+Rotary+Hammer+Bit&amp;qid=1695347471&amp;sr=8-10")</f>
        <v/>
      </c>
      <c r="F146" t="inlineStr">
        <is>
          <t>B00004RHF3</t>
        </is>
      </c>
      <c r="G146">
        <f>_xlfn.IMAGE("https://www.toolup.com/product-images/Dewalt-DW5803_01.jpg?resizeid=36&amp;resizeh=510&amp;resizew=510")</f>
        <v/>
      </c>
      <c r="H146">
        <f>_xlfn.IMAGE("https://m.media-amazon.com/images/I/71yz2H2BvAL._AC_UL320_.jpg")</f>
        <v/>
      </c>
      <c r="K146" t="inlineStr">
        <is>
          <t>55.81</t>
        </is>
      </c>
      <c r="L146" t="n">
        <v>149</v>
      </c>
      <c r="M146" s="2" t="inlineStr">
        <is>
          <t>166.98%</t>
        </is>
      </c>
      <c r="N146" t="n">
        <v>4.2</v>
      </c>
      <c r="O146" t="n">
        <v>40</v>
      </c>
      <c r="Q146" t="inlineStr">
        <is>
          <t>InStock</t>
        </is>
      </c>
      <c r="R146" t="inlineStr">
        <is>
          <t>153.11</t>
        </is>
      </c>
      <c r="S146" t="inlineStr">
        <is>
          <t>DeWalt DW5824</t>
        </is>
      </c>
    </row>
    <row r="147" ht="75" customHeight="1">
      <c r="A147" s="1">
        <f>HYPERLINK("https://www.toolup.com/DeWalt-DW5825-1-1-4-x-18-x-22-1-2-4-Cutter-SDS-Max-Rotary-Hammer-Bit", "https://www.toolup.com/DeWalt-DW5825-1-1-4-x-18-x-22-1-2-4-Cutter-SDS-Max-Rotary-Hammer-Bit")</f>
        <v/>
      </c>
      <c r="B147" s="1">
        <f>HYPERLINK("https://www.toolup.com/DeWalt-DW5825-1-1-4-x-18-x-22-1-2-4-Cutter-SDS-Max-Rotary-Hammer-Bit", "https://www.toolup.com/DeWalt-DW5825-1-1-4-x-18-x-22-1-2-4-Cutter-SDS-Max-Rotary-Hammer-Bit")</f>
        <v/>
      </c>
      <c r="C147" t="inlineStr">
        <is>
          <t>DeWalt DW5825 1-1/4" x 18" x 22-1/2" 4-Cutter SDS Max Rotary Hammer Bit</t>
        </is>
      </c>
      <c r="D147" t="inlineStr">
        <is>
          <t>DEWALT DW5828 1-1/2-Inch by 18-Inch by 22-1/2-Inch 4-Cutter SDS Max Rotary Hammer Bit</t>
        </is>
      </c>
      <c r="E147" s="1">
        <f>HYPERLINK("https://www.amazon.com/DEWALT-DW5828-2-Inch-18-Inch-4-Cutter/dp/B00004RHF0/ref=sr_1_3?keywords=DeWalt+DW5825+1-1%2F4%22+x+18%22+x+22-1%2F2%22+4-Cutter+SDS+Max+Rotary+Hammer+Bit&amp;qid=1695347562&amp;sr=8-3", "https://www.amazon.com/DEWALT-DW5828-2-Inch-18-Inch-4-Cutter/dp/B00004RHF0/ref=sr_1_3?keywords=DeWalt+DW5825+1-1%2F4%22+x+18%22+x+22-1%2F2%22+4-Cutter+SDS+Max+Rotary+Hammer+Bit&amp;qid=1695347562&amp;sr=8-3")</f>
        <v/>
      </c>
      <c r="F147" t="inlineStr">
        <is>
          <t>B00004RHF0</t>
        </is>
      </c>
      <c r="G147">
        <f>_xlfn.IMAGE("https://www.toolup.com/product-images/Dewalt-DW5803_01.jpg?resizeid=36&amp;resizeh=510&amp;resizew=510")</f>
        <v/>
      </c>
      <c r="H147">
        <f>_xlfn.IMAGE("https://m.media-amazon.com/images/I/61QFn-f3m4L._AC_UL320_.jpg")</f>
        <v/>
      </c>
      <c r="K147" t="inlineStr">
        <is>
          <t>60.39</t>
        </is>
      </c>
      <c r="L147" t="n">
        <v>105.99</v>
      </c>
      <c r="M147" s="2" t="inlineStr">
        <is>
          <t>75.51%</t>
        </is>
      </c>
      <c r="N147" t="n">
        <v>4.4</v>
      </c>
      <c r="O147" t="n">
        <v>13</v>
      </c>
      <c r="Q147" t="inlineStr">
        <is>
          <t>InStock</t>
        </is>
      </c>
      <c r="R147" t="inlineStr">
        <is>
          <t>166.38</t>
        </is>
      </c>
      <c r="S147" t="inlineStr">
        <is>
          <t>DeWalt DW5825</t>
        </is>
      </c>
    </row>
    <row r="148" ht="75" customHeight="1">
      <c r="A148" s="1">
        <f>HYPERLINK("https://www.toolup.com/Irwin-4935525-Crimson-Red-Permanent-Chalk", "https://www.toolup.com/Irwin-4935525-Crimson-Red-Permanent-Chalk")</f>
        <v/>
      </c>
      <c r="B148" s="1">
        <f>HYPERLINK("https://www.toolup.com/Irwin-4935525-Crimson-Red-Permanent-Chalk", "https://www.toolup.com/Irwin-4935525-Crimson-Red-Permanent-Chalk")</f>
        <v/>
      </c>
      <c r="C148" t="inlineStr">
        <is>
          <t>Irwin 4935525 4 lb. Crimson Red Permanent Chalk</t>
        </is>
      </c>
      <c r="D148" t="inlineStr">
        <is>
          <t>IRWIN STRAIT-LINE Marking Chalk, Permanent Staining, Crimson Red, 4 lbs (4935525)</t>
        </is>
      </c>
      <c r="E148" s="1">
        <f>HYPERLINK("https://www.amazon.com/Tools-STRAIT-LINE-Permanent-Staining-4935525/dp/B0057J1D3M/ref=sr_1_1?keywords=Irwin+4935525+4+lb.+Crimson+Red+Permanent+Chalk&amp;qid=1695347514&amp;sr=8-1", "https://www.amazon.com/Tools-STRAIT-LINE-Permanent-Staining-4935525/dp/B0057J1D3M/ref=sr_1_1?keywords=Irwin+4935525+4+lb.+Crimson+Red+Permanent+Chalk&amp;qid=1695347514&amp;sr=8-1")</f>
        <v/>
      </c>
      <c r="F148" t="inlineStr">
        <is>
          <t>B0057J1D3M</t>
        </is>
      </c>
      <c r="G148">
        <f>_xlfn.IMAGE("https://www.toolup.com/product-images/IRWIN-4935525_01.jpg?resizeid=36&amp;resizeh=510&amp;resizew=510")</f>
        <v/>
      </c>
      <c r="H148">
        <f>_xlfn.IMAGE("https://m.media-amazon.com/images/I/81b8VvgVxQL._AC_UL320_.jpg")</f>
        <v/>
      </c>
      <c r="K148" t="inlineStr">
        <is>
          <t>15.72</t>
        </is>
      </c>
      <c r="L148" t="n">
        <v>27.39</v>
      </c>
      <c r="M148" s="2" t="inlineStr">
        <is>
          <t>74.24%</t>
        </is>
      </c>
      <c r="N148" t="n">
        <v>4.6</v>
      </c>
      <c r="O148" t="n">
        <v>604</v>
      </c>
      <c r="Q148" t="inlineStr">
        <is>
          <t>OutOfStock</t>
        </is>
      </c>
      <c r="R148" t="inlineStr">
        <is>
          <t>29.7</t>
        </is>
      </c>
      <c r="S148" t="inlineStr">
        <is>
          <t>Irwin 4935525</t>
        </is>
      </c>
    </row>
    <row r="149" ht="75" customHeight="1">
      <c r="A149" s="1">
        <f>HYPERLINK("https://www.toolup.com/Knox-Glove-679-Double-palm-glove", "https://www.toolup.com/Knox-Glove-679-Double-palm-glove")</f>
        <v/>
      </c>
      <c r="B149" s="1">
        <f>HYPERLINK("https://www.toolup.com/Knox-Glove-679-Double-palm-glove", "https://www.toolup.com/Knox-Glove-679-Double-palm-glove")</f>
        <v/>
      </c>
      <c r="C149" t="inlineStr">
        <is>
          <t>Knox Glove 679 Double palm glove</t>
        </is>
      </c>
      <c r="D149" t="inlineStr">
        <is>
          <t>Knox Leather Work Gloves for Men &amp; Women | Rebel FR Cowhide Working Gloves with Double Palm | Premium Quality</t>
        </is>
      </c>
      <c r="E149" s="1">
        <f>HYPERLINK("https://www.amazon.com/Knox-Resistant-Gardening-Maintenance-Outdoor-Small/dp/B0BXJXGW8V/ref=sr_1_1?keywords=Knox+Glove+679+Double+palm+glove&amp;qid=1695347504&amp;sr=8-1", "https://www.amazon.com/Knox-Resistant-Gardening-Maintenance-Outdoor-Small/dp/B0BXJXGW8V/ref=sr_1_1?keywords=Knox+Glove+679+Double+palm+glove&amp;qid=1695347504&amp;sr=8-1")</f>
        <v/>
      </c>
      <c r="F149" t="inlineStr">
        <is>
          <t>B0BXJXGW8V</t>
        </is>
      </c>
      <c r="G149">
        <f>_xlfn.IMAGE("https://www.toolup.com/product-images/knox-glove-679_01.jpg?resizeid=36&amp;resizeh=510&amp;resizew=510")</f>
        <v/>
      </c>
      <c r="H149">
        <f>_xlfn.IMAGE("https://m.media-amazon.com/images/I/71NAhbQamqL._AC_UL320_.jpg")</f>
        <v/>
      </c>
      <c r="K149" t="inlineStr">
        <is>
          <t>8.95</t>
        </is>
      </c>
      <c r="L149" t="n">
        <v>28.99</v>
      </c>
      <c r="M149" s="2" t="inlineStr">
        <is>
          <t>223.91%</t>
        </is>
      </c>
      <c r="N149" t="n">
        <v>4.5</v>
      </c>
      <c r="O149" t="n">
        <v>12</v>
      </c>
      <c r="Q149" t="inlineStr">
        <is>
          <t>InStock</t>
        </is>
      </c>
      <c r="R149" t="inlineStr">
        <is>
          <t>undefined</t>
        </is>
      </c>
      <c r="S149" t="inlineStr">
        <is>
          <t>Knox Glove 679L</t>
        </is>
      </c>
    </row>
    <row r="150" ht="75" customHeight="1">
      <c r="A150" s="1">
        <f>HYPERLINK("https://www.toolup.com/Knox-Glove-679-Double-palm-glove_2", "https://www.toolup.com/Knox-Glove-679-Double-palm-glove_2")</f>
        <v/>
      </c>
      <c r="B150" s="1">
        <f>HYPERLINK("https://www.toolup.com/Knox-Glove-679-Double-palm-glove_2", "https://www.toolup.com/Knox-Glove-679-Double-palm-glove_2")</f>
        <v/>
      </c>
      <c r="C150" t="inlineStr">
        <is>
          <t>Knox Glove 679 Double palm glove</t>
        </is>
      </c>
      <c r="D150" t="inlineStr">
        <is>
          <t>Knox Leather Work Gloves for Men &amp; Women | Rebel FR Cowhide Working Gloves with Double Palm | Premium Quality</t>
        </is>
      </c>
      <c r="E150" s="1">
        <f>HYPERLINK("https://www.amazon.com/Knox-Resistant-Gardening-Maintenance-Outdoor-Small/dp/B0BXJXGW8V/ref=sr_1_1?keywords=Knox+Glove+679+Double+palm+glove&amp;qid=1695347515&amp;sr=8-1", "https://www.amazon.com/Knox-Resistant-Gardening-Maintenance-Outdoor-Small/dp/B0BXJXGW8V/ref=sr_1_1?keywords=Knox+Glove+679+Double+palm+glove&amp;qid=1695347515&amp;sr=8-1")</f>
        <v/>
      </c>
      <c r="F150" t="inlineStr">
        <is>
          <t>B0BXJXGW8V</t>
        </is>
      </c>
      <c r="G150">
        <f>_xlfn.IMAGE("https://www.toolup.com/product-images/knox-glove-679_01.jpg?resizeid=36&amp;resizeh=510&amp;resizew=510")</f>
        <v/>
      </c>
      <c r="H150">
        <f>_xlfn.IMAGE("https://m.media-amazon.com/images/I/71NAhbQamqL._AC_UL320_.jpg")</f>
        <v/>
      </c>
      <c r="K150" t="inlineStr">
        <is>
          <t>8.0</t>
        </is>
      </c>
      <c r="L150" t="n">
        <v>28.99</v>
      </c>
      <c r="M150" s="2" t="inlineStr">
        <is>
          <t>262.38%</t>
        </is>
      </c>
      <c r="N150" t="n">
        <v>4.5</v>
      </c>
      <c r="O150" t="n">
        <v>12</v>
      </c>
      <c r="Q150" t="inlineStr">
        <is>
          <t>InStock</t>
        </is>
      </c>
      <c r="R150" t="inlineStr">
        <is>
          <t>undefined</t>
        </is>
      </c>
      <c r="S150" t="inlineStr">
        <is>
          <t>Knox Glove 679M</t>
        </is>
      </c>
    </row>
    <row r="151" ht="75" customHeight="1">
      <c r="A151" s="1">
        <f>HYPERLINK("https://www.toolup.com/Milwaukee-48-03-3025-SDS-Max-To-SDS-Plus-Bit-Adapter", "https://www.toolup.com/Milwaukee-48-03-3025-SDS-Max-To-SDS-Plus-Bit-Adapter")</f>
        <v/>
      </c>
      <c r="B151" s="1">
        <f>HYPERLINK("https://www.toolup.com/Milwaukee-48-03-3025-SDS-Max-To-SDS-Plus-Bit-Adapter", "https://www.toolup.com/Milwaukee-48-03-3025-SDS-Max-To-SDS-Plus-Bit-Adapter")</f>
        <v/>
      </c>
      <c r="C151" t="inlineStr">
        <is>
          <t>Milwaukee 48-03-3025 SDS Max To SDS Plus Bit Adapter</t>
        </is>
      </c>
      <c r="D151" t="inlineStr">
        <is>
          <t>Milwaukee 48-03-3012 SDS-Max to Spline Adapter</t>
        </is>
      </c>
      <c r="E151" s="1">
        <f>HYPERLINK("https://www.amazon.com/Milwaukee-48-03-3012-SDS-Max-Spline-Adapter/dp/B00I3PGEOA/ref=sr_1_4?keywords=Milwaukee+48-03-3025+SDS+Max+To+SDS+Plus+Bit+Adapter&amp;qid=1695347551&amp;sr=8-4", "https://www.amazon.com/Milwaukee-48-03-3012-SDS-Max-Spline-Adapter/dp/B00I3PGEOA/ref=sr_1_4?keywords=Milwaukee+48-03-3025+SDS+Max+To+SDS+Plus+Bit+Adapter&amp;qid=1695347551&amp;sr=8-4")</f>
        <v/>
      </c>
      <c r="F151" t="inlineStr">
        <is>
          <t>B00I3PGEOA</t>
        </is>
      </c>
      <c r="G151">
        <f>_xlfn.IMAGE("https://www.toolup.com/product-images/Milwaukee-48-03-3025_01.jpg?resizeid=36&amp;resizeh=510&amp;resizew=510")</f>
        <v/>
      </c>
      <c r="H151">
        <f>_xlfn.IMAGE("https://m.media-amazon.com/images/I/61QrQEYLIrL._AC_UL320_.jpg")</f>
        <v/>
      </c>
      <c r="K151" t="inlineStr">
        <is>
          <t>59.43</t>
        </is>
      </c>
      <c r="L151" t="n">
        <v>178.19</v>
      </c>
      <c r="M151" s="2" t="inlineStr">
        <is>
          <t>199.83%</t>
        </is>
      </c>
      <c r="N151" t="n">
        <v>4.6</v>
      </c>
      <c r="O151" t="n">
        <v>2</v>
      </c>
      <c r="Q151" t="inlineStr">
        <is>
          <t>InStock</t>
        </is>
      </c>
      <c r="R151" t="inlineStr">
        <is>
          <t>114.6</t>
        </is>
      </c>
      <c r="S151" t="inlineStr">
        <is>
          <t>Milwaukee 48-03-3025</t>
        </is>
      </c>
    </row>
    <row r="152" ht="75" customHeight="1">
      <c r="A152" s="1">
        <f>HYPERLINK("https://www.toolup.com/Milwaukee-48-17-2040-4-Diamond-Core-Bit", "https://www.toolup.com/Milwaukee-48-17-2040-4-Diamond-Core-Bit")</f>
        <v/>
      </c>
      <c r="B152" s="1">
        <f>HYPERLINK("https://www.toolup.com/Milwaukee-48-17-2040-4-Diamond-Core-Bit", "https://www.toolup.com/Milwaukee-48-17-2040-4-Diamond-Core-Bit")</f>
        <v/>
      </c>
      <c r="C152" t="inlineStr">
        <is>
          <t>Milwaukee 48-17-2040 4" Diamond Core Bit</t>
        </is>
      </c>
      <c r="D152" t="inlineStr">
        <is>
          <t>Milwaukee 48-17-3080 8" Diamond Premium Wet Core Bit</t>
        </is>
      </c>
      <c r="E152" s="1">
        <f>HYPERLINK("https://www.amazon.com/Milwaukee-48-17-3080-Diamond-Premium-Core/dp/B017Y7UUM4/ref=sr_1_2?keywords=Milwaukee+48-17-2040+4%22+Diamond+Core+Bit&amp;qid=1695347472&amp;sr=8-2", "https://www.amazon.com/Milwaukee-48-17-3080-Diamond-Premium-Core/dp/B017Y7UUM4/ref=sr_1_2?keywords=Milwaukee+48-17-2040+4%22+Diamond+Core+Bit&amp;qid=1695347472&amp;sr=8-2")</f>
        <v/>
      </c>
      <c r="F152" t="inlineStr">
        <is>
          <t>B017Y7UUM4</t>
        </is>
      </c>
      <c r="G152">
        <f>_xlfn.IMAGE("https://www.toolup.com/product-images/Diamond Wet Core Bit_01.jpg?resizeid=36&amp;resizeh=510&amp;resizew=510")</f>
        <v/>
      </c>
      <c r="H152">
        <f>_xlfn.IMAGE("https://m.media-amazon.com/images/I/8137k3Mi8YL._AC_UL320_.jpg")</f>
        <v/>
      </c>
      <c r="K152" t="inlineStr">
        <is>
          <t>130.93</t>
        </is>
      </c>
      <c r="L152" t="n">
        <v>561.03</v>
      </c>
      <c r="M152" s="2" t="inlineStr">
        <is>
          <t>328.50%</t>
        </is>
      </c>
      <c r="N152" t="n">
        <v>5</v>
      </c>
      <c r="O152" t="n">
        <v>1</v>
      </c>
      <c r="Q152" t="inlineStr">
        <is>
          <t>InStock</t>
        </is>
      </c>
      <c r="R152" t="inlineStr">
        <is>
          <t>250.4</t>
        </is>
      </c>
      <c r="S152" t="inlineStr">
        <is>
          <t>Milwaukee 48-17-2040</t>
        </is>
      </c>
    </row>
    <row r="153" ht="75" customHeight="1">
      <c r="A153" s="1">
        <f>HYPERLINK("https://www.toolup.com/Milwaukee-48-17-2040-4-Diamond-Core-Bit", "https://www.toolup.com/Milwaukee-48-17-2040-4-Diamond-Core-Bit")</f>
        <v/>
      </c>
      <c r="B153" s="1">
        <f>HYPERLINK("https://www.toolup.com/Milwaukee-48-17-2040-4-Diamond-Core-Bit", "https://www.toolup.com/Milwaukee-48-17-2040-4-Diamond-Core-Bit")</f>
        <v/>
      </c>
      <c r="C153" t="inlineStr">
        <is>
          <t>Milwaukee 48-17-2040 4" Diamond Core Bit</t>
        </is>
      </c>
      <c r="D153" t="inlineStr">
        <is>
          <t>Milwaukee 48-17-1030 3" Pre-Stressed Diamond Wet Core Bit</t>
        </is>
      </c>
      <c r="E153" s="1">
        <f>HYPERLINK("https://www.amazon.com/Milwaukee-48-17-1030-Pre-Stressed-Diamond-Core/dp/B017Y7UC8G/ref=sr_1_8?keywords=Milwaukee+48-17-2040+4%22+Diamond+Core+Bit&amp;qid=1695347472&amp;sr=8-8", "https://www.amazon.com/Milwaukee-48-17-1030-Pre-Stressed-Diamond-Core/dp/B017Y7UC8G/ref=sr_1_8?keywords=Milwaukee+48-17-2040+4%22+Diamond+Core+Bit&amp;qid=1695347472&amp;sr=8-8")</f>
        <v/>
      </c>
      <c r="F153" t="inlineStr">
        <is>
          <t>B017Y7UC8G</t>
        </is>
      </c>
      <c r="G153">
        <f>_xlfn.IMAGE("https://www.toolup.com/product-images/Diamond Wet Core Bit_01.jpg?resizeid=36&amp;resizeh=510&amp;resizew=510")</f>
        <v/>
      </c>
      <c r="H153">
        <f>_xlfn.IMAGE("https://m.media-amazon.com/images/I/61yJRlYoxmL._AC_UL320_.jpg")</f>
        <v/>
      </c>
      <c r="K153" t="inlineStr">
        <is>
          <t>130.93</t>
        </is>
      </c>
      <c r="L153" t="n">
        <v>217.41</v>
      </c>
      <c r="M153" s="2" t="inlineStr">
        <is>
          <t>66.05%</t>
        </is>
      </c>
      <c r="N153" t="n">
        <v>5</v>
      </c>
      <c r="O153" t="n">
        <v>2</v>
      </c>
      <c r="Q153" t="inlineStr">
        <is>
          <t>InStock</t>
        </is>
      </c>
      <c r="R153" t="inlineStr">
        <is>
          <t>250.4</t>
        </is>
      </c>
      <c r="S153" t="inlineStr">
        <is>
          <t>Milwaukee 48-17-2040</t>
        </is>
      </c>
    </row>
    <row r="154" ht="75" customHeight="1">
      <c r="A154" s="1">
        <f>HYPERLINK("https://www.toolup.com/Milwaukee-48-17-3050-5-Diamond-Core-Bit-Premium", "https://www.toolup.com/Milwaukee-48-17-3050-5-Diamond-Core-Bit-Premium")</f>
        <v/>
      </c>
      <c r="B154" s="1">
        <f>HYPERLINK("https://www.toolup.com/Milwaukee-48-17-3050-5-Diamond-Core-Bit-Premium", "https://www.toolup.com/Milwaukee-48-17-3050-5-Diamond-Core-Bit-Premium")</f>
        <v/>
      </c>
      <c r="C154" t="inlineStr">
        <is>
          <t>Milwaukee 48-17-3050 5" Diamond Core Bit-Premium</t>
        </is>
      </c>
      <c r="D154" t="inlineStr">
        <is>
          <t>Milwaukee 48-17-3080 8" Diamond Premium Wet Core Bit</t>
        </is>
      </c>
      <c r="E154" s="1">
        <f>HYPERLINK("https://www.amazon.com/Milwaukee-48-17-3080-Diamond-Premium-Core/dp/B017Y7UUM4/ref=sr_1_2?keywords=Milwaukee+48-17-3050+5%22+Diamond+Core+Bit-Premium&amp;qid=1695347467&amp;sr=8-2", "https://www.amazon.com/Milwaukee-48-17-3080-Diamond-Premium-Core/dp/B017Y7UUM4/ref=sr_1_2?keywords=Milwaukee+48-17-3050+5%22+Diamond+Core+Bit-Premium&amp;qid=1695347467&amp;sr=8-2")</f>
        <v/>
      </c>
      <c r="F154" t="inlineStr">
        <is>
          <t>B017Y7UUM4</t>
        </is>
      </c>
      <c r="G154">
        <f>_xlfn.IMAGE("https://www.toolup.com/product-images/Diamond Premium Wet Core Bit_01.jpg?resizeid=36&amp;resizeh=510&amp;resizew=510")</f>
        <v/>
      </c>
      <c r="H154">
        <f>_xlfn.IMAGE("https://m.media-amazon.com/images/I/8137k3Mi8YL._AC_UL320_.jpg")</f>
        <v/>
      </c>
      <c r="K154" t="inlineStr">
        <is>
          <t>235.61</t>
        </is>
      </c>
      <c r="L154" t="n">
        <v>561.03</v>
      </c>
      <c r="M154" s="2" t="inlineStr">
        <is>
          <t>138.12%</t>
        </is>
      </c>
      <c r="N154" t="n">
        <v>5</v>
      </c>
      <c r="O154" t="n">
        <v>1</v>
      </c>
      <c r="Q154" t="inlineStr">
        <is>
          <t>InStock</t>
        </is>
      </c>
      <c r="R154" t="inlineStr">
        <is>
          <t>303.43</t>
        </is>
      </c>
      <c r="S154" t="inlineStr">
        <is>
          <t>Milwaukee 48-17-3050</t>
        </is>
      </c>
    </row>
    <row r="155" ht="75" customHeight="1">
      <c r="A155" s="1">
        <f>HYPERLINK("https://www.toolup.com/Milwaukee-48-20-3902-1-2-X-7-1-2-X-13-SDS-Max-2-Cutter-Carbide-Bit", "https://www.toolup.com/Milwaukee-48-20-3902-1-2-X-7-1-2-X-13-SDS-Max-2-Cutter-Carbide-Bit")</f>
        <v/>
      </c>
      <c r="B155" s="1">
        <f>HYPERLINK("https://www.toolup.com/Milwaukee-48-20-3902-1-2-X-7-1-2-X-13-SDS-Max-2-Cutter-Carbide-Bit", "https://www.toolup.com/Milwaukee-48-20-3902-1-2-X-7-1-2-X-13-SDS-Max-2-Cutter-Carbide-Bit")</f>
        <v/>
      </c>
      <c r="C155" t="inlineStr">
        <is>
          <t>Milwaukee 48-20-3902 1/2" X 7-1/2" X 13" SDS Max 2 Cutter Carbide Bit</t>
        </is>
      </c>
      <c r="D155" t="inlineStr">
        <is>
          <t>Milwaukee 48-20-8480 1-3/8 in. x 23 in. 4-Cutter SDS-MAX Carbide Bit</t>
        </is>
      </c>
      <c r="E155" s="1">
        <f>HYPERLINK("https://www.amazon.com/Milwaukee-48-20-8480-4-Cutter-SDS-MAX-Carbide/dp/B07BPW5Q3Y/ref=sr_1_10?keywords=Milwaukee+48-20-3902+1%2F2%22+X+7-1%2F2%22+X+13%22+SDS+Max+2+Cutter+Carbide+Bit&amp;qid=1695347574&amp;sr=8-10", "https://www.amazon.com/Milwaukee-48-20-8480-4-Cutter-SDS-MAX-Carbide/dp/B07BPW5Q3Y/ref=sr_1_10?keywords=Milwaukee+48-20-3902+1%2F2%22+X+7-1%2F2%22+X+13%22+SDS+Max+2+Cutter+Carbide+Bit&amp;qid=1695347574&amp;sr=8-10")</f>
        <v/>
      </c>
      <c r="F155" t="inlineStr">
        <is>
          <t>B07BPW5Q3Y</t>
        </is>
      </c>
      <c r="G155">
        <f>_xlfn.IMAGE("https://www.toolup.com/product-images/Milwaukee-SDS-Max-2CTR-Bit_01.jpg?resizeid=36&amp;resizeh=510&amp;resizew=510")</f>
        <v/>
      </c>
      <c r="H155">
        <f>_xlfn.IMAGE("https://m.media-amazon.com/images/I/51e32vLWE+L._AC_UL320_.jpg")</f>
        <v/>
      </c>
      <c r="K155" t="inlineStr">
        <is>
          <t>39.99</t>
        </is>
      </c>
      <c r="L155" t="n">
        <v>129</v>
      </c>
      <c r="M155" s="2" t="inlineStr">
        <is>
          <t>222.58%</t>
        </is>
      </c>
      <c r="N155" t="n">
        <v>5</v>
      </c>
      <c r="O155" t="n">
        <v>2</v>
      </c>
      <c r="Q155" t="inlineStr">
        <is>
          <t>InStock</t>
        </is>
      </c>
      <c r="R155" t="inlineStr">
        <is>
          <t>63.6</t>
        </is>
      </c>
      <c r="S155" t="inlineStr">
        <is>
          <t>Milwaukee 48-20-3902</t>
        </is>
      </c>
    </row>
    <row r="156" ht="75" customHeight="1">
      <c r="A156" s="1">
        <f>HYPERLINK("https://www.toolup.com/Milwaukee-48-20-6960-SDS-MAX-12-5-Max-Lok-Extension", "https://www.toolup.com/Milwaukee-48-20-6960-SDS-MAX-12-5-Max-Lok-Extension")</f>
        <v/>
      </c>
      <c r="B156" s="1">
        <f>HYPERLINK("https://www.toolup.com/Milwaukee-48-20-6960-SDS-MAX-12-5-Max-Lok-Extension", "https://www.toolup.com/Milwaukee-48-20-6960-SDS-MAX-12-5-Max-Lok-Extension")</f>
        <v/>
      </c>
      <c r="C156" t="inlineStr">
        <is>
          <t>Milwaukee 48-20-6960 SDS-MAX 12.5" Max-Lok ™ Extension</t>
        </is>
      </c>
      <c r="D156" t="inlineStr">
        <is>
          <t>Milwaukee 48-20-6964 Max-Lok SDS-Max 43" Extension</t>
        </is>
      </c>
      <c r="E156" s="1">
        <f>HYPERLINK("https://www.amazon.com/Milwaukee-48-20-6964-Max-Lok-SDS-Max-Extension/dp/B00AW02E1Q/ref=sr_1_4?keywords=Milwaukee+48-20-6960+SDS-MAX+12.5%22+Max-Lok+%E2%84%A2+Extension&amp;qid=1695347580&amp;sr=8-4", "https://www.amazon.com/Milwaukee-48-20-6964-Max-Lok-SDS-Max-Extension/dp/B00AW02E1Q/ref=sr_1_4?keywords=Milwaukee+48-20-6960+SDS-MAX+12.5%22+Max-Lok+%E2%84%A2+Extension&amp;qid=1695347580&amp;sr=8-4")</f>
        <v/>
      </c>
      <c r="F156" t="inlineStr">
        <is>
          <t>B00AW02E1Q</t>
        </is>
      </c>
      <c r="G156">
        <f>_xlfn.IMAGE("https://www.toolup.com/product-images/Milwaukee-48-20-6960_01.jpg?resizeid=36&amp;resizeh=510&amp;resizew=510")</f>
        <v/>
      </c>
      <c r="H156">
        <f>_xlfn.IMAGE("https://m.media-amazon.com/images/I/21aPlH-ANhL._AC_UL320_.jpg")</f>
        <v/>
      </c>
      <c r="K156" t="inlineStr">
        <is>
          <t>32.41</t>
        </is>
      </c>
      <c r="L156" t="n">
        <v>74.26000000000001</v>
      </c>
      <c r="M156" s="2" t="inlineStr">
        <is>
          <t>129.13%</t>
        </is>
      </c>
      <c r="N156" t="n">
        <v>4.5</v>
      </c>
      <c r="O156" t="n">
        <v>6</v>
      </c>
      <c r="Q156" t="inlineStr">
        <is>
          <t>InStock</t>
        </is>
      </c>
      <c r="R156" t="inlineStr">
        <is>
          <t>57.9</t>
        </is>
      </c>
      <c r="S156" t="inlineStr">
        <is>
          <t>Milwaukee 48-20-6960</t>
        </is>
      </c>
    </row>
    <row r="157" ht="75" customHeight="1">
      <c r="A157" s="1">
        <f>HYPERLINK("https://www.toolup.com/Milwaukee-48-20-6962-SDS-MAX-29-5-Max-Lok-Extension", "https://www.toolup.com/Milwaukee-48-20-6962-SDS-MAX-29-5-Max-Lok-Extension")</f>
        <v/>
      </c>
      <c r="B157" s="1">
        <f>HYPERLINK("https://www.toolup.com/Milwaukee-48-20-6962-SDS-MAX-29-5-Max-Lok-Extension", "https://www.toolup.com/Milwaukee-48-20-6962-SDS-MAX-29-5-Max-Lok-Extension")</f>
        <v/>
      </c>
      <c r="C157" t="inlineStr">
        <is>
          <t>Milwaukee 48-20-6962 SDS-MAX 29.5" Max-Lok ™ Extension</t>
        </is>
      </c>
      <c r="D157" t="inlineStr">
        <is>
          <t>Milwaukee 48-20-6964 Max-Lok SDS-Max 43" Extension</t>
        </is>
      </c>
      <c r="E157" s="1">
        <f>HYPERLINK("https://www.amazon.com/Milwaukee-48-20-6964-Max-Lok-SDS-Max-Extension/dp/B00AW02E1Q/ref=sr_1_4?keywords=Milwaukee+48-20-6962+SDS-MAX+29.5%22+Max-Lok+%E2%84%A2+Extension&amp;qid=1695347551&amp;sr=8-4", "https://www.amazon.com/Milwaukee-48-20-6964-Max-Lok-SDS-Max-Extension/dp/B00AW02E1Q/ref=sr_1_4?keywords=Milwaukee+48-20-6962+SDS-MAX+29.5%22+Max-Lok+%E2%84%A2+Extension&amp;qid=1695347551&amp;sr=8-4")</f>
        <v/>
      </c>
      <c r="F157" t="inlineStr">
        <is>
          <t>B00AW02E1Q</t>
        </is>
      </c>
      <c r="G157">
        <f>_xlfn.IMAGE("https://www.toolup.com/product-images/Milwaukee-48-20-6962_01.jpg?resizeid=36&amp;resizeh=510&amp;resizew=510")</f>
        <v/>
      </c>
      <c r="H157">
        <f>_xlfn.IMAGE("https://m.media-amazon.com/images/I/21aPlH-ANhL._AC_UL320_.jpg")</f>
        <v/>
      </c>
      <c r="K157" t="inlineStr">
        <is>
          <t>37.82</t>
        </is>
      </c>
      <c r="L157" t="n">
        <v>74.26000000000001</v>
      </c>
      <c r="M157" s="2" t="inlineStr">
        <is>
          <t>96.35%</t>
        </is>
      </c>
      <c r="N157" t="n">
        <v>4.5</v>
      </c>
      <c r="O157" t="n">
        <v>6</v>
      </c>
      <c r="Q157" t="inlineStr">
        <is>
          <t>InStock</t>
        </is>
      </c>
      <c r="R157" t="inlineStr">
        <is>
          <t>72.4</t>
        </is>
      </c>
      <c r="S157" t="inlineStr">
        <is>
          <t>Milwaukee 48-20-6962</t>
        </is>
      </c>
    </row>
    <row r="158" ht="75" customHeight="1">
      <c r="A158" s="1">
        <f>HYPERLINK("https://www.toolup.com/Milwaukee-48-22-8731-DEMOLITION-GLOVES-M", "https://www.toolup.com/Milwaukee-48-22-8731-DEMOLITION-GLOVES-M")</f>
        <v/>
      </c>
      <c r="B158" s="1">
        <f>HYPERLINK("https://www.toolup.com/Milwaukee-48-22-8731-DEMOLITION-GLOVES-M", "https://www.toolup.com/Milwaukee-48-22-8731-DEMOLITION-GLOVES-M")</f>
        <v/>
      </c>
      <c r="C158" t="inlineStr">
        <is>
          <t>Milwaukee 48-22-8731 Demolition Gloves, Medium</t>
        </is>
      </c>
      <c r="D158" t="inlineStr">
        <is>
          <t>Milwaukee Demolition Glove Size 8 (Medium) 48-22-9731, Black/Red/Grey</t>
        </is>
      </c>
      <c r="E158" s="1">
        <f>HYPERLINK("https://www.amazon.com/Milwaukee-Demolition-Glove-Medium-48-22-9731/dp/B01G4AC3QI/ref=sr_1_1?keywords=Milwaukee+48-22-8731+Demolition+Gloves%2C+Medium&amp;qid=1695347514&amp;sr=8-1", "https://www.amazon.com/Milwaukee-Demolition-Glove-Medium-48-22-9731/dp/B01G4AC3QI/ref=sr_1_1?keywords=Milwaukee+48-22-8731+Demolition+Gloves%2C+Medium&amp;qid=1695347514&amp;sr=8-1")</f>
        <v/>
      </c>
      <c r="F158" t="inlineStr">
        <is>
          <t>B01G4AC3QI</t>
        </is>
      </c>
      <c r="G158">
        <f>_xlfn.IMAGE("https://www.toolup.com/product-images/Milwaukee-48-22-8732_01.jpg?resizeid=36&amp;resizeh=510&amp;resizew=510")</f>
        <v/>
      </c>
      <c r="H158">
        <f>_xlfn.IMAGE("https://m.media-amazon.com/images/I/61IZVrH3a+L._AC_UL320_.jpg")</f>
        <v/>
      </c>
      <c r="K158" t="inlineStr">
        <is>
          <t>24.97</t>
        </is>
      </c>
      <c r="L158" t="n">
        <v>70.47</v>
      </c>
      <c r="M158" s="2" t="inlineStr">
        <is>
          <t>182.22%</t>
        </is>
      </c>
      <c r="N158" t="n">
        <v>4.3</v>
      </c>
      <c r="O158" t="n">
        <v>146</v>
      </c>
      <c r="Q158" t="inlineStr">
        <is>
          <t>InStock</t>
        </is>
      </c>
      <c r="R158" t="inlineStr">
        <is>
          <t>37.9</t>
        </is>
      </c>
      <c r="S158" t="inlineStr">
        <is>
          <t>Milwaukee 48-22-8731</t>
        </is>
      </c>
    </row>
    <row r="159" ht="75" customHeight="1">
      <c r="A159" s="1">
        <f>HYPERLINK("https://www.toolup.com/Milwaukee-48-22-8732-DEMOLITION-GLOVES-L", "https://www.toolup.com/Milwaukee-48-22-8732-DEMOLITION-GLOVES-L")</f>
        <v/>
      </c>
      <c r="B159" s="1">
        <f>HYPERLINK("https://www.toolup.com/Milwaukee-48-22-8732-DEMOLITION-GLOVES-L", "https://www.toolup.com/Milwaukee-48-22-8732-DEMOLITION-GLOVES-L")</f>
        <v/>
      </c>
      <c r="C159" t="inlineStr">
        <is>
          <t>Milwaukee 48-22-8732 DEMOLITION GLOVES - L</t>
        </is>
      </c>
      <c r="D159" t="inlineStr">
        <is>
          <t>Milwaukee Demolition Glove Size 8 (Medium) 48-22-9731, Black/Red/Grey</t>
        </is>
      </c>
      <c r="E159" s="1">
        <f>HYPERLINK("https://www.amazon.com/Milwaukee-Demolition-Glove-Medium-48-22-9731/dp/B01G4AC3QI/ref=sr_1_6?keywords=Milwaukee+48-22-8732+DEMOLITION+GLOVES+-+L&amp;qid=1695347512&amp;sr=8-6", "https://www.amazon.com/Milwaukee-Demolition-Glove-Medium-48-22-9731/dp/B01G4AC3QI/ref=sr_1_6?keywords=Milwaukee+48-22-8732+DEMOLITION+GLOVES+-+L&amp;qid=1695347512&amp;sr=8-6")</f>
        <v/>
      </c>
      <c r="F159" t="inlineStr">
        <is>
          <t>B01G4AC3QI</t>
        </is>
      </c>
      <c r="G159">
        <f>_xlfn.IMAGE("https://www.toolup.com/product-images/Milwaukee-48-22-8732_01.jpg?resizeid=36&amp;resizeh=510&amp;resizew=510")</f>
        <v/>
      </c>
      <c r="H159">
        <f>_xlfn.IMAGE("https://m.media-amazon.com/images/I/61IZVrH3a+L._AC_UL320_.jpg")</f>
        <v/>
      </c>
      <c r="K159" t="inlineStr">
        <is>
          <t>24.97</t>
        </is>
      </c>
      <c r="L159" t="n">
        <v>70.47</v>
      </c>
      <c r="M159" s="2" t="inlineStr">
        <is>
          <t>182.22%</t>
        </is>
      </c>
      <c r="N159" t="n">
        <v>4.3</v>
      </c>
      <c r="O159" t="n">
        <v>146</v>
      </c>
      <c r="Q159" t="inlineStr">
        <is>
          <t>InStock</t>
        </is>
      </c>
      <c r="R159" t="inlineStr">
        <is>
          <t>37.9</t>
        </is>
      </c>
      <c r="S159" t="inlineStr">
        <is>
          <t>Milwaukee 48-22-8732</t>
        </is>
      </c>
    </row>
    <row r="160" ht="75" customHeight="1">
      <c r="A160" s="1">
        <f>HYPERLINK("https://www.toolup.com/Milwaukee-48-22-8732-DEMOLITION-GLOVES-L", "https://www.toolup.com/Milwaukee-48-22-8732-DEMOLITION-GLOVES-L")</f>
        <v/>
      </c>
      <c r="B160" s="1">
        <f>HYPERLINK("https://www.toolup.com/Milwaukee-48-22-8732-DEMOLITION-GLOVES-L", "https://www.toolup.com/Milwaukee-48-22-8732-DEMOLITION-GLOVES-L")</f>
        <v/>
      </c>
      <c r="C160" t="inlineStr">
        <is>
          <t>Milwaukee 48-22-8732 DEMOLITION GLOVES - L</t>
        </is>
      </c>
      <c r="D160" t="inlineStr">
        <is>
          <t>Milwaukee Demolition Glove Size 10 (X-Large) 48-22-9733, Black/Red/Grey</t>
        </is>
      </c>
      <c r="E160" s="1">
        <f>HYPERLINK("https://www.amazon.com/Milwaukee-Demolition-Glove-X-Large-48-22-9733/dp/B01G4AC5H0/ref=sr_1_3?keywords=Milwaukee+48-22-8732+DEMOLITION+GLOVES+-+L&amp;qid=1695347512&amp;sr=8-3", "https://www.amazon.com/Milwaukee-Demolition-Glove-X-Large-48-22-9733/dp/B01G4AC5H0/ref=sr_1_3?keywords=Milwaukee+48-22-8732+DEMOLITION+GLOVES+-+L&amp;qid=1695347512&amp;sr=8-3")</f>
        <v/>
      </c>
      <c r="F160" t="inlineStr">
        <is>
          <t>B01G4AC5H0</t>
        </is>
      </c>
      <c r="G160">
        <f>_xlfn.IMAGE("https://www.toolup.com/product-images/Milwaukee-48-22-8732_01.jpg?resizeid=36&amp;resizeh=510&amp;resizew=510")</f>
        <v/>
      </c>
      <c r="H160">
        <f>_xlfn.IMAGE("https://m.media-amazon.com/images/I/81BLdZBq2EL._AC_UL320_.jpg")</f>
        <v/>
      </c>
      <c r="K160" t="inlineStr">
        <is>
          <t>24.97</t>
        </is>
      </c>
      <c r="L160" t="n">
        <v>42</v>
      </c>
      <c r="M160" s="2" t="inlineStr">
        <is>
          <t>68.20%</t>
        </is>
      </c>
      <c r="N160" t="n">
        <v>4.5</v>
      </c>
      <c r="O160" t="n">
        <v>150</v>
      </c>
      <c r="Q160" t="inlineStr">
        <is>
          <t>InStock</t>
        </is>
      </c>
      <c r="R160" t="inlineStr">
        <is>
          <t>37.9</t>
        </is>
      </c>
      <c r="S160" t="inlineStr">
        <is>
          <t>Milwaukee 48-22-8732</t>
        </is>
      </c>
    </row>
    <row r="161" ht="75" customHeight="1">
      <c r="A161" s="1">
        <f>HYPERLINK("https://www.toolup.com/Milwaukee-48-22-8900-Dipped-Gloves-S", "https://www.toolup.com/Milwaukee-48-22-8900-Dipped-Gloves-S")</f>
        <v/>
      </c>
      <c r="B161" s="1">
        <f>HYPERLINK("https://www.toolup.com/Milwaukee-48-22-8900-Dipped-Gloves-S", "https://www.toolup.com/Milwaukee-48-22-8900-Dipped-Gloves-S")</f>
        <v/>
      </c>
      <c r="C161" t="inlineStr">
        <is>
          <t>Milwaukee 48-22-8900 Dipped Gloves - S</t>
        </is>
      </c>
      <c r="D161" t="inlineStr">
        <is>
          <t>MILWAUKEE'S 48-22-8732 Demolition Gloves, Large, Black/Red</t>
        </is>
      </c>
      <c r="E161" s="1">
        <f>HYPERLINK("https://www.amazon.com/Milwaukee-48-22-8732-Demolition-Gloves-Large/dp/B01BICDCYY/ref=sr_1_3?keywords=Milwaukee+48-22-8900+Dipped+Gloves+-+S&amp;qid=1695347519&amp;sr=8-3", "https://www.amazon.com/Milwaukee-48-22-8732-Demolition-Gloves-Large/dp/B01BICDCYY/ref=sr_1_3?keywords=Milwaukee+48-22-8900+Dipped+Gloves+-+S&amp;qid=1695347519&amp;sr=8-3")</f>
        <v/>
      </c>
      <c r="F161" t="inlineStr">
        <is>
          <t>B01BICDCYY</t>
        </is>
      </c>
      <c r="G161">
        <f>_xlfn.IMAGE("https://www.toolup.com/product-images/Milwaukee-48-22-8900_01.jpg?resizeid=36&amp;resizeh=510&amp;resizew=510")</f>
        <v/>
      </c>
      <c r="H161">
        <f>_xlfn.IMAGE("https://m.media-amazon.com/images/I/61-8Bk18SwL._AC_UL320_.jpg")</f>
        <v/>
      </c>
      <c r="K161" t="inlineStr">
        <is>
          <t>4.97</t>
        </is>
      </c>
      <c r="L161" t="n">
        <v>22</v>
      </c>
      <c r="M161" s="2" t="inlineStr">
        <is>
          <t>342.66%</t>
        </is>
      </c>
      <c r="N161" t="n">
        <v>4.6</v>
      </c>
      <c r="O161" t="n">
        <v>580</v>
      </c>
      <c r="Q161" t="inlineStr">
        <is>
          <t>InStock</t>
        </is>
      </c>
      <c r="R161" t="inlineStr">
        <is>
          <t>5.5</t>
        </is>
      </c>
      <c r="S161" t="inlineStr">
        <is>
          <t>Milwaukee 48-22-8900</t>
        </is>
      </c>
    </row>
    <row r="162" ht="75" customHeight="1">
      <c r="A162" s="1">
        <f>HYPERLINK("https://www.toolup.com/Milwaukee-48-22-8901-Dipped-Gloves-M", "https://www.toolup.com/Milwaukee-48-22-8901-Dipped-Gloves-M")</f>
        <v/>
      </c>
      <c r="B162" s="1">
        <f>HYPERLINK("https://www.toolup.com/Milwaukee-48-22-8901-Dipped-Gloves-M", "https://www.toolup.com/Milwaukee-48-22-8901-Dipped-Gloves-M")</f>
        <v/>
      </c>
      <c r="C162" t="inlineStr">
        <is>
          <t>Milwaukee 48-22-8901 Dipped Gloves - M</t>
        </is>
      </c>
      <c r="D162" t="inlineStr">
        <is>
          <t>MILWAUKEE'S 48-22-8732 Demolition Gloves, Large, Black/Red</t>
        </is>
      </c>
      <c r="E162" s="1">
        <f>HYPERLINK("https://www.amazon.com/Milwaukee-48-22-8732-Demolition-Gloves-Large/dp/B01BICDCYY/ref=sr_1_5?keywords=Milwaukee+48-22-8901+Dipped+Gloves+-+M&amp;qid=1695347510&amp;sr=8-5", "https://www.amazon.com/Milwaukee-48-22-8732-Demolition-Gloves-Large/dp/B01BICDCYY/ref=sr_1_5?keywords=Milwaukee+48-22-8901+Dipped+Gloves+-+M&amp;qid=1695347510&amp;sr=8-5")</f>
        <v/>
      </c>
      <c r="F162" t="inlineStr">
        <is>
          <t>B01BICDCYY</t>
        </is>
      </c>
      <c r="G162">
        <f>_xlfn.IMAGE("https://www.toolup.com/product-images/Milwaukee-48-22-8901_01.jpg?resizeid=36&amp;resizeh=510&amp;resizew=510")</f>
        <v/>
      </c>
      <c r="H162">
        <f>_xlfn.IMAGE("https://m.media-amazon.com/images/I/61-8Bk18SwL._AC_UL320_.jpg")</f>
        <v/>
      </c>
      <c r="K162" t="inlineStr">
        <is>
          <t>4.97</t>
        </is>
      </c>
      <c r="L162" t="n">
        <v>22</v>
      </c>
      <c r="M162" s="2" t="inlineStr">
        <is>
          <t>342.66%</t>
        </is>
      </c>
      <c r="N162" t="n">
        <v>4.6</v>
      </c>
      <c r="O162" t="n">
        <v>580</v>
      </c>
      <c r="Q162" t="inlineStr">
        <is>
          <t>InStock</t>
        </is>
      </c>
      <c r="R162" t="inlineStr">
        <is>
          <t>5.5</t>
        </is>
      </c>
      <c r="S162" t="inlineStr">
        <is>
          <t>Milwaukee 48-22-8901</t>
        </is>
      </c>
    </row>
    <row r="163" ht="75" customHeight="1">
      <c r="A163" s="1">
        <f>HYPERLINK("https://www.toolup.com/Milwaukee-48-22-8902-Dipped-Gloves-L", "https://www.toolup.com/Milwaukee-48-22-8902-Dipped-Gloves-L")</f>
        <v/>
      </c>
      <c r="B163" s="1">
        <f>HYPERLINK("https://www.toolup.com/Milwaukee-48-22-8902-Dipped-Gloves-L", "https://www.toolup.com/Milwaukee-48-22-8902-Dipped-Gloves-L")</f>
        <v/>
      </c>
      <c r="C163" t="inlineStr">
        <is>
          <t>Milwaukee 48-22-8902 Dipped Gloves - L</t>
        </is>
      </c>
      <c r="D163" t="inlineStr">
        <is>
          <t>MILWAUKEE'S 48-22-8732 Demolition Gloves, Large, Black/Red</t>
        </is>
      </c>
      <c r="E163" s="1">
        <f>HYPERLINK("https://www.amazon.com/Milwaukee-48-22-8732-Demolition-Gloves-Large/dp/B01BICDCYY/ref=sr_1_6?keywords=Milwaukee+48-22-8902+Dipped+Gloves+-+L&amp;qid=1695347507&amp;sr=8-6", "https://www.amazon.com/Milwaukee-48-22-8732-Demolition-Gloves-Large/dp/B01BICDCYY/ref=sr_1_6?keywords=Milwaukee+48-22-8902+Dipped+Gloves+-+L&amp;qid=1695347507&amp;sr=8-6")</f>
        <v/>
      </c>
      <c r="F163" t="inlineStr">
        <is>
          <t>B01BICDCYY</t>
        </is>
      </c>
      <c r="G163">
        <f>_xlfn.IMAGE("https://www.toolup.com/product-images/Milwaukee-48-22-8902_01.jpg?resizeid=36&amp;resizeh=510&amp;resizew=510")</f>
        <v/>
      </c>
      <c r="H163">
        <f>_xlfn.IMAGE("https://m.media-amazon.com/images/I/61-8Bk18SwL._AC_UL320_.jpg")</f>
        <v/>
      </c>
      <c r="K163" t="inlineStr">
        <is>
          <t>4.97</t>
        </is>
      </c>
      <c r="L163" t="n">
        <v>22</v>
      </c>
      <c r="M163" s="2" t="inlineStr">
        <is>
          <t>342.66%</t>
        </is>
      </c>
      <c r="N163" t="n">
        <v>4.6</v>
      </c>
      <c r="O163" t="n">
        <v>580</v>
      </c>
      <c r="Q163" t="inlineStr">
        <is>
          <t>InStock</t>
        </is>
      </c>
      <c r="R163" t="inlineStr">
        <is>
          <t>5.5</t>
        </is>
      </c>
      <c r="S163" t="inlineStr">
        <is>
          <t>Milwaukee 48-22-8902</t>
        </is>
      </c>
    </row>
    <row r="164" ht="75" customHeight="1">
      <c r="A164" s="1">
        <f>HYPERLINK("https://www.toolup.com/Milwaukee-48-22-8930-Cut-3-Dipped-Gloves-S", "https://www.toolup.com/Milwaukee-48-22-8930-Cut-3-Dipped-Gloves-S")</f>
        <v/>
      </c>
      <c r="B164" s="1">
        <f>HYPERLINK("https://www.toolup.com/Milwaukee-48-22-8930-Cut-3-Dipped-Gloves-S", "https://www.toolup.com/Milwaukee-48-22-8930-Cut-3-Dipped-Gloves-S")</f>
        <v/>
      </c>
      <c r="C164" t="inlineStr">
        <is>
          <t>Milwaukee 48-22-8930 Cut 3 Dipped Gloves - S</t>
        </is>
      </c>
      <c r="D164" t="inlineStr">
        <is>
          <t>MILWAUKEE'S 48-22-8732 Demolition Gloves, Large, Black/Red</t>
        </is>
      </c>
      <c r="E164" s="1">
        <f>HYPERLINK("https://www.amazon.com/Milwaukee-48-22-8732-Demolition-Gloves-Large/dp/B01BICDCYY/ref=sr_1_8?keywords=Milwaukee+48-22-8930+Cut+3+Dipped+Gloves+-+S&amp;qid=1695347530&amp;sr=8-8", "https://www.amazon.com/Milwaukee-48-22-8732-Demolition-Gloves-Large/dp/B01BICDCYY/ref=sr_1_8?keywords=Milwaukee+48-22-8930+Cut+3+Dipped+Gloves+-+S&amp;qid=1695347530&amp;sr=8-8")</f>
        <v/>
      </c>
      <c r="F164" t="inlineStr">
        <is>
          <t>B01BICDCYY</t>
        </is>
      </c>
      <c r="G164">
        <f>_xlfn.IMAGE("https://www.toolup.com/product-images/Milwaukee-48-22-8930_01.jpg?resizeid=36&amp;resizeh=510&amp;resizew=510")</f>
        <v/>
      </c>
      <c r="H164">
        <f>_xlfn.IMAGE("https://m.media-amazon.com/images/I/61-8Bk18SwL._AC_UL320_.jpg")</f>
        <v/>
      </c>
      <c r="K164" t="inlineStr">
        <is>
          <t>9.97</t>
        </is>
      </c>
      <c r="L164" t="n">
        <v>22</v>
      </c>
      <c r="M164" s="2" t="inlineStr">
        <is>
          <t>120.66%</t>
        </is>
      </c>
      <c r="N164" t="n">
        <v>4.6</v>
      </c>
      <c r="O164" t="n">
        <v>580</v>
      </c>
      <c r="Q164" t="inlineStr">
        <is>
          <t>InStock</t>
        </is>
      </c>
      <c r="R164" t="inlineStr">
        <is>
          <t>13.9</t>
        </is>
      </c>
      <c r="S164" t="inlineStr">
        <is>
          <t>Milwaukee 48-22-8930</t>
        </is>
      </c>
    </row>
    <row r="165" ht="75" customHeight="1">
      <c r="A165" s="1">
        <f>HYPERLINK("https://www.toolup.com/Milwaukee-48-22-8931-Cut-3-Dipped-Gloves-M", "https://www.toolup.com/Milwaukee-48-22-8931-Cut-3-Dipped-Gloves-M")</f>
        <v/>
      </c>
      <c r="B165" s="1">
        <f>HYPERLINK("https://www.toolup.com/Milwaukee-48-22-8931-Cut-3-Dipped-Gloves-M", "https://www.toolup.com/Milwaukee-48-22-8931-Cut-3-Dipped-Gloves-M")</f>
        <v/>
      </c>
      <c r="C165" t="inlineStr">
        <is>
          <t>Milwaukee 48-22-8931 Cut 3 Dipped Gloves - M</t>
        </is>
      </c>
      <c r="D165" t="inlineStr">
        <is>
          <t>MILWAUKEE'S 48-22-8732 Demolition Gloves, Large, Black/Red</t>
        </is>
      </c>
      <c r="E165" s="1">
        <f>HYPERLINK("https://www.amazon.com/Milwaukee-48-22-8732-Demolition-Gloves-Large/dp/B01BICDCYY/ref=sr_1_8?keywords=Milwaukee+48-22-8931+Cut+3+Dipped+Gloves+-+M&amp;qid=1695347526&amp;sr=8-8", "https://www.amazon.com/Milwaukee-48-22-8732-Demolition-Gloves-Large/dp/B01BICDCYY/ref=sr_1_8?keywords=Milwaukee+48-22-8931+Cut+3+Dipped+Gloves+-+M&amp;qid=1695347526&amp;sr=8-8")</f>
        <v/>
      </c>
      <c r="F165" t="inlineStr">
        <is>
          <t>B01BICDCYY</t>
        </is>
      </c>
      <c r="G165">
        <f>_xlfn.IMAGE("https://www.toolup.com/product-images/Milwaukee-48-22-8931_01.jpg?resizeid=36&amp;resizeh=510&amp;resizew=510")</f>
        <v/>
      </c>
      <c r="H165">
        <f>_xlfn.IMAGE("https://m.media-amazon.com/images/I/61-8Bk18SwL._AC_UL320_.jpg")</f>
        <v/>
      </c>
      <c r="K165" t="inlineStr">
        <is>
          <t>9.97</t>
        </is>
      </c>
      <c r="L165" t="n">
        <v>22</v>
      </c>
      <c r="M165" s="2" t="inlineStr">
        <is>
          <t>120.66%</t>
        </is>
      </c>
      <c r="N165" t="n">
        <v>4.6</v>
      </c>
      <c r="O165" t="n">
        <v>580</v>
      </c>
      <c r="Q165" t="inlineStr">
        <is>
          <t>InStock</t>
        </is>
      </c>
      <c r="R165" t="inlineStr">
        <is>
          <t>13.9</t>
        </is>
      </c>
      <c r="S165" t="inlineStr">
        <is>
          <t>Milwaukee 48-22-8931</t>
        </is>
      </c>
    </row>
    <row r="166" ht="75" customHeight="1">
      <c r="A166" s="1">
        <f>HYPERLINK("https://www.toolup.com/Milwaukee-48-22-8932-Cut-3-Dipped-Gloves-L", "https://www.toolup.com/Milwaukee-48-22-8932-Cut-3-Dipped-Gloves-L")</f>
        <v/>
      </c>
      <c r="B166" s="1">
        <f>HYPERLINK("https://www.toolup.com/Milwaukee-48-22-8932-Cut-3-Dipped-Gloves-L", "https://www.toolup.com/Milwaukee-48-22-8932-Cut-3-Dipped-Gloves-L")</f>
        <v/>
      </c>
      <c r="C166" t="inlineStr">
        <is>
          <t>Milwaukee 48-22-8932 Cut 3 Dipped Gloves - L</t>
        </is>
      </c>
      <c r="D166" t="inlineStr">
        <is>
          <t>MILWAUKEE'S 48-22-8732 Demolition Gloves, Large, Black/Red</t>
        </is>
      </c>
      <c r="E166" s="1">
        <f>HYPERLINK("https://www.amazon.com/Milwaukee-48-22-8732-Demolition-Gloves-Large/dp/B01BICDCYY/ref=sr_1_9?keywords=Milwaukee+48-22-8932+Cut+3+Dipped+Gloves+-+L&amp;qid=1695347507&amp;sr=8-9", "https://www.amazon.com/Milwaukee-48-22-8732-Demolition-Gloves-Large/dp/B01BICDCYY/ref=sr_1_9?keywords=Milwaukee+48-22-8932+Cut+3+Dipped+Gloves+-+L&amp;qid=1695347507&amp;sr=8-9")</f>
        <v/>
      </c>
      <c r="F166" t="inlineStr">
        <is>
          <t>B01BICDCYY</t>
        </is>
      </c>
      <c r="G166">
        <f>_xlfn.IMAGE("https://www.toolup.com/product-images/Milwaukee-48-22-8932_01.jpg?resizeid=36&amp;resizeh=510&amp;resizew=510")</f>
        <v/>
      </c>
      <c r="H166">
        <f>_xlfn.IMAGE("https://m.media-amazon.com/images/I/61-8Bk18SwL._AC_UL320_.jpg")</f>
        <v/>
      </c>
      <c r="K166" t="inlineStr">
        <is>
          <t>9.97</t>
        </is>
      </c>
      <c r="L166" t="n">
        <v>22</v>
      </c>
      <c r="M166" s="2" t="inlineStr">
        <is>
          <t>120.66%</t>
        </is>
      </c>
      <c r="N166" t="n">
        <v>4.6</v>
      </c>
      <c r="O166" t="n">
        <v>580</v>
      </c>
      <c r="Q166" t="inlineStr">
        <is>
          <t>InStock</t>
        </is>
      </c>
      <c r="R166" t="inlineStr">
        <is>
          <t>13.9</t>
        </is>
      </c>
      <c r="S166" t="inlineStr">
        <is>
          <t>Milwaukee 48-22-8932</t>
        </is>
      </c>
    </row>
    <row r="167" ht="75" customHeight="1">
      <c r="A167" s="1">
        <f>HYPERLINK("https://www.toolup.com/North-Safety-NF11-8M-M-NorthFlex-Red-Foamed-PVC-Palm-Coated-Gloves", "https://www.toolup.com/North-Safety-NF11-8M-M-NorthFlex-Red-Foamed-PVC-Palm-Coated-Gloves")</f>
        <v/>
      </c>
      <c r="B167" s="1">
        <f>HYPERLINK("https://www.toolup.com/North-Safety-NF11-8M-M-NorthFlex-Red-Foamed-PVC-Palm-Coated-Gloves", "https://www.toolup.com/North-Safety-NF11-8M-M-NorthFlex-Red-Foamed-PVC-Palm-Coated-Gloves")</f>
        <v/>
      </c>
      <c r="C167" t="inlineStr">
        <is>
          <t>North Safety NF11/8M M NorthFlex Red Foamed PVC Palm Coated Gloves</t>
        </is>
      </c>
      <c r="D167" t="inlineStr">
        <is>
          <t>North by Honeywell NF11/10XL NorthFlex Red NF11 Foamed PVC Palm Coated Gloves</t>
        </is>
      </c>
      <c r="E167" s="1">
        <f>HYPERLINK("https://www.amazon.com/Honeywell-NF11-10XL-NorthFlex-Foamed/dp/B0752HTDGZ/ref=sr_1_1?keywords=North+Safety+NF11%2F8M+M+NorthFlex+Red+Foamed+PVC+Palm+Coated+Gloves&amp;qid=1695347528&amp;sr=8-1", "https://www.amazon.com/Honeywell-NF11-10XL-NorthFlex-Foamed/dp/B0752HTDGZ/ref=sr_1_1?keywords=North+Safety+NF11%2F8M+M+NorthFlex+Red+Foamed+PVC+Palm+Coated+Gloves&amp;qid=1695347528&amp;sr=8-1")</f>
        <v/>
      </c>
      <c r="F167" t="inlineStr">
        <is>
          <t>B0752HTDGZ</t>
        </is>
      </c>
      <c r="G167">
        <f>_xlfn.IMAGE("https://www.toolup.com/product-images/nort-NF1110XL_01.jpg?resizeid=36&amp;resizeh=510&amp;resizew=510")</f>
        <v/>
      </c>
      <c r="H167">
        <f>_xlfn.IMAGE("https://m.media-amazon.com/images/I/71xUpdGVSyL._AC_UL320_.jpg")</f>
        <v/>
      </c>
      <c r="K167" t="inlineStr">
        <is>
          <t>2.42</t>
        </is>
      </c>
      <c r="L167" t="n">
        <v>42.49</v>
      </c>
      <c r="M167" s="2" t="inlineStr">
        <is>
          <t>1655.79%</t>
        </is>
      </c>
      <c r="N167" t="n">
        <v>4.7</v>
      </c>
      <c r="O167" t="n">
        <v>25</v>
      </c>
      <c r="Q167" t="inlineStr">
        <is>
          <t>InStock</t>
        </is>
      </c>
      <c r="R167" t="inlineStr">
        <is>
          <t>3.5</t>
        </is>
      </c>
      <c r="S167" t="inlineStr">
        <is>
          <t>North Safety NF11/8M</t>
        </is>
      </c>
    </row>
    <row r="168" ht="75" customHeight="1">
      <c r="A168" s="1">
        <f>HYPERLINK("https://www.toolup.com/North-Safety-NF11-9L-L-NorthFlex-Red-Foamed-PVC-Palm-Coated-Gloves", "https://www.toolup.com/North-Safety-NF11-9L-L-NorthFlex-Red-Foamed-PVC-Palm-Coated-Gloves")</f>
        <v/>
      </c>
      <c r="B168" s="1">
        <f>HYPERLINK("https://www.toolup.com/North-Safety-NF11-9L-L-NorthFlex-Red-Foamed-PVC-Palm-Coated-Gloves", "https://www.toolup.com/North-Safety-NF11-9L-L-NorthFlex-Red-Foamed-PVC-Palm-Coated-Gloves")</f>
        <v/>
      </c>
      <c r="C168" t="inlineStr">
        <is>
          <t>North Safety NF11/9L L NorthFlex Red Foamed PVC Palm Coated Gloves</t>
        </is>
      </c>
      <c r="D168" t="inlineStr">
        <is>
          <t>North Safety Products Northflex Red Nylon/foamPVC Glove 9l 15 Gauge (068-NF119L) Category: Coated Gloves</t>
        </is>
      </c>
      <c r="E168" s="1">
        <f>HYPERLINK("https://www.amazon.com/Products-Northflex-foamPVC-068-NF119L-Category/dp/B009SB65D8/ref=sr_1_9?keywords=North+Safety+NF11%2F9L+L+NorthFlex+Red+Foamed+PVC+Palm+Coated+Gloves&amp;qid=1695347540&amp;sr=8-9", "https://www.amazon.com/Products-Northflex-foamPVC-068-NF119L-Category/dp/B009SB65D8/ref=sr_1_9?keywords=North+Safety+NF11%2F9L+L+NorthFlex+Red+Foamed+PVC+Palm+Coated+Gloves&amp;qid=1695347540&amp;sr=8-9")</f>
        <v/>
      </c>
      <c r="F168" t="inlineStr">
        <is>
          <t>B009SB65D8</t>
        </is>
      </c>
      <c r="G168">
        <f>_xlfn.IMAGE("https://www.toolup.com/product-images/nort-NF1110XL_01.jpg?resizeid=36&amp;resizeh=510&amp;resizew=510")</f>
        <v/>
      </c>
      <c r="H168">
        <f>_xlfn.IMAGE("https://m.media-amazon.com/images/I/41Cp5lHdJSL._AC_UL320_.jpg")</f>
        <v/>
      </c>
      <c r="J168" t="inlineStr">
        <is>
          <t>low sales</t>
        </is>
      </c>
      <c r="K168" t="inlineStr">
        <is>
          <t>2.42</t>
        </is>
      </c>
      <c r="L168" t="n">
        <v>73.06</v>
      </c>
      <c r="M168" s="2" t="inlineStr">
        <is>
          <t>2919.01%</t>
        </is>
      </c>
      <c r="N168" t="n">
        <v>5</v>
      </c>
      <c r="O168" t="n">
        <v>1</v>
      </c>
      <c r="Q168" t="inlineStr">
        <is>
          <t>InStock</t>
        </is>
      </c>
      <c r="R168" t="inlineStr">
        <is>
          <t>3.5</t>
        </is>
      </c>
      <c r="S168" t="inlineStr">
        <is>
          <t>North Safety NF11/9L</t>
        </is>
      </c>
    </row>
    <row r="169" ht="75" customHeight="1">
      <c r="A169" s="1">
        <f>HYPERLINK("https://www.toolup.com/North-Safety-NF11-9L-L-NorthFlex-Red-Foamed-PVC-Palm-Coated-Gloves", "https://www.toolup.com/North-Safety-NF11-9L-L-NorthFlex-Red-Foamed-PVC-Palm-Coated-Gloves")</f>
        <v/>
      </c>
      <c r="B169" s="1">
        <f>HYPERLINK("https://www.toolup.com/North-Safety-NF11-9L-L-NorthFlex-Red-Foamed-PVC-Palm-Coated-Gloves", "https://www.toolup.com/North-Safety-NF11-9L-L-NorthFlex-Red-Foamed-PVC-Palm-Coated-Gloves")</f>
        <v/>
      </c>
      <c r="C169" t="inlineStr">
        <is>
          <t>North Safety NF11/9L L NorthFlex Red Foamed PVC Palm Coated Gloves</t>
        </is>
      </c>
      <c r="D169" t="inlineStr">
        <is>
          <t>North by Honeywell NF11/10XL NorthFlex Red NF11 Foamed PVC Palm Coated Gloves</t>
        </is>
      </c>
      <c r="E169" s="1">
        <f>HYPERLINK("https://www.amazon.com/Honeywell-NF11-10XL-NorthFlex-Foamed/dp/B0752HTDGZ/ref=sr_1_1?keywords=North+Safety+NF11%2F9L+L+NorthFlex+Red+Foamed+PVC+Palm+Coated+Gloves&amp;qid=1695347540&amp;sr=8-1", "https://www.amazon.com/Honeywell-NF11-10XL-NorthFlex-Foamed/dp/B0752HTDGZ/ref=sr_1_1?keywords=North+Safety+NF11%2F9L+L+NorthFlex+Red+Foamed+PVC+Palm+Coated+Gloves&amp;qid=1695347540&amp;sr=8-1")</f>
        <v/>
      </c>
      <c r="F169" t="inlineStr">
        <is>
          <t>B0752HTDGZ</t>
        </is>
      </c>
      <c r="G169">
        <f>_xlfn.IMAGE("https://www.toolup.com/product-images/nort-NF1110XL_01.jpg?resizeid=36&amp;resizeh=510&amp;resizew=510")</f>
        <v/>
      </c>
      <c r="H169">
        <f>_xlfn.IMAGE("https://m.media-amazon.com/images/I/71xUpdGVSyL._AC_UL320_.jpg")</f>
        <v/>
      </c>
      <c r="K169" t="inlineStr">
        <is>
          <t>2.42</t>
        </is>
      </c>
      <c r="L169" t="n">
        <v>42.49</v>
      </c>
      <c r="M169" s="2" t="inlineStr">
        <is>
          <t>1655.79%</t>
        </is>
      </c>
      <c r="N169" t="n">
        <v>4.7</v>
      </c>
      <c r="O169" t="n">
        <v>25</v>
      </c>
      <c r="Q169" t="inlineStr">
        <is>
          <t>InStock</t>
        </is>
      </c>
      <c r="R169" t="inlineStr">
        <is>
          <t>3.5</t>
        </is>
      </c>
      <c r="S169" t="inlineStr">
        <is>
          <t>North Safety NF11/9L</t>
        </is>
      </c>
    </row>
    <row r="170" ht="75" customHeight="1">
      <c r="A170" s="1">
        <f>HYPERLINK("https://www.toolup.com/PIP-34-8743-MaxiFlex-Cut-Gloves_2", "https://www.toolup.com/PIP-34-8743-MaxiFlex-Cut-Gloves_2")</f>
        <v/>
      </c>
      <c r="B170" s="1">
        <f>HYPERLINK("https://www.toolup.com/PIP-34-8743-MaxiFlex-Cut-Gloves_2", "https://www.toolup.com/PIP-34-8743-MaxiFlex-Cut-Gloves_2")</f>
        <v/>
      </c>
      <c r="C170" t="inlineStr">
        <is>
          <t>PIP Industrial Products 34-8743/M MaxiFlex Cut Gloves, Medium</t>
        </is>
      </c>
      <c r="D170" t="inlineStr">
        <is>
          <t>PIP 34-8743/M Medium MaxiFlex Cut by ATG Black Micro-Foam Nitrile Dipped Palm And Finger Coated Work Glove With Continuous Knitwrist (Dozen) …</t>
        </is>
      </c>
      <c r="E170" s="1">
        <f>HYPERLINK("https://www.amazon.com/34-8743-MaxiFlex-Micro-Foam-Continuous-Knitwrist/dp/B07BMJ8P1N/ref=sr_1_6?keywords=PIP+Industrial+Products+34-8743%2FM+MaxiFlex+Cut+Gloves%2C+Medium&amp;qid=1695347509&amp;sr=8-6", "https://www.amazon.com/34-8743-MaxiFlex-Micro-Foam-Continuous-Knitwrist/dp/B07BMJ8P1N/ref=sr_1_6?keywords=PIP+Industrial+Products+34-8743%2FM+MaxiFlex+Cut+Gloves%2C+Medium&amp;qid=1695347509&amp;sr=8-6")</f>
        <v/>
      </c>
      <c r="F170" t="inlineStr">
        <is>
          <t>B07BMJ8P1N</t>
        </is>
      </c>
      <c r="G170">
        <f>_xlfn.IMAGE("https://www.toolup.com/product-images/PIP-34-8743_01.jpg?resizeid=36&amp;resizeh=510&amp;resizew=510")</f>
        <v/>
      </c>
      <c r="H170">
        <f>_xlfn.IMAGE("https://m.media-amazon.com/images/I/21dw3aFuPyL._AC_UL320_.jpg")</f>
        <v/>
      </c>
      <c r="K170" t="inlineStr">
        <is>
          <t>7.43</t>
        </is>
      </c>
      <c r="L170" t="n">
        <v>119</v>
      </c>
      <c r="M170" s="2" t="inlineStr">
        <is>
          <t>1501.62%</t>
        </is>
      </c>
      <c r="N170" t="n">
        <v>4.4</v>
      </c>
      <c r="O170" t="n">
        <v>2</v>
      </c>
      <c r="Q170" t="inlineStr">
        <is>
          <t>InStock</t>
        </is>
      </c>
      <c r="R170" t="inlineStr">
        <is>
          <t>undefined</t>
        </is>
      </c>
      <c r="S170" t="inlineStr">
        <is>
          <t>PIP 34-8743/M</t>
        </is>
      </c>
    </row>
    <row r="171" ht="75" customHeight="1">
      <c r="A171" s="1">
        <f>HYPERLINK("https://www.toolup.com/PIP-34-8743-MaxiFlex-Cut-Gloves_2", "https://www.toolup.com/PIP-34-8743-MaxiFlex-Cut-Gloves_2")</f>
        <v/>
      </c>
      <c r="B171" s="1">
        <f>HYPERLINK("https://www.toolup.com/PIP-34-8743-MaxiFlex-Cut-Gloves_2", "https://www.toolup.com/PIP-34-8743-MaxiFlex-Cut-Gloves_2")</f>
        <v/>
      </c>
      <c r="C171" t="inlineStr">
        <is>
          <t>PIP Industrial Products 34-8743/M MaxiFlex Cut Gloves, Medium</t>
        </is>
      </c>
      <c r="D171" t="inlineStr">
        <is>
          <t>Protective Industrial Products 34-8743/M Medium MaxiFlex Cut by ATG Black Micro-Foam Nitrile Dipped Palm And Finger Coated Work Glove With Continuous Knitwrist (1/PR)</t>
        </is>
      </c>
      <c r="E171" s="1">
        <f>HYPERLINK("https://www.amazon.com/Protective-Industrial-Products-34-8743-Micro-Foam/dp/B00Z2R05B0/ref=sr_1_1?keywords=PIP+Industrial+Products+34-8743%2FM+MaxiFlex+Cut+Gloves%2C+Medium&amp;qid=1695347509&amp;sr=8-1", "https://www.amazon.com/Protective-Industrial-Products-34-8743-Micro-Foam/dp/B00Z2R05B0/ref=sr_1_1?keywords=PIP+Industrial+Products+34-8743%2FM+MaxiFlex+Cut+Gloves%2C+Medium&amp;qid=1695347509&amp;sr=8-1")</f>
        <v/>
      </c>
      <c r="F171" t="inlineStr">
        <is>
          <t>B00Z2R05B0</t>
        </is>
      </c>
      <c r="G171">
        <f>_xlfn.IMAGE("https://www.toolup.com/product-images/PIP-34-8743_01.jpg?resizeid=36&amp;resizeh=510&amp;resizew=510")</f>
        <v/>
      </c>
      <c r="H171">
        <f>_xlfn.IMAGE("https://m.media-amazon.com/images/I/81I5MlhxstL._AC_UL320_.jpg")</f>
        <v/>
      </c>
      <c r="I171" t="n">
        <v>0</v>
      </c>
      <c r="J171" t="inlineStr">
        <is>
          <t>1 seller dominant</t>
        </is>
      </c>
      <c r="K171" t="inlineStr">
        <is>
          <t>7.43</t>
        </is>
      </c>
      <c r="L171" t="n">
        <v>18.75</v>
      </c>
      <c r="M171" s="2" t="inlineStr">
        <is>
          <t>152.36%</t>
        </is>
      </c>
      <c r="N171" t="n">
        <v>4.7</v>
      </c>
      <c r="O171" t="n">
        <v>7</v>
      </c>
      <c r="Q171" t="inlineStr">
        <is>
          <t>InStock</t>
        </is>
      </c>
      <c r="R171" t="inlineStr">
        <is>
          <t>undefined</t>
        </is>
      </c>
      <c r="S171" t="inlineStr">
        <is>
          <t>PIP 34-8743/M</t>
        </is>
      </c>
    </row>
    <row r="172" ht="75" customHeight="1">
      <c r="A172" s="1">
        <f>HYPERLINK("https://www.toolup.com/Radians-RWG560XL-AXIS-Cut-Protection-Level-A4-PU-Coated-Glove-X-Large?quantity=12", "https://www.toolup.com/Radians-RWG560XL-AXIS-Cut-Protection-Level-A4-PU-Coated-Glove-X-Large?quantity=12")</f>
        <v/>
      </c>
      <c r="B172" s="1">
        <f>HYPERLINK("https://www.toolup.com/Radians-RWG560XL-AXIS-Cut-Protection-Level-A4-PU-Coated-Glove-X-Large", "https://www.toolup.com/Radians-RWG560XL-AXIS-Cut-Protection-Level-A4-PU-Coated-Glove-X-Large")</f>
        <v/>
      </c>
      <c r="C172" t="inlineStr">
        <is>
          <t>Radians RWG560XL AXIS Cut Protection Level A4 PU Coated Glove, X-Large</t>
        </is>
      </c>
      <c r="D172" t="inlineStr">
        <is>
          <t>Radians Axis Cut Protection Level A4 PU Coated Glove - RWG560T</t>
        </is>
      </c>
      <c r="E172" s="1">
        <f>HYPERLINK("https://www.amazon.com/Radians-RWG560TXl-Protection-Coated-Tagged/dp/B07PGQWXXM/ref=sr_1_1?keywords=Radians+RWG560XL+AXIS+Cut+Protection+Level+A4+PU+Coated+Glove%2C+X-Large&amp;qid=1695347530&amp;sr=8-1", "https://www.amazon.com/Radians-RWG560TXl-Protection-Coated-Tagged/dp/B07PGQWXXM/ref=sr_1_1?keywords=Radians+RWG560XL+AXIS+Cut+Protection+Level+A4+PU+Coated+Glove%2C+X-Large&amp;qid=1695347530&amp;sr=8-1")</f>
        <v/>
      </c>
      <c r="F172" t="inlineStr">
        <is>
          <t>B07PGQWXXM</t>
        </is>
      </c>
      <c r="G172">
        <f>_xlfn.IMAGE("https://www.toolup.com/product-images/Radians-RWG560_01.jpg?resizeid=36&amp;resizeh=510&amp;resizew=510")</f>
        <v/>
      </c>
      <c r="H172">
        <f>_xlfn.IMAGE("https://m.media-amazon.com/images/I/81nmkstBNbL._AC_UL320_.jpg")</f>
        <v/>
      </c>
      <c r="K172" t="inlineStr">
        <is>
          <t>5.8</t>
        </is>
      </c>
      <c r="L172" t="n">
        <v>62.95</v>
      </c>
      <c r="M172" s="2" t="inlineStr">
        <is>
          <t>985.34%</t>
        </is>
      </c>
      <c r="N172" t="n">
        <v>4.2</v>
      </c>
      <c r="O172" t="n">
        <v>28</v>
      </c>
      <c r="Q172" t="inlineStr">
        <is>
          <t>InStock</t>
        </is>
      </c>
      <c r="R172" t="inlineStr">
        <is>
          <t>7.25</t>
        </is>
      </c>
      <c r="S172" t="inlineStr">
        <is>
          <t>Radians RWG560XL</t>
        </is>
      </c>
    </row>
    <row r="173" ht="75" customHeight="1">
      <c r="A173" s="1">
        <f>HYPERLINK("https://www.toolup.com/Radians-RWG560XL-AXIS-Cut-Protection-Level-A4-PU-Coated-Glove-X-Large?quantity=12", "https://www.toolup.com/Radians-RWG560XL-AXIS-Cut-Protection-Level-A4-PU-Coated-Glove-X-Large?quantity=12")</f>
        <v/>
      </c>
      <c r="B173" s="1">
        <f>HYPERLINK("https://www.toolup.com/Radians-RWG560XL-AXIS-Cut-Protection-Level-A4-PU-Coated-Glove-X-Large", "https://www.toolup.com/Radians-RWG560XL-AXIS-Cut-Protection-Level-A4-PU-Coated-Glove-X-Large")</f>
        <v/>
      </c>
      <c r="C173" t="inlineStr">
        <is>
          <t>Radians RWG560XL AXIS Cut Protection Level A4 PU Coated Glove, X-Large</t>
        </is>
      </c>
      <c r="D173" t="inlineStr">
        <is>
          <t>Radians RWG555 Axis Cut Protection Level A4 Foam Nitrile Dipped Workk Glove, X-Large</t>
        </is>
      </c>
      <c r="E173" s="1">
        <f>HYPERLINK("https://www.amazon.com/Radians-RWG555XL-Protection-Level-Glove/dp/B018GLJA8C/ref=sr_1_4?keywords=Radians+RWG560XL+AXIS+Cut+Protection+Level+A4+PU+Coated+Glove%2C+X-Large&amp;qid=1695347530&amp;sr=8-4", "https://www.amazon.com/Radians-RWG555XL-Protection-Level-Glove/dp/B018GLJA8C/ref=sr_1_4?keywords=Radians+RWG560XL+AXIS+Cut+Protection+Level+A4+PU+Coated+Glove%2C+X-Large&amp;qid=1695347530&amp;sr=8-4")</f>
        <v/>
      </c>
      <c r="F173" t="inlineStr">
        <is>
          <t>B018GLJA8C</t>
        </is>
      </c>
      <c r="G173">
        <f>_xlfn.IMAGE("https://www.toolup.com/product-images/Radians-RWG560_01.jpg?resizeid=36&amp;resizeh=510&amp;resizew=510")</f>
        <v/>
      </c>
      <c r="H173">
        <f>_xlfn.IMAGE("https://m.media-amazon.com/images/I/91WC76rMM1L._AC_UL320_.jpg")</f>
        <v/>
      </c>
      <c r="K173" t="inlineStr">
        <is>
          <t>5.8</t>
        </is>
      </c>
      <c r="L173" t="n">
        <v>15.99</v>
      </c>
      <c r="M173" s="2" t="inlineStr">
        <is>
          <t>175.69%</t>
        </is>
      </c>
      <c r="N173" t="n">
        <v>4.9</v>
      </c>
      <c r="O173" t="n">
        <v>43</v>
      </c>
      <c r="Q173" t="inlineStr">
        <is>
          <t>InStock</t>
        </is>
      </c>
      <c r="R173" t="inlineStr">
        <is>
          <t>7.25</t>
        </is>
      </c>
      <c r="S173" t="inlineStr">
        <is>
          <t>Radians RWG560XL</t>
        </is>
      </c>
    </row>
    <row r="174" ht="75" customHeight="1">
      <c r="A174" s="1">
        <f>HYPERLINK("https://www.toolup.com/Radians-RWG566XL-Touchscreen-Cut-Protection-Level-A4-Work-Glove-XL", "https://www.toolup.com/Radians-RWG566XL-Touchscreen-Cut-Protection-Level-A4-Work-Glove-XL")</f>
        <v/>
      </c>
      <c r="B174" s="1">
        <f>HYPERLINK("https://www.toolup.com/Radians-RWG566XL-Touchscreen-Cut-Protection-Level-A4-Work-Glove-XL", "https://www.toolup.com/Radians-RWG566XL-Touchscreen-Cut-Protection-Level-A4-Work-Glove-XL")</f>
        <v/>
      </c>
      <c r="C174" t="inlineStr">
        <is>
          <t>Radians RWG566XL Axis Touchscreen Cut Protection Level 5 Work Glove, XL</t>
        </is>
      </c>
      <c r="D174" t="inlineStr">
        <is>
          <t>Radians RWG555 Axis Cut Protection Level A4 Foam Nitrile Dipped Workk Glove, XX-Large</t>
        </is>
      </c>
      <c r="E174" s="1">
        <f>HYPERLINK("https://www.amazon.com/Radians-RWG555XXL-Protection-Level-XX-Large/dp/B0725VPS58/ref=sr_1_3?keywords=Radians+RWG566XL+Axis+Touchscreen+Cut+Protection+Level+5+Work+Glove%2C+XL&amp;qid=1695347520&amp;sr=8-3", "https://www.amazon.com/Radians-RWG555XXL-Protection-Level-XX-Large/dp/B0725VPS58/ref=sr_1_3?keywords=Radians+RWG566XL+Axis+Touchscreen+Cut+Protection+Level+5+Work+Glove%2C+XL&amp;qid=1695347520&amp;sr=8-3")</f>
        <v/>
      </c>
      <c r="F174" t="inlineStr">
        <is>
          <t>B0725VPS58</t>
        </is>
      </c>
      <c r="G174">
        <f>_xlfn.IMAGE("https://www.toolup.com/product-images/Radians-RWG566XL_01.jpg?resizeid=36&amp;resizeh=510&amp;resizew=510")</f>
        <v/>
      </c>
      <c r="H174">
        <f>_xlfn.IMAGE("https://m.media-amazon.com/images/I/81PaASufDqL._AC_UL320_.jpg")</f>
        <v/>
      </c>
      <c r="K174" t="inlineStr">
        <is>
          <t>9.1</t>
        </is>
      </c>
      <c r="L174" t="n">
        <v>15.5</v>
      </c>
      <c r="M174" s="2" t="inlineStr">
        <is>
          <t>70.33%</t>
        </is>
      </c>
      <c r="N174" t="n">
        <v>4.9</v>
      </c>
      <c r="O174" t="n">
        <v>43</v>
      </c>
      <c r="Q174" t="inlineStr">
        <is>
          <t>InStock</t>
        </is>
      </c>
      <c r="R174" t="inlineStr">
        <is>
          <t>11.38</t>
        </is>
      </c>
      <c r="S174" t="inlineStr">
        <is>
          <t>Radians RWG566XL</t>
        </is>
      </c>
    </row>
    <row r="175" ht="75" customHeight="1">
      <c r="A175" s="1">
        <f>HYPERLINK("https://www.toolup.com/Relton-GRT34-3-16-Straight-Shank-Masonry-Drill-Bit-Groo-V-Tip-multi-purpose", "https://www.toolup.com/Relton-GRT34-3-16-Straight-Shank-Masonry-Drill-Bit-Groo-V-Tip-multi-purpose")</f>
        <v/>
      </c>
      <c r="B175" s="1">
        <f>HYPERLINK("https://www.toolup.com/Relton-GRT34-3-16-Straight-Shank-Masonry-Drill-Bit-Groo-V-Tip-multi-purpose", "https://www.toolup.com/Relton-GRT34-3-16-Straight-Shank-Masonry-Drill-Bit-Groo-V-Tip-multi-purpose")</f>
        <v/>
      </c>
      <c r="C175" t="inlineStr">
        <is>
          <t>Relton GRT34 3/16" Straight-Shank Masonry Drill Bit Groo-V® Tip multi-purpose</t>
        </is>
      </c>
      <c r="D175" t="inlineStr">
        <is>
          <t>Relton GRT46 1/4" x 6" Straight-Shank Masonry Drill Bit Groo-V Tip multi-purpose</t>
        </is>
      </c>
      <c r="E175" s="1">
        <f>HYPERLINK("https://www.amazon.com/Relton-Straight-Shank-Masonry-Groo-V-multi-purpose/dp/B0006Q2NS0/ref=sr_1_2?keywords=Relton+GRT34+3%2F16%22+Straight-Shank+Masonry+Drill+Bit+Groo-V%C2%AE+Tip+multi-purpose&amp;qid=1695347574&amp;sr=8-2", "https://www.amazon.com/Relton-Straight-Shank-Masonry-Groo-V-multi-purpose/dp/B0006Q2NS0/ref=sr_1_2?keywords=Relton+GRT34+3%2F16%22+Straight-Shank+Masonry+Drill+Bit+Groo-V%C2%AE+Tip+multi-purpose&amp;qid=1695347574&amp;sr=8-2")</f>
        <v/>
      </c>
      <c r="F175" t="inlineStr">
        <is>
          <t>B0006Q2NS0</t>
        </is>
      </c>
      <c r="G175">
        <f>_xlfn.IMAGE("https://www.toolup.com/product-images/Relton-GRT_01.jpg?resizeid=36&amp;resizeh=510&amp;resizew=510")</f>
        <v/>
      </c>
      <c r="H175">
        <f>_xlfn.IMAGE("https://m.media-amazon.com/images/I/41+dZ8M4C-L._AC_UL320_.jpg")</f>
        <v/>
      </c>
      <c r="K175" t="inlineStr">
        <is>
          <t>7.66</t>
        </is>
      </c>
      <c r="L175" t="n">
        <v>16.21</v>
      </c>
      <c r="M175" s="2" t="inlineStr">
        <is>
          <t>111.62%</t>
        </is>
      </c>
      <c r="N175" t="n">
        <v>5</v>
      </c>
      <c r="O175" t="n">
        <v>1</v>
      </c>
      <c r="Q175" t="inlineStr">
        <is>
          <t>InStock</t>
        </is>
      </c>
      <c r="R175" t="inlineStr">
        <is>
          <t>14.0</t>
        </is>
      </c>
      <c r="S175" t="inlineStr">
        <is>
          <t>Relton GRT34</t>
        </is>
      </c>
    </row>
    <row r="176" ht="75" customHeight="1">
      <c r="A176" s="1">
        <f>HYPERLINK("https://www.toolup.com/Relton-GRT34-3-16-Straight-Shank-Masonry-Drill-Bit-Groo-V-Tip-multi-purpose", "https://www.toolup.com/Relton-GRT34-3-16-Straight-Shank-Masonry-Drill-Bit-Groo-V-Tip-multi-purpose")</f>
        <v/>
      </c>
      <c r="B176" s="1">
        <f>HYPERLINK("https://www.toolup.com/Relton-GRT34-3-16-Straight-Shank-Masonry-Drill-Bit-Groo-V-Tip-multi-purpose", "https://www.toolup.com/Relton-GRT34-3-16-Straight-Shank-Masonry-Drill-Bit-Groo-V-Tip-multi-purpose")</f>
        <v/>
      </c>
      <c r="C176" t="inlineStr">
        <is>
          <t>Relton GRT34 3/16" Straight-Shank Masonry Drill Bit Groo-V® Tip multi-purpose</t>
        </is>
      </c>
      <c r="D176" t="inlineStr">
        <is>
          <t>Relton GRT56 5/16" x 6" Straight-Shank Masonry Drill Bit Groo-V Tip multi-purpose</t>
        </is>
      </c>
      <c r="E176" s="1">
        <f>HYPERLINK("https://www.amazon.com/Relton-Straight-Shank-Masonry-Groo-V-multi-purpose/dp/B0006Q2NT4/ref=sr_1_1?keywords=Relton+GRT34+3%2F16%22+Straight-Shank+Masonry+Drill+Bit+Groo-V%C2%AE+Tip+multi-purpose&amp;qid=1695347574&amp;sr=8-1", "https://www.amazon.com/Relton-Straight-Shank-Masonry-Groo-V-multi-purpose/dp/B0006Q2NT4/ref=sr_1_1?keywords=Relton+GRT34+3%2F16%22+Straight-Shank+Masonry+Drill+Bit+Groo-V%C2%AE+Tip+multi-purpose&amp;qid=1695347574&amp;sr=8-1")</f>
        <v/>
      </c>
      <c r="F176" t="inlineStr">
        <is>
          <t>B0006Q2NT4</t>
        </is>
      </c>
      <c r="G176">
        <f>_xlfn.IMAGE("https://www.toolup.com/product-images/Relton-GRT_01.jpg?resizeid=36&amp;resizeh=510&amp;resizew=510")</f>
        <v/>
      </c>
      <c r="H176">
        <f>_xlfn.IMAGE("https://m.media-amazon.com/images/I/41+dZ8M4C-L._AC_UL320_.jpg")</f>
        <v/>
      </c>
      <c r="K176" t="inlineStr">
        <is>
          <t>7.66</t>
        </is>
      </c>
      <c r="L176" t="n">
        <v>15.45</v>
      </c>
      <c r="M176" s="2" t="inlineStr">
        <is>
          <t>101.70%</t>
        </is>
      </c>
      <c r="N176" t="n">
        <v>5</v>
      </c>
      <c r="O176" t="n">
        <v>1</v>
      </c>
      <c r="Q176" t="inlineStr">
        <is>
          <t>InStock</t>
        </is>
      </c>
      <c r="R176" t="inlineStr">
        <is>
          <t>14.0</t>
        </is>
      </c>
      <c r="S176" t="inlineStr">
        <is>
          <t>Relton GRT34</t>
        </is>
      </c>
    </row>
    <row r="177" ht="75" customHeight="1">
      <c r="A177" s="1">
        <f>HYPERLINK("https://www.toolup.com/Relton-GRT-3-6-3-16-X-6-GROO-V-TIP-BIT", "https://www.toolup.com/Relton-GRT-3-6-3-16-X-6-GROO-V-TIP-BIT")</f>
        <v/>
      </c>
      <c r="B177" s="1">
        <f>HYPERLINK("https://www.toolup.com/Relton-GRT-3-6-3-16-X-6-GROO-V-TIP-BIT", "https://www.toolup.com/Relton-GRT-3-6-3-16-X-6-GROO-V-TIP-BIT")</f>
        <v/>
      </c>
      <c r="C177" t="inlineStr">
        <is>
          <t>Relton GRT-3-6 3/16" X 6" GROO-V TIP BIT</t>
        </is>
      </c>
      <c r="D177" t="inlineStr">
        <is>
          <t>Relton GRT46 1/4" x 6" Straight-Shank Masonry Drill Bit Groo-V Tip multi-purpose</t>
        </is>
      </c>
      <c r="E177" s="1">
        <f>HYPERLINK("https://www.amazon.com/Relton-Straight-Shank-Masonry-Groo-V-multi-purpose/dp/B0006Q2NS0/ref=sr_1_10?keywords=Relton+GRT-3-6+3%2F16%22+X+6%22+GROO-V+TIP+BIT&amp;qid=1695347486&amp;sr=8-10", "https://www.amazon.com/Relton-Straight-Shank-Masonry-Groo-V-multi-purpose/dp/B0006Q2NS0/ref=sr_1_10?keywords=Relton+GRT-3-6+3%2F16%22+X+6%22+GROO-V+TIP+BIT&amp;qid=1695347486&amp;sr=8-10")</f>
        <v/>
      </c>
      <c r="F177" t="inlineStr">
        <is>
          <t>B0006Q2NS0</t>
        </is>
      </c>
      <c r="G177">
        <f>_xlfn.IMAGE("https://www.toolup.com/product-images/Relton-GRT-3-6_01.jpg?resizeid=36&amp;resizeh=510&amp;resizew=510")</f>
        <v/>
      </c>
      <c r="H177">
        <f>_xlfn.IMAGE("https://m.media-amazon.com/images/I/41+dZ8M4C-L._AC_UL320_.jpg")</f>
        <v/>
      </c>
      <c r="K177" t="inlineStr">
        <is>
          <t>6.4</t>
        </is>
      </c>
      <c r="L177" t="n">
        <v>16.21</v>
      </c>
      <c r="M177" s="2" t="inlineStr">
        <is>
          <t>153.28%</t>
        </is>
      </c>
      <c r="N177" t="n">
        <v>5</v>
      </c>
      <c r="O177" t="n">
        <v>1</v>
      </c>
      <c r="Q177" t="inlineStr">
        <is>
          <t>InStock</t>
        </is>
      </c>
      <c r="R177" t="inlineStr">
        <is>
          <t>undefined</t>
        </is>
      </c>
      <c r="S177" t="inlineStr">
        <is>
          <t>Relton GRT-3-6</t>
        </is>
      </c>
    </row>
    <row r="178" ht="75" customHeight="1">
      <c r="A178" s="1">
        <f>HYPERLINK("https://www.toolup.com/Relton-GRT-3-6-3-16-X-6-GROO-V-TIP-BIT", "https://www.toolup.com/Relton-GRT-3-6-3-16-X-6-GROO-V-TIP-BIT")</f>
        <v/>
      </c>
      <c r="B178" s="1">
        <f>HYPERLINK("https://www.toolup.com/Relton-GRT-3-6-3-16-X-6-GROO-V-TIP-BIT", "https://www.toolup.com/Relton-GRT-3-6-3-16-X-6-GROO-V-TIP-BIT")</f>
        <v/>
      </c>
      <c r="C178" t="inlineStr">
        <is>
          <t>Relton GRT-3-6 3/16" X 6" GROO-V TIP BIT</t>
        </is>
      </c>
      <c r="D178" t="inlineStr">
        <is>
          <t>3/16" x 3" long Relton Groo-V Tip Granite, Marble and Porcelain Multi-Purpose Drill Bit</t>
        </is>
      </c>
      <c r="E178" s="1">
        <f>HYPERLINK("https://www.amazon.com/Relton-Groo-V-Granite-Porcelain-Multi-Purpose/dp/B000PUSM0U/ref=sr_1_6?keywords=Relton+GRT-3-6+3%2F16%22+X+6%22+GROO-V+TIP+BIT&amp;qid=1695347486&amp;sr=8-6", "https://www.amazon.com/Relton-Groo-V-Granite-Porcelain-Multi-Purpose/dp/B000PUSM0U/ref=sr_1_6?keywords=Relton+GRT-3-6+3%2F16%22+X+6%22+GROO-V+TIP+BIT&amp;qid=1695347486&amp;sr=8-6")</f>
        <v/>
      </c>
      <c r="F178" t="inlineStr">
        <is>
          <t>B000PUSM0U</t>
        </is>
      </c>
      <c r="G178">
        <f>_xlfn.IMAGE("https://www.toolup.com/product-images/Relton-GRT-3-6_01.jpg?resizeid=36&amp;resizeh=510&amp;resizew=510")</f>
        <v/>
      </c>
      <c r="H178">
        <f>_xlfn.IMAGE("https://m.media-amazon.com/images/I/31LbkEll3zL._AC_UL320_.jpg")</f>
        <v/>
      </c>
      <c r="K178" t="inlineStr">
        <is>
          <t>6.4</t>
        </is>
      </c>
      <c r="L178" t="n">
        <v>15.95</v>
      </c>
      <c r="M178" s="2" t="inlineStr">
        <is>
          <t>149.22%</t>
        </is>
      </c>
      <c r="N178" t="n">
        <v>4.8</v>
      </c>
      <c r="O178" t="n">
        <v>8</v>
      </c>
      <c r="Q178" t="inlineStr">
        <is>
          <t>InStock</t>
        </is>
      </c>
      <c r="R178" t="inlineStr">
        <is>
          <t>undefined</t>
        </is>
      </c>
      <c r="S178" t="inlineStr">
        <is>
          <t>Relton GRT-3-6</t>
        </is>
      </c>
    </row>
    <row r="179" ht="75" customHeight="1">
      <c r="A179" s="1">
        <f>HYPERLINK("https://www.toolup.com/Relton-GRT44-1-4-x-4-Straight-Shank-Masonry-Drill-Bit-Groo-V-Tip-multi-purpose", "https://www.toolup.com/Relton-GRT44-1-4-x-4-Straight-Shank-Masonry-Drill-Bit-Groo-V-Tip-multi-purpose")</f>
        <v/>
      </c>
      <c r="B179" s="1">
        <f>HYPERLINK("https://www.toolup.com/Relton-GRT44-1-4-x-4-Straight-Shank-Masonry-Drill-Bit-Groo-V-Tip-multi-purpose", "https://www.toolup.com/Relton-GRT44-1-4-x-4-Straight-Shank-Masonry-Drill-Bit-Groo-V-Tip-multi-purpose")</f>
        <v/>
      </c>
      <c r="C179" t="inlineStr">
        <is>
          <t>Relton GRT44 1/4" x 4" Straight-Shank Masonry Drill Bit Groo-V® Tip multi-purpose</t>
        </is>
      </c>
      <c r="D179" t="inlineStr">
        <is>
          <t>Relton GRT46 1/4" x 6" Straight-Shank Masonry Drill Bit Groo-V Tip multi-purpose</t>
        </is>
      </c>
      <c r="E179" s="1">
        <f>HYPERLINK("https://www.amazon.com/Relton-Straight-Shank-Masonry-Groo-V-multi-purpose/dp/B0006Q2NS0/ref=sr_1_3?keywords=Relton+GRT44+1%2F4%22+x+4%22+Straight-Shank+Masonry+Drill+Bit+Groo-V%C2%AE+Tip+multi-purpose&amp;qid=1695347574&amp;sr=8-3", "https://www.amazon.com/Relton-Straight-Shank-Masonry-Groo-V-multi-purpose/dp/B0006Q2NS0/ref=sr_1_3?keywords=Relton+GRT44+1%2F4%22+x+4%22+Straight-Shank+Masonry+Drill+Bit+Groo-V%C2%AE+Tip+multi-purpose&amp;qid=1695347574&amp;sr=8-3")</f>
        <v/>
      </c>
      <c r="F179" t="inlineStr">
        <is>
          <t>B0006Q2NS0</t>
        </is>
      </c>
      <c r="G179">
        <f>_xlfn.IMAGE("https://www.toolup.com/product-images/Relton-GRT_01.jpg?resizeid=36&amp;resizeh=510&amp;resizew=510")</f>
        <v/>
      </c>
      <c r="H179">
        <f>_xlfn.IMAGE("https://m.media-amazon.com/images/I/41+dZ8M4C-L._AC_UL320_.jpg")</f>
        <v/>
      </c>
      <c r="K179" t="inlineStr">
        <is>
          <t>6.02</t>
        </is>
      </c>
      <c r="L179" t="n">
        <v>16.21</v>
      </c>
      <c r="M179" s="2" t="inlineStr">
        <is>
          <t>169.27%</t>
        </is>
      </c>
      <c r="N179" t="n">
        <v>5</v>
      </c>
      <c r="O179" t="n">
        <v>1</v>
      </c>
      <c r="Q179" t="inlineStr">
        <is>
          <t>InStock</t>
        </is>
      </c>
      <c r="R179" t="inlineStr">
        <is>
          <t>14.0</t>
        </is>
      </c>
      <c r="S179" t="inlineStr">
        <is>
          <t>Relton GRT44</t>
        </is>
      </c>
    </row>
    <row r="180" ht="75" customHeight="1">
      <c r="A180" s="1">
        <f>HYPERLINK("https://www.toolup.com/Relton-GRT44-1-4-x-4-Straight-Shank-Masonry-Drill-Bit-Groo-V-Tip-multi-purpose", "https://www.toolup.com/Relton-GRT44-1-4-x-4-Straight-Shank-Masonry-Drill-Bit-Groo-V-Tip-multi-purpose")</f>
        <v/>
      </c>
      <c r="B180" s="1">
        <f>HYPERLINK("https://www.toolup.com/Relton-GRT44-1-4-x-4-Straight-Shank-Masonry-Drill-Bit-Groo-V-Tip-multi-purpose", "https://www.toolup.com/Relton-GRT44-1-4-x-4-Straight-Shank-Masonry-Drill-Bit-Groo-V-Tip-multi-purpose")</f>
        <v/>
      </c>
      <c r="C180" t="inlineStr">
        <is>
          <t>Relton GRT44 1/4" x 4" Straight-Shank Masonry Drill Bit Groo-V® Tip multi-purpose</t>
        </is>
      </c>
      <c r="D180" t="inlineStr">
        <is>
          <t>Relton GRT56 5/16" x 6" Straight-Shank Masonry Drill Bit Groo-V Tip multi-purpose</t>
        </is>
      </c>
      <c r="E180" s="1">
        <f>HYPERLINK("https://www.amazon.com/Relton-Straight-Shank-Masonry-Groo-V-multi-purpose/dp/B0006Q2NT4/ref=sr_1_5?keywords=Relton+GRT44+1%2F4%22+x+4%22+Straight-Shank+Masonry+Drill+Bit+Groo-V%C2%AE+Tip+multi-purpose&amp;qid=1695347574&amp;sr=8-5", "https://www.amazon.com/Relton-Straight-Shank-Masonry-Groo-V-multi-purpose/dp/B0006Q2NT4/ref=sr_1_5?keywords=Relton+GRT44+1%2F4%22+x+4%22+Straight-Shank+Masonry+Drill+Bit+Groo-V%C2%AE+Tip+multi-purpose&amp;qid=1695347574&amp;sr=8-5")</f>
        <v/>
      </c>
      <c r="F180" t="inlineStr">
        <is>
          <t>B0006Q2NT4</t>
        </is>
      </c>
      <c r="G180">
        <f>_xlfn.IMAGE("https://www.toolup.com/product-images/Relton-GRT_01.jpg?resizeid=36&amp;resizeh=510&amp;resizew=510")</f>
        <v/>
      </c>
      <c r="H180">
        <f>_xlfn.IMAGE("https://m.media-amazon.com/images/I/41+dZ8M4C-L._AC_UL320_.jpg")</f>
        <v/>
      </c>
      <c r="K180" t="inlineStr">
        <is>
          <t>6.02</t>
        </is>
      </c>
      <c r="L180" t="n">
        <v>15.45</v>
      </c>
      <c r="M180" s="2" t="inlineStr">
        <is>
          <t>156.64%</t>
        </is>
      </c>
      <c r="N180" t="n">
        <v>5</v>
      </c>
      <c r="O180" t="n">
        <v>1</v>
      </c>
      <c r="Q180" t="inlineStr">
        <is>
          <t>InStock</t>
        </is>
      </c>
      <c r="R180" t="inlineStr">
        <is>
          <t>14.0</t>
        </is>
      </c>
      <c r="S180" t="inlineStr">
        <is>
          <t>Relton GRT44</t>
        </is>
      </c>
    </row>
    <row r="181" ht="75" customHeight="1">
      <c r="A181" s="1">
        <f>HYPERLINK("https://www.toolup.com/Relton-GRT46-1-4-x-6-Straight-Shank-Masonry-Drill-Bit-Groo-V-Tip-multi-purpose", "https://www.toolup.com/Relton-GRT46-1-4-x-6-Straight-Shank-Masonry-Drill-Bit-Groo-V-Tip-multi-purpose")</f>
        <v/>
      </c>
      <c r="B181" s="1">
        <f>HYPERLINK("https://www.toolup.com/Relton-GRT46-1-4-x-6-Straight-Shank-Masonry-Drill-Bit-Groo-V-Tip-multi-purpose", "https://www.toolup.com/Relton-GRT46-1-4-x-6-Straight-Shank-Masonry-Drill-Bit-Groo-V-Tip-multi-purpose")</f>
        <v/>
      </c>
      <c r="C181" t="inlineStr">
        <is>
          <t>Relton GRT46 1/4" x 6" Straight-Shank Masonry Drill Bit Groo-V® Tip multi-purpose</t>
        </is>
      </c>
      <c r="D181" t="inlineStr">
        <is>
          <t>Relton GRT46 1/4" x 6" Straight-Shank Masonry Drill Bit Groo-V Tip multi-purpose</t>
        </is>
      </c>
      <c r="E181" s="1">
        <f>HYPERLINK("https://www.amazon.com/Relton-Straight-Shank-Masonry-Groo-V-multi-purpose/dp/B0006Q2NS0/ref=sr_1_1?keywords=Relton+GRT46+1%2F4%22+x+6%22+Straight-Shank+Masonry+Drill+Bit+Groo-V%C2%AE+Tip+multi-purpose&amp;qid=1695347559&amp;sr=8-1", "https://www.amazon.com/Relton-Straight-Shank-Masonry-Groo-V-multi-purpose/dp/B0006Q2NS0/ref=sr_1_1?keywords=Relton+GRT46+1%2F4%22+x+6%22+Straight-Shank+Masonry+Drill+Bit+Groo-V%C2%AE+Tip+multi-purpose&amp;qid=1695347559&amp;sr=8-1")</f>
        <v/>
      </c>
      <c r="F181" t="inlineStr">
        <is>
          <t>B0006Q2NS0</t>
        </is>
      </c>
      <c r="G181">
        <f>_xlfn.IMAGE("https://www.toolup.com/product-images/Relton-GRT_01.jpg?resizeid=36&amp;resizeh=510&amp;resizew=510")</f>
        <v/>
      </c>
      <c r="H181">
        <f>_xlfn.IMAGE("https://m.media-amazon.com/images/I/41+dZ8M4C-L._AC_UL320_.jpg")</f>
        <v/>
      </c>
      <c r="K181" t="inlineStr">
        <is>
          <t>6.58</t>
        </is>
      </c>
      <c r="L181" t="n">
        <v>16.21</v>
      </c>
      <c r="M181" s="2" t="inlineStr">
        <is>
          <t>146.35%</t>
        </is>
      </c>
      <c r="N181" t="n">
        <v>5</v>
      </c>
      <c r="O181" t="n">
        <v>1</v>
      </c>
      <c r="Q181" t="inlineStr">
        <is>
          <t>InStock</t>
        </is>
      </c>
      <c r="R181" t="inlineStr">
        <is>
          <t>15.0</t>
        </is>
      </c>
      <c r="S181" t="inlineStr">
        <is>
          <t>Relton GRT46</t>
        </is>
      </c>
    </row>
    <row r="182" ht="75" customHeight="1">
      <c r="A182" s="1">
        <f>HYPERLINK("https://www.toolup.com/Relton-GRT46-1-4-x-6-Straight-Shank-Masonry-Drill-Bit-Groo-V-Tip-multi-purpose", "https://www.toolup.com/Relton-GRT46-1-4-x-6-Straight-Shank-Masonry-Drill-Bit-Groo-V-Tip-multi-purpose")</f>
        <v/>
      </c>
      <c r="B182" s="1">
        <f>HYPERLINK("https://www.toolup.com/Relton-GRT46-1-4-x-6-Straight-Shank-Masonry-Drill-Bit-Groo-V-Tip-multi-purpose", "https://www.toolup.com/Relton-GRT46-1-4-x-6-Straight-Shank-Masonry-Drill-Bit-Groo-V-Tip-multi-purpose")</f>
        <v/>
      </c>
      <c r="C182" t="inlineStr">
        <is>
          <t>Relton GRT46 1/4" x 6" Straight-Shank Masonry Drill Bit Groo-V® Tip multi-purpose</t>
        </is>
      </c>
      <c r="D182" t="inlineStr">
        <is>
          <t>Relton GRT56 5/16" x 6" Straight-Shank Masonry Drill Bit Groo-V Tip multi-purpose</t>
        </is>
      </c>
      <c r="E182" s="1">
        <f>HYPERLINK("https://www.amazon.com/Relton-Straight-Shank-Masonry-Groo-V-multi-purpose/dp/B0006Q2NT4/ref=sr_1_2?keywords=Relton+GRT46+1%2F4%22+x+6%22+Straight-Shank+Masonry+Drill+Bit+Groo-V%C2%AE+Tip+multi-purpose&amp;qid=1695347559&amp;sr=8-2", "https://www.amazon.com/Relton-Straight-Shank-Masonry-Groo-V-multi-purpose/dp/B0006Q2NT4/ref=sr_1_2?keywords=Relton+GRT46+1%2F4%22+x+6%22+Straight-Shank+Masonry+Drill+Bit+Groo-V%C2%AE+Tip+multi-purpose&amp;qid=1695347559&amp;sr=8-2")</f>
        <v/>
      </c>
      <c r="F182" t="inlineStr">
        <is>
          <t>B0006Q2NT4</t>
        </is>
      </c>
      <c r="G182">
        <f>_xlfn.IMAGE("https://www.toolup.com/product-images/Relton-GRT_01.jpg?resizeid=36&amp;resizeh=510&amp;resizew=510")</f>
        <v/>
      </c>
      <c r="H182">
        <f>_xlfn.IMAGE("https://m.media-amazon.com/images/I/41+dZ8M4C-L._AC_UL320_.jpg")</f>
        <v/>
      </c>
      <c r="K182" t="inlineStr">
        <is>
          <t>6.58</t>
        </is>
      </c>
      <c r="L182" t="n">
        <v>15.45</v>
      </c>
      <c r="M182" s="2" t="inlineStr">
        <is>
          <t>134.80%</t>
        </is>
      </c>
      <c r="N182" t="n">
        <v>5</v>
      </c>
      <c r="O182" t="n">
        <v>1</v>
      </c>
      <c r="Q182" t="inlineStr">
        <is>
          <t>InStock</t>
        </is>
      </c>
      <c r="R182" t="inlineStr">
        <is>
          <t>15.0</t>
        </is>
      </c>
      <c r="S182" t="inlineStr">
        <is>
          <t>Relton GRT46</t>
        </is>
      </c>
    </row>
    <row r="183" ht="75" customHeight="1">
      <c r="A183" s="1">
        <f>HYPERLINK("https://www.toolup.com/Relton-GRT54-5-16-x-4-Straight-Shank-Masonry-Drill-Bit-Groo-V-Tip-multi-purpose", "https://www.toolup.com/Relton-GRT54-5-16-x-4-Straight-Shank-Masonry-Drill-Bit-Groo-V-Tip-multi-purpose")</f>
        <v/>
      </c>
      <c r="B183" s="1">
        <f>HYPERLINK("https://www.toolup.com/Relton-GRT54-5-16-x-4-Straight-Shank-Masonry-Drill-Bit-Groo-V-Tip-multi-purpose", "https://www.toolup.com/Relton-GRT54-5-16-x-4-Straight-Shank-Masonry-Drill-Bit-Groo-V-Tip-multi-purpose")</f>
        <v/>
      </c>
      <c r="C183" t="inlineStr">
        <is>
          <t>Relton GRT54 5/16" x 4" Straight-Shank Masonry Drill Bit Groo-V® Tip multi-purpose</t>
        </is>
      </c>
      <c r="D183" t="inlineStr">
        <is>
          <t>Relton GRT46 1/4" x 6" Straight-Shank Masonry Drill Bit Groo-V Tip multi-purpose</t>
        </is>
      </c>
      <c r="E183" s="1">
        <f>HYPERLINK("https://www.amazon.com/Relton-Straight-Shank-Masonry-Groo-V-multi-purpose/dp/B0006Q2NS0/ref=sr_1_4?keywords=Relton+GRT54+5%2F16%22+x+4%22+Straight-Shank+Masonry+Drill+Bit+Groo-V%C2%AE+Tip+multi-purpose&amp;qid=1695347557&amp;sr=8-4", "https://www.amazon.com/Relton-Straight-Shank-Masonry-Groo-V-multi-purpose/dp/B0006Q2NS0/ref=sr_1_4?keywords=Relton+GRT54+5%2F16%22+x+4%22+Straight-Shank+Masonry+Drill+Bit+Groo-V%C2%AE+Tip+multi-purpose&amp;qid=1695347557&amp;sr=8-4")</f>
        <v/>
      </c>
      <c r="F183" t="inlineStr">
        <is>
          <t>B0006Q2NS0</t>
        </is>
      </c>
      <c r="G183">
        <f>_xlfn.IMAGE("https://www.toolup.com/product-images/Relton-GRT_01.jpg?resizeid=36&amp;resizeh=510&amp;resizew=510")</f>
        <v/>
      </c>
      <c r="H183">
        <f>_xlfn.IMAGE("https://m.media-amazon.com/images/I/41+dZ8M4C-L._AC_UY218_.jpg")</f>
        <v/>
      </c>
      <c r="K183" t="inlineStr">
        <is>
          <t>8.12</t>
        </is>
      </c>
      <c r="L183" t="n">
        <v>16.21</v>
      </c>
      <c r="M183" s="2" t="inlineStr">
        <is>
          <t>99.63%</t>
        </is>
      </c>
      <c r="N183" t="n">
        <v>5</v>
      </c>
      <c r="O183" t="n">
        <v>1</v>
      </c>
      <c r="Q183" t="inlineStr">
        <is>
          <t>InStock</t>
        </is>
      </c>
      <c r="R183" t="inlineStr">
        <is>
          <t>17.5</t>
        </is>
      </c>
      <c r="S183" t="inlineStr">
        <is>
          <t>Relton GRT54</t>
        </is>
      </c>
    </row>
    <row r="184" ht="75" customHeight="1">
      <c r="A184" s="1">
        <f>HYPERLINK("https://www.toolup.com/Relton-GRT54-5-16-x-4-Straight-Shank-Masonry-Drill-Bit-Groo-V-Tip-multi-purpose", "https://www.toolup.com/Relton-GRT54-5-16-x-4-Straight-Shank-Masonry-Drill-Bit-Groo-V-Tip-multi-purpose")</f>
        <v/>
      </c>
      <c r="B184" s="1">
        <f>HYPERLINK("https://www.toolup.com/Relton-GRT54-5-16-x-4-Straight-Shank-Masonry-Drill-Bit-Groo-V-Tip-multi-purpose", "https://www.toolup.com/Relton-GRT54-5-16-x-4-Straight-Shank-Masonry-Drill-Bit-Groo-V-Tip-multi-purpose")</f>
        <v/>
      </c>
      <c r="C184" t="inlineStr">
        <is>
          <t>Relton GRT54 5/16" x 4" Straight-Shank Masonry Drill Bit Groo-V® Tip multi-purpose</t>
        </is>
      </c>
      <c r="D184" t="inlineStr">
        <is>
          <t>Relton GRT56 5/16" x 6" Straight-Shank Masonry Drill Bit Groo-V Tip multi-purpose</t>
        </is>
      </c>
      <c r="E184" s="1">
        <f>HYPERLINK("https://www.amazon.com/Relton-Straight-Shank-Masonry-Groo-V-multi-purpose/dp/B0006Q2NT4/ref=sr_1_2?keywords=Relton+GRT54+5%2F16%22+x+4%22+Straight-Shank+Masonry+Drill+Bit+Groo-V%C2%AE+Tip+multi-purpose&amp;qid=1695347557&amp;sr=8-2", "https://www.amazon.com/Relton-Straight-Shank-Masonry-Groo-V-multi-purpose/dp/B0006Q2NT4/ref=sr_1_2?keywords=Relton+GRT54+5%2F16%22+x+4%22+Straight-Shank+Masonry+Drill+Bit+Groo-V%C2%AE+Tip+multi-purpose&amp;qid=1695347557&amp;sr=8-2")</f>
        <v/>
      </c>
      <c r="F184" t="inlineStr">
        <is>
          <t>B0006Q2NT4</t>
        </is>
      </c>
      <c r="G184">
        <f>_xlfn.IMAGE("https://www.toolup.com/product-images/Relton-GRT_01.jpg?resizeid=36&amp;resizeh=510&amp;resizew=510")</f>
        <v/>
      </c>
      <c r="H184">
        <f>_xlfn.IMAGE("https://m.media-amazon.com/images/I/41+dZ8M4C-L._AC_UY218_.jpg")</f>
        <v/>
      </c>
      <c r="K184" t="inlineStr">
        <is>
          <t>8.12</t>
        </is>
      </c>
      <c r="L184" t="n">
        <v>15.45</v>
      </c>
      <c r="M184" s="2" t="inlineStr">
        <is>
          <t>90.27%</t>
        </is>
      </c>
      <c r="N184" t="n">
        <v>5</v>
      </c>
      <c r="O184" t="n">
        <v>1</v>
      </c>
      <c r="Q184" t="inlineStr">
        <is>
          <t>InStock</t>
        </is>
      </c>
      <c r="R184" t="inlineStr">
        <is>
          <t>17.5</t>
        </is>
      </c>
      <c r="S184" t="inlineStr">
        <is>
          <t>Relton GRT54</t>
        </is>
      </c>
    </row>
    <row r="185" ht="75" customHeight="1">
      <c r="A185" s="1">
        <f>HYPERLINK("https://www.toolup.com/Relton-GRT56-5-16-x-6-Straight-Shank-Masonry-Drill-Bit-Groo-V-Tip-multi-purpose", "https://www.toolup.com/Relton-GRT56-5-16-x-6-Straight-Shank-Masonry-Drill-Bit-Groo-V-Tip-multi-purpose")</f>
        <v/>
      </c>
      <c r="B185" s="1">
        <f>HYPERLINK("https://www.toolup.com/Relton-GRT56-5-16-x-6-Straight-Shank-Masonry-Drill-Bit-Groo-V-Tip-multi-purpose", "https://www.toolup.com/Relton-GRT56-5-16-x-6-Straight-Shank-Masonry-Drill-Bit-Groo-V-Tip-multi-purpose")</f>
        <v/>
      </c>
      <c r="C185" t="inlineStr">
        <is>
          <t>Relton GRT56 5/16" x 6" Straight-Shank Masonry Drill Bit Groo-V® Tip multi-purpose</t>
        </is>
      </c>
      <c r="D185" t="inlineStr">
        <is>
          <t>Relton GRT46 1/4" x 6" Straight-Shank Masonry Drill Bit Groo-V Tip multi-purpose</t>
        </is>
      </c>
      <c r="E185" s="1">
        <f>HYPERLINK("https://www.amazon.com/Relton-Straight-Shank-Masonry-Groo-V-multi-purpose/dp/B0006Q2NS0/ref=sr_1_2?keywords=Relton+GRT56+5%2F16%22+x+6%22+Straight-Shank+Masonry+Drill+Bit+Groo-V%C2%AE+Tip+multi-purpose&amp;qid=1695347552&amp;sr=8-2", "https://www.amazon.com/Relton-Straight-Shank-Masonry-Groo-V-multi-purpose/dp/B0006Q2NS0/ref=sr_1_2?keywords=Relton+GRT56+5%2F16%22+x+6%22+Straight-Shank+Masonry+Drill+Bit+Groo-V%C2%AE+Tip+multi-purpose&amp;qid=1695347552&amp;sr=8-2")</f>
        <v/>
      </c>
      <c r="F185" t="inlineStr">
        <is>
          <t>B0006Q2NS0</t>
        </is>
      </c>
      <c r="G185">
        <f>_xlfn.IMAGE("https://www.toolup.com/product-images/Relton-GRT_01.jpg?resizeid=36&amp;resizeh=510&amp;resizew=510")</f>
        <v/>
      </c>
      <c r="H185">
        <f>_xlfn.IMAGE("https://m.media-amazon.com/images/I/41+dZ8M4C-L._AC_UL320_.jpg")</f>
        <v/>
      </c>
      <c r="K185" t="inlineStr">
        <is>
          <t>8.71</t>
        </is>
      </c>
      <c r="L185" t="n">
        <v>16.21</v>
      </c>
      <c r="M185" s="2" t="inlineStr">
        <is>
          <t>86.11%</t>
        </is>
      </c>
      <c r="N185" t="n">
        <v>5</v>
      </c>
      <c r="O185" t="n">
        <v>1</v>
      </c>
      <c r="Q185" t="inlineStr">
        <is>
          <t>InStock</t>
        </is>
      </c>
      <c r="R185" t="inlineStr">
        <is>
          <t>18.5</t>
        </is>
      </c>
      <c r="S185" t="inlineStr">
        <is>
          <t>Relton GRT56</t>
        </is>
      </c>
    </row>
    <row r="186" ht="75" customHeight="1">
      <c r="A186" s="1">
        <f>HYPERLINK("https://www.toolup.com/Relton-GRT56-5-16-x-6-Straight-Shank-Masonry-Drill-Bit-Groo-V-Tip-multi-purpose", "https://www.toolup.com/Relton-GRT56-5-16-x-6-Straight-Shank-Masonry-Drill-Bit-Groo-V-Tip-multi-purpose")</f>
        <v/>
      </c>
      <c r="B186" s="1">
        <f>HYPERLINK("https://www.toolup.com/Relton-GRT56-5-16-x-6-Straight-Shank-Masonry-Drill-Bit-Groo-V-Tip-multi-purpose", "https://www.toolup.com/Relton-GRT56-5-16-x-6-Straight-Shank-Masonry-Drill-Bit-Groo-V-Tip-multi-purpose")</f>
        <v/>
      </c>
      <c r="C186" t="inlineStr">
        <is>
          <t>Relton GRT56 5/16" x 6" Straight-Shank Masonry Drill Bit Groo-V® Tip multi-purpose</t>
        </is>
      </c>
      <c r="D186" t="inlineStr">
        <is>
          <t>Relton GRT56 5/16" x 6" Straight-Shank Masonry Drill Bit Groo-V Tip multi-purpose</t>
        </is>
      </c>
      <c r="E186" s="1">
        <f>HYPERLINK("https://www.amazon.com/Relton-Straight-Shank-Masonry-Groo-V-multi-purpose/dp/B0006Q2NT4/ref=sr_1_1?keywords=Relton+GRT56+5%2F16%22+x+6%22+Straight-Shank+Masonry+Drill+Bit+Groo-V%C2%AE+Tip+multi-purpose&amp;qid=1695347552&amp;sr=8-1", "https://www.amazon.com/Relton-Straight-Shank-Masonry-Groo-V-multi-purpose/dp/B0006Q2NT4/ref=sr_1_1?keywords=Relton+GRT56+5%2F16%22+x+6%22+Straight-Shank+Masonry+Drill+Bit+Groo-V%C2%AE+Tip+multi-purpose&amp;qid=1695347552&amp;sr=8-1")</f>
        <v/>
      </c>
      <c r="F186" t="inlineStr">
        <is>
          <t>B0006Q2NT4</t>
        </is>
      </c>
      <c r="G186">
        <f>_xlfn.IMAGE("https://www.toolup.com/product-images/Relton-GRT_01.jpg?resizeid=36&amp;resizeh=510&amp;resizew=510")</f>
        <v/>
      </c>
      <c r="H186">
        <f>_xlfn.IMAGE("https://m.media-amazon.com/images/I/41+dZ8M4C-L._AC_UL320_.jpg")</f>
        <v/>
      </c>
      <c r="K186" t="inlineStr">
        <is>
          <t>8.71</t>
        </is>
      </c>
      <c r="L186" t="n">
        <v>15.45</v>
      </c>
      <c r="M186" s="2" t="inlineStr">
        <is>
          <t>77.38%</t>
        </is>
      </c>
      <c r="N186" t="n">
        <v>5</v>
      </c>
      <c r="O186" t="n">
        <v>1</v>
      </c>
      <c r="Q186" t="inlineStr">
        <is>
          <t>InStock</t>
        </is>
      </c>
      <c r="R186" t="inlineStr">
        <is>
          <t>18.5</t>
        </is>
      </c>
      <c r="S186" t="inlineStr">
        <is>
          <t>Relton GRT56</t>
        </is>
      </c>
    </row>
    <row r="187" ht="75" customHeight="1">
      <c r="A187" s="1">
        <f>HYPERLINK("https://www.toolup.com/Relton-GRT66-3-8-x-6-Straight-Shank-Masonry-Drill-Bit-Groo-V-Tip-multi-purpose", "https://www.toolup.com/Relton-GRT66-3-8-x-6-Straight-Shank-Masonry-Drill-Bit-Groo-V-Tip-multi-purpose")</f>
        <v/>
      </c>
      <c r="B187" s="1">
        <f>HYPERLINK("https://www.toolup.com/Relton-GRT66-3-8-x-6-Straight-Shank-Masonry-Drill-Bit-Groo-V-Tip-multi-purpose", "https://www.toolup.com/Relton-GRT66-3-8-x-6-Straight-Shank-Masonry-Drill-Bit-Groo-V-Tip-multi-purpose")</f>
        <v/>
      </c>
      <c r="C187" t="inlineStr">
        <is>
          <t>Relton GRT66 3/8" x 6" Straight-Shank Masonry Drill Bit Groo-V® Tip multi-purpose</t>
        </is>
      </c>
      <c r="D187" t="inlineStr">
        <is>
          <t>Relton GRT46 1/4" x 6" Straight-Shank Masonry Drill Bit Groo-V Tip multi-purpose</t>
        </is>
      </c>
      <c r="E187" s="1">
        <f>HYPERLINK("https://www.amazon.com/Relton-Straight-Shank-Masonry-Groo-V-multi-purpose/dp/B0006Q2NS0/ref=sr_1_3?keywords=Relton+GRT66+3%2F8%22+x+6%22+Straight-Shank+Masonry+Drill+Bit+Groo-V%C2%AE+Tip+multi-purpose&amp;qid=1695347551&amp;sr=8-3", "https://www.amazon.com/Relton-Straight-Shank-Masonry-Groo-V-multi-purpose/dp/B0006Q2NS0/ref=sr_1_3?keywords=Relton+GRT66+3%2F8%22+x+6%22+Straight-Shank+Masonry+Drill+Bit+Groo-V%C2%AE+Tip+multi-purpose&amp;qid=1695347551&amp;sr=8-3")</f>
        <v/>
      </c>
      <c r="F187" t="inlineStr">
        <is>
          <t>B0006Q2NS0</t>
        </is>
      </c>
      <c r="G187">
        <f>_xlfn.IMAGE("https://www.toolup.com/product-images/Relton-GRT_01.jpg?resizeid=36&amp;resizeh=510&amp;resizew=510")</f>
        <v/>
      </c>
      <c r="H187">
        <f>_xlfn.IMAGE("https://m.media-amazon.com/images/I/41+dZ8M4C-L._AC_UL320_.jpg")</f>
        <v/>
      </c>
      <c r="K187" t="inlineStr">
        <is>
          <t>9.22</t>
        </is>
      </c>
      <c r="L187" t="n">
        <v>16.21</v>
      </c>
      <c r="M187" s="2" t="inlineStr">
        <is>
          <t>75.81%</t>
        </is>
      </c>
      <c r="N187" t="n">
        <v>5</v>
      </c>
      <c r="O187" t="n">
        <v>1</v>
      </c>
      <c r="Q187" t="inlineStr">
        <is>
          <t>InStock</t>
        </is>
      </c>
      <c r="R187" t="inlineStr">
        <is>
          <t>19.5</t>
        </is>
      </c>
      <c r="S187" t="inlineStr">
        <is>
          <t>Relton GRT66</t>
        </is>
      </c>
    </row>
    <row r="188" ht="75" customHeight="1">
      <c r="A188" s="1">
        <f>HYPERLINK("https://www.toolup.com/Relton-GRT66-3-8-x-6-Straight-Shank-Masonry-Drill-Bit-Groo-V-Tip-multi-purpose", "https://www.toolup.com/Relton-GRT66-3-8-x-6-Straight-Shank-Masonry-Drill-Bit-Groo-V-Tip-multi-purpose")</f>
        <v/>
      </c>
      <c r="B188" s="1">
        <f>HYPERLINK("https://www.toolup.com/Relton-GRT66-3-8-x-6-Straight-Shank-Masonry-Drill-Bit-Groo-V-Tip-multi-purpose", "https://www.toolup.com/Relton-GRT66-3-8-x-6-Straight-Shank-Masonry-Drill-Bit-Groo-V-Tip-multi-purpose")</f>
        <v/>
      </c>
      <c r="C188" t="inlineStr">
        <is>
          <t>Relton GRT66 3/8" x 6" Straight-Shank Masonry Drill Bit Groo-V® Tip multi-purpose</t>
        </is>
      </c>
      <c r="D188" t="inlineStr">
        <is>
          <t>Relton GRT56 5/16" x 6" Straight-Shank Masonry Drill Bit Groo-V Tip multi-purpose</t>
        </is>
      </c>
      <c r="E188" s="1">
        <f>HYPERLINK("https://www.amazon.com/Relton-Straight-Shank-Masonry-Groo-V-multi-purpose/dp/B0006Q2NT4/ref=sr_1_2?keywords=Relton+GRT66+3%2F8%22+x+6%22+Straight-Shank+Masonry+Drill+Bit+Groo-V%C2%AE+Tip+multi-purpose&amp;qid=1695347551&amp;sr=8-2", "https://www.amazon.com/Relton-Straight-Shank-Masonry-Groo-V-multi-purpose/dp/B0006Q2NT4/ref=sr_1_2?keywords=Relton+GRT66+3%2F8%22+x+6%22+Straight-Shank+Masonry+Drill+Bit+Groo-V%C2%AE+Tip+multi-purpose&amp;qid=1695347551&amp;sr=8-2")</f>
        <v/>
      </c>
      <c r="F188" t="inlineStr">
        <is>
          <t>B0006Q2NT4</t>
        </is>
      </c>
      <c r="G188">
        <f>_xlfn.IMAGE("https://www.toolup.com/product-images/Relton-GRT_01.jpg?resizeid=36&amp;resizeh=510&amp;resizew=510")</f>
        <v/>
      </c>
      <c r="H188">
        <f>_xlfn.IMAGE("https://m.media-amazon.com/images/I/41+dZ8M4C-L._AC_UL320_.jpg")</f>
        <v/>
      </c>
      <c r="K188" t="inlineStr">
        <is>
          <t>9.22</t>
        </is>
      </c>
      <c r="L188" t="n">
        <v>15.45</v>
      </c>
      <c r="M188" s="2" t="inlineStr">
        <is>
          <t>67.57%</t>
        </is>
      </c>
      <c r="N188" t="n">
        <v>5</v>
      </c>
      <c r="O188" t="n">
        <v>1</v>
      </c>
      <c r="Q188" t="inlineStr">
        <is>
          <t>InStock</t>
        </is>
      </c>
      <c r="R188" t="inlineStr">
        <is>
          <t>19.5</t>
        </is>
      </c>
      <c r="S188" t="inlineStr">
        <is>
          <t>Relton GRT66</t>
        </is>
      </c>
    </row>
    <row r="189" ht="75" customHeight="1">
      <c r="A189" s="1">
        <f>HYPERLINK("https://www.toolup.com/Relton-RB10-5-8-Rotary-Only-Rebar-Eater-Straight-Shank", "https://www.toolup.com/Relton-RB10-5-8-Rotary-Only-Rebar-Eater-Straight-Shank")</f>
        <v/>
      </c>
      <c r="B189" s="1">
        <f>HYPERLINK("https://www.toolup.com/Relton-RB10-5-8-Rotary-Only-Rebar-Eater-Straight-Shank", "https://www.toolup.com/Relton-RB10-5-8-Rotary-Only-Rebar-Eater-Straight-Shank")</f>
        <v/>
      </c>
      <c r="C189" t="inlineStr">
        <is>
          <t>Relton RB10 5/8" Rotary-Only Rebar Eater Straight-Shank</t>
        </is>
      </c>
      <c r="D189" t="inlineStr">
        <is>
          <t>Relton RB14 7/8" Rotary-Only Rebar Eater Straight-Shank</t>
        </is>
      </c>
      <c r="E189" s="1">
        <f>HYPERLINK("https://www.amazon.com/Relton-Rotary-Only-Rebar-Eater-Straight-Shank/dp/B000LGEELE/ref=sr_1_3?keywords=Relton+RB10+5%2F8%22+Rotary-Only+Rebar+Eater+Straight-Shank&amp;qid=1695347568&amp;sr=8-3", "https://www.amazon.com/Relton-Rotary-Only-Rebar-Eater-Straight-Shank/dp/B000LGEELE/ref=sr_1_3?keywords=Relton+RB10+5%2F8%22+Rotary-Only+Rebar+Eater+Straight-Shank&amp;qid=1695347568&amp;sr=8-3")</f>
        <v/>
      </c>
      <c r="F189" t="inlineStr">
        <is>
          <t>B000LGEELE</t>
        </is>
      </c>
      <c r="G189">
        <f>_xlfn.IMAGE("https://www.toolup.com/product-images/Relton-RB6-RB13_01.jpg?resizeid=36&amp;resizeh=510&amp;resizew=510")</f>
        <v/>
      </c>
      <c r="H189">
        <f>_xlfn.IMAGE("https://m.media-amazon.com/images/I/61l2SQk0iNL._AC_UL320_.jpg")</f>
        <v/>
      </c>
      <c r="K189" t="inlineStr">
        <is>
          <t>39.4</t>
        </is>
      </c>
      <c r="L189" t="n">
        <v>90.48999999999999</v>
      </c>
      <c r="M189" s="2" t="inlineStr">
        <is>
          <t>129.67%</t>
        </is>
      </c>
      <c r="N189" t="n">
        <v>4.4</v>
      </c>
      <c r="O189" t="n">
        <v>3</v>
      </c>
      <c r="Q189" t="inlineStr">
        <is>
          <t>InStock</t>
        </is>
      </c>
      <c r="R189" t="inlineStr">
        <is>
          <t>39.65</t>
        </is>
      </c>
      <c r="S189" t="inlineStr">
        <is>
          <t>Relton RB10</t>
        </is>
      </c>
    </row>
    <row r="190" ht="75" customHeight="1">
      <c r="A190" s="1">
        <f>HYPERLINK("https://www.toolup.com/Relton-RB12-3-4-Rotary-Only-Rebar-Eater-Straight-Shank", "https://www.toolup.com/Relton-RB12-3-4-Rotary-Only-Rebar-Eater-Straight-Shank")</f>
        <v/>
      </c>
      <c r="B190" s="1">
        <f>HYPERLINK("https://www.toolup.com/Relton-RB12-3-4-Rotary-Only-Rebar-Eater-Straight-Shank", "https://www.toolup.com/Relton-RB12-3-4-Rotary-Only-Rebar-Eater-Straight-Shank")</f>
        <v/>
      </c>
      <c r="C190" t="inlineStr">
        <is>
          <t>Relton RB12 3/4" Rotary-Only Rebar Eater Straight-Shank</t>
        </is>
      </c>
      <c r="D190" t="inlineStr">
        <is>
          <t>Relton RB14 7/8" Rotary-Only Rebar Eater Straight-Shank</t>
        </is>
      </c>
      <c r="E190" s="1">
        <f>HYPERLINK("https://www.amazon.com/Relton-Rotary-Only-Rebar-Eater-Straight-Shank/dp/B000LGEELE/ref=sr_1_3?keywords=Relton+RB12+3%2F4%22+Rotary-Only+Rebar+Eater+Straight-Shank&amp;qid=1695347566&amp;sr=8-3", "https://www.amazon.com/Relton-Rotary-Only-Rebar-Eater-Straight-Shank/dp/B000LGEELE/ref=sr_1_3?keywords=Relton+RB12+3%2F4%22+Rotary-Only+Rebar+Eater+Straight-Shank&amp;qid=1695347566&amp;sr=8-3")</f>
        <v/>
      </c>
      <c r="F190" t="inlineStr">
        <is>
          <t>B000LGEELE</t>
        </is>
      </c>
      <c r="G190">
        <f>_xlfn.IMAGE("https://www.toolup.com/product-images/Relton-RB6-RB13_01.jpg?resizeid=36&amp;resizeh=510&amp;resizew=510")</f>
        <v/>
      </c>
      <c r="H190">
        <f>_xlfn.IMAGE("https://m.media-amazon.com/images/I/61l2SQk0iNL._AC_UL320_.jpg")</f>
        <v/>
      </c>
      <c r="K190" t="inlineStr">
        <is>
          <t>45.53</t>
        </is>
      </c>
      <c r="L190" t="n">
        <v>90.48999999999999</v>
      </c>
      <c r="M190" s="2" t="inlineStr">
        <is>
          <t>98.75%</t>
        </is>
      </c>
      <c r="N190" t="n">
        <v>4.4</v>
      </c>
      <c r="O190" t="n">
        <v>3</v>
      </c>
      <c r="Q190" t="inlineStr">
        <is>
          <t>InStock</t>
        </is>
      </c>
      <c r="R190" t="inlineStr">
        <is>
          <t>99.0</t>
        </is>
      </c>
      <c r="S190" t="inlineStr">
        <is>
          <t>Relton RB12</t>
        </is>
      </c>
    </row>
    <row r="191" ht="75" customHeight="1">
      <c r="A191" s="1">
        <f>HYPERLINK("https://www.toolup.com/Relton-RB13-13-16-Rotary-Only-Rebar-Eater-Straight-Shank", "https://www.toolup.com/Relton-RB13-13-16-Rotary-Only-Rebar-Eater-Straight-Shank")</f>
        <v/>
      </c>
      <c r="B191" s="1">
        <f>HYPERLINK("https://www.toolup.com/Relton-RB13-13-16-Rotary-Only-Rebar-Eater-Straight-Shank", "https://www.toolup.com/Relton-RB13-13-16-Rotary-Only-Rebar-Eater-Straight-Shank")</f>
        <v/>
      </c>
      <c r="C191" t="inlineStr">
        <is>
          <t>Relton RB13 13/16" Rotary-Only Rebar Eater Straight-Shank</t>
        </is>
      </c>
      <c r="D191" t="inlineStr">
        <is>
          <t>Relton RB14 7/8" Rotary-Only Rebar Eater Straight-Shank</t>
        </is>
      </c>
      <c r="E191" s="1">
        <f>HYPERLINK("https://www.amazon.com/Relton-Rotary-Only-Rebar-Eater-Straight-Shank/dp/B000LGEELE/ref=sr_1_2?keywords=Relton+RB13+13%2F16%22+Rotary-Only+Rebar+Eater+Straight-Shank&amp;qid=1695347573&amp;sr=8-2", "https://www.amazon.com/Relton-Rotary-Only-Rebar-Eater-Straight-Shank/dp/B000LGEELE/ref=sr_1_2?keywords=Relton+RB13+13%2F16%22+Rotary-Only+Rebar+Eater+Straight-Shank&amp;qid=1695347573&amp;sr=8-2")</f>
        <v/>
      </c>
      <c r="F191" t="inlineStr">
        <is>
          <t>B000LGEELE</t>
        </is>
      </c>
      <c r="G191">
        <f>_xlfn.IMAGE("https://www.toolup.com/product-images/Relton-RB6-RB13_01.jpg?resizeid=36&amp;resizeh=510&amp;resizew=510")</f>
        <v/>
      </c>
      <c r="H191">
        <f>_xlfn.IMAGE("https://m.media-amazon.com/images/I/61l2SQk0iNL._AC_UL320_.jpg")</f>
        <v/>
      </c>
      <c r="K191" t="inlineStr">
        <is>
          <t>54.39</t>
        </is>
      </c>
      <c r="L191" t="n">
        <v>90.48999999999999</v>
      </c>
      <c r="M191" s="2" t="inlineStr">
        <is>
          <t>66.37%</t>
        </is>
      </c>
      <c r="N191" t="n">
        <v>4.4</v>
      </c>
      <c r="O191" t="n">
        <v>3</v>
      </c>
      <c r="Q191" t="inlineStr">
        <is>
          <t>InStock</t>
        </is>
      </c>
      <c r="R191" t="inlineStr">
        <is>
          <t>108.0</t>
        </is>
      </c>
      <c r="S191" t="inlineStr">
        <is>
          <t>Relton RB13</t>
        </is>
      </c>
    </row>
    <row r="192" ht="75" customHeight="1">
      <c r="A192" s="1">
        <f>HYPERLINK("https://www.townandcountryhardware.com/2728729/Product/Zing!-93014", "https://www.townandcountryhardware.com/2728729/Product/Zing!-93014")</f>
        <v/>
      </c>
      <c r="B192" t="inlineStr">
        <is>
          <t>undefined</t>
        </is>
      </c>
      <c r="C192" t="inlineStr">
        <is>
          <t>Zing! 93014 Cutting Board, 12 in L, 6 in W</t>
        </is>
      </c>
      <c r="D192" t="inlineStr">
        <is>
          <t>KitchenAid Gourmet Cutting Board with Non-Slip feet and Recessed Handles, Thick Chopping Board with Edge-Grain Design, Charcuterie Board, 12x16-inch, Birchwood Natural</t>
        </is>
      </c>
      <c r="E192" s="1">
        <f>HYPERLINK("https://www.amazon.com/KitchenAid-Gourmet-Birchwood-Chopping-12x16-Inch/dp/B08ZNZZGDP/ref=sr_1_10?keywords=Zing%21+93014+Cutting+Board%2C+12+in+L%2C+6+in+W&amp;qid=1695347591&amp;sr=8-10", "https://www.amazon.com/KitchenAid-Gourmet-Birchwood-Chopping-12x16-Inch/dp/B08ZNZZGDP/ref=sr_1_10?keywords=Zing%21+93014+Cutting+Board%2C+12+in+L%2C+6+in+W&amp;qid=1695347591&amp;sr=8-10")</f>
        <v/>
      </c>
      <c r="F192" t="inlineStr">
        <is>
          <t>B08ZNZZGDP</t>
        </is>
      </c>
      <c r="G192">
        <f>_xlfn.IMAGE("https://assets.unilogcorp.com/187/ITEM/IMG/5884853.jpg")</f>
        <v/>
      </c>
      <c r="H192">
        <f>_xlfn.IMAGE("https://m.media-amazon.com/images/I/716eWyUHPJL._AC_UL320_.jpg")</f>
        <v/>
      </c>
      <c r="K192" t="inlineStr">
        <is>
          <t>6.99</t>
        </is>
      </c>
      <c r="L192" t="n">
        <v>33.68</v>
      </c>
      <c r="M192" s="2" t="inlineStr">
        <is>
          <t>381.83%</t>
        </is>
      </c>
      <c r="N192" t="n">
        <v>4.1</v>
      </c>
      <c r="O192" t="n">
        <v>1017</v>
      </c>
      <c r="Q192" t="inlineStr">
        <is>
          <t>InStock</t>
        </is>
      </c>
      <c r="R192" t="inlineStr">
        <is>
          <t>undefined</t>
        </is>
      </c>
      <c r="S192" t="inlineStr">
        <is>
          <t>100044012</t>
        </is>
      </c>
    </row>
    <row r="193" ht="75" customHeight="1">
      <c r="A193" s="1">
        <f>HYPERLINK("https://www.uptownwigs.com/amore-mio-hair-collection-carrie-wig", "https://www.uptownwigs.com/amore-mio-hair-collection-carrie-wig")</f>
        <v/>
      </c>
      <c r="B193" s="1">
        <f>HYPERLINK("https://www.uptownwigs.com/amore-mio-hair-collection-carrie-wig", "https://www.uptownwigs.com/amore-mio-hair-collection-carrie-wig")</f>
        <v/>
      </c>
      <c r="C193" t="inlineStr">
        <is>
          <t>Carrie Synthetic Wig</t>
        </is>
      </c>
      <c r="D193" t="inlineStr">
        <is>
          <t>It's A Wig Synthetic Deep Side Parting Lace Wig CARRIE (1)</t>
        </is>
      </c>
      <c r="E193" s="1">
        <f>HYPERLINK("https://www.amazon.com/Its-Wig-Synthetic-Parting-CARRIE/dp/B081B9K392/ref=sr_1_1?keywords=Carrie+Synthetic+Wig&amp;qid=1695347617&amp;sr=8-1", "https://www.amazon.com/Its-Wig-Synthetic-Parting-CARRIE/dp/B081B9K392/ref=sr_1_1?keywords=Carrie+Synthetic+Wig&amp;qid=1695347617&amp;sr=8-1")</f>
        <v/>
      </c>
      <c r="F193" t="inlineStr">
        <is>
          <t>B081B9K392</t>
        </is>
      </c>
      <c r="G193">
        <f>_xlfn.IMAGE("https://cdn11.bigcommerce.com/s-uh5yrr0vc/images/stencil/500x659/products/3418/4773/VF-AW-CARRIE_0_2__55739.1519176614.jpg?c=2")</f>
        <v/>
      </c>
      <c r="H193">
        <f>_xlfn.IMAGE("https://m.media-amazon.com/images/I/51m2JKYMFWL._AC_UL320_.jpg")</f>
        <v/>
      </c>
      <c r="K193" t="inlineStr">
        <is>
          <t>16.99</t>
        </is>
      </c>
      <c r="L193" t="n">
        <v>39.99</v>
      </c>
      <c r="M193" s="2" t="inlineStr">
        <is>
          <t>135.37%</t>
        </is>
      </c>
      <c r="N193" t="n">
        <v>3.9</v>
      </c>
      <c r="O193" t="n">
        <v>10</v>
      </c>
      <c r="Q193" t="inlineStr">
        <is>
          <t>InStock</t>
        </is>
      </c>
      <c r="R193" t="inlineStr">
        <is>
          <t>undefined</t>
        </is>
      </c>
      <c r="S193" t="inlineStr">
        <is>
          <t>AM-AW-CARRIE</t>
        </is>
      </c>
    </row>
    <row r="194" ht="75" customHeight="1">
      <c r="A194" s="1">
        <f>HYPERLINK("https://www.uptownwigs.com/varentina-wig-its-a-wig", "https://www.uptownwigs.com/varentina-wig-its-a-wig")</f>
        <v/>
      </c>
      <c r="B194" s="1">
        <f>HYPERLINK("https://www.uptownwigs.com/varentina-wig-its-a-wig", "https://www.uptownwigs.com/varentina-wig-its-a-wig")</f>
        <v/>
      </c>
      <c r="C194" t="inlineStr">
        <is>
          <t>Varentina Human Hair Wig</t>
        </is>
      </c>
      <c r="D194" t="inlineStr">
        <is>
          <t>Arabella 24inch Highlight Ombre Lace Front Wig Human Hair 13x4 HD Transparent 1B/30 Honey Blonde Lace Front Wig Human Hair Pre Plucked Colored Wigs Human Hair 180% Density Body Wave Lace Front Wig Human Hair</t>
        </is>
      </c>
      <c r="E194" s="1">
        <f>HYPERLINK("https://www.amazon.com/Arabella-Highlight-Transparent-Plucked-Colored/dp/B0BX1R1XDY/ref=sr_1_8?keywords=Varentina+Human+Hair+Wig&amp;qid=1695347618&amp;sr=8-8", "https://www.amazon.com/Arabella-Highlight-Transparent-Plucked-Colored/dp/B0BX1R1XDY/ref=sr_1_8?keywords=Varentina+Human+Hair+Wig&amp;qid=1695347618&amp;sr=8-8")</f>
        <v/>
      </c>
      <c r="F194" t="inlineStr">
        <is>
          <t>B0BX1R1XDY</t>
        </is>
      </c>
      <c r="G194">
        <f>_xlfn.IMAGE("https://cdn11.bigcommerce.com/s-uh5yrr0vc/images/stencil/500x659/products/3459/4826/IAW-HH-VARENTINA_0_P99J-350__40119.1519434641.jpg?c=2")</f>
        <v/>
      </c>
      <c r="H194">
        <f>_xlfn.IMAGE("https://m.media-amazon.com/images/I/81gwHe4rMfL._AC_UL320_.jpg")</f>
        <v/>
      </c>
      <c r="K194" t="inlineStr">
        <is>
          <t>49.88</t>
        </is>
      </c>
      <c r="L194" t="n">
        <v>149.99</v>
      </c>
      <c r="M194" s="2" t="inlineStr">
        <is>
          <t>200.70%</t>
        </is>
      </c>
      <c r="N194" t="n">
        <v>4.4</v>
      </c>
      <c r="O194" t="n">
        <v>747</v>
      </c>
      <c r="Q194" t="inlineStr">
        <is>
          <t>InStock</t>
        </is>
      </c>
      <c r="R194" t="inlineStr">
        <is>
          <t>undefined</t>
        </is>
      </c>
      <c r="S194" t="inlineStr">
        <is>
          <t>IAW-HH-VARENTINA</t>
        </is>
      </c>
    </row>
    <row r="195" ht="75" customHeight="1">
      <c r="A195" s="1">
        <f>HYPERLINK("https://www.uptownwigs.com/varentina-wig-its-a-wig", "https://www.uptownwigs.com/varentina-wig-its-a-wig")</f>
        <v/>
      </c>
      <c r="B195" s="1">
        <f>HYPERLINK("https://www.uptownwigs.com/varentina-wig-its-a-wig", "https://www.uptownwigs.com/varentina-wig-its-a-wig")</f>
        <v/>
      </c>
      <c r="C195" t="inlineStr">
        <is>
          <t>Varentina Human Hair Wig</t>
        </is>
      </c>
      <c r="D195" t="inlineStr">
        <is>
          <t>ISEE Hair Wear and Go Glueless Wig for Beginners Wigs Deep Wave Glueless Wigs Human Hair Pre Plucked New Upgraded No Glue Lace Front Wigs Human Hair for Black Women with Baby Hair 20 Inch</t>
        </is>
      </c>
      <c r="E195" s="1">
        <f>HYPERLINK("https://www.amazon.com/ISEE-Glueless-Beginners-Plucked-Upgraded/dp/B0CC5HFM9W/ref=sr_1_5?keywords=Varentina+Human+Hair+Wig&amp;qid=1695347618&amp;sr=8-5", "https://www.amazon.com/ISEE-Glueless-Beginners-Plucked-Upgraded/dp/B0CC5HFM9W/ref=sr_1_5?keywords=Varentina+Human+Hair+Wig&amp;qid=1695347618&amp;sr=8-5")</f>
        <v/>
      </c>
      <c r="F195" t="inlineStr">
        <is>
          <t>B0CC5HFM9W</t>
        </is>
      </c>
      <c r="G195">
        <f>_xlfn.IMAGE("https://cdn11.bigcommerce.com/s-uh5yrr0vc/images/stencil/500x659/products/3459/4826/IAW-HH-VARENTINA_0_P99J-350__40119.1519434641.jpg?c=2")</f>
        <v/>
      </c>
      <c r="H195">
        <f>_xlfn.IMAGE("https://m.media-amazon.com/images/I/61llYqVRaxL._AC_UL320_.jpg")</f>
        <v/>
      </c>
      <c r="K195" t="inlineStr">
        <is>
          <t>49.88</t>
        </is>
      </c>
      <c r="L195" t="n">
        <v>109</v>
      </c>
      <c r="M195" s="2" t="inlineStr">
        <is>
          <t>118.52%</t>
        </is>
      </c>
      <c r="N195" t="n">
        <v>4.1</v>
      </c>
      <c r="O195" t="n">
        <v>1050</v>
      </c>
      <c r="Q195" t="inlineStr">
        <is>
          <t>InStock</t>
        </is>
      </c>
      <c r="R195" t="inlineStr">
        <is>
          <t>undefined</t>
        </is>
      </c>
      <c r="S195" t="inlineStr">
        <is>
          <t>IAW-HH-VARENTINA</t>
        </is>
      </c>
    </row>
    <row r="196" ht="75" customHeight="1">
      <c r="A196" s="1">
        <f>HYPERLINK("https://www.uptownwigs.com/vivica-fox-britta-human-hair-wig", "https://www.uptownwigs.com/vivica-fox-britta-human-hair-wig")</f>
        <v/>
      </c>
      <c r="B196" s="1">
        <f>HYPERLINK("https://www.uptownwigs.com/vivica-fox-britta-human-hair-wig", "https://www.uptownwigs.com/vivica-fox-britta-human-hair-wig")</f>
        <v/>
      </c>
      <c r="C196" t="inlineStr">
        <is>
          <t>Britta Human Hair Wig</t>
        </is>
      </c>
      <c r="D196" t="inlineStr">
        <is>
          <t>Highlight Ombre Lace Front Wig Human Hair 180% Density Body Wave 1B/30 Colored Balayage Wig 13x4 Lace Frontal Wig for Black Women Pre Plucked Honey Blonde Lace Front Wig Human Hair 24 Inch</t>
        </is>
      </c>
      <c r="E196" s="1">
        <f>HYPERLINK("https://www.amazon.com/DIMODRA-Highlight-Density-Colored-Balayage/dp/B0C77ZC5RG/ref=sr_1_10?keywords=Britta+Human+Hair+Wig&amp;qid=1695347618&amp;sr=8-10", "https://www.amazon.com/DIMODRA-Highlight-Density-Colored-Balayage/dp/B0C77ZC5RG/ref=sr_1_10?keywords=Britta+Human+Hair+Wig&amp;qid=1695347618&amp;sr=8-10")</f>
        <v/>
      </c>
      <c r="F196" t="inlineStr">
        <is>
          <t>B0C77ZC5RG</t>
        </is>
      </c>
      <c r="G196">
        <f>_xlfn.IMAGE("https://cdn11.bigcommerce.com/s-uh5yrr0vc/images/stencil/500x659/products/2195/13142/VF-HH-BRITTA_M__70335.1690844111.jpg?c=2")</f>
        <v/>
      </c>
      <c r="H196">
        <f>_xlfn.IMAGE("https://m.media-amazon.com/images/I/714ETzho6uL._AC_UL320_.jpg")</f>
        <v/>
      </c>
      <c r="K196" t="inlineStr">
        <is>
          <t>61.88</t>
        </is>
      </c>
      <c r="L196" t="n">
        <v>108.79</v>
      </c>
      <c r="M196" s="2" t="inlineStr">
        <is>
          <t>75.81%</t>
        </is>
      </c>
      <c r="N196" t="n">
        <v>4.3</v>
      </c>
      <c r="O196" t="n">
        <v>111</v>
      </c>
      <c r="Q196" t="inlineStr">
        <is>
          <t>InStock</t>
        </is>
      </c>
      <c r="R196" t="inlineStr">
        <is>
          <t>undefined</t>
        </is>
      </c>
      <c r="S196" t="inlineStr">
        <is>
          <t>VF-HH-BRITTA</t>
        </is>
      </c>
    </row>
    <row r="197" ht="75" customHeight="1">
      <c r="A197" s="1">
        <f>HYPERLINK("https://www.uptownwigs.com/vivica-fox-h-205-human-hair-wig", "https://www.uptownwigs.com/vivica-fox-h-205-human-hair-wig")</f>
        <v/>
      </c>
      <c r="B197" s="1">
        <f>HYPERLINK("https://www.uptownwigs.com/vivica-fox-h-205-human-hair-wig", "https://www.uptownwigs.com/vivica-fox-h-205-human-hair-wig")</f>
        <v/>
      </c>
      <c r="C197" t="inlineStr">
        <is>
          <t>H-205 Human Hair Wig</t>
        </is>
      </c>
      <c r="D197" t="inlineStr">
        <is>
          <t>30 Inch 13X6 Lace Front Wigs Human Hair 200 Density Body Wave Human Hair Wig for Black Women HD Transparent Glueless Wigs Human Hair Pre Plucked with Baby Hair</t>
        </is>
      </c>
      <c r="E197" s="1">
        <f>HYPERLINK("https://www.amazon.com/COUGARBEAUTY-Density-Transparent-Glueless-Plucked/dp/B0C2YQS1VD/ref=sr_1_8?keywords=H-205+Human+Hair+Wig&amp;qid=1695347624&amp;sr=8-8", "https://www.amazon.com/COUGARBEAUTY-Density-Transparent-Glueless-Plucked/dp/B0C2YQS1VD/ref=sr_1_8?keywords=H-205+Human+Hair+Wig&amp;qid=1695347624&amp;sr=8-8")</f>
        <v/>
      </c>
      <c r="F197" t="inlineStr">
        <is>
          <t>B0C2YQS1VD</t>
        </is>
      </c>
      <c r="G197">
        <f>_xlfn.IMAGE("https://cdn11.bigcommerce.com/s-uh5yrr0vc/images/stencil/500x659/products/2183/1791/vf-h-205_0_fs1b-30__62529.1505425205.jpg?c=2")</f>
        <v/>
      </c>
      <c r="H197">
        <f>_xlfn.IMAGE("https://m.media-amazon.com/images/I/718vh5MUG+L._AC_UL320_.jpg")</f>
        <v/>
      </c>
      <c r="K197" t="inlineStr">
        <is>
          <t>66.25</t>
        </is>
      </c>
      <c r="L197" t="n">
        <v>132.89</v>
      </c>
      <c r="M197" s="2" t="inlineStr">
        <is>
          <t>100.59%</t>
        </is>
      </c>
      <c r="N197" t="n">
        <v>4.5</v>
      </c>
      <c r="O197" t="n">
        <v>917</v>
      </c>
      <c r="Q197" t="inlineStr">
        <is>
          <t>InStock</t>
        </is>
      </c>
      <c r="R197" t="inlineStr">
        <is>
          <t>undefined</t>
        </is>
      </c>
      <c r="S197" t="inlineStr">
        <is>
          <t>VF-H-205</t>
        </is>
      </c>
    </row>
    <row r="198" ht="75" customHeight="1">
      <c r="A198" s="1">
        <f>HYPERLINK("https://www.uptownwigs.com/vivica-fox-h-205-human-hair-wig", "https://www.uptownwigs.com/vivica-fox-h-205-human-hair-wig")</f>
        <v/>
      </c>
      <c r="B198" s="1">
        <f>HYPERLINK("https://www.uptownwigs.com/vivica-fox-h-205-human-hair-wig", "https://www.uptownwigs.com/vivica-fox-h-205-human-hair-wig")</f>
        <v/>
      </c>
      <c r="C198" t="inlineStr">
        <is>
          <t>H-205 Human Hair Wig</t>
        </is>
      </c>
      <c r="D198" t="inlineStr">
        <is>
          <t>Wear And Go Glueless Wig Human Hair 22 Inch 180% Density Deep Wave Wig 5x5 HD Lace Closure Wigs Human Hair Glueless Wigs Human Hair Pre Plucked Pre Cut Lace Front Wigs Human Hair For Women Natural Black Bleached Knots</t>
        </is>
      </c>
      <c r="E198" s="1">
        <f>HYPERLINK("https://www.amazon.com/Human-Hair-Lace-Closure-Wigs/dp/B0CC5YXNG4/ref=sr_1_5?keywords=H-205+Human+Hair+Wig&amp;qid=1695347624&amp;sr=8-5", "https://www.amazon.com/Human-Hair-Lace-Closure-Wigs/dp/B0CC5YXNG4/ref=sr_1_5?keywords=H-205+Human+Hair+Wig&amp;qid=1695347624&amp;sr=8-5")</f>
        <v/>
      </c>
      <c r="F198" t="inlineStr">
        <is>
          <t>B0CC5YXNG4</t>
        </is>
      </c>
      <c r="G198">
        <f>_xlfn.IMAGE("https://cdn11.bigcommerce.com/s-uh5yrr0vc/images/stencil/500x659/products/2183/1791/vf-h-205_0_fs1b-30__62529.1505425205.jpg?c=2")</f>
        <v/>
      </c>
      <c r="H198">
        <f>_xlfn.IMAGE("https://m.media-amazon.com/images/I/71HuX9fksxL._AC_UL320_.jpg")</f>
        <v/>
      </c>
      <c r="K198" t="inlineStr">
        <is>
          <t>66.25</t>
        </is>
      </c>
      <c r="L198" t="n">
        <v>109.99</v>
      </c>
      <c r="M198" s="2" t="inlineStr">
        <is>
          <t>66.02%</t>
        </is>
      </c>
      <c r="N198" t="n">
        <v>4.4</v>
      </c>
      <c r="O198" t="n">
        <v>210</v>
      </c>
      <c r="Q198" t="inlineStr">
        <is>
          <t>InStock</t>
        </is>
      </c>
      <c r="R198" t="inlineStr">
        <is>
          <t>undefined</t>
        </is>
      </c>
      <c r="S198" t="inlineStr">
        <is>
          <t>VF-H-205</t>
        </is>
      </c>
    </row>
    <row r="199" ht="75" customHeight="1">
      <c r="A199" s="1">
        <f>HYPERLINK("https://www.uptownwigs.com/vivica-fox-h-222-human-hair-wig", "https://www.uptownwigs.com/vivica-fox-h-222-human-hair-wig")</f>
        <v/>
      </c>
      <c r="B199" s="1">
        <f>HYPERLINK("https://www.uptownwigs.com/vivica-fox-h-222-human-hair-wig", "https://www.uptownwigs.com/vivica-fox-h-222-human-hair-wig")</f>
        <v/>
      </c>
      <c r="C199" t="inlineStr">
        <is>
          <t>H-222 Human Hair Wig</t>
        </is>
      </c>
      <c r="D199" t="inlineStr">
        <is>
          <t>26 Inch Highlight 13x6 Lace Front Wig Human Hair Honey Blonde HD Transparent Lace Front Wigs Human Hair Body Wave Ombre Brown 4/27 Lace Front Wig Human Hair Pre Plucked with Baby Hair 180% Density</t>
        </is>
      </c>
      <c r="E199" s="1">
        <f>HYPERLINK("https://www.amazon.com/Highlight-Blonde-Transparent-Plucked-Density/dp/B0CD6V97L5/ref=sr_1_2?keywords=H-222+Human+Hair+Wig&amp;qid=1695347617&amp;sr=8-2", "https://www.amazon.com/Highlight-Blonde-Transparent-Plucked-Density/dp/B0CD6V97L5/ref=sr_1_2?keywords=H-222+Human+Hair+Wig&amp;qid=1695347617&amp;sr=8-2")</f>
        <v/>
      </c>
      <c r="F199" t="inlineStr">
        <is>
          <t>B0CD6V97L5</t>
        </is>
      </c>
      <c r="G199">
        <f>_xlfn.IMAGE("https://cdn11.bigcommerce.com/s-uh5yrr0vc/images/stencil/500x659/products/2186/1800/vf-h-222_0_p4-30__01050.1505425265.jpg?c=2")</f>
        <v/>
      </c>
      <c r="H199">
        <f>_xlfn.IMAGE("https://m.media-amazon.com/images/I/71mSNI3QvWL._AC_UL320_.jpg")</f>
        <v/>
      </c>
      <c r="K199" t="inlineStr">
        <is>
          <t>61.25</t>
        </is>
      </c>
      <c r="L199" t="n">
        <v>147.66</v>
      </c>
      <c r="M199" s="2" t="inlineStr">
        <is>
          <t>141.08%</t>
        </is>
      </c>
      <c r="N199" t="n">
        <v>5</v>
      </c>
      <c r="O199" t="n">
        <v>20</v>
      </c>
      <c r="Q199" t="inlineStr">
        <is>
          <t>InStock</t>
        </is>
      </c>
      <c r="R199" t="inlineStr">
        <is>
          <t>undefined</t>
        </is>
      </c>
      <c r="S199" t="inlineStr">
        <is>
          <t>VF-H-222</t>
        </is>
      </c>
    </row>
    <row r="200" ht="75" customHeight="1">
      <c r="A200" s="1">
        <f>HYPERLINK("https://www.uptownwigs.com/vivica-fox-h-222-human-hair-wig", "https://www.uptownwigs.com/vivica-fox-h-222-human-hair-wig")</f>
        <v/>
      </c>
      <c r="B200" s="1">
        <f>HYPERLINK("https://www.uptownwigs.com/vivica-fox-h-222-human-hair-wig", "https://www.uptownwigs.com/vivica-fox-h-222-human-hair-wig")</f>
        <v/>
      </c>
      <c r="C200" t="inlineStr">
        <is>
          <t>H-222 Human Hair Wig</t>
        </is>
      </c>
      <c r="D200" t="inlineStr">
        <is>
          <t>COUGARBEAUTY 30 Inch 13X6 Lace Front Wigs Human Hair 200 Density Body Wave Human Hair Wig for Black Women HD Transparent Glueless Wigs Human Hair Pre Plucked with Baby Hair</t>
        </is>
      </c>
      <c r="E200" s="1">
        <f>HYPERLINK("https://www.amazon.com/COUGARBEAUTY-Density-Transparent-Glueless-Plucked/dp/B0C2YQS1VD/ref=sr_1_10?keywords=H-222+Human+Hair+Wig&amp;qid=1695347617&amp;sr=8-10", "https://www.amazon.com/COUGARBEAUTY-Density-Transparent-Glueless-Plucked/dp/B0C2YQS1VD/ref=sr_1_10?keywords=H-222+Human+Hair+Wig&amp;qid=1695347617&amp;sr=8-10")</f>
        <v/>
      </c>
      <c r="F200" t="inlineStr">
        <is>
          <t>B0C2YQS1VD</t>
        </is>
      </c>
      <c r="G200">
        <f>_xlfn.IMAGE("https://cdn11.bigcommerce.com/s-uh5yrr0vc/images/stencil/500x659/products/2186/1800/vf-h-222_0_p4-30__01050.1505425265.jpg?c=2")</f>
        <v/>
      </c>
      <c r="H200">
        <f>_xlfn.IMAGE("https://m.media-amazon.com/images/I/718vh5MUG+L._AC_UL320_.jpg")</f>
        <v/>
      </c>
      <c r="K200" t="inlineStr">
        <is>
          <t>61.25</t>
        </is>
      </c>
      <c r="L200" t="n">
        <v>132.89</v>
      </c>
      <c r="M200" s="2" t="inlineStr">
        <is>
          <t>116.96%</t>
        </is>
      </c>
      <c r="N200" t="n">
        <v>4.5</v>
      </c>
      <c r="O200" t="n">
        <v>917</v>
      </c>
      <c r="Q200" t="inlineStr">
        <is>
          <t>InStock</t>
        </is>
      </c>
      <c r="R200" t="inlineStr">
        <is>
          <t>undefined</t>
        </is>
      </c>
      <c r="S200" t="inlineStr">
        <is>
          <t>VF-H-222</t>
        </is>
      </c>
    </row>
    <row r="201" ht="75" customHeight="1">
      <c r="A201" s="1">
        <f>HYPERLINK("https://www.uptownwigs.com/vivica-fox-h-302-human-hair-wig", "https://www.uptownwigs.com/vivica-fox-h-302-human-hair-wig")</f>
        <v/>
      </c>
      <c r="B201" s="1">
        <f>HYPERLINK("https://www.uptownwigs.com/vivica-fox-h-302-human-hair-wig", "https://www.uptownwigs.com/vivica-fox-h-302-human-hair-wig")</f>
        <v/>
      </c>
      <c r="C201" t="inlineStr">
        <is>
          <t>H-302 Human Hair Wig</t>
        </is>
      </c>
      <c r="D201" t="inlineStr">
        <is>
          <t>13x6 HD Lace Front Wigs Human Hair 200% Density 30 Inch Lace Front Wig Human Hair Body Wave Human Hair Wigs for Black Women Natural Hairline with Baby Hair</t>
        </is>
      </c>
      <c r="E201" s="1">
        <f>HYPERLINK("https://www.amazon.com/Tuneful-Front-Density-Natural-Hairline/dp/B0BY89QY3J/ref=sr_1_4?keywords=H-302+Human+Hair+Wig&amp;qid=1695347617&amp;sr=8-4", "https://www.amazon.com/Tuneful-Front-Density-Natural-Hairline/dp/B0BY89QY3J/ref=sr_1_4?keywords=H-302+Human+Hair+Wig&amp;qid=1695347617&amp;sr=8-4")</f>
        <v/>
      </c>
      <c r="F201" t="inlineStr">
        <is>
          <t>B0BY89QY3J</t>
        </is>
      </c>
      <c r="G201">
        <f>_xlfn.IMAGE("https://cdn11.bigcommerce.com/s-uh5yrr0vc/images/stencil/500x659/products/2190/10056/H302-V-FS1B-30_S__85076.1540916674.jpg?c=2")</f>
        <v/>
      </c>
      <c r="H201">
        <f>_xlfn.IMAGE("https://m.media-amazon.com/images/I/71Al8WpYYkL._AC_UL320_.jpg")</f>
        <v/>
      </c>
      <c r="K201" t="inlineStr">
        <is>
          <t>35.0</t>
        </is>
      </c>
      <c r="L201" t="n">
        <v>168.89</v>
      </c>
      <c r="M201" s="2" t="inlineStr">
        <is>
          <t>382.54%</t>
        </is>
      </c>
      <c r="N201" t="n">
        <v>4.4</v>
      </c>
      <c r="O201" t="n">
        <v>254</v>
      </c>
      <c r="Q201" t="inlineStr">
        <is>
          <t>InStock</t>
        </is>
      </c>
      <c r="R201" t="inlineStr">
        <is>
          <t>undefined</t>
        </is>
      </c>
      <c r="S201" t="inlineStr">
        <is>
          <t>VF-H-302</t>
        </is>
      </c>
    </row>
    <row r="202" ht="75" customHeight="1">
      <c r="A202" s="1">
        <f>HYPERLINK("https://www.uptownwigs.com/vivica-fox-h-302-human-hair-wig", "https://www.uptownwigs.com/vivica-fox-h-302-human-hair-wig")</f>
        <v/>
      </c>
      <c r="B202" s="1">
        <f>HYPERLINK("https://www.uptownwigs.com/vivica-fox-h-302-human-hair-wig", "https://www.uptownwigs.com/vivica-fox-h-302-human-hair-wig")</f>
        <v/>
      </c>
      <c r="C202" t="inlineStr">
        <is>
          <t>H-302 Human Hair Wig</t>
        </is>
      </c>
      <c r="D202" t="inlineStr">
        <is>
          <t>30 Inch Wear and Go Glueless Wig for Beginners Glueless Wigs Human Hair Pre Plucked Pre Cut 13x4 Straight Lace Front Wigs Human Hair 180% Density HD Transparent Lace Frontal Wigs Human Hair Wigs for Women Natural Hairline</t>
        </is>
      </c>
      <c r="E202" s="1">
        <f>HYPERLINK("https://www.amazon.com/Glueless-Beginners-Straight-Transparent-Hairline/dp/B0C9W9RYST/ref=sr_1_5?keywords=H-302+Human+Hair+Wig&amp;qid=1695347617&amp;sr=8-5", "https://www.amazon.com/Glueless-Beginners-Straight-Transparent-Hairline/dp/B0C9W9RYST/ref=sr_1_5?keywords=H-302+Human+Hair+Wig&amp;qid=1695347617&amp;sr=8-5")</f>
        <v/>
      </c>
      <c r="F202" t="inlineStr">
        <is>
          <t>B0C9W9RYST</t>
        </is>
      </c>
      <c r="G202">
        <f>_xlfn.IMAGE("https://cdn11.bigcommerce.com/s-uh5yrr0vc/images/stencil/500x659/products/2190/10056/H302-V-FS1B-30_S__85076.1540916674.jpg?c=2")</f>
        <v/>
      </c>
      <c r="H202">
        <f>_xlfn.IMAGE("https://m.media-amazon.com/images/I/61gwHxbpZmL._AC_UL320_.jpg")</f>
        <v/>
      </c>
      <c r="K202" t="inlineStr">
        <is>
          <t>35.0</t>
        </is>
      </c>
      <c r="L202" t="n">
        <v>142.99</v>
      </c>
      <c r="M202" s="2" t="inlineStr">
        <is>
          <t>308.54%</t>
        </is>
      </c>
      <c r="N202" t="n">
        <v>4.6</v>
      </c>
      <c r="O202" t="n">
        <v>94</v>
      </c>
      <c r="Q202" t="inlineStr">
        <is>
          <t>InStock</t>
        </is>
      </c>
      <c r="R202" t="inlineStr">
        <is>
          <t>undefined</t>
        </is>
      </c>
      <c r="S202" t="inlineStr">
        <is>
          <t>VF-H-302</t>
        </is>
      </c>
    </row>
    <row r="203" ht="75" customHeight="1">
      <c r="A203" s="1">
        <f>HYPERLINK("https://www.uptownwigs.com/vivica-fox-h-302-human-hair-wig", "https://www.uptownwigs.com/vivica-fox-h-302-human-hair-wig")</f>
        <v/>
      </c>
      <c r="B203" s="1">
        <f>HYPERLINK("https://www.uptownwigs.com/vivica-fox-h-302-human-hair-wig", "https://www.uptownwigs.com/vivica-fox-h-302-human-hair-wig")</f>
        <v/>
      </c>
      <c r="C203" t="inlineStr">
        <is>
          <t>H-302 Human Hair Wig</t>
        </is>
      </c>
      <c r="D203" t="inlineStr">
        <is>
          <t>30 Inch 13X6 Lace Front Wigs Human Hair 200 Density Body Wave Human Hair Wig for Black Women HD Transparent Glueless Wigs Human Hair Pre Plucked with Baby Hair</t>
        </is>
      </c>
      <c r="E203" s="1">
        <f>HYPERLINK("https://www.amazon.com/COUGARBEAUTY-Density-Transparent-Glueless-Plucked/dp/B0C2YQS1VD/ref=sr_1_3?keywords=H-302+Human+Hair+Wig&amp;qid=1695347617&amp;sr=8-3", "https://www.amazon.com/COUGARBEAUTY-Density-Transparent-Glueless-Plucked/dp/B0C2YQS1VD/ref=sr_1_3?keywords=H-302+Human+Hair+Wig&amp;qid=1695347617&amp;sr=8-3")</f>
        <v/>
      </c>
      <c r="F203" t="inlineStr">
        <is>
          <t>B0C2YQS1VD</t>
        </is>
      </c>
      <c r="G203">
        <f>_xlfn.IMAGE("https://cdn11.bigcommerce.com/s-uh5yrr0vc/images/stencil/500x659/products/2190/10056/H302-V-FS1B-30_S__85076.1540916674.jpg?c=2")</f>
        <v/>
      </c>
      <c r="H203">
        <f>_xlfn.IMAGE("https://m.media-amazon.com/images/I/718vh5MUG+L._AC_UL320_.jpg")</f>
        <v/>
      </c>
      <c r="K203" t="inlineStr">
        <is>
          <t>35.0</t>
        </is>
      </c>
      <c r="L203" t="n">
        <v>132.89</v>
      </c>
      <c r="M203" s="2" t="inlineStr">
        <is>
          <t>279.69%</t>
        </is>
      </c>
      <c r="N203" t="n">
        <v>4.5</v>
      </c>
      <c r="O203" t="n">
        <v>917</v>
      </c>
      <c r="Q203" t="inlineStr">
        <is>
          <t>InStock</t>
        </is>
      </c>
      <c r="R203" t="inlineStr">
        <is>
          <t>undefined</t>
        </is>
      </c>
      <c r="S203" t="inlineStr">
        <is>
          <t>VF-H-302</t>
        </is>
      </c>
    </row>
    <row r="204" ht="75" customHeight="1">
      <c r="A204" s="1">
        <f>HYPERLINK("https://www.uptownwigs.com/vivica-fox-h-302-human-hair-wig", "https://www.uptownwigs.com/vivica-fox-h-302-human-hair-wig")</f>
        <v/>
      </c>
      <c r="B204" s="1">
        <f>HYPERLINK("https://www.uptownwigs.com/vivica-fox-h-302-human-hair-wig", "https://www.uptownwigs.com/vivica-fox-h-302-human-hair-wig")</f>
        <v/>
      </c>
      <c r="C204" t="inlineStr">
        <is>
          <t>H-302 Human Hair Wig</t>
        </is>
      </c>
      <c r="D204" t="inlineStr">
        <is>
          <t>Tecomaria 250% Density 13x6 HD Transparent Curly Lace Front Wig Human Hair Pre Plucked Glueless Kinky Curly Lace Front Wig Human Hair Wigs with Baby Hair For Women(13x6 Lace Front Wig 20 Inch)</t>
        </is>
      </c>
      <c r="E204" s="1">
        <f>HYPERLINK("https://www.amazon.com/Density-Transparent-Glueless-Bleached-Knotsigs/dp/B09YTT64FV/ref=sr_1_6?keywords=H-302+Human+Hair+Wig&amp;qid=1695347617&amp;sr=8-6", "https://www.amazon.com/Density-Transparent-Glueless-Bleached-Knotsigs/dp/B09YTT64FV/ref=sr_1_6?keywords=H-302+Human+Hair+Wig&amp;qid=1695347617&amp;sr=8-6")</f>
        <v/>
      </c>
      <c r="F204" t="inlineStr">
        <is>
          <t>B09YTT64FV</t>
        </is>
      </c>
      <c r="G204">
        <f>_xlfn.IMAGE("https://cdn11.bigcommerce.com/s-uh5yrr0vc/images/stencil/500x659/products/2190/10056/H302-V-FS1B-30_S__85076.1540916674.jpg?c=2")</f>
        <v/>
      </c>
      <c r="H204">
        <f>_xlfn.IMAGE("https://m.media-amazon.com/images/I/71n1H98tbvL._AC_UL320_.jpg")</f>
        <v/>
      </c>
      <c r="K204" t="inlineStr">
        <is>
          <t>35.0</t>
        </is>
      </c>
      <c r="L204" t="n">
        <v>97.66</v>
      </c>
      <c r="M204" s="2" t="inlineStr">
        <is>
          <t>179.03%</t>
        </is>
      </c>
      <c r="N204" t="n">
        <v>4.1</v>
      </c>
      <c r="O204" t="n">
        <v>1075</v>
      </c>
      <c r="Q204" t="inlineStr">
        <is>
          <t>InStock</t>
        </is>
      </c>
      <c r="R204" t="inlineStr">
        <is>
          <t>undefined</t>
        </is>
      </c>
      <c r="S204" t="inlineStr">
        <is>
          <t>VF-H-302</t>
        </is>
      </c>
    </row>
    <row r="205" ht="75" customHeight="1">
      <c r="A205" s="1">
        <f>HYPERLINK("https://www.uptownwigs.com/vivica-fox-h-302-human-hair-wig", "https://www.uptownwigs.com/vivica-fox-h-302-human-hair-wig")</f>
        <v/>
      </c>
      <c r="B205" s="1">
        <f>HYPERLINK("https://www.uptownwigs.com/vivica-fox-h-302-human-hair-wig", "https://www.uptownwigs.com/vivica-fox-h-302-human-hair-wig")</f>
        <v/>
      </c>
      <c r="C205" t="inlineStr">
        <is>
          <t>H-302 Human Hair Wig</t>
        </is>
      </c>
      <c r="D205" t="inlineStr">
        <is>
          <t>13x4 HD Transparent 26 Inch Lace Frontal Wigs Human Hair for Women 180% Density Glueless Wigs Human Hair Pre Plucked with Baby Hair Body Wave Lace Front Wigs Human Hair Natural Black Color</t>
        </is>
      </c>
      <c r="E205" s="1">
        <f>HYPERLINK("https://www.amazon.com/Anyweek-Transparent-Frontal-Density-Glueless/dp/B0B5CMGM17/ref=sr_1_7?keywords=H-302+Human+Hair+Wig&amp;qid=1695347617&amp;sr=8-7", "https://www.amazon.com/Anyweek-Transparent-Frontal-Density-Glueless/dp/B0B5CMGM17/ref=sr_1_7?keywords=H-302+Human+Hair+Wig&amp;qid=1695347617&amp;sr=8-7")</f>
        <v/>
      </c>
      <c r="F205" t="inlineStr">
        <is>
          <t>B0B5CMGM17</t>
        </is>
      </c>
      <c r="G205">
        <f>_xlfn.IMAGE("https://cdn11.bigcommerce.com/s-uh5yrr0vc/images/stencil/500x659/products/2190/10056/H302-V-FS1B-30_S__85076.1540916674.jpg?c=2")</f>
        <v/>
      </c>
      <c r="H205">
        <f>_xlfn.IMAGE("https://m.media-amazon.com/images/I/71JRk1OXH6L._AC_UL320_.jpg")</f>
        <v/>
      </c>
      <c r="K205" t="inlineStr">
        <is>
          <t>35.0</t>
        </is>
      </c>
      <c r="L205" t="n">
        <v>68.98999999999999</v>
      </c>
      <c r="M205" s="2" t="inlineStr">
        <is>
          <t>97.11%</t>
        </is>
      </c>
      <c r="N205" t="n">
        <v>4.3</v>
      </c>
      <c r="O205" t="n">
        <v>1702</v>
      </c>
      <c r="Q205" t="inlineStr">
        <is>
          <t>InStock</t>
        </is>
      </c>
      <c r="R205" t="inlineStr">
        <is>
          <t>undefined</t>
        </is>
      </c>
      <c r="S205" t="inlineStr">
        <is>
          <t>VF-H-302</t>
        </is>
      </c>
    </row>
    <row r="206" ht="75" customHeight="1">
      <c r="A206" s="1">
        <f>HYPERLINK("https://www.uptownwigs.com/vivica-fox-h-302-human-hair-wig", "https://www.uptownwigs.com/vivica-fox-h-302-human-hair-wig")</f>
        <v/>
      </c>
      <c r="B206" s="1">
        <f>HYPERLINK("https://www.uptownwigs.com/vivica-fox-h-302-human-hair-wig", "https://www.uptownwigs.com/vivica-fox-h-302-human-hair-wig")</f>
        <v/>
      </c>
      <c r="C206" t="inlineStr">
        <is>
          <t>H-302 Human Hair Wig</t>
        </is>
      </c>
      <c r="D206" t="inlineStr">
        <is>
          <t>Short Body Wave Lace Front Wigs for Women Human Hair - 13X4 HD Bob Glueless Human Hair Wigs Pre Plucked with Baby Hair 180% Density Body Lace Frontal Human Hair Natural Black Wigs 12 Inch</t>
        </is>
      </c>
      <c r="E206" s="1">
        <f>HYPERLINK("https://www.amazon.com/Pazat-Short-Front-Women-Human/dp/B0BLYZ8JPY/ref=sr_1_10?keywords=H-302+Human+Hair+Wig&amp;qid=1695347617&amp;sr=8-10", "https://www.amazon.com/Pazat-Short-Front-Women-Human/dp/B0BLYZ8JPY/ref=sr_1_10?keywords=H-302+Human+Hair+Wig&amp;qid=1695347617&amp;sr=8-10")</f>
        <v/>
      </c>
      <c r="F206" t="inlineStr">
        <is>
          <t>B0BLYZ8JPY</t>
        </is>
      </c>
      <c r="G206">
        <f>_xlfn.IMAGE("https://cdn11.bigcommerce.com/s-uh5yrr0vc/images/stencil/500x659/products/2190/10056/H302-V-FS1B-30_S__85076.1540916674.jpg?c=2")</f>
        <v/>
      </c>
      <c r="H206">
        <f>_xlfn.IMAGE("https://m.media-amazon.com/images/I/71hM5b0Jb3L._AC_UL320_.jpg")</f>
        <v/>
      </c>
      <c r="K206" t="inlineStr">
        <is>
          <t>35.0</t>
        </is>
      </c>
      <c r="L206" t="n">
        <v>59.79</v>
      </c>
      <c r="M206" s="2" t="inlineStr">
        <is>
          <t>70.83%</t>
        </is>
      </c>
      <c r="N206" t="n">
        <v>4.3</v>
      </c>
      <c r="O206" t="n">
        <v>136</v>
      </c>
      <c r="Q206" t="inlineStr">
        <is>
          <t>InStock</t>
        </is>
      </c>
      <c r="R206" t="inlineStr">
        <is>
          <t>undefined</t>
        </is>
      </c>
      <c r="S206" t="inlineStr">
        <is>
          <t>VF-H-302</t>
        </is>
      </c>
    </row>
    <row r="207" ht="75" customHeight="1">
      <c r="A207" s="1">
        <f>HYPERLINK("https://www.uptownwigs.com/vivica-fox-lindsay-synthetic-wig", "https://www.uptownwigs.com/vivica-fox-lindsay-synthetic-wig")</f>
        <v/>
      </c>
      <c r="B207" s="1">
        <f>HYPERLINK("https://www.uptownwigs.com/vivica-fox-lindsay-synthetic-wig", "https://www.uptownwigs.com/vivica-fox-lindsay-synthetic-wig")</f>
        <v/>
      </c>
      <c r="C207" t="inlineStr">
        <is>
          <t>Lindsay Synthetic Wig</t>
        </is>
      </c>
      <c r="D207" t="inlineStr">
        <is>
          <t>Henry Margu (Lindsay - Synthetic Front Lace Wig in 60H</t>
        </is>
      </c>
      <c r="E207" s="1">
        <f>HYPERLINK("https://www.amazon.com/Henry-Margu-Lindsay-Synthetic-Front/dp/B08BG8LGDY/ref=sr_1_1?keywords=Lindsay+Synthetic+Wig&amp;qid=1695347619&amp;sr=8-1", "https://www.amazon.com/Henry-Margu-Lindsay-Synthetic-Front/dp/B08BG8LGDY/ref=sr_1_1?keywords=Lindsay+Synthetic+Wig&amp;qid=1695347619&amp;sr=8-1")</f>
        <v/>
      </c>
      <c r="F207" t="inlineStr">
        <is>
          <t>B08BG8LGDY</t>
        </is>
      </c>
      <c r="G207">
        <f>_xlfn.IMAGE("https://cdn11.bigcommerce.com/s-uh5yrr0vc/images/stencil/500x659/products/2328/2122/vf-wp-lindsay_0_p4-27-30__33556.1505510501.jpg?c=2")</f>
        <v/>
      </c>
      <c r="H207">
        <f>_xlfn.IMAGE("https://m.media-amazon.com/images/I/61i+szsGK5L._AC_UL320_.jpg")</f>
        <v/>
      </c>
      <c r="K207" t="inlineStr">
        <is>
          <t>29.99</t>
        </is>
      </c>
      <c r="L207" t="n">
        <v>210</v>
      </c>
      <c r="M207" s="2" t="inlineStr">
        <is>
          <t>600.23%</t>
        </is>
      </c>
      <c r="N207" t="n">
        <v>5</v>
      </c>
      <c r="O207" t="n">
        <v>2</v>
      </c>
      <c r="Q207" t="inlineStr">
        <is>
          <t>InStock</t>
        </is>
      </c>
      <c r="R207" t="inlineStr">
        <is>
          <t>undefined</t>
        </is>
      </c>
      <c r="S207" t="inlineStr">
        <is>
          <t>VF-WP-LINDSAY</t>
        </is>
      </c>
    </row>
    <row r="208" ht="75" customHeight="1">
      <c r="A208" s="1">
        <f>HYPERLINK("https://www.webstaurantstore.com/25-lb-raw-walnut-halves/113WNPCRW25.html", "https://www.webstaurantstore.com/25-lb-raw-walnut-halves/113WNPCRW25.html")</f>
        <v/>
      </c>
      <c r="B208" s="1">
        <f>HYPERLINK("https://www.webstaurantstore.com/25-lb-raw-walnut-halves/113WNPCRW25.html", "https://www.webstaurantstore.com/25-lb-raw-walnut-halves/113WNPCRW25.html")</f>
        <v/>
      </c>
      <c r="C208" t="inlineStr">
        <is>
          <t>25 lb. Raw Walnut Halves and Pieces</t>
        </is>
      </c>
      <c r="D208" t="inlineStr">
        <is>
          <t>California Walnuts Halves &amp; Pieces, 25 Pounds – Raw, Unsalted, Shelled, Vegan, Kosher, Sirtfood, Bulk. Rich in Omega-3 Fatty Acids, Protein. Great for Baking, Snacking, as a Topping</t>
        </is>
      </c>
      <c r="E208" s="1">
        <f>HYPERLINK("https://www.amazon.com/Walnuts-25-Pounds-Shelled-Unsalted/dp/B00JVVSLH8/ref=sr_1_3?keywords=25+lb.+Raw+Walnut+Halves+and+Pieces&amp;qid=1695347811&amp;sr=8-3", "https://www.amazon.com/Walnuts-25-Pounds-Shelled-Unsalted/dp/B00JVVSLH8/ref=sr_1_3?keywords=25+lb.+Raw+Walnut+Halves+and+Pieces&amp;qid=1695347811&amp;sr=8-3")</f>
        <v/>
      </c>
      <c r="F208" t="inlineStr">
        <is>
          <t>B00JVVSLH8</t>
        </is>
      </c>
      <c r="G208">
        <f>_xlfn.IMAGE("https://cdnimg.webstaurantstore.com/images/products/large/156074/2092289.jpg")</f>
        <v/>
      </c>
      <c r="H208">
        <f>_xlfn.IMAGE("https://m.media-amazon.com/images/I/81lwB93vQSL._AC_UL320_.jpg")</f>
        <v/>
      </c>
      <c r="K208" t="inlineStr">
        <is>
          <t>49.39</t>
        </is>
      </c>
      <c r="L208" t="n">
        <v>168.99</v>
      </c>
      <c r="M208" s="2" t="inlineStr">
        <is>
          <t>242.15%</t>
        </is>
      </c>
      <c r="N208" t="n">
        <v>4.3</v>
      </c>
      <c r="O208" t="n">
        <v>351</v>
      </c>
      <c r="Q208" t="inlineStr">
        <is>
          <t>InStock</t>
        </is>
      </c>
      <c r="R208" t="inlineStr">
        <is>
          <t>51.99</t>
        </is>
      </c>
      <c r="S208" t="inlineStr">
        <is>
          <t>113wnpcrw25</t>
        </is>
      </c>
    </row>
    <row r="209" ht="75" customHeight="1">
      <c r="A209" s="1">
        <f>HYPERLINK("https://www.webstaurantstore.com/25-lb-raw-walnut-halves/113WNPCRW25.html", "https://www.webstaurantstore.com/25-lb-raw-walnut-halves/113WNPCRW25.html")</f>
        <v/>
      </c>
      <c r="B209" s="1">
        <f>HYPERLINK("https://www.webstaurantstore.com/25-lb-raw-walnut-halves/113WNPCRW25.html", "https://www.webstaurantstore.com/25-lb-raw-walnut-halves/113WNPCRW25.html")</f>
        <v/>
      </c>
      <c r="C209" t="inlineStr">
        <is>
          <t>25 lb. Raw Walnut Halves and Pieces</t>
        </is>
      </c>
      <c r="D209" t="inlineStr">
        <is>
          <t>Raw Walnuts, Halves &amp; Pieces, Bulk 25 Pound Box, Perfect for Snacking, Cooking, Trail Mixes</t>
        </is>
      </c>
      <c r="E209" s="1">
        <f>HYPERLINK("https://www.amazon.com/Walnuts-Halves-Perfect-Snacking-Cooking/dp/B00SKTIG22/ref=sr_1_2?keywords=25+lb.+Raw+Walnut+Halves+and+Pieces&amp;qid=1695347811&amp;sr=8-2", "https://www.amazon.com/Walnuts-Halves-Perfect-Snacking-Cooking/dp/B00SKTIG22/ref=sr_1_2?keywords=25+lb.+Raw+Walnut+Halves+and+Pieces&amp;qid=1695347811&amp;sr=8-2")</f>
        <v/>
      </c>
      <c r="F209" t="inlineStr">
        <is>
          <t>B00SKTIG22</t>
        </is>
      </c>
      <c r="G209">
        <f>_xlfn.IMAGE("https://cdnimg.webstaurantstore.com/images/products/large/156074/2092289.jpg")</f>
        <v/>
      </c>
      <c r="H209">
        <f>_xlfn.IMAGE("https://m.media-amazon.com/images/I/81F1FJMwrFL._AC_UL320_.jpg")</f>
        <v/>
      </c>
      <c r="K209" t="inlineStr">
        <is>
          <t>49.39</t>
        </is>
      </c>
      <c r="L209" t="n">
        <v>143</v>
      </c>
      <c r="M209" s="2" t="inlineStr">
        <is>
          <t>189.53%</t>
        </is>
      </c>
      <c r="N209" t="n">
        <v>4.2</v>
      </c>
      <c r="O209" t="n">
        <v>6</v>
      </c>
      <c r="Q209" t="inlineStr">
        <is>
          <t>InStock</t>
        </is>
      </c>
      <c r="R209" t="inlineStr">
        <is>
          <t>51.99</t>
        </is>
      </c>
      <c r="S209" t="inlineStr">
        <is>
          <t>113wnpcrw25</t>
        </is>
      </c>
    </row>
    <row r="210" ht="75" customHeight="1">
      <c r="A210" s="1">
        <f>HYPERLINK("https://www.webstaurantstore.com/3-oz-mushroom-top-paneled-salt-and-pepper-shaker-pack/407156SP.html", "https://www.webstaurantstore.com/3-oz-mushroom-top-paneled-salt-and-pepper-shaker-pack/407156SP.html")</f>
        <v/>
      </c>
      <c r="B210" s="1">
        <f>HYPERLINK("https://www.webstaurantstore.com/3-oz-mushroom-top-paneled-salt-and-pepper-shaker-pack/407156SP.html", "https://www.webstaurantstore.com/3-oz-mushroom-top-paneled-salt-and-pepper-shaker-pack/407156SP.html")</f>
        <v/>
      </c>
      <c r="C210" t="inlineStr">
        <is>
          <t>Thunder Group 3 oz. Mushroom Top Paneled Salt and Pepper Shaker - 12/Pack</t>
        </is>
      </c>
      <c r="D210" t="inlineStr">
        <is>
          <t>Set of 12 Classic 3 oz Paneled Rectangle Clear Glass Salt or Pepper Shakers with Stainless Steel Mushroom Tops- Salt Shaker Stainless Lid-Glass Spice Jars Kitchen Accessories</t>
        </is>
      </c>
      <c r="E210" s="1">
        <f>HYPERLINK("https://www.amazon.com/TrueCraftware-Rectangle-Stainless-Condiment-Dispenser/dp/B0BPZLRSVK/ref=sr_1_2?keywords=Thunder+Group+3+oz.+Mushroom+Top+Paneled+Salt+and+Pepper+Shaker+-+12%2FPack&amp;qid=1695347702&amp;sr=8-2", "https://www.amazon.com/TrueCraftware-Rectangle-Stainless-Condiment-Dispenser/dp/B0BPZLRSVK/ref=sr_1_2?keywords=Thunder+Group+3+oz.+Mushroom+Top+Paneled+Salt+and+Pepper+Shaker+-+12%2FPack&amp;qid=1695347702&amp;sr=8-2")</f>
        <v/>
      </c>
      <c r="F210" t="inlineStr">
        <is>
          <t>B0BPZLRSVK</t>
        </is>
      </c>
      <c r="G210">
        <f>_xlfn.IMAGE("https://cdnimg.webstaurantstore.com/images/products/large/48578/1024106.jpg")</f>
        <v/>
      </c>
      <c r="H210">
        <f>_xlfn.IMAGE("https://m.media-amazon.com/images/I/71NXTnM09eL._AC_UL320_.jpg")</f>
        <v/>
      </c>
      <c r="K210" t="inlineStr">
        <is>
          <t>10.69</t>
        </is>
      </c>
      <c r="L210" t="n">
        <v>34.99</v>
      </c>
      <c r="M210" s="2" t="inlineStr">
        <is>
          <t>227.32%</t>
        </is>
      </c>
      <c r="N210" t="n">
        <v>4</v>
      </c>
      <c r="O210" t="n">
        <v>28</v>
      </c>
      <c r="Q210" t="inlineStr">
        <is>
          <t>InStock</t>
        </is>
      </c>
      <c r="R210" t="inlineStr">
        <is>
          <t>13.49</t>
        </is>
      </c>
      <c r="S210" t="inlineStr">
        <is>
          <t>407156sp</t>
        </is>
      </c>
    </row>
    <row r="211" ht="75" customHeight="1">
      <c r="A211" s="1">
        <f>HYPERLINK("https://www.webstaurantstore.com/3-oz-mushroom-top-paneled-salt-and-pepper-shaker-pack/407156SP.html", "https://www.webstaurantstore.com/3-oz-mushroom-top-paneled-salt-and-pepper-shaker-pack/407156SP.html")</f>
        <v/>
      </c>
      <c r="B211" s="1">
        <f>HYPERLINK("https://www.webstaurantstore.com/3-oz-mushroom-top-paneled-salt-and-pepper-shaker-pack/407156SP.html", "https://www.webstaurantstore.com/3-oz-mushroom-top-paneled-salt-and-pepper-shaker-pack/407156SP.html")</f>
        <v/>
      </c>
      <c r="C211" t="inlineStr">
        <is>
          <t>Thunder Group 3 oz. Mushroom Top Paneled Salt and Pepper Shaker - 12/Pack</t>
        </is>
      </c>
      <c r="D211" t="inlineStr">
        <is>
          <t>(Set of 12) Salt and Pepper Shakers, 3 oz., Paneled Glass Salt and Pepper Shaker with Stainless Steel Mushroom Top</t>
        </is>
      </c>
      <c r="E211" s="1">
        <f>HYPERLINK("https://www.amazon.com/Pepper-Shakers-Paneled-Stainless-Mushroom/dp/B09T3RBNQB/ref=sr_1_1?keywords=Thunder+Group+3+oz.+Mushroom+Top+Paneled+Salt+and+Pepper+Shaker+-+12%2FPack&amp;qid=1695347702&amp;sr=8-1", "https://www.amazon.com/Pepper-Shakers-Paneled-Stainless-Mushroom/dp/B09T3RBNQB/ref=sr_1_1?keywords=Thunder+Group+3+oz.+Mushroom+Top+Paneled+Salt+and+Pepper+Shaker+-+12%2FPack&amp;qid=1695347702&amp;sr=8-1")</f>
        <v/>
      </c>
      <c r="F211" t="inlineStr">
        <is>
          <t>B09T3RBNQB</t>
        </is>
      </c>
      <c r="G211">
        <f>_xlfn.IMAGE("https://cdnimg.webstaurantstore.com/images/products/large/48578/1024106.jpg")</f>
        <v/>
      </c>
      <c r="H211">
        <f>_xlfn.IMAGE("https://m.media-amazon.com/images/I/31AXWL7QLuL._AC_UL320_.jpg")</f>
        <v/>
      </c>
      <c r="K211" t="inlineStr">
        <is>
          <t>10.69</t>
        </is>
      </c>
      <c r="L211" t="n">
        <v>30.88</v>
      </c>
      <c r="M211" s="2" t="inlineStr">
        <is>
          <t>188.87%</t>
        </is>
      </c>
      <c r="N211" t="n">
        <v>4.4</v>
      </c>
      <c r="O211" t="n">
        <v>33</v>
      </c>
      <c r="Q211" t="inlineStr">
        <is>
          <t>InStock</t>
        </is>
      </c>
      <c r="R211" t="inlineStr">
        <is>
          <t>13.49</t>
        </is>
      </c>
      <c r="S211" t="inlineStr">
        <is>
          <t>407156sp</t>
        </is>
      </c>
    </row>
    <row r="212" ht="75" customHeight="1">
      <c r="A212" s="1">
        <f>HYPERLINK("https://www.webstaurantstore.com/3-oz-mushroom-top-paneled-salt-and-pepper-shaker-pack/999156SP.html", "https://www.webstaurantstore.com/3-oz-mushroom-top-paneled-salt-and-pepper-shaker-pack/999156SP.html")</f>
        <v/>
      </c>
      <c r="B212" s="1">
        <f>HYPERLINK("https://www.webstaurantstore.com/3-oz-mushroom-top-paneled-salt-and-pepper-shaker-pack/999156SP.html", "https://www.webstaurantstore.com/3-oz-mushroom-top-paneled-salt-and-pepper-shaker-pack/999156SP.html")</f>
        <v/>
      </c>
      <c r="C212" t="inlineStr">
        <is>
          <t>Thunder Group 3 oz. Mushroom Top Paneled Salt and Pepper Shaker - 4/Pack</t>
        </is>
      </c>
      <c r="D212" t="inlineStr">
        <is>
          <t>(Set of 12) Salt and Pepper Shakers, 3 oz., Paneled Glass Salt and Pepper Shaker with Stainless Steel Mushroom Top</t>
        </is>
      </c>
      <c r="E212" s="1">
        <f>HYPERLINK("https://www.amazon.com/Pepper-Shakers-Paneled-Stainless-Mushroom/dp/B09T3RBNQB/ref=sr_1_1?keywords=Thunder+Group+3+oz.+Mushroom+Top+Paneled+Salt+and+Pepper+Shaker+-+4%2FPack&amp;qid=1695347681&amp;sr=8-1", "https://www.amazon.com/Pepper-Shakers-Paneled-Stainless-Mushroom/dp/B09T3RBNQB/ref=sr_1_1?keywords=Thunder+Group+3+oz.+Mushroom+Top+Paneled+Salt+and+Pepper+Shaker+-+4%2FPack&amp;qid=1695347681&amp;sr=8-1")</f>
        <v/>
      </c>
      <c r="F212" t="inlineStr">
        <is>
          <t>B09T3RBNQB</t>
        </is>
      </c>
      <c r="G212">
        <f>_xlfn.IMAGE("https://cdnimg.webstaurantstore.com/images/products/large/54344/1024119.jpg")</f>
        <v/>
      </c>
      <c r="H212">
        <f>_xlfn.IMAGE("https://m.media-amazon.com/images/I/31AXWL7QLuL._AC_UL320_.jpg")</f>
        <v/>
      </c>
      <c r="K212" t="inlineStr">
        <is>
          <t>5.69</t>
        </is>
      </c>
      <c r="L212" t="n">
        <v>30.88</v>
      </c>
      <c r="M212" s="2" t="inlineStr">
        <is>
          <t>442.71%</t>
        </is>
      </c>
      <c r="N212" t="n">
        <v>4.4</v>
      </c>
      <c r="O212" t="n">
        <v>33</v>
      </c>
      <c r="Q212" t="inlineStr">
        <is>
          <t>InStock</t>
        </is>
      </c>
      <c r="R212" t="inlineStr">
        <is>
          <t>7.19</t>
        </is>
      </c>
      <c r="S212" t="inlineStr">
        <is>
          <t>999156sp</t>
        </is>
      </c>
    </row>
    <row r="213" ht="75" customHeight="1">
      <c r="A213" s="1">
        <f>HYPERLINK("https://www.webstaurantstore.com/acopa-8-bright-white-square-porcelain-plate-pack/999KSE8.html", "https://www.webstaurantstore.com/acopa-8-bright-white-square-porcelain-plate-pack/999KSE8.html")</f>
        <v/>
      </c>
      <c r="B213" s="1">
        <f>HYPERLINK("https://www.webstaurantstore.com/acopa-8-bright-white-square-porcelain-plate-pack/999KSE8.html", "https://www.webstaurantstore.com/acopa-8-bright-white-square-porcelain-plate-pack/999KSE8.html")</f>
        <v/>
      </c>
      <c r="C213" t="inlineStr">
        <is>
          <t>Acopa 8" Bright White Square Porcelain Plate - 4/Pack</t>
        </is>
      </c>
      <c r="D213" t="inlineStr">
        <is>
          <t>CAC China Kings Porcelain Square Plate, 8" x3/4", Super white bright white</t>
        </is>
      </c>
      <c r="E213" s="1">
        <f>HYPERLINK("https://www.amazon.com/CAC-China-KSE-8-Kingsquare-Porcelain/dp/B008M4YQF6/ref=sr_1_1?keywords=Acopa+8%22+Bright+White+Square+Porcelain+Plate+-+4%2FPack&amp;qid=1695347711&amp;sr=8-1", "https://www.amazon.com/CAC-China-KSE-8-Kingsquare-Porcelain/dp/B008M4YQF6/ref=sr_1_1?keywords=Acopa+8%22+Bright+White+Square+Porcelain+Plate+-+4%2FPack&amp;qid=1695347711&amp;sr=8-1")</f>
        <v/>
      </c>
      <c r="F213" t="inlineStr">
        <is>
          <t>B008M4YQF6</t>
        </is>
      </c>
      <c r="G213">
        <f>_xlfn.IMAGE("https://cdnimg.webstaurantstore.com/images/products/large/222677/2384489.jpg")</f>
        <v/>
      </c>
      <c r="H213">
        <f>_xlfn.IMAGE("https://m.media-amazon.com/images/I/41ByIc1LUFL._AC_UL320_.jpg")</f>
        <v/>
      </c>
      <c r="K213" t="inlineStr">
        <is>
          <t>15.99</t>
        </is>
      </c>
      <c r="L213" t="n">
        <v>103.5</v>
      </c>
      <c r="M213" s="2" t="inlineStr">
        <is>
          <t>547.28%</t>
        </is>
      </c>
      <c r="N213" t="n">
        <v>4.2</v>
      </c>
      <c r="O213" t="n">
        <v>75</v>
      </c>
      <c r="Q213" t="inlineStr">
        <is>
          <t>OutOfStock</t>
        </is>
      </c>
      <c r="R213" t="inlineStr">
        <is>
          <t>20.49</t>
        </is>
      </c>
      <c r="S213" t="inlineStr">
        <is>
          <t>999kse8</t>
        </is>
      </c>
    </row>
    <row r="214" ht="75" customHeight="1">
      <c r="A214" s="1">
        <f>HYPERLINK("https://www.webstaurantstore.com/avantco-w62grn-green-free-standing-heat-lamp-food-warmer-with-2-bulbs-120v-500w/177W62GRN.html", "https://www.webstaurantstore.com/avantco-w62grn-green-free-standing-heat-lamp-food-warmer-with-2-bulbs-120v-500w/177W62GRN.html")</f>
        <v/>
      </c>
      <c r="B214" s="1">
        <f>HYPERLINK("https://www.webstaurantstore.com/avantco-w62grn-green-free-standing-heat-lamp-food-warmer-with-2-bulbs-120v-500w/177W62GRN.html", "https://www.webstaurantstore.com/avantco-w62grn-green-free-standing-heat-lamp-food-warmer-with-2-bulbs-120v-500w/177W62GRN.html")</f>
        <v/>
      </c>
      <c r="C214" t="inlineStr">
        <is>
          <t>Avantco W62GRN Green Free Standing Heat Lamp with 2 Bulbs - 120V, 500W</t>
        </is>
      </c>
      <c r="D214" t="inlineStr">
        <is>
          <t>OCSParts Aluminum 2 Bulb Free Standing Heat Lamp / Food Warmer with Bulbs, 120V, 500W (Stand with Red Bulbs)</t>
        </is>
      </c>
      <c r="E214" s="1">
        <f>HYPERLINK("https://www.amazon.com/OCSParts-Aluminum-Standing-Warmer-Bulbs/dp/B09VDGS6FB/ref=sr_1_3?keywords=Avantco+W62GRN+Green+Free+Standing+Heat+Lamp+with+2+Bulbs+-+120V%2C+500W&amp;qid=1695347834&amp;sr=8-3", "https://www.amazon.com/OCSParts-Aluminum-Standing-Warmer-Bulbs/dp/B09VDGS6FB/ref=sr_1_3?keywords=Avantco+W62GRN+Green+Free+Standing+Heat+Lamp+with+2+Bulbs+-+120V%2C+500W&amp;qid=1695347834&amp;sr=8-3")</f>
        <v/>
      </c>
      <c r="F214" t="inlineStr">
        <is>
          <t>B09VDGS6FB</t>
        </is>
      </c>
      <c r="G214">
        <f>_xlfn.IMAGE("https://cdnimg.webstaurantstore.com/images/products/large/591551/2217178.jpg")</f>
        <v/>
      </c>
      <c r="H214">
        <f>_xlfn.IMAGE("https://m.media-amazon.com/images/I/51hC8-YtljL._AC_UY218_.jpg")</f>
        <v/>
      </c>
      <c r="K214" t="inlineStr">
        <is>
          <t>49.99</t>
        </is>
      </c>
      <c r="L214" t="n">
        <v>99.98999999999999</v>
      </c>
      <c r="M214" s="2" t="inlineStr">
        <is>
          <t>100.02%</t>
        </is>
      </c>
      <c r="N214" t="n">
        <v>4.2</v>
      </c>
      <c r="O214" t="n">
        <v>5</v>
      </c>
      <c r="Q214" t="inlineStr">
        <is>
          <t>InStock</t>
        </is>
      </c>
      <c r="R214" t="inlineStr">
        <is>
          <t>64.99</t>
        </is>
      </c>
      <c r="S214" t="inlineStr">
        <is>
          <t>177w62grn</t>
        </is>
      </c>
    </row>
    <row r="215" ht="75" customHeight="1">
      <c r="A215" s="1">
        <f>HYPERLINK("https://www.webstaurantstore.com/backyard-pro-crab-boil-seasoning-blend-16-oz/554BYP006.html", "https://www.webstaurantstore.com/backyard-pro-crab-boil-seasoning-blend-16-oz/554BYP006.html")</f>
        <v/>
      </c>
      <c r="B215" s="1">
        <f>HYPERLINK("https://www.webstaurantstore.com/backyard-pro-crab-boil-seasoning-blend-16-oz/554BYP006.html", "https://www.webstaurantstore.com/backyard-pro-crab-boil-seasoning-blend-16-oz/554BYP006.html")</f>
        <v/>
      </c>
      <c r="C215" t="inlineStr">
        <is>
          <t>Backyard Pro Crab Boil Seasoning Blend - 16 oz.</t>
        </is>
      </c>
      <c r="D215" t="inlineStr">
        <is>
          <t>Louisiana Fish Fry Products Crawfish, Shrimp &amp; Crab Boil Seasoning Bundle - 4.5 lbs Powder Boil and 16 oz Bottle of Concentrated Liquid Boil - Spicy, Delicious, and Low Salt Cajun Seasoning</t>
        </is>
      </c>
      <c r="E215" s="1">
        <f>HYPERLINK("https://www.amazon.com/Louisiana-Crawfish-Shrimp-Bundle-powder/dp/B08FZ4F7VV/ref=sr_1_3?keywords=Backyard+Pro+Crab+Boil+Seasoning+Blend+-+16+oz.&amp;qid=1695347676&amp;sr=8-3", "https://www.amazon.com/Louisiana-Crawfish-Shrimp-Bundle-powder/dp/B08FZ4F7VV/ref=sr_1_3?keywords=Backyard+Pro+Crab+Boil+Seasoning+Blend+-+16+oz.&amp;qid=1695347676&amp;sr=8-3")</f>
        <v/>
      </c>
      <c r="F215" t="inlineStr">
        <is>
          <t>B08FZ4F7VV</t>
        </is>
      </c>
      <c r="G215">
        <f>_xlfn.IMAGE("https://cdnimg.webstaurantstore.com/images/products/large/586279/2184220.jpg")</f>
        <v/>
      </c>
      <c r="H215">
        <f>_xlfn.IMAGE("https://m.media-amazon.com/images/I/81HWlRPWCVL._AC_UL320_.jpg")</f>
        <v/>
      </c>
      <c r="K215" t="inlineStr">
        <is>
          <t>4.19</t>
        </is>
      </c>
      <c r="L215" t="n">
        <v>28.99</v>
      </c>
      <c r="M215" s="2" t="inlineStr">
        <is>
          <t>591.89%</t>
        </is>
      </c>
      <c r="N215" t="n">
        <v>4.6</v>
      </c>
      <c r="O215" t="n">
        <v>305</v>
      </c>
      <c r="Q215" t="inlineStr">
        <is>
          <t>InStock</t>
        </is>
      </c>
      <c r="R215" t="inlineStr">
        <is>
          <t>4.79</t>
        </is>
      </c>
      <c r="S215" t="inlineStr">
        <is>
          <t>554byp006</t>
        </is>
      </c>
    </row>
    <row r="216" ht="75" customHeight="1">
      <c r="A216" s="1">
        <f>HYPERLINK("https://www.webstaurantstore.com/big-train-3-5-lb-reduced-sugar-mocha-blended-ice-coffee-mix/711BT612610.html", "https://www.webstaurantstore.com/big-train-3-5-lb-reduced-sugar-mocha-blended-ice-coffee-mix/711BT612610.html")</f>
        <v/>
      </c>
      <c r="B216" s="1">
        <f>HYPERLINK("https://www.webstaurantstore.com/big-train-3-5-lb-reduced-sugar-mocha-blended-ice-coffee-mix/711BT612610.html", "https://www.webstaurantstore.com/big-train-3-5-lb-reduced-sugar-mocha-blended-ice-coffee-mix/711BT612610.html")</f>
        <v/>
      </c>
      <c r="C216" t="inlineStr">
        <is>
          <t>Big Train 3.5 lb. Reduced Sugar Mocha Blended Ice Coffee Mix</t>
        </is>
      </c>
      <c r="D216" t="inlineStr">
        <is>
          <t>Big Train Blended Ice Coffee Caramel Latte 3 Lb 8 Oz (1 Count), Powdered Instant Coffee Drink Mix, Makes Blended Frappe Drinks &amp; Blended Creme Mix Vanilla Bean 3.5 Lb (1 Count)</t>
        </is>
      </c>
      <c r="E216" s="1">
        <f>HYPERLINK("https://www.amazon.com/Big-Train-Blended-Caramel-Powdered/dp/B08FVZDHQG/ref=sr_1_2?keywords=big+train+3.5+lb.+reduced+sugar+mocha+blended+iced+coffee+mix&amp;qid=1695347762&amp;sr=8-2", "https://www.amazon.com/Big-Train-Blended-Caramel-Powdered/dp/B08FVZDHQG/ref=sr_1_2?keywords=big+train+3.5+lb.+reduced+sugar+mocha+blended+iced+coffee+mix&amp;qid=1695347762&amp;sr=8-2")</f>
        <v/>
      </c>
      <c r="F216" t="inlineStr">
        <is>
          <t>B08FVZDHQG</t>
        </is>
      </c>
      <c r="G216">
        <f>_xlfn.IMAGE("https://cdnimg.webstaurantstore.com/images/products/large/107115/2070912.jpg")</f>
        <v/>
      </c>
      <c r="H216">
        <f>_xlfn.IMAGE("https://m.media-amazon.com/images/I/6141zRah0fL._AC_UL320_.jpg")</f>
        <v/>
      </c>
      <c r="K216" t="inlineStr">
        <is>
          <t>20.99</t>
        </is>
      </c>
      <c r="L216" t="n">
        <v>49.12</v>
      </c>
      <c r="M216" s="2" t="inlineStr">
        <is>
          <t>134.02%</t>
        </is>
      </c>
      <c r="N216" t="n">
        <v>3.9</v>
      </c>
      <c r="O216" t="n">
        <v>12</v>
      </c>
      <c r="Q216" t="inlineStr">
        <is>
          <t>InStock</t>
        </is>
      </c>
      <c r="R216" t="inlineStr">
        <is>
          <t>21.99</t>
        </is>
      </c>
      <c r="S216" t="inlineStr">
        <is>
          <t>711bt612610</t>
        </is>
      </c>
    </row>
    <row r="217" ht="75" customHeight="1">
      <c r="A217" s="1">
        <f>HYPERLINK("https://www.webstaurantstore.com/big-train-3-5-lb-reduced-sugar-mocha-blended-ice-coffee-mix/711BT612610.html", "https://www.webstaurantstore.com/big-train-3-5-lb-reduced-sugar-mocha-blended-ice-coffee-mix/711BT612610.html")</f>
        <v/>
      </c>
      <c r="B217" s="1">
        <f>HYPERLINK("https://www.webstaurantstore.com/big-train-3-5-lb-reduced-sugar-mocha-blended-ice-coffee-mix/711BT612610.html", "https://www.webstaurantstore.com/big-train-3-5-lb-reduced-sugar-mocha-blended-ice-coffee-mix/711BT612610.html")</f>
        <v/>
      </c>
      <c r="C217" t="inlineStr">
        <is>
          <t>Big Train 3.5 lb. Reduced Sugar Mocha Blended Ice Coffee Mix</t>
        </is>
      </c>
      <c r="D217" t="inlineStr">
        <is>
          <t>Big Train Blended Iced Coffee - Toffee Mocha (3.5lb Bulk)</t>
        </is>
      </c>
      <c r="E217" s="1">
        <f>HYPERLINK("https://www.amazon.com/Big-Train-Blended-Iced-Coffee/dp/B000BKGPVM/ref=sr_1_6?keywords=big+train+3.5+lb.+reduced+sugar+mocha+blended+iced+coffee+mix&amp;qid=1695347762&amp;sr=8-6", "https://www.amazon.com/Big-Train-Blended-Iced-Coffee/dp/B000BKGPVM/ref=sr_1_6?keywords=big+train+3.5+lb.+reduced+sugar+mocha+blended+iced+coffee+mix&amp;qid=1695347762&amp;sr=8-6")</f>
        <v/>
      </c>
      <c r="F217" t="inlineStr">
        <is>
          <t>B000BKGPVM</t>
        </is>
      </c>
      <c r="G217">
        <f>_xlfn.IMAGE("https://cdnimg.webstaurantstore.com/images/products/large/107115/2070912.jpg")</f>
        <v/>
      </c>
      <c r="H217">
        <f>_xlfn.IMAGE("https://m.media-amazon.com/images/I/910Rjx5vxJL._AC_UL320_.jpg")</f>
        <v/>
      </c>
      <c r="K217" t="inlineStr">
        <is>
          <t>20.99</t>
        </is>
      </c>
      <c r="L217" t="n">
        <v>35</v>
      </c>
      <c r="M217" s="2" t="inlineStr">
        <is>
          <t>66.75%</t>
        </is>
      </c>
      <c r="N217" t="n">
        <v>4.5</v>
      </c>
      <c r="O217" t="n">
        <v>34</v>
      </c>
      <c r="Q217" t="inlineStr">
        <is>
          <t>InStock</t>
        </is>
      </c>
      <c r="R217" t="inlineStr">
        <is>
          <t>21.99</t>
        </is>
      </c>
      <c r="S217" t="inlineStr">
        <is>
          <t>711bt612610</t>
        </is>
      </c>
    </row>
    <row r="218" ht="75" customHeight="1">
      <c r="A218" s="1">
        <f>HYPERLINK("https://www.webstaurantstore.com/big-train-3-5-lb-reduced-sugar-vanilla-blended-ice-coffee-mix/711BT612820.html", "https://www.webstaurantstore.com/big-train-3-5-lb-reduced-sugar-vanilla-blended-ice-coffee-mix/711BT612820.html")</f>
        <v/>
      </c>
      <c r="B218" s="1">
        <f>HYPERLINK("https://www.webstaurantstore.com/big-train-3-5-lb-reduced-sugar-vanilla-blended-ice-coffee-mix/711BT612820.html", "https://www.webstaurantstore.com/big-train-3-5-lb-reduced-sugar-vanilla-blended-ice-coffee-mix/711BT612820.html")</f>
        <v/>
      </c>
      <c r="C218" t="inlineStr">
        <is>
          <t>Big Train 3.5 lb. Reduced Sugar Vanilla Blended Ice Coffee Mix</t>
        </is>
      </c>
      <c r="D218" t="inlineStr">
        <is>
          <t>Big Train Blended Ice Coffee Caramel Latte 3 Lb 8 Oz (1 Count), Powdered Instant Coffee Drink Mix, Makes Blended Frappe Drinks &amp; Blended Creme Mix Vanilla Bean 3.5 Lb (1 Count)</t>
        </is>
      </c>
      <c r="E218" s="1">
        <f>HYPERLINK("https://www.amazon.com/Big-Train-Blended-Caramel-Powdered/dp/B08FVZDHQG/ref=sr_1_3?keywords=Big+Train+3.5+lb.+Reduced+Sugar+Vanilla+Blended+Ice+Coffee+Mix&amp;qid=1695347726&amp;sr=8-3", "https://www.amazon.com/Big-Train-Blended-Caramel-Powdered/dp/B08FVZDHQG/ref=sr_1_3?keywords=Big+Train+3.5+lb.+Reduced+Sugar+Vanilla+Blended+Ice+Coffee+Mix&amp;qid=1695347726&amp;sr=8-3")</f>
        <v/>
      </c>
      <c r="F218" t="inlineStr">
        <is>
          <t>B08FVZDHQG</t>
        </is>
      </c>
      <c r="G218">
        <f>_xlfn.IMAGE("https://cdnimg.webstaurantstore.com/images/products/large/107095/2171806.jpg")</f>
        <v/>
      </c>
      <c r="H218">
        <f>_xlfn.IMAGE("https://m.media-amazon.com/images/I/6141zRah0fL._AC_UL320_.jpg")</f>
        <v/>
      </c>
      <c r="K218" t="inlineStr">
        <is>
          <t>20.99</t>
        </is>
      </c>
      <c r="L218" t="n">
        <v>49.12</v>
      </c>
      <c r="M218" s="2" t="inlineStr">
        <is>
          <t>134.02%</t>
        </is>
      </c>
      <c r="N218" t="n">
        <v>3.9</v>
      </c>
      <c r="O218" t="n">
        <v>12</v>
      </c>
      <c r="Q218" t="inlineStr">
        <is>
          <t>InStock</t>
        </is>
      </c>
      <c r="R218" t="inlineStr">
        <is>
          <t>21.99</t>
        </is>
      </c>
      <c r="S218" t="inlineStr">
        <is>
          <t>711bt612820</t>
        </is>
      </c>
    </row>
    <row r="219" ht="75" customHeight="1">
      <c r="A219" s="1">
        <f>HYPERLINK("https://www.webstaurantstore.com/big-train-caramel-latte-blended-ice-coffee-mix-3-5-lb/711BT610875.html", "https://www.webstaurantstore.com/big-train-caramel-latte-blended-ice-coffee-mix-3-5-lb/711BT610875.html")</f>
        <v/>
      </c>
      <c r="B219" s="1">
        <f>HYPERLINK("https://www.webstaurantstore.com/big-train-caramel-latte-blended-ice-coffee-mix-3-5-lb/711BT610875.html", "https://www.webstaurantstore.com/big-train-caramel-latte-blended-ice-coffee-mix-3-5-lb/711BT610875.html")</f>
        <v/>
      </c>
      <c r="C219" t="inlineStr">
        <is>
          <t>Big Train 3.5 lb. Caramel Latte Blended Ice Coffee Mix</t>
        </is>
      </c>
      <c r="D219" t="inlineStr">
        <is>
          <t>Big Train Blended Ice Coffee Caramel Latte 3 Lb 8 Oz (1 Count), Powdered Instant Coffee Drink Mix, Makes Blended Frappe Drinks &amp; Blended Creme Mix Vanilla Bean 3.5 Lb (1 Count)</t>
        </is>
      </c>
      <c r="E219" s="1">
        <f>HYPERLINK("https://www.amazon.com/Big-Train-Blended-Caramel-Powdered/dp/B08FVZDHQG/ref=sr_1_4?keywords=big+train+3.5+lb.+caramel+latte+blended+iced+coffee+mix&amp;qid=1695347728&amp;sr=8-4", "https://www.amazon.com/Big-Train-Blended-Caramel-Powdered/dp/B08FVZDHQG/ref=sr_1_4?keywords=big+train+3.5+lb.+caramel+latte+blended+iced+coffee+mix&amp;qid=1695347728&amp;sr=8-4")</f>
        <v/>
      </c>
      <c r="F219" t="inlineStr">
        <is>
          <t>B08FVZDHQG</t>
        </is>
      </c>
      <c r="G219">
        <f>_xlfn.IMAGE("https://cdnimg.webstaurantstore.com/images/products/large/107052/1995088.jpg")</f>
        <v/>
      </c>
      <c r="H219">
        <f>_xlfn.IMAGE("https://m.media-amazon.com/images/I/6141zRah0fL._AC_UL320_.jpg")</f>
        <v/>
      </c>
      <c r="K219" t="inlineStr">
        <is>
          <t>20.99</t>
        </is>
      </c>
      <c r="L219" t="n">
        <v>49.12</v>
      </c>
      <c r="M219" s="2" t="inlineStr">
        <is>
          <t>134.02%</t>
        </is>
      </c>
      <c r="N219" t="n">
        <v>3.9</v>
      </c>
      <c r="O219" t="n">
        <v>12</v>
      </c>
      <c r="Q219" t="inlineStr">
        <is>
          <t>InStock</t>
        </is>
      </c>
      <c r="R219" t="inlineStr">
        <is>
          <t>21.99</t>
        </is>
      </c>
      <c r="S219" t="inlineStr">
        <is>
          <t>711bt610875</t>
        </is>
      </c>
    </row>
    <row r="220" ht="75" customHeight="1">
      <c r="A220" s="1">
        <f>HYPERLINK("https://www.webstaurantstore.com/big-train-dragonfly-green-tea-blended-creme-frappe-mix-3-5-lb/711BT656115.html", "https://www.webstaurantstore.com/big-train-dragonfly-green-tea-blended-creme-frappe-mix-3-5-lb/711BT656115.html")</f>
        <v/>
      </c>
      <c r="B220" s="1">
        <f>HYPERLINK("https://www.webstaurantstore.com/big-train-dragonfly-green-tea-blended-creme-frappe-mix-3-5-lb/711BT656115.html", "https://www.webstaurantstore.com/big-train-dragonfly-green-tea-blended-creme-frappe-mix-3-5-lb/711BT656115.html")</f>
        <v/>
      </c>
      <c r="C220" t="inlineStr">
        <is>
          <t>Big Train 3.5 lb. Dragonfly Green Tea Blended Creme Frappe Mix</t>
        </is>
      </c>
      <c r="D220" t="inlineStr">
        <is>
          <t>Big Train Dragonfly Blended Creme - 3.5 lb Bags - Case of 5 - Single Flavor (Green Tea)</t>
        </is>
      </c>
      <c r="E220" s="1">
        <f>HYPERLINK("https://www.amazon.com/Big-Train-Dragonfly-Blended-Creme/dp/B08C9581FW/ref=sr_1_8?keywords=Big+Train+3.5+lb.+Dragonfly+Green+Tea+Blended+Creme+Frappe+Mix&amp;qid=1695347726&amp;sr=8-8", "https://www.amazon.com/Big-Train-Dragonfly-Blended-Creme/dp/B08C9581FW/ref=sr_1_8?keywords=Big+Train+3.5+lb.+Dragonfly+Green+Tea+Blended+Creme+Frappe+Mix&amp;qid=1695347726&amp;sr=8-8")</f>
        <v/>
      </c>
      <c r="F220" t="inlineStr">
        <is>
          <t>B08C9581FW</t>
        </is>
      </c>
      <c r="G220">
        <f>_xlfn.IMAGE("https://cdnimg.webstaurantstore.com/images/products/large/107110/2094471.jpg")</f>
        <v/>
      </c>
      <c r="H220">
        <f>_xlfn.IMAGE("https://m.media-amazon.com/images/I/71Bm0RmKR8L._AC_UL320_.jpg")</f>
        <v/>
      </c>
      <c r="K220" t="inlineStr">
        <is>
          <t>20.99</t>
        </is>
      </c>
      <c r="L220" t="n">
        <v>146.35</v>
      </c>
      <c r="M220" s="2" t="inlineStr">
        <is>
          <t>597.24%</t>
        </is>
      </c>
      <c r="N220" t="n">
        <v>5</v>
      </c>
      <c r="O220" t="n">
        <v>1</v>
      </c>
      <c r="Q220" t="inlineStr">
        <is>
          <t>InStock</t>
        </is>
      </c>
      <c r="R220" t="inlineStr">
        <is>
          <t>21.99</t>
        </is>
      </c>
      <c r="S220" t="inlineStr">
        <is>
          <t>711bt656115</t>
        </is>
      </c>
    </row>
    <row r="221" ht="75" customHeight="1">
      <c r="A221" s="1">
        <f>HYPERLINK("https://www.webstaurantstore.com/big-train-dragonfly-thai-tea-blended-creme-frappe-mix-3-5-lb/711BT656114.html", "https://www.webstaurantstore.com/big-train-dragonfly-thai-tea-blended-creme-frappe-mix-3-5-lb/711BT656114.html")</f>
        <v/>
      </c>
      <c r="B221" s="1">
        <f>HYPERLINK("https://www.webstaurantstore.com/big-train-dragonfly-thai-tea-blended-creme-frappe-mix-3-5-lb/711BT656114.html", "https://www.webstaurantstore.com/big-train-dragonfly-thai-tea-blended-creme-frappe-mix-3-5-lb/711BT656114.html")</f>
        <v/>
      </c>
      <c r="C221" t="inlineStr">
        <is>
          <t>Big Train 3.5 lb. Dragonfly Thai Tea Blended Creme Frappe Mix</t>
        </is>
      </c>
      <c r="D221" t="inlineStr">
        <is>
          <t>Big Train Dragonfly Blended Creme - 3.5 lb Bags - Case of 5 - Single Flavor (Green Tea)</t>
        </is>
      </c>
      <c r="E221" s="1">
        <f>HYPERLINK("https://www.amazon.com/Big-Train-Dragonfly-Blended-Creme/dp/B08C9581FW/ref=sr_1_9?keywords=Big+Train+3.5+lb.+Dragonfly+Thai+Tea+Blended+Creme+Frappe+Mix&amp;qid=1695347726&amp;sr=8-9", "https://www.amazon.com/Big-Train-Dragonfly-Blended-Creme/dp/B08C9581FW/ref=sr_1_9?keywords=Big+Train+3.5+lb.+Dragonfly+Thai+Tea+Blended+Creme+Frappe+Mix&amp;qid=1695347726&amp;sr=8-9")</f>
        <v/>
      </c>
      <c r="F221" t="inlineStr">
        <is>
          <t>B08C9581FW</t>
        </is>
      </c>
      <c r="G221">
        <f>_xlfn.IMAGE("https://cdnimg.webstaurantstore.com/images/products/large/107109/2171818.jpg")</f>
        <v/>
      </c>
      <c r="H221">
        <f>_xlfn.IMAGE("https://m.media-amazon.com/images/I/71Bm0RmKR8L._AC_UL320_.jpg")</f>
        <v/>
      </c>
      <c r="K221" t="inlineStr">
        <is>
          <t>20.99</t>
        </is>
      </c>
      <c r="L221" t="n">
        <v>146.35</v>
      </c>
      <c r="M221" s="2" t="inlineStr">
        <is>
          <t>597.24%</t>
        </is>
      </c>
      <c r="N221" t="n">
        <v>5</v>
      </c>
      <c r="O221" t="n">
        <v>1</v>
      </c>
      <c r="Q221" t="inlineStr">
        <is>
          <t>InStock</t>
        </is>
      </c>
      <c r="R221" t="inlineStr">
        <is>
          <t>21.99</t>
        </is>
      </c>
      <c r="S221" t="inlineStr">
        <is>
          <t>711bt656114</t>
        </is>
      </c>
    </row>
    <row r="222" ht="75" customHeight="1">
      <c r="A222" s="1">
        <f>HYPERLINK("https://www.webstaurantstore.com/big-train-espresso-blended-ice-coffee-mix-3-5-lb/711BT610885.html", "https://www.webstaurantstore.com/big-train-espresso-blended-ice-coffee-mix-3-5-lb/711BT610885.html")</f>
        <v/>
      </c>
      <c r="B222" s="1">
        <f>HYPERLINK("https://www.webstaurantstore.com/big-train-espresso-blended-ice-coffee-mix-3-5-lb/711BT610885.html", "https://www.webstaurantstore.com/big-train-espresso-blended-ice-coffee-mix-3-5-lb/711BT610885.html")</f>
        <v/>
      </c>
      <c r="C222" t="inlineStr">
        <is>
          <t>Big Train 3.5 lb. Espresso Blended Ice Coffee Mix</t>
        </is>
      </c>
      <c r="D222" t="inlineStr">
        <is>
          <t>Big Train Blended Iced Coffee - Toffee Mocha (3.5lb Bulk)</t>
        </is>
      </c>
      <c r="E222" s="1">
        <f>HYPERLINK("https://www.amazon.com/Big-Train-Blended-Iced-Coffee/dp/B000BKGPVM/ref=sr_1_6?keywords=big+train+3.5+lb.+espresso+blended+iced+coffee+mix&amp;qid=1695347734&amp;sr=8-6", "https://www.amazon.com/Big-Train-Blended-Iced-Coffee/dp/B000BKGPVM/ref=sr_1_6?keywords=big+train+3.5+lb.+espresso+blended+iced+coffee+mix&amp;qid=1695347734&amp;sr=8-6")</f>
        <v/>
      </c>
      <c r="F222" t="inlineStr">
        <is>
          <t>B000BKGPVM</t>
        </is>
      </c>
      <c r="G222">
        <f>_xlfn.IMAGE("https://cdnimg.webstaurantstore.com/images/products/large/107036/2070911.jpg")</f>
        <v/>
      </c>
      <c r="H222">
        <f>_xlfn.IMAGE("https://m.media-amazon.com/images/I/910Rjx5vxJL._AC_UL320_.jpg")</f>
        <v/>
      </c>
      <c r="K222" t="inlineStr">
        <is>
          <t>20.99</t>
        </is>
      </c>
      <c r="L222" t="n">
        <v>35</v>
      </c>
      <c r="M222" s="2" t="inlineStr">
        <is>
          <t>66.75%</t>
        </is>
      </c>
      <c r="N222" t="n">
        <v>4.5</v>
      </c>
      <c r="O222" t="n">
        <v>34</v>
      </c>
      <c r="Q222" t="inlineStr">
        <is>
          <t>InStock</t>
        </is>
      </c>
      <c r="R222" t="inlineStr">
        <is>
          <t>21.99</t>
        </is>
      </c>
      <c r="S222" t="inlineStr">
        <is>
          <t>711bt610885</t>
        </is>
      </c>
    </row>
    <row r="223" ht="75" customHeight="1">
      <c r="A223" s="1">
        <f>HYPERLINK("https://www.webstaurantstore.com/big-train-kona-mocha-blended-ice-coffee-mix-3-5-lb/711BT610830.html", "https://www.webstaurantstore.com/big-train-kona-mocha-blended-ice-coffee-mix-3-5-lb/711BT610830.html")</f>
        <v/>
      </c>
      <c r="B223" s="1">
        <f>HYPERLINK("https://www.webstaurantstore.com/big-train-kona-mocha-blended-ice-coffee-mix-3-5-lb/711BT610830.html", "https://www.webstaurantstore.com/big-train-kona-mocha-blended-ice-coffee-mix-3-5-lb/711BT610830.html")</f>
        <v/>
      </c>
      <c r="C223" t="inlineStr">
        <is>
          <t>Big Train 3.5 lb. Kona Mocha Blended Ice Coffee Mix</t>
        </is>
      </c>
      <c r="D223" t="inlineStr">
        <is>
          <t>Big Train Blended Iced Coffee - Toffee Mocha (3.5lb Bulk)</t>
        </is>
      </c>
      <c r="E223" s="1">
        <f>HYPERLINK("https://www.amazon.com/Big-Train-Blended-Iced-Coffee/dp/B000BKGPVM/ref=sr_1_6?keywords=big+train+3.5+lb.+kona+mocha+blended+iced+coffee+mix&amp;qid=1695347733&amp;sr=8-6", "https://www.amazon.com/Big-Train-Blended-Iced-Coffee/dp/B000BKGPVM/ref=sr_1_6?keywords=big+train+3.5+lb.+kona+mocha+blended+iced+coffee+mix&amp;qid=1695347733&amp;sr=8-6")</f>
        <v/>
      </c>
      <c r="F223" t="inlineStr">
        <is>
          <t>B000BKGPVM</t>
        </is>
      </c>
      <c r="G223">
        <f>_xlfn.IMAGE("https://cdnimg.webstaurantstore.com/images/products/large/107034/2171815.jpg")</f>
        <v/>
      </c>
      <c r="H223">
        <f>_xlfn.IMAGE("https://m.media-amazon.com/images/I/910Rjx5vxJL._AC_UL320_.jpg")</f>
        <v/>
      </c>
      <c r="K223" t="inlineStr">
        <is>
          <t>20.99</t>
        </is>
      </c>
      <c r="L223" t="n">
        <v>35</v>
      </c>
      <c r="M223" s="2" t="inlineStr">
        <is>
          <t>66.75%</t>
        </is>
      </c>
      <c r="N223" t="n">
        <v>4.5</v>
      </c>
      <c r="O223" t="n">
        <v>34</v>
      </c>
      <c r="Q223" t="inlineStr">
        <is>
          <t>InStock</t>
        </is>
      </c>
      <c r="R223" t="inlineStr">
        <is>
          <t>21.99</t>
        </is>
      </c>
      <c r="S223" t="inlineStr">
        <is>
          <t>711bt610830</t>
        </is>
      </c>
    </row>
    <row r="224" ht="75" customHeight="1">
      <c r="A224" s="1">
        <f>HYPERLINK("https://www.webstaurantstore.com/big-train-mocha-blended-ice-coffee-mix-3-5-lb/711BT610610.html", "https://www.webstaurantstore.com/big-train-mocha-blended-ice-coffee-mix-3-5-lb/711BT610610.html")</f>
        <v/>
      </c>
      <c r="B224" s="1">
        <f>HYPERLINK("https://www.webstaurantstore.com/big-train-mocha-blended-ice-coffee-mix-3-5-lb/711BT610610.html", "https://www.webstaurantstore.com/big-train-mocha-blended-ice-coffee-mix-3-5-lb/711BT610610.html")</f>
        <v/>
      </c>
      <c r="C224" t="inlineStr">
        <is>
          <t>Big Train 3.5 lb. Mocha Blended Ice Coffee Mix</t>
        </is>
      </c>
      <c r="D224" t="inlineStr">
        <is>
          <t>Big Train Blended Iced Coffee - Toffee Mocha (3.5lb Bulk)</t>
        </is>
      </c>
      <c r="E224" s="1">
        <f>HYPERLINK("https://www.amazon.com/Big-Train-Blended-Iced-Coffee/dp/B000BKGPVM/ref=sr_1_7?keywords=big+train+3.5+lb.+mocha+blended+iced+coffee+mix&amp;qid=1695347731&amp;sr=8-7", "https://www.amazon.com/Big-Train-Blended-Iced-Coffee/dp/B000BKGPVM/ref=sr_1_7?keywords=big+train+3.5+lb.+mocha+blended+iced+coffee+mix&amp;qid=1695347731&amp;sr=8-7")</f>
        <v/>
      </c>
      <c r="F224" t="inlineStr">
        <is>
          <t>B000BKGPVM</t>
        </is>
      </c>
      <c r="G224">
        <f>_xlfn.IMAGE("https://cdnimg.webstaurantstore.com/images/products/large/107019/2070216.jpg")</f>
        <v/>
      </c>
      <c r="H224">
        <f>_xlfn.IMAGE("https://m.media-amazon.com/images/I/910Rjx5vxJL._AC_UL320_.jpg")</f>
        <v/>
      </c>
      <c r="K224" t="inlineStr">
        <is>
          <t>20.99</t>
        </is>
      </c>
      <c r="L224" t="n">
        <v>35</v>
      </c>
      <c r="M224" s="2" t="inlineStr">
        <is>
          <t>66.75%</t>
        </is>
      </c>
      <c r="N224" t="n">
        <v>4.5</v>
      </c>
      <c r="O224" t="n">
        <v>34</v>
      </c>
      <c r="Q224" t="inlineStr">
        <is>
          <t>InStock</t>
        </is>
      </c>
      <c r="R224" t="inlineStr">
        <is>
          <t>21.99</t>
        </is>
      </c>
      <c r="S224" t="inlineStr">
        <is>
          <t>711bt610610</t>
        </is>
      </c>
    </row>
    <row r="225" ht="75" customHeight="1">
      <c r="A225" s="1">
        <f>HYPERLINK("https://www.webstaurantstore.com/big-train-original-blended-ice-coffee-mix-3-5-lb/711BT610550.html", "https://www.webstaurantstore.com/big-train-original-blended-ice-coffee-mix-3-5-lb/711BT610550.html")</f>
        <v/>
      </c>
      <c r="B225" s="1">
        <f>HYPERLINK("https://www.webstaurantstore.com/big-train-original-blended-ice-coffee-mix-3-5-lb/711BT610550.html", "https://www.webstaurantstore.com/big-train-original-blended-ice-coffee-mix-3-5-lb/711BT610550.html")</f>
        <v/>
      </c>
      <c r="C225" t="inlineStr">
        <is>
          <t>Big Train 3.5 lb. Original Blended Ice Coffee Mix</t>
        </is>
      </c>
      <c r="D225" t="inlineStr">
        <is>
          <t>Big Train Blended Iced Coffee - Toffee Mocha (3.5lb Bulk)</t>
        </is>
      </c>
      <c r="E225" s="1">
        <f>HYPERLINK("https://www.amazon.com/Big-Train-Blended-Iced-Coffee/dp/B000BKGPVM/ref=sr_1_3?keywords=big+train+3.5+lb.+original+blended+iced+coffee+mix&amp;qid=1695347729&amp;sr=8-3", "https://www.amazon.com/Big-Train-Blended-Iced-Coffee/dp/B000BKGPVM/ref=sr_1_3?keywords=big+train+3.5+lb.+original+blended+iced+coffee+mix&amp;qid=1695347729&amp;sr=8-3")</f>
        <v/>
      </c>
      <c r="F225" t="inlineStr">
        <is>
          <t>B000BKGPVM</t>
        </is>
      </c>
      <c r="G225">
        <f>_xlfn.IMAGE("https://cdnimg.webstaurantstore.com/images/products/large/107135/1995935.jpg")</f>
        <v/>
      </c>
      <c r="H225">
        <f>_xlfn.IMAGE("https://m.media-amazon.com/images/I/910Rjx5vxJL._AC_UL320_.jpg")</f>
        <v/>
      </c>
      <c r="K225" t="inlineStr">
        <is>
          <t>20.99</t>
        </is>
      </c>
      <c r="L225" t="n">
        <v>35</v>
      </c>
      <c r="M225" s="2" t="inlineStr">
        <is>
          <t>66.75%</t>
        </is>
      </c>
      <c r="N225" t="n">
        <v>4.5</v>
      </c>
      <c r="O225" t="n">
        <v>34</v>
      </c>
      <c r="Q225" t="inlineStr">
        <is>
          <t>InStock</t>
        </is>
      </c>
      <c r="R225" t="inlineStr">
        <is>
          <t>21.99</t>
        </is>
      </c>
      <c r="S225" t="inlineStr">
        <is>
          <t>711bt610550</t>
        </is>
      </c>
    </row>
    <row r="226" ht="75" customHeight="1">
      <c r="A226" s="1">
        <f>HYPERLINK("https://www.webstaurantstore.com/big-train-pumpkin-spice-blended-ice-coffee-mix-3-5-lb/711BT501769.html", "https://www.webstaurantstore.com/big-train-pumpkin-spice-blended-ice-coffee-mix-3-5-lb/711BT501769.html")</f>
        <v/>
      </c>
      <c r="B226" s="1">
        <f>HYPERLINK("https://www.webstaurantstore.com/big-train-pumpkin-spice-blended-ice-coffee-mix-3-5-lb/711BT501769.html", "https://www.webstaurantstore.com/big-train-pumpkin-spice-blended-ice-coffee-mix-3-5-lb/711BT501769.html")</f>
        <v/>
      </c>
      <c r="C226" t="inlineStr">
        <is>
          <t>Big Train Pumpkin Spice Blended Ice Coffee Mix 3.5 lb.</t>
        </is>
      </c>
      <c r="D226" t="inlineStr">
        <is>
          <t>Big Train Blended Ice Coffee Caramel Latte 3 Lb 8 Oz (1 Count), Powdered Instant Coffee Drink Mix, Makes Blended Frappe Drinks &amp; Blended Creme Mix Vanilla Bean 3.5 Lb (1 Count)</t>
        </is>
      </c>
      <c r="E226" s="1">
        <f>HYPERLINK("https://www.amazon.com/Big-Train-Blended-Caramel-Powdered/dp/B08FVZDHQG/ref=sr_1_2?keywords=Big+Train+Pumpkin+Spice+Blended+Ice+Coffee+Mix+3.5+lb.&amp;qid=1695347724&amp;sr=8-2", "https://www.amazon.com/Big-Train-Blended-Caramel-Powdered/dp/B08FVZDHQG/ref=sr_1_2?keywords=Big+Train+Pumpkin+Spice+Blended+Ice+Coffee+Mix+3.5+lb.&amp;qid=1695347724&amp;sr=8-2")</f>
        <v/>
      </c>
      <c r="F226" t="inlineStr">
        <is>
          <t>B08FVZDHQG</t>
        </is>
      </c>
      <c r="G226">
        <f>_xlfn.IMAGE("https://cdnimg.webstaurantstore.com/images/products/large/651698/2299078.jpg")</f>
        <v/>
      </c>
      <c r="H226">
        <f>_xlfn.IMAGE("https://m.media-amazon.com/images/I/6141zRah0fL._AC_UL320_.jpg")</f>
        <v/>
      </c>
      <c r="K226" t="inlineStr">
        <is>
          <t>20.99</t>
        </is>
      </c>
      <c r="L226" t="n">
        <v>49.12</v>
      </c>
      <c r="M226" s="2" t="inlineStr">
        <is>
          <t>134.02%</t>
        </is>
      </c>
      <c r="N226" t="n">
        <v>3.9</v>
      </c>
      <c r="O226" t="n">
        <v>12</v>
      </c>
      <c r="Q226" t="inlineStr">
        <is>
          <t>OutOfStock</t>
        </is>
      </c>
      <c r="R226" t="inlineStr">
        <is>
          <t>21.99</t>
        </is>
      </c>
      <c r="S226" t="inlineStr">
        <is>
          <t>711bt501769</t>
        </is>
      </c>
    </row>
    <row r="227" ht="75" customHeight="1">
      <c r="A227" s="1">
        <f>HYPERLINK("https://www.webstaurantstore.com/big-train-spiced-chai-tea-latte-mix-3-5-lb/711BT510300.html", "https://www.webstaurantstore.com/big-train-spiced-chai-tea-latte-mix-3-5-lb/711BT510300.html")</f>
        <v/>
      </c>
      <c r="B227" s="1">
        <f>HYPERLINK("https://www.webstaurantstore.com/big-train-spiced-chai-tea-latte-mix-3-5-lb/711BT510300.html", "https://www.webstaurantstore.com/big-train-spiced-chai-tea-latte-mix-3-5-lb/711BT510300.html")</f>
        <v/>
      </c>
      <c r="C227" t="inlineStr">
        <is>
          <t>Big Train Spiced Chai Tea Latte Mix - 3.5 lb.</t>
        </is>
      </c>
      <c r="D227" t="inlineStr">
        <is>
          <t>Capora 3.5 lb. Spiced Chai Latte Mix</t>
        </is>
      </c>
      <c r="E227" s="1">
        <f>HYPERLINK("https://www.amazon.com/Capora-3-5-Spiced-Chai-Latte/dp/B097NM4Y69/ref=sr_1_7?keywords=Big+Train+Spiced+Chai+Tea+Latte+Mix+-+3.5+lb.&amp;qid=1695347724&amp;sr=8-7", "https://www.amazon.com/Capora-3-5-Spiced-Chai-Latte/dp/B097NM4Y69/ref=sr_1_7?keywords=Big+Train+Spiced+Chai+Tea+Latte+Mix+-+3.5+lb.&amp;qid=1695347724&amp;sr=8-7")</f>
        <v/>
      </c>
      <c r="F227" t="inlineStr">
        <is>
          <t>B097NM4Y69</t>
        </is>
      </c>
      <c r="G227">
        <f>_xlfn.IMAGE("https://cdnimg.webstaurantstore.com/images/products/large/107175/2422779.jpg")</f>
        <v/>
      </c>
      <c r="H227">
        <f>_xlfn.IMAGE("https://m.media-amazon.com/images/I/61wMB-r40eS._AC_UL320_.jpg")</f>
        <v/>
      </c>
      <c r="K227" t="inlineStr">
        <is>
          <t>20.99</t>
        </is>
      </c>
      <c r="L227" t="n">
        <v>41.99</v>
      </c>
      <c r="M227" s="2" t="inlineStr">
        <is>
          <t>100.05%</t>
        </is>
      </c>
      <c r="N227" t="n">
        <v>5</v>
      </c>
      <c r="O227" t="n">
        <v>1</v>
      </c>
      <c r="Q227" t="inlineStr">
        <is>
          <t>InStock</t>
        </is>
      </c>
      <c r="R227" t="inlineStr">
        <is>
          <t>21.99</t>
        </is>
      </c>
      <c r="S227" t="inlineStr">
        <is>
          <t>711bt510300</t>
        </is>
      </c>
    </row>
    <row r="228" ht="75" customHeight="1">
      <c r="A228" s="1">
        <f>HYPERLINK("https://www.webstaurantstore.com/big-train-spiced-chai-tea-latte-mix-3-5-lb/711BT510300.html", "https://www.webstaurantstore.com/big-train-spiced-chai-tea-latte-mix-3-5-lb/711BT510300.html")</f>
        <v/>
      </c>
      <c r="B228" s="1">
        <f>HYPERLINK("https://www.webstaurantstore.com/big-train-spiced-chai-tea-latte-mix-3-5-lb/711BT510300.html", "https://www.webstaurantstore.com/big-train-spiced-chai-tea-latte-mix-3-5-lb/711BT510300.html")</f>
        <v/>
      </c>
      <c r="C228" t="inlineStr">
        <is>
          <t>Big Train Spiced Chai Tea Latte Mix - 3.5 lb.</t>
        </is>
      </c>
      <c r="D228" t="inlineStr">
        <is>
          <t>Big Train Spiced Chai Mix-3.5 Lbs by Big Train</t>
        </is>
      </c>
      <c r="E228" s="1">
        <f>HYPERLINK("https://www.amazon.com/Big-Train-Spiced-Chai-Mix-3-5/dp/B00ZGT97B8/ref=sr_1_5?keywords=Big+Train+Spiced+Chai+Tea+Latte+Mix+-+3.5+lb.&amp;qid=1695347724&amp;sr=8-5", "https://www.amazon.com/Big-Train-Spiced-Chai-Mix-3-5/dp/B00ZGT97B8/ref=sr_1_5?keywords=Big+Train+Spiced+Chai+Tea+Latte+Mix+-+3.5+lb.&amp;qid=1695347724&amp;sr=8-5")</f>
        <v/>
      </c>
      <c r="F228" t="inlineStr">
        <is>
          <t>B00ZGT97B8</t>
        </is>
      </c>
      <c r="G228">
        <f>_xlfn.IMAGE("https://cdnimg.webstaurantstore.com/images/products/large/107175/2422779.jpg")</f>
        <v/>
      </c>
      <c r="H228">
        <f>_xlfn.IMAGE("https://m.media-amazon.com/images/I/51fwfhpLVQL._AC_UL320_.jpg")</f>
        <v/>
      </c>
      <c r="K228" t="inlineStr">
        <is>
          <t>20.99</t>
        </is>
      </c>
      <c r="L228" t="n">
        <v>34.9</v>
      </c>
      <c r="M228" s="2" t="inlineStr">
        <is>
          <t>66.27%</t>
        </is>
      </c>
      <c r="N228" t="n">
        <v>4.8</v>
      </c>
      <c r="O228" t="n">
        <v>277</v>
      </c>
      <c r="Q228" t="inlineStr">
        <is>
          <t>InStock</t>
        </is>
      </c>
      <c r="R228" t="inlineStr">
        <is>
          <t>21.99</t>
        </is>
      </c>
      <c r="S228" t="inlineStr">
        <is>
          <t>711bt510300</t>
        </is>
      </c>
    </row>
    <row r="229" ht="75" customHeight="1">
      <c r="A229" s="1">
        <f>HYPERLINK("https://www.webstaurantstore.com/big-train-toffee-mocha-blended-ice-coffee-mix-3-5-lb/711BT610850.html", "https://www.webstaurantstore.com/big-train-toffee-mocha-blended-ice-coffee-mix-3-5-lb/711BT610850.html")</f>
        <v/>
      </c>
      <c r="B229" s="1">
        <f>HYPERLINK("https://www.webstaurantstore.com/big-train-toffee-mocha-blended-ice-coffee-mix-3-5-lb/711BT610850.html", "https://www.webstaurantstore.com/big-train-toffee-mocha-blended-ice-coffee-mix-3-5-lb/711BT610850.html")</f>
        <v/>
      </c>
      <c r="C229" t="inlineStr">
        <is>
          <t>Big Train 3.5 lb. Toffee Mocha Blended Ice Coffee Mix</t>
        </is>
      </c>
      <c r="D229" t="inlineStr">
        <is>
          <t>Big Train Blended Ice Coffee Caramel Latte 3 Lb 8 Oz (1 Count), Powdered Instant Coffee Drink Mix, Makes Blended Frappe Drinks &amp; Blended Creme Mix Vanilla Bean 3.5 Lb (1 Count)</t>
        </is>
      </c>
      <c r="E229" s="1">
        <f>HYPERLINK("https://www.amazon.com/Big-Train-Blended-Caramel-Powdered/dp/B08FVZDHQG/ref=sr_1_5?keywords=big+train+3.5+lb.+toffee+mocha+blended+iced+coffee+mix&amp;qid=1695347725&amp;sr=8-5", "https://www.amazon.com/Big-Train-Blended-Caramel-Powdered/dp/B08FVZDHQG/ref=sr_1_5?keywords=big+train+3.5+lb.+toffee+mocha+blended+iced+coffee+mix&amp;qid=1695347725&amp;sr=8-5")</f>
        <v/>
      </c>
      <c r="F229" t="inlineStr">
        <is>
          <t>B08FVZDHQG</t>
        </is>
      </c>
      <c r="G229">
        <f>_xlfn.IMAGE("https://cdnimg.webstaurantstore.com/images/products/large/107158/2211888.jpg")</f>
        <v/>
      </c>
      <c r="H229">
        <f>_xlfn.IMAGE("https://m.media-amazon.com/images/I/6141zRah0fL._AC_UL320_.jpg")</f>
        <v/>
      </c>
      <c r="K229" t="inlineStr">
        <is>
          <t>20.99</t>
        </is>
      </c>
      <c r="L229" t="n">
        <v>49.12</v>
      </c>
      <c r="M229" s="2" t="inlineStr">
        <is>
          <t>134.02%</t>
        </is>
      </c>
      <c r="N229" t="n">
        <v>3.9</v>
      </c>
      <c r="O229" t="n">
        <v>12</v>
      </c>
      <c r="Q229" t="inlineStr">
        <is>
          <t>InStock</t>
        </is>
      </c>
      <c r="R229" t="inlineStr">
        <is>
          <t>21.99</t>
        </is>
      </c>
      <c r="S229" t="inlineStr">
        <is>
          <t>711bt610850</t>
        </is>
      </c>
    </row>
    <row r="230" ht="75" customHeight="1">
      <c r="A230" s="1">
        <f>HYPERLINK("https://www.webstaurantstore.com/big-train-toffee-mocha-blended-ice-coffee-mix-3-5-lb/711BT610850.html", "https://www.webstaurantstore.com/big-train-toffee-mocha-blended-ice-coffee-mix-3-5-lb/711BT610850.html")</f>
        <v/>
      </c>
      <c r="B230" s="1">
        <f>HYPERLINK("https://www.webstaurantstore.com/big-train-toffee-mocha-blended-ice-coffee-mix-3-5-lb/711BT610850.html", "https://www.webstaurantstore.com/big-train-toffee-mocha-blended-ice-coffee-mix-3-5-lb/711BT610850.html")</f>
        <v/>
      </c>
      <c r="C230" t="inlineStr">
        <is>
          <t>Big Train 3.5 lb. Toffee Mocha Blended Ice Coffee Mix</t>
        </is>
      </c>
      <c r="D230" t="inlineStr">
        <is>
          <t>Big Train Blended Iced Coffee - Toffee Mocha (3.5lb Bulk)</t>
        </is>
      </c>
      <c r="E230" s="1">
        <f>HYPERLINK("https://www.amazon.com/Big-Train-Blended-Iced-Coffee/dp/B000BKGPVM/ref=sr_1_2?keywords=big+train+3.5+lb.+toffee+mocha+blended+iced+coffee+mix&amp;qid=1695347725&amp;sr=8-2", "https://www.amazon.com/Big-Train-Blended-Iced-Coffee/dp/B000BKGPVM/ref=sr_1_2?keywords=big+train+3.5+lb.+toffee+mocha+blended+iced+coffee+mix&amp;qid=1695347725&amp;sr=8-2")</f>
        <v/>
      </c>
      <c r="F230" t="inlineStr">
        <is>
          <t>B000BKGPVM</t>
        </is>
      </c>
      <c r="G230">
        <f>_xlfn.IMAGE("https://cdnimg.webstaurantstore.com/images/products/large/107158/2211888.jpg")</f>
        <v/>
      </c>
      <c r="H230">
        <f>_xlfn.IMAGE("https://m.media-amazon.com/images/I/910Rjx5vxJL._AC_UL320_.jpg")</f>
        <v/>
      </c>
      <c r="K230" t="inlineStr">
        <is>
          <t>20.99</t>
        </is>
      </c>
      <c r="L230" t="n">
        <v>35</v>
      </c>
      <c r="M230" s="2" t="inlineStr">
        <is>
          <t>66.75%</t>
        </is>
      </c>
      <c r="N230" t="n">
        <v>4.5</v>
      </c>
      <c r="O230" t="n">
        <v>34</v>
      </c>
      <c r="Q230" t="inlineStr">
        <is>
          <t>InStock</t>
        </is>
      </c>
      <c r="R230" t="inlineStr">
        <is>
          <t>21.99</t>
        </is>
      </c>
      <c r="S230" t="inlineStr">
        <is>
          <t>711bt610850</t>
        </is>
      </c>
    </row>
    <row r="231" ht="75" customHeight="1">
      <c r="A231" s="1">
        <f>HYPERLINK("https://www.webstaurantstore.com/big-train-vanilla-bean-blended-creme-frappe-mix-3-5-lb/711BT200200.html", "https://www.webstaurantstore.com/big-train-vanilla-bean-blended-creme-frappe-mix-3-5-lb/711BT200200.html")</f>
        <v/>
      </c>
      <c r="B231" s="1">
        <f>HYPERLINK("https://www.webstaurantstore.com/big-train-vanilla-bean-blended-creme-frappe-mix-3-5-lb/711BT200200.html", "https://www.webstaurantstore.com/big-train-vanilla-bean-blended-creme-frappe-mix-3-5-lb/711BT200200.html")</f>
        <v/>
      </c>
      <c r="C231" t="inlineStr">
        <is>
          <t>Big Train Vanilla Bean Blended Creme Frappe Mix - 3.5 lb.</t>
        </is>
      </c>
      <c r="D231" t="inlineStr">
        <is>
          <t>Big Train Blended Ice Coffee Caramel Latte 3 Lb 8 Oz (1 Count), Powdered Instant Coffee Drink Mix, Makes Blended Frappe Drinks &amp; Blended Creme Mix Vanilla Bean 3.5 Lb (1 Count)</t>
        </is>
      </c>
      <c r="E231" s="1">
        <f>HYPERLINK("https://www.amazon.com/Big-Train-Blended-Caramel-Powdered/dp/B08FVZDHQG/ref=sr_1_3?keywords=Big+Train+Vanilla+Bean+Blended+Creme+Frappe+Mix+-+3.5+lb.&amp;qid=1695347729&amp;sr=8-3", "https://www.amazon.com/Big-Train-Blended-Caramel-Powdered/dp/B08FVZDHQG/ref=sr_1_3?keywords=Big+Train+Vanilla+Bean+Blended+Creme+Frappe+Mix+-+3.5+lb.&amp;qid=1695347729&amp;sr=8-3")</f>
        <v/>
      </c>
      <c r="F231" t="inlineStr">
        <is>
          <t>B08FVZDHQG</t>
        </is>
      </c>
      <c r="G231">
        <f>_xlfn.IMAGE("https://cdnimg.webstaurantstore.com/images/products/large/107031/2422773.jpg")</f>
        <v/>
      </c>
      <c r="H231">
        <f>_xlfn.IMAGE("https://m.media-amazon.com/images/I/6141zRah0fL._AC_UL320_.jpg")</f>
        <v/>
      </c>
      <c r="K231" t="inlineStr">
        <is>
          <t>20.99</t>
        </is>
      </c>
      <c r="L231" t="n">
        <v>49.12</v>
      </c>
      <c r="M231" s="2" t="inlineStr">
        <is>
          <t>134.02%</t>
        </is>
      </c>
      <c r="N231" t="n">
        <v>3.9</v>
      </c>
      <c r="O231" t="n">
        <v>12</v>
      </c>
      <c r="Q231" t="inlineStr">
        <is>
          <t>InStock</t>
        </is>
      </c>
      <c r="R231" t="inlineStr">
        <is>
          <t>21.99</t>
        </is>
      </c>
      <c r="S231" t="inlineStr">
        <is>
          <t>711bt200200</t>
        </is>
      </c>
    </row>
    <row r="232" ht="75" customHeight="1">
      <c r="A232" s="1">
        <f>HYPERLINK("https://www.webstaurantstore.com/big-train-vanilla-chai-tea-latte-mix-3-5-lb/711BT510200.html", "https://www.webstaurantstore.com/big-train-vanilla-chai-tea-latte-mix-3-5-lb/711BT510200.html")</f>
        <v/>
      </c>
      <c r="B232" s="1">
        <f>HYPERLINK("https://www.webstaurantstore.com/big-train-vanilla-chai-tea-latte-mix-3-5-lb/711BT510200.html", "https://www.webstaurantstore.com/big-train-vanilla-chai-tea-latte-mix-3-5-lb/711BT510200.html")</f>
        <v/>
      </c>
      <c r="C232" t="inlineStr">
        <is>
          <t>Big Train Vanilla Chai Tea Latte Mix - 3.5 lb.</t>
        </is>
      </c>
      <c r="D232" t="inlineStr">
        <is>
          <t>Big Train Blended Ice Coffee Caramel Latte 3 Lb 8 Oz (1 Count), Powdered Instant Coffee Drink Mix, Makes Blended Frappe Drinks &amp; Blended Creme Mix Vanilla Bean 3.5 Lb (1 Count)</t>
        </is>
      </c>
      <c r="E232" s="1">
        <f>HYPERLINK("https://www.amazon.com/Big-Train-Blended-Caramel-Powdered/dp/B08FVZDHQG/ref=sr_1_4?keywords=Big+Train+Vanilla+Chai+Tea+Latte+Mix+-+3.5+lb.&amp;qid=1695347729&amp;sr=8-4", "https://www.amazon.com/Big-Train-Blended-Caramel-Powdered/dp/B08FVZDHQG/ref=sr_1_4?keywords=Big+Train+Vanilla+Chai+Tea+Latte+Mix+-+3.5+lb.&amp;qid=1695347729&amp;sr=8-4")</f>
        <v/>
      </c>
      <c r="F232" t="inlineStr">
        <is>
          <t>B08FVZDHQG</t>
        </is>
      </c>
      <c r="G232">
        <f>_xlfn.IMAGE("https://cdnimg.webstaurantstore.com/images/products/large/107306/2422776.jpg")</f>
        <v/>
      </c>
      <c r="H232">
        <f>_xlfn.IMAGE("https://m.media-amazon.com/images/I/6141zRah0fL._AC_UL320_.jpg")</f>
        <v/>
      </c>
      <c r="K232" t="inlineStr">
        <is>
          <t>20.99</t>
        </is>
      </c>
      <c r="L232" t="n">
        <v>49.12</v>
      </c>
      <c r="M232" s="2" t="inlineStr">
        <is>
          <t>134.02%</t>
        </is>
      </c>
      <c r="N232" t="n">
        <v>3.9</v>
      </c>
      <c r="O232" t="n">
        <v>12</v>
      </c>
      <c r="Q232" t="inlineStr">
        <is>
          <t>InStock</t>
        </is>
      </c>
      <c r="R232" t="inlineStr">
        <is>
          <t>21.99</t>
        </is>
      </c>
      <c r="S232" t="inlineStr">
        <is>
          <t>711bt510200</t>
        </is>
      </c>
    </row>
    <row r="233" ht="75" customHeight="1">
      <c r="A233" s="1">
        <f>HYPERLINK("https://www.webstaurantstore.com/big-train-vanilla-latte-blended-ice-coffee-mix-3-5-lb/711BT610820.html", "https://www.webstaurantstore.com/big-train-vanilla-latte-blended-ice-coffee-mix-3-5-lb/711BT610820.html")</f>
        <v/>
      </c>
      <c r="B233" s="1">
        <f>HYPERLINK("https://www.webstaurantstore.com/big-train-vanilla-latte-blended-ice-coffee-mix-3-5-lb/711BT610820.html", "https://www.webstaurantstore.com/big-train-vanilla-latte-blended-ice-coffee-mix-3-5-lb/711BT610820.html")</f>
        <v/>
      </c>
      <c r="C233" t="inlineStr">
        <is>
          <t>Big Train 3.5 lb. Vanilla Latte Blended Ice Coffee Mix</t>
        </is>
      </c>
      <c r="D233" t="inlineStr">
        <is>
          <t>Big Train Blended Ice Coffee Caramel Latte 3 Lb 8 Oz (1 Count), Powdered Instant Coffee Drink Mix, Makes Blended Frappe Drinks &amp; Blended Creme Mix Vanilla Bean 3.5 Lb (1 Count)</t>
        </is>
      </c>
      <c r="E233" s="1">
        <f>HYPERLINK("https://www.amazon.com/Big-Train-Blended-Caramel-Powdered/dp/B08FVZDHQG/ref=sr_1_4?keywords=big+train+3.5+lb.+vanilla+latte+blended+iced+coffee+mix&amp;qid=1695347730&amp;sr=8-4", "https://www.amazon.com/Big-Train-Blended-Caramel-Powdered/dp/B08FVZDHQG/ref=sr_1_4?keywords=big+train+3.5+lb.+vanilla+latte+blended+iced+coffee+mix&amp;qid=1695347730&amp;sr=8-4")</f>
        <v/>
      </c>
      <c r="F233" t="inlineStr">
        <is>
          <t>B08FVZDHQG</t>
        </is>
      </c>
      <c r="G233">
        <f>_xlfn.IMAGE("https://cdnimg.webstaurantstore.com/images/products/large/107078/1995951.jpg")</f>
        <v/>
      </c>
      <c r="H233">
        <f>_xlfn.IMAGE("https://m.media-amazon.com/images/I/6141zRah0fL._AC_UL320_.jpg")</f>
        <v/>
      </c>
      <c r="K233" t="inlineStr">
        <is>
          <t>20.99</t>
        </is>
      </c>
      <c r="L233" t="n">
        <v>49.12</v>
      </c>
      <c r="M233" s="2" t="inlineStr">
        <is>
          <t>134.02%</t>
        </is>
      </c>
      <c r="N233" t="n">
        <v>3.9</v>
      </c>
      <c r="O233" t="n">
        <v>12</v>
      </c>
      <c r="Q233" t="inlineStr">
        <is>
          <t>InStock</t>
        </is>
      </c>
      <c r="R233" t="inlineStr">
        <is>
          <t>21.99</t>
        </is>
      </c>
      <c r="S233" t="inlineStr">
        <is>
          <t>711bt610820</t>
        </is>
      </c>
    </row>
    <row r="234" ht="75" customHeight="1">
      <c r="A234" s="1">
        <f>HYPERLINK("https://www.webstaurantstore.com/big-train-white-chocolate-latte-blended-ice-coffee-mix-3-5-lb/711BT610860.html", "https://www.webstaurantstore.com/big-train-white-chocolate-latte-blended-ice-coffee-mix-3-5-lb/711BT610860.html")</f>
        <v/>
      </c>
      <c r="B234" s="1">
        <f>HYPERLINK("https://www.webstaurantstore.com/big-train-white-chocolate-latte-blended-ice-coffee-mix-3-5-lb/711BT610860.html", "https://www.webstaurantstore.com/big-train-white-chocolate-latte-blended-ice-coffee-mix-3-5-lb/711BT610860.html")</f>
        <v/>
      </c>
      <c r="C234" t="inlineStr">
        <is>
          <t>Big Train 3.5 lb. White Chocolate Blended Ice Coffee Mix</t>
        </is>
      </c>
      <c r="D234" t="inlineStr">
        <is>
          <t>Big Train Blended Ice Coffee Caramel Latte 3 Lb 8 Oz (1 Count), Powdered Instant Coffee Drink Mix, Makes Blended Frappe Drinks &amp; Blended Creme Mix Vanilla Bean 3.5 Lb (1 Count)</t>
        </is>
      </c>
      <c r="E234" s="1">
        <f>HYPERLINK("https://www.amazon.com/Big-Train-Blended-Caramel-Powdered/dp/B08FVZDHQG/ref=sr_1_5?keywords=big+train+3.5+lb.+white+chocolate+blended+iced+coffee+mix&amp;qid=1695347734&amp;sr=8-5", "https://www.amazon.com/Big-Train-Blended-Caramel-Powdered/dp/B08FVZDHQG/ref=sr_1_5?keywords=big+train+3.5+lb.+white+chocolate+blended+iced+coffee+mix&amp;qid=1695347734&amp;sr=8-5")</f>
        <v/>
      </c>
      <c r="F234" t="inlineStr">
        <is>
          <t>B08FVZDHQG</t>
        </is>
      </c>
      <c r="G234">
        <f>_xlfn.IMAGE("https://cdnimg.webstaurantstore.com/images/products/large/107125/1995962.jpg")</f>
        <v/>
      </c>
      <c r="H234">
        <f>_xlfn.IMAGE("https://m.media-amazon.com/images/I/6141zRah0fL._AC_UL320_.jpg")</f>
        <v/>
      </c>
      <c r="K234" t="inlineStr">
        <is>
          <t>20.99</t>
        </is>
      </c>
      <c r="L234" t="n">
        <v>49.12</v>
      </c>
      <c r="M234" s="2" t="inlineStr">
        <is>
          <t>134.02%</t>
        </is>
      </c>
      <c r="N234" t="n">
        <v>3.9</v>
      </c>
      <c r="O234" t="n">
        <v>12</v>
      </c>
      <c r="Q234" t="inlineStr">
        <is>
          <t>InStock</t>
        </is>
      </c>
      <c r="R234" t="inlineStr">
        <is>
          <t>21.99</t>
        </is>
      </c>
      <c r="S234" t="inlineStr">
        <is>
          <t>711bt610860</t>
        </is>
      </c>
    </row>
    <row r="235" ht="75" customHeight="1">
      <c r="A235" s="1">
        <f>HYPERLINK("https://www.webstaurantstore.com/bobs-red-mill-25-lb-corn-starch/1041146B25.html", "https://www.webstaurantstore.com/bobs-red-mill-25-lb-corn-starch/1041146B25.html")</f>
        <v/>
      </c>
      <c r="B235" s="1">
        <f>HYPERLINK("https://www.webstaurantstore.com/bobs-red-mill-25-lb-corn-starch/1041146B25.html", "https://www.webstaurantstore.com/bobs-red-mill-25-lb-corn-starch/1041146B25.html")</f>
        <v/>
      </c>
      <c r="C235" t="inlineStr">
        <is>
          <t>Bob's Red Mill 25 lb. Corn Starch</t>
        </is>
      </c>
      <c r="D235" t="inlineStr">
        <is>
          <t>Bob's Red Mill Corn Starch, 25 Pound</t>
        </is>
      </c>
      <c r="E235" s="1">
        <f>HYPERLINK("https://www.amazon.com/Bobs-Red-Mill-Starch-Pound/dp/B008N12JBQ/ref=sr_1_1?keywords=bob%27s+red+mill+25+lb.+corn+starch&amp;qid=1695347782&amp;sr=8-1", "https://www.amazon.com/Bobs-Red-Mill-Starch-Pound/dp/B008N12JBQ/ref=sr_1_1?keywords=bob%27s+red+mill+25+lb.+corn+starch&amp;qid=1695347782&amp;sr=8-1")</f>
        <v/>
      </c>
      <c r="F235" t="inlineStr">
        <is>
          <t>B008N12JBQ</t>
        </is>
      </c>
      <c r="G235">
        <f>_xlfn.IMAGE("https://cdnimg.webstaurantstore.com/images/products/large/503247/1938557.jpg")</f>
        <v/>
      </c>
      <c r="H235">
        <f>_xlfn.IMAGE("https://m.media-amazon.com/images/I/91SjbG-b6yL._AC_UL320_.jpg")</f>
        <v/>
      </c>
      <c r="K235" t="inlineStr">
        <is>
          <t>39.99</t>
        </is>
      </c>
      <c r="L235" t="n">
        <v>77.3</v>
      </c>
      <c r="M235" s="2" t="inlineStr">
        <is>
          <t>93.30%</t>
        </is>
      </c>
      <c r="N235" t="n">
        <v>5</v>
      </c>
      <c r="O235" t="n">
        <v>1</v>
      </c>
      <c r="Q235" t="inlineStr">
        <is>
          <t>InStock</t>
        </is>
      </c>
      <c r="R235" t="inlineStr">
        <is>
          <t>50.99</t>
        </is>
      </c>
      <c r="S235" t="inlineStr">
        <is>
          <t>1041146b25</t>
        </is>
      </c>
    </row>
    <row r="236" ht="75" customHeight="1">
      <c r="A236" s="1">
        <f>HYPERLINK("https://www.webstaurantstore.com/bobs-red-mill-25-lb-corn-starch/1041146B25.html", "https://www.webstaurantstore.com/bobs-red-mill-25-lb-corn-starch/1041146B25.html")</f>
        <v/>
      </c>
      <c r="B236" s="1">
        <f>HYPERLINK("https://www.webstaurantstore.com/bobs-red-mill-25-lb-corn-starch/1041146B25.html", "https://www.webstaurantstore.com/bobs-red-mill-25-lb-corn-starch/1041146B25.html")</f>
        <v/>
      </c>
      <c r="C236" t="inlineStr">
        <is>
          <t>Bob's Red Mill 25 lb. Corn Starch</t>
        </is>
      </c>
      <c r="D236" t="inlineStr">
        <is>
          <t>Bob's Red Mill Organic Medium Grind Cornmeal, 25 Pound</t>
        </is>
      </c>
      <c r="E236" s="1">
        <f>HYPERLINK("https://www.amazon.com/Bobs-Red-Mill-Organic-Cornmeal/dp/B0049J7WZE/ref=sr_1_9?keywords=bob%27s+red+mill+25+lb.+corn+starch&amp;qid=1695347782&amp;sr=8-9", "https://www.amazon.com/Bobs-Red-Mill-Organic-Cornmeal/dp/B0049J7WZE/ref=sr_1_9?keywords=bob%27s+red+mill+25+lb.+corn+starch&amp;qid=1695347782&amp;sr=8-9")</f>
        <v/>
      </c>
      <c r="F236" t="inlineStr">
        <is>
          <t>B0049J7WZE</t>
        </is>
      </c>
      <c r="G236">
        <f>_xlfn.IMAGE("https://cdnimg.webstaurantstore.com/images/products/large/503247/1938557.jpg")</f>
        <v/>
      </c>
      <c r="H236">
        <f>_xlfn.IMAGE("https://m.media-amazon.com/images/I/91bNcBmhPML._AC_UL320_.jpg")</f>
        <v/>
      </c>
      <c r="K236" t="inlineStr">
        <is>
          <t>39.99</t>
        </is>
      </c>
      <c r="L236" t="n">
        <v>74.51000000000001</v>
      </c>
      <c r="M236" s="2" t="inlineStr">
        <is>
          <t>86.32%</t>
        </is>
      </c>
      <c r="N236" t="n">
        <v>4.7</v>
      </c>
      <c r="O236" t="n">
        <v>1991</v>
      </c>
      <c r="Q236" t="inlineStr">
        <is>
          <t>InStock</t>
        </is>
      </c>
      <c r="R236" t="inlineStr">
        <is>
          <t>50.99</t>
        </is>
      </c>
      <c r="S236" t="inlineStr">
        <is>
          <t>1041146b25</t>
        </is>
      </c>
    </row>
    <row r="237" ht="75" customHeight="1">
      <c r="A237" s="1">
        <f>HYPERLINK("https://www.webstaurantstore.com/bobs-red-mill-25-lb-corn-starch/1041146B25.html", "https://www.webstaurantstore.com/bobs-red-mill-25-lb-corn-starch/1041146B25.html")</f>
        <v/>
      </c>
      <c r="B237" s="1">
        <f>HYPERLINK("https://www.webstaurantstore.com/bobs-red-mill-25-lb-corn-starch/1041146B25.html", "https://www.webstaurantstore.com/bobs-red-mill-25-lb-corn-starch/1041146B25.html")</f>
        <v/>
      </c>
      <c r="C237" t="inlineStr">
        <is>
          <t>Bob's Red Mill 25 lb. Corn Starch</t>
        </is>
      </c>
      <c r="D237" t="inlineStr">
        <is>
          <t>Bob's Red Mill Medium Grind Cornmeal, 25 Pound</t>
        </is>
      </c>
      <c r="E237" s="1">
        <f>HYPERLINK("https://www.amazon.com/Bobs-Red-Mill-Medium-Cornmeal/dp/B0065Q1P7U/ref=sr_1_7?keywords=bob%27s+red+mill+25+lb.+corn+starch&amp;qid=1695347782&amp;sr=8-7", "https://www.amazon.com/Bobs-Red-Mill-Medium-Cornmeal/dp/B0065Q1P7U/ref=sr_1_7?keywords=bob%27s+red+mill+25+lb.+corn+starch&amp;qid=1695347782&amp;sr=8-7")</f>
        <v/>
      </c>
      <c r="F237" t="inlineStr">
        <is>
          <t>B0065Q1P7U</t>
        </is>
      </c>
      <c r="G237">
        <f>_xlfn.IMAGE("https://cdnimg.webstaurantstore.com/images/products/large/503247/1938557.jpg")</f>
        <v/>
      </c>
      <c r="H237">
        <f>_xlfn.IMAGE("https://m.media-amazon.com/images/I/91LldOt21UL._AC_UL320_.jpg")</f>
        <v/>
      </c>
      <c r="K237" t="inlineStr">
        <is>
          <t>39.99</t>
        </is>
      </c>
      <c r="L237" t="n">
        <v>69.33</v>
      </c>
      <c r="M237" s="2" t="inlineStr">
        <is>
          <t>73.37%</t>
        </is>
      </c>
      <c r="N237" t="n">
        <v>4.5</v>
      </c>
      <c r="O237" t="n">
        <v>19</v>
      </c>
      <c r="Q237" t="inlineStr">
        <is>
          <t>InStock</t>
        </is>
      </c>
      <c r="R237" t="inlineStr">
        <is>
          <t>50.99</t>
        </is>
      </c>
      <c r="S237" t="inlineStr">
        <is>
          <t>1041146b25</t>
        </is>
      </c>
    </row>
    <row r="238" ht="75" customHeight="1">
      <c r="A238" s="1">
        <f>HYPERLINK("https://www.webstaurantstore.com/bobs-red-mill-25-lb-gluten-free-1-to-1-baking-flour/104991837.html", "https://www.webstaurantstore.com/bobs-red-mill-25-lb-gluten-free-1-to-1-baking-flour/104991837.html")</f>
        <v/>
      </c>
      <c r="B238" s="1">
        <f>HYPERLINK("https://www.webstaurantstore.com/bobs-red-mill-25-lb-gluten-free-1-to-1-baking-flour/104991837.html", "https://www.webstaurantstore.com/bobs-red-mill-25-lb-gluten-free-1-to-1-baking-flour/104991837.html")</f>
        <v/>
      </c>
      <c r="C238" t="inlineStr">
        <is>
          <t>Bob's Red Mill 25 lb. Gluten-Free 1-to-1 Baking Flour</t>
        </is>
      </c>
      <c r="D238" t="inlineStr">
        <is>
          <t>Bob's Red Mill Gluten Free 1-to-1 Baking Flour, 25 Pound</t>
        </is>
      </c>
      <c r="E238" s="1">
        <f>HYPERLINK("https://www.amazon.com/Bobs-Red-Mill-Gluten-Baking/dp/B0121EEF3U/ref=sr_1_1?keywords=Bob%27s+Red+Mill+25+lb.+Gluten-Free+1-to-1+Baking+Flour&amp;qid=1695347793&amp;sr=8-1", "https://www.amazon.com/Bobs-Red-Mill-Gluten-Baking/dp/B0121EEF3U/ref=sr_1_1?keywords=Bob%27s+Red+Mill+25+lb.+Gluten-Free+1-to-1+Baking+Flour&amp;qid=1695347793&amp;sr=8-1")</f>
        <v/>
      </c>
      <c r="F238" t="inlineStr">
        <is>
          <t>B0121EEF3U</t>
        </is>
      </c>
      <c r="G238">
        <f>_xlfn.IMAGE("https://cdnimg.webstaurantstore.com/images/products/large/462325/2359879.jpg")</f>
        <v/>
      </c>
      <c r="H238">
        <f>_xlfn.IMAGE("https://m.media-amazon.com/images/I/91EKKvQRToL._AC_UL320_.jpg")</f>
        <v/>
      </c>
      <c r="K238" t="inlineStr">
        <is>
          <t>43.99</t>
        </is>
      </c>
      <c r="L238" t="n">
        <v>84.26000000000001</v>
      </c>
      <c r="M238" s="2" t="inlineStr">
        <is>
          <t>91.54%</t>
        </is>
      </c>
      <c r="N238" t="n">
        <v>4.8</v>
      </c>
      <c r="O238" t="n">
        <v>10699</v>
      </c>
      <c r="Q238" t="inlineStr">
        <is>
          <t>InStock</t>
        </is>
      </c>
      <c r="R238" t="inlineStr">
        <is>
          <t>54.99</t>
        </is>
      </c>
      <c r="S238" t="inlineStr">
        <is>
          <t>104991837</t>
        </is>
      </c>
    </row>
    <row r="239" ht="75" customHeight="1">
      <c r="A239" s="1">
        <f>HYPERLINK("https://www.webstaurantstore.com/bobs-red-mill-25-lb-gluten-free-1-to-1-baking-flour/104991837.html", "https://www.webstaurantstore.com/bobs-red-mill-25-lb-gluten-free-1-to-1-baking-flour/104991837.html")</f>
        <v/>
      </c>
      <c r="B239" s="1">
        <f>HYPERLINK("https://www.webstaurantstore.com/bobs-red-mill-25-lb-gluten-free-1-to-1-baking-flour/104991837.html", "https://www.webstaurantstore.com/bobs-red-mill-25-lb-gluten-free-1-to-1-baking-flour/104991837.html")</f>
        <v/>
      </c>
      <c r="C239" t="inlineStr">
        <is>
          <t>Bob's Red Mill 25 lb. Gluten-Free 1-to-1 Baking Flour</t>
        </is>
      </c>
      <c r="D239" t="inlineStr">
        <is>
          <t>Bob's Red Mill Gluten Free 1to1 Baking Flour - Single Bulk Item - 25LB</t>
        </is>
      </c>
      <c r="E239" s="1">
        <f>HYPERLINK("https://www.amazon.com/Bobs-Red-Mill-Gluten-Baking/dp/B00ZE8XQCW/ref=sr_1_2?keywords=Bob%27s+Red+Mill+25+lb.+Gluten-Free+1-to-1+Baking+Flour&amp;qid=1695347793&amp;sr=8-2", "https://www.amazon.com/Bobs-Red-Mill-Gluten-Baking/dp/B00ZE8XQCW/ref=sr_1_2?keywords=Bob%27s+Red+Mill+25+lb.+Gluten-Free+1-to-1+Baking+Flour&amp;qid=1695347793&amp;sr=8-2")</f>
        <v/>
      </c>
      <c r="F239" t="inlineStr">
        <is>
          <t>B00ZE8XQCW</t>
        </is>
      </c>
      <c r="G239">
        <f>_xlfn.IMAGE("https://cdnimg.webstaurantstore.com/images/products/large/462325/2359879.jpg")</f>
        <v/>
      </c>
      <c r="H239">
        <f>_xlfn.IMAGE("https://m.media-amazon.com/images/I/71aiJYbOM9L._AC_UL320_.jpg")</f>
        <v/>
      </c>
      <c r="K239" t="inlineStr">
        <is>
          <t>43.99</t>
        </is>
      </c>
      <c r="L239" t="n">
        <v>84.26000000000001</v>
      </c>
      <c r="M239" s="2" t="inlineStr">
        <is>
          <t>91.54%</t>
        </is>
      </c>
      <c r="N239" t="n">
        <v>4.8</v>
      </c>
      <c r="O239" t="n">
        <v>436</v>
      </c>
      <c r="Q239" t="inlineStr">
        <is>
          <t>InStock</t>
        </is>
      </c>
      <c r="R239" t="inlineStr">
        <is>
          <t>54.99</t>
        </is>
      </c>
      <c r="S239" t="inlineStr">
        <is>
          <t>104991837</t>
        </is>
      </c>
    </row>
    <row r="240" ht="75" customHeight="1">
      <c r="A240" s="1">
        <f>HYPERLINK("https://www.webstaurantstore.com/bobs-red-mill-25-lb-gluten-free-whole-grain-rolled-oats/1041982B25.html", "https://www.webstaurantstore.com/bobs-red-mill-25-lb-gluten-free-whole-grain-rolled-oats/1041982B25.html")</f>
        <v/>
      </c>
      <c r="B240" s="1">
        <f>HYPERLINK("https://www.webstaurantstore.com/bobs-red-mill-25-lb-gluten-free-whole-grain-rolled-oats/1041982B25.html", "https://www.webstaurantstore.com/bobs-red-mill-25-lb-gluten-free-whole-grain-rolled-oats/1041982B25.html")</f>
        <v/>
      </c>
      <c r="C240" t="inlineStr">
        <is>
          <t>Bob's Red Mill 25 lb. Gluten-Free Whole Grain Rolled Oats</t>
        </is>
      </c>
      <c r="D240" t="inlineStr">
        <is>
          <t>Bob's Red Mill Bulk Oats, Quick Rolled, Gluten Free, 25 Pound</t>
        </is>
      </c>
      <c r="E240" s="1">
        <f>HYPERLINK("https://www.amazon.com/Bobs-Red-Mill-Rolled-Gluten/dp/B0047Z0Q76/ref=sr_1_2?keywords=Bob%27s+Red+Mill+25+lb.+Gluten-Free+Whole+Grain+Rolled+Oats&amp;qid=1695347811&amp;sr=8-2", "https://www.amazon.com/Bobs-Red-Mill-Rolled-Gluten/dp/B0047Z0Q76/ref=sr_1_2?keywords=Bob%27s+Red+Mill+25+lb.+Gluten-Free+Whole+Grain+Rolled+Oats&amp;qid=1695347811&amp;sr=8-2")</f>
        <v/>
      </c>
      <c r="F240" t="inlineStr">
        <is>
          <t>B0047Z0Q76</t>
        </is>
      </c>
      <c r="G240">
        <f>_xlfn.IMAGE("https://cdnimg.webstaurantstore.com/images/products/large/503430/1937924.jpg")</f>
        <v/>
      </c>
      <c r="H240">
        <f>_xlfn.IMAGE("https://m.media-amazon.com/images/I/81Ry7taOYcL._AC_UL320_.jpg")</f>
        <v/>
      </c>
      <c r="K240" t="inlineStr">
        <is>
          <t>46.49</t>
        </is>
      </c>
      <c r="L240" t="n">
        <v>89.40000000000001</v>
      </c>
      <c r="M240" s="2" t="inlineStr">
        <is>
          <t>92.30%</t>
        </is>
      </c>
      <c r="N240" t="n">
        <v>3.9</v>
      </c>
      <c r="O240" t="n">
        <v>9</v>
      </c>
      <c r="Q240" t="inlineStr">
        <is>
          <t>InStock</t>
        </is>
      </c>
      <c r="R240" t="inlineStr">
        <is>
          <t>57.49</t>
        </is>
      </c>
      <c r="S240" t="inlineStr">
        <is>
          <t>1041982b25</t>
        </is>
      </c>
    </row>
    <row r="241" ht="75" customHeight="1">
      <c r="A241" s="1">
        <f>HYPERLINK("https://www.webstaurantstore.com/bobs-red-mill-25-lb-gluten-free-whole-grain-rolled-oats/1041982B25.html", "https://www.webstaurantstore.com/bobs-red-mill-25-lb-gluten-free-whole-grain-rolled-oats/1041982B25.html")</f>
        <v/>
      </c>
      <c r="B241" s="1">
        <f>HYPERLINK("https://www.webstaurantstore.com/bobs-red-mill-25-lb-gluten-free-whole-grain-rolled-oats/1041982B25.html", "https://www.webstaurantstore.com/bobs-red-mill-25-lb-gluten-free-whole-grain-rolled-oats/1041982B25.html")</f>
        <v/>
      </c>
      <c r="C241" t="inlineStr">
        <is>
          <t>Bob's Red Mill 25 lb. Gluten-Free Whole Grain Rolled Oats</t>
        </is>
      </c>
      <c r="D241" t="inlineStr">
        <is>
          <t>Bob's Red Mill Gluten Free Old Fashion Rolled Oats - 25 lb - Bulk Bag25</t>
        </is>
      </c>
      <c r="E241" s="1">
        <f>HYPERLINK("https://www.amazon.com/Bobs-Red-Mill-Gluten-Fashion/dp/B00ZE8P3S2/ref=sr_1_7?keywords=Bob%27s+Red+Mill+25+lb.+Gluten-Free+Whole+Grain+Rolled+Oats&amp;qid=1695347811&amp;sr=8-7", "https://www.amazon.com/Bobs-Red-Mill-Gluten-Fashion/dp/B00ZE8P3S2/ref=sr_1_7?keywords=Bob%27s+Red+Mill+25+lb.+Gluten-Free+Whole+Grain+Rolled+Oats&amp;qid=1695347811&amp;sr=8-7")</f>
        <v/>
      </c>
      <c r="F241" t="inlineStr">
        <is>
          <t>B00ZE8P3S2</t>
        </is>
      </c>
      <c r="G241">
        <f>_xlfn.IMAGE("https://cdnimg.webstaurantstore.com/images/products/large/503430/1937924.jpg")</f>
        <v/>
      </c>
      <c r="H241">
        <f>_xlfn.IMAGE("https://m.media-amazon.com/images/I/61VmSOv6CEL._AC_UL320_.jpg")</f>
        <v/>
      </c>
      <c r="K241" t="inlineStr">
        <is>
          <t>46.49</t>
        </is>
      </c>
      <c r="L241" t="n">
        <v>79.48</v>
      </c>
      <c r="M241" s="2" t="inlineStr">
        <is>
          <t>70.96%</t>
        </is>
      </c>
      <c r="N241" t="n">
        <v>4.4</v>
      </c>
      <c r="O241" t="n">
        <v>14</v>
      </c>
      <c r="Q241" t="inlineStr">
        <is>
          <t>InStock</t>
        </is>
      </c>
      <c r="R241" t="inlineStr">
        <is>
          <t>57.49</t>
        </is>
      </c>
      <c r="S241" t="inlineStr">
        <is>
          <t>1041982b25</t>
        </is>
      </c>
    </row>
    <row r="242" ht="75" customHeight="1">
      <c r="A242" s="1">
        <f>HYPERLINK("https://www.webstaurantstore.com/bobs-red-mill-25-lb-organic-farro/1047015B25.html", "https://www.webstaurantstore.com/bobs-red-mill-25-lb-organic-farro/1047015B25.html")</f>
        <v/>
      </c>
      <c r="B242" s="1">
        <f>HYPERLINK("https://www.webstaurantstore.com/bobs-red-mill-25-lb-organic-farro/1047015B25.html", "https://www.webstaurantstore.com/bobs-red-mill-25-lb-organic-farro/1047015B25.html")</f>
        <v/>
      </c>
      <c r="C242" t="inlineStr">
        <is>
          <t>Bob's Red Mill 25 lb. Organic Farro</t>
        </is>
      </c>
      <c r="D242" t="inlineStr">
        <is>
          <t>Bob's Red Mill Organic Farro Grain, 25 Pound</t>
        </is>
      </c>
      <c r="E242" s="1">
        <f>HYPERLINK("https://www.amazon.com/Bobs-Red-Mill-Organic-Farro/dp/B01FROGCL4/ref=sr_1_1?keywords=bob%27s+red+mill+25+lb.+organic+farro&amp;qid=1695347820&amp;sr=8-1", "https://www.amazon.com/Bobs-Red-Mill-Organic-Farro/dp/B01FROGCL4/ref=sr_1_1?keywords=bob%27s+red+mill+25+lb.+organic+farro&amp;qid=1695347820&amp;sr=8-1")</f>
        <v/>
      </c>
      <c r="F242" t="inlineStr">
        <is>
          <t>B01FROGCL4</t>
        </is>
      </c>
      <c r="G242">
        <f>_xlfn.IMAGE("https://cdnimg.webstaurantstore.com/images/products/large/503256/1938700.jpg")</f>
        <v/>
      </c>
      <c r="H242">
        <f>_xlfn.IMAGE("https://m.media-amazon.com/images/I/91Ec8W4lv5L._AC_UL320_.jpg")</f>
        <v/>
      </c>
      <c r="K242" t="inlineStr">
        <is>
          <t>52.49</t>
        </is>
      </c>
      <c r="L242" t="n">
        <v>104.38</v>
      </c>
      <c r="M242" s="2" t="inlineStr">
        <is>
          <t>98.86%</t>
        </is>
      </c>
      <c r="N242" t="n">
        <v>4.8</v>
      </c>
      <c r="O242" t="n">
        <v>4</v>
      </c>
      <c r="Q242" t="inlineStr">
        <is>
          <t>InStock</t>
        </is>
      </c>
      <c r="R242" t="inlineStr">
        <is>
          <t>63.49</t>
        </is>
      </c>
      <c r="S242" t="inlineStr">
        <is>
          <t>1047015b25</t>
        </is>
      </c>
    </row>
    <row r="243" ht="75" customHeight="1">
      <c r="A243" s="1">
        <f>HYPERLINK("https://www.webstaurantstore.com/bobs-red-mill-25-lb-organic-unbleached-all-purpose-flour/1046096B25.html", "https://www.webstaurantstore.com/bobs-red-mill-25-lb-organic-unbleached-all-purpose-flour/1046096B25.html")</f>
        <v/>
      </c>
      <c r="B243" s="1">
        <f>HYPERLINK("https://www.webstaurantstore.com/bobs-red-mill-25-lb-organic-unbleached-all-purpose-flour/1046096B25.html", "https://www.webstaurantstore.com/bobs-red-mill-25-lb-organic-unbleached-all-purpose-flour/1046096B25.html")</f>
        <v/>
      </c>
      <c r="C243" t="inlineStr">
        <is>
          <t>Bob's Red Mill 25 lb. Organic Unbleached All-Purpose Flour</t>
        </is>
      </c>
      <c r="D243" t="inlineStr">
        <is>
          <t>Bob's Red Mill Bulk Flour, All Purpose, Gluten Free, 25 Pound</t>
        </is>
      </c>
      <c r="E243" s="1">
        <f>HYPERLINK("https://www.amazon.com/Bobs-Red-Mill-Purpose-Gluten/dp/B00473S94A/ref=sr_1_5?keywords=bob%27s+red+mill+25+lb.+organic+unbleached+all-purpose+flour&amp;qid=1695347766&amp;sr=8-5", "https://www.amazon.com/Bobs-Red-Mill-Purpose-Gluten/dp/B00473S94A/ref=sr_1_5?keywords=bob%27s+red+mill+25+lb.+organic+unbleached+all-purpose+flour&amp;qid=1695347766&amp;sr=8-5")</f>
        <v/>
      </c>
      <c r="F243" t="inlineStr">
        <is>
          <t>B00473S94A</t>
        </is>
      </c>
      <c r="G243">
        <f>_xlfn.IMAGE("https://cdnimg.webstaurantstore.com/images/products/large/503190/1939461.jpg")</f>
        <v/>
      </c>
      <c r="H243">
        <f>_xlfn.IMAGE("https://m.media-amazon.com/images/I/91MLBD1osLL._AC_UL320_.jpg")</f>
        <v/>
      </c>
      <c r="K243" t="inlineStr">
        <is>
          <t>31.49</t>
        </is>
      </c>
      <c r="L243" t="n">
        <v>81.66</v>
      </c>
      <c r="M243" s="2" t="inlineStr">
        <is>
          <t>159.32%</t>
        </is>
      </c>
      <c r="N243" t="n">
        <v>4.6</v>
      </c>
      <c r="O243" t="n">
        <v>1826</v>
      </c>
      <c r="Q243" t="inlineStr">
        <is>
          <t>InStock</t>
        </is>
      </c>
      <c r="R243" t="inlineStr">
        <is>
          <t>42.49</t>
        </is>
      </c>
      <c r="S243" t="inlineStr">
        <is>
          <t>1046096b25</t>
        </is>
      </c>
    </row>
    <row r="244" ht="75" customHeight="1">
      <c r="A244" s="1">
        <f>HYPERLINK("https://www.webstaurantstore.com/bobs-red-mill-25-lb-organic-unbleached-all-purpose-flour/1046096B25.html", "https://www.webstaurantstore.com/bobs-red-mill-25-lb-organic-unbleached-all-purpose-flour/1046096B25.html")</f>
        <v/>
      </c>
      <c r="B244" s="1">
        <f>HYPERLINK("https://www.webstaurantstore.com/bobs-red-mill-25-lb-organic-unbleached-all-purpose-flour/1046096B25.html", "https://www.webstaurantstore.com/bobs-red-mill-25-lb-organic-unbleached-all-purpose-flour/1046096B25.html")</f>
        <v/>
      </c>
      <c r="C244" t="inlineStr">
        <is>
          <t>Bob's Red Mill 25 lb. Organic Unbleached All-Purpose Flour</t>
        </is>
      </c>
      <c r="D244" t="inlineStr">
        <is>
          <t>Bob's Red Mill Organic Unbleached White All-Purpose Flour, 25 Pound</t>
        </is>
      </c>
      <c r="E244" s="1">
        <f>HYPERLINK("https://www.amazon.com/Bobs-Red-Mill-Unbleached-All-Purpose/dp/B01EPRE9PA/ref=sr_1_1?keywords=bob%27s+red+mill+25+lb.+organic+unbleached+all-purpose+flour&amp;qid=1695347766&amp;sr=8-1", "https://www.amazon.com/Bobs-Red-Mill-Unbleached-All-Purpose/dp/B01EPRE9PA/ref=sr_1_1?keywords=bob%27s+red+mill+25+lb.+organic+unbleached+all-purpose+flour&amp;qid=1695347766&amp;sr=8-1")</f>
        <v/>
      </c>
      <c r="F244" t="inlineStr">
        <is>
          <t>B01EPRE9PA</t>
        </is>
      </c>
      <c r="G244">
        <f>_xlfn.IMAGE("https://cdnimg.webstaurantstore.com/images/products/large/503190/1939461.jpg")</f>
        <v/>
      </c>
      <c r="H244">
        <f>_xlfn.IMAGE("https://m.media-amazon.com/images/I/91OJG5BWJVL._AC_UL320_.jpg")</f>
        <v/>
      </c>
      <c r="K244" t="inlineStr">
        <is>
          <t>31.49</t>
        </is>
      </c>
      <c r="L244" t="n">
        <v>71.84</v>
      </c>
      <c r="M244" s="2" t="inlineStr">
        <is>
          <t>128.14%</t>
        </is>
      </c>
      <c r="N244" t="n">
        <v>4.6</v>
      </c>
      <c r="O244" t="n">
        <v>155</v>
      </c>
      <c r="Q244" t="inlineStr">
        <is>
          <t>InStock</t>
        </is>
      </c>
      <c r="R244" t="inlineStr">
        <is>
          <t>42.49</t>
        </is>
      </c>
      <c r="S244" t="inlineStr">
        <is>
          <t>1046096b25</t>
        </is>
      </c>
    </row>
    <row r="245" ht="75" customHeight="1">
      <c r="A245" s="1">
        <f>HYPERLINK("https://www.webstaurantstore.com/bobs-red-mill-25-lb-potato-flakes/1041454B25.html", "https://www.webstaurantstore.com/bobs-red-mill-25-lb-potato-flakes/1041454B25.html")</f>
        <v/>
      </c>
      <c r="B245" s="1">
        <f>HYPERLINK("https://www.webstaurantstore.com/bobs-red-mill-25-lb-potato-flakes/1041454B25.html", "https://www.webstaurantstore.com/bobs-red-mill-25-lb-potato-flakes/1041454B25.html")</f>
        <v/>
      </c>
      <c r="C245" t="inlineStr">
        <is>
          <t>Bob's Red Mill 25 lb. Potato Flakes</t>
        </is>
      </c>
      <c r="D245" t="inlineStr">
        <is>
          <t>Bob's Red Mill Instant Mashed Potatoes Creamy Potato Flakes, 25 Pound</t>
        </is>
      </c>
      <c r="E245" s="1">
        <f>HYPERLINK("https://www.amazon.com/Bobs-Red-Mill-Instant-Potatoes/dp/B01H4OHQ56/ref=sr_1_1?keywords=Bob%27s+Red+Mill+25+lb.+Potato+Flakes&amp;qid=1695347846&amp;sr=8-1", "https://www.amazon.com/Bobs-Red-Mill-Instant-Potatoes/dp/B01H4OHQ56/ref=sr_1_1?keywords=Bob%27s+Red+Mill+25+lb.+Potato+Flakes&amp;qid=1695347846&amp;sr=8-1")</f>
        <v/>
      </c>
      <c r="F245" t="inlineStr">
        <is>
          <t>B01H4OHQ56</t>
        </is>
      </c>
      <c r="G245">
        <f>_xlfn.IMAGE("https://cdnimg.webstaurantstore.com/images/products/large/610655/2198040.jpg")</f>
        <v/>
      </c>
      <c r="H245">
        <f>_xlfn.IMAGE("https://m.media-amazon.com/images/I/91xpUaVTHXL._AC_UL320_.jpg")</f>
        <v/>
      </c>
      <c r="K245" t="inlineStr">
        <is>
          <t>63.49</t>
        </is>
      </c>
      <c r="L245" t="n">
        <v>109.73</v>
      </c>
      <c r="M245" s="2" t="inlineStr">
        <is>
          <t>72.83%</t>
        </is>
      </c>
      <c r="N245" t="n">
        <v>4.5</v>
      </c>
      <c r="O245" t="n">
        <v>61</v>
      </c>
      <c r="Q245" t="inlineStr">
        <is>
          <t>InStock</t>
        </is>
      </c>
      <c r="R245" t="inlineStr">
        <is>
          <t>74.49</t>
        </is>
      </c>
      <c r="S245" t="inlineStr">
        <is>
          <t>1041454b25</t>
        </is>
      </c>
    </row>
    <row r="246" ht="75" customHeight="1">
      <c r="A246" s="1">
        <f>HYPERLINK("https://www.webstaurantstore.com/bobs-red-mill-25-lb-unbleached-all-purpose-flour/1041560B25.html", "https://www.webstaurantstore.com/bobs-red-mill-25-lb-unbleached-all-purpose-flour/1041560B25.html")</f>
        <v/>
      </c>
      <c r="B246" s="1">
        <f>HYPERLINK("https://www.webstaurantstore.com/bobs-red-mill-25-lb-unbleached-all-purpose-flour/1041560B25.html", "https://www.webstaurantstore.com/bobs-red-mill-25-lb-unbleached-all-purpose-flour/1041560B25.html")</f>
        <v/>
      </c>
      <c r="C246" t="inlineStr">
        <is>
          <t>Bob's Red Mill 25 lb. Unbleached All-Purpose Flour</t>
        </is>
      </c>
      <c r="D246" t="inlineStr">
        <is>
          <t>Bob's Red Mill Bulk Flour, All Purpose, Gluten Free, 25 Pound</t>
        </is>
      </c>
      <c r="E246" s="1">
        <f>HYPERLINK("https://www.amazon.com/Bobs-Red-Mill-Purpose-Gluten/dp/B00473S94A/ref=sr_1_7?keywords=bob%27s+red+mill+25+lb.+unbleached+all-purpose+flour&amp;qid=1695347709&amp;sr=8-7", "https://www.amazon.com/Bobs-Red-Mill-Purpose-Gluten/dp/B00473S94A/ref=sr_1_7?keywords=bob%27s+red+mill+25+lb.+unbleached+all-purpose+flour&amp;qid=1695347709&amp;sr=8-7")</f>
        <v/>
      </c>
      <c r="F246" t="inlineStr">
        <is>
          <t>B00473S94A</t>
        </is>
      </c>
      <c r="G246">
        <f>_xlfn.IMAGE("https://cdnimg.webstaurantstore.com/images/products/large/503417/1939357.jpg")</f>
        <v/>
      </c>
      <c r="H246">
        <f>_xlfn.IMAGE("https://m.media-amazon.com/images/I/91MLBD1osLL._AC_UL320_.jpg")</f>
        <v/>
      </c>
      <c r="K246" t="inlineStr">
        <is>
          <t>15.99</t>
        </is>
      </c>
      <c r="L246" t="n">
        <v>81.66</v>
      </c>
      <c r="M246" s="2" t="inlineStr">
        <is>
          <t>410.69%</t>
        </is>
      </c>
      <c r="N246" t="n">
        <v>4.6</v>
      </c>
      <c r="O246" t="n">
        <v>1826</v>
      </c>
      <c r="Q246" t="inlineStr">
        <is>
          <t>InStock</t>
        </is>
      </c>
      <c r="R246" t="inlineStr">
        <is>
          <t>26.99</t>
        </is>
      </c>
      <c r="S246" t="inlineStr">
        <is>
          <t>1041560b25</t>
        </is>
      </c>
    </row>
    <row r="247" ht="75" customHeight="1">
      <c r="A247" s="1">
        <f>HYPERLINK("https://www.webstaurantstore.com/bobs-red-mill-25-lb-unbleached-all-purpose-flour/1041560B25.html", "https://www.webstaurantstore.com/bobs-red-mill-25-lb-unbleached-all-purpose-flour/1041560B25.html")</f>
        <v/>
      </c>
      <c r="B247" s="1">
        <f>HYPERLINK("https://www.webstaurantstore.com/bobs-red-mill-25-lb-unbleached-all-purpose-flour/1041560B25.html", "https://www.webstaurantstore.com/bobs-red-mill-25-lb-unbleached-all-purpose-flour/1041560B25.html")</f>
        <v/>
      </c>
      <c r="C247" t="inlineStr">
        <is>
          <t>Bob's Red Mill 25 lb. Unbleached All-Purpose Flour</t>
        </is>
      </c>
      <c r="D247" t="inlineStr">
        <is>
          <t>Bob's Red Mill Organic Unbleached White All-Purpose Flour, 25 Pound</t>
        </is>
      </c>
      <c r="E247" s="1">
        <f>HYPERLINK("https://www.amazon.com/Bobs-Red-Mill-Unbleached-All-Purpose/dp/B01EPRE9PA/ref=sr_1_2?keywords=bob%27s+red+mill+25+lb.+unbleached+all-purpose+flour&amp;qid=1695347709&amp;sr=8-2", "https://www.amazon.com/Bobs-Red-Mill-Unbleached-All-Purpose/dp/B01EPRE9PA/ref=sr_1_2?keywords=bob%27s+red+mill+25+lb.+unbleached+all-purpose+flour&amp;qid=1695347709&amp;sr=8-2")</f>
        <v/>
      </c>
      <c r="F247" t="inlineStr">
        <is>
          <t>B01EPRE9PA</t>
        </is>
      </c>
      <c r="G247">
        <f>_xlfn.IMAGE("https://cdnimg.webstaurantstore.com/images/products/large/503417/1939357.jpg")</f>
        <v/>
      </c>
      <c r="H247">
        <f>_xlfn.IMAGE("https://m.media-amazon.com/images/I/91OJG5BWJVL._AC_UL320_.jpg")</f>
        <v/>
      </c>
      <c r="K247" t="inlineStr">
        <is>
          <t>15.99</t>
        </is>
      </c>
      <c r="L247" t="n">
        <v>71.84</v>
      </c>
      <c r="M247" s="2" t="inlineStr">
        <is>
          <t>349.28%</t>
        </is>
      </c>
      <c r="N247" t="n">
        <v>4.6</v>
      </c>
      <c r="O247" t="n">
        <v>155</v>
      </c>
      <c r="Q247" t="inlineStr">
        <is>
          <t>InStock</t>
        </is>
      </c>
      <c r="R247" t="inlineStr">
        <is>
          <t>26.99</t>
        </is>
      </c>
      <c r="S247" t="inlineStr">
        <is>
          <t>1041560b25</t>
        </is>
      </c>
    </row>
    <row r="248" ht="75" customHeight="1">
      <c r="A248" s="1">
        <f>HYPERLINK("https://www.webstaurantstore.com/bobs-red-mill-25-lb-unbleached-all-purpose-flour/1041560B25.html", "https://www.webstaurantstore.com/bobs-red-mill-25-lb-unbleached-all-purpose-flour/1041560B25.html")</f>
        <v/>
      </c>
      <c r="B248" s="1">
        <f>HYPERLINK("https://www.webstaurantstore.com/bobs-red-mill-25-lb-unbleached-all-purpose-flour/1041560B25.html", "https://www.webstaurantstore.com/bobs-red-mill-25-lb-unbleached-all-purpose-flour/1041560B25.html")</f>
        <v/>
      </c>
      <c r="C248" t="inlineStr">
        <is>
          <t>Bob's Red Mill 25 lb. Unbleached All-Purpose Flour</t>
        </is>
      </c>
      <c r="D248" t="inlineStr">
        <is>
          <t>Bob's Red Mill Unbleached White All-Purpose Baking Flour, 25 Pound</t>
        </is>
      </c>
      <c r="E248" s="1">
        <f>HYPERLINK("https://www.amazon.com/Bobs-Red-Mill-Unbleached-All-Purpose/dp/B0065Q29P2/ref=sr_1_1?keywords=bob%27s+red+mill+25+lb.+unbleached+all-purpose+flour&amp;qid=1695347709&amp;sr=8-1", "https://www.amazon.com/Bobs-Red-Mill-Unbleached-All-Purpose/dp/B0065Q29P2/ref=sr_1_1?keywords=bob%27s+red+mill+25+lb.+unbleached+all-purpose+flour&amp;qid=1695347709&amp;sr=8-1")</f>
        <v/>
      </c>
      <c r="F248" t="inlineStr">
        <is>
          <t>B0065Q29P2</t>
        </is>
      </c>
      <c r="G248">
        <f>_xlfn.IMAGE("https://cdnimg.webstaurantstore.com/images/products/large/503417/1939357.jpg")</f>
        <v/>
      </c>
      <c r="H248">
        <f>_xlfn.IMAGE("https://m.media-amazon.com/images/I/81fmXYmdZcL._AC_UL320_.jpg")</f>
        <v/>
      </c>
      <c r="K248" t="inlineStr">
        <is>
          <t>15.99</t>
        </is>
      </c>
      <c r="L248" t="n">
        <v>60</v>
      </c>
      <c r="M248" s="2" t="inlineStr">
        <is>
          <t>275.23%</t>
        </is>
      </c>
      <c r="N248" t="n">
        <v>4.7</v>
      </c>
      <c r="O248" t="n">
        <v>812</v>
      </c>
      <c r="Q248" t="inlineStr">
        <is>
          <t>InStock</t>
        </is>
      </c>
      <c r="R248" t="inlineStr">
        <is>
          <t>26.99</t>
        </is>
      </c>
      <c r="S248" t="inlineStr">
        <is>
          <t>1041560b25</t>
        </is>
      </c>
    </row>
    <row r="249" ht="75" customHeight="1">
      <c r="A249" s="1">
        <f>HYPERLINK("https://www.webstaurantstore.com/bobs-red-mill-25-lb-whole-grain-rolled-oats/1041360B25.html", "https://www.webstaurantstore.com/bobs-red-mill-25-lb-whole-grain-rolled-oats/1041360B25.html")</f>
        <v/>
      </c>
      <c r="B249" s="1">
        <f>HYPERLINK("https://www.webstaurantstore.com/bobs-red-mill-25-lb-whole-grain-rolled-oats/1041360B25.html", "https://www.webstaurantstore.com/bobs-red-mill-25-lb-whole-grain-rolled-oats/1041360B25.html")</f>
        <v/>
      </c>
      <c r="C249" t="inlineStr">
        <is>
          <t>Bob's Red Mill 25 lb. Whole Grain Rolled Oats</t>
        </is>
      </c>
      <c r="D249" t="inlineStr">
        <is>
          <t>Bob's Red Mill Gluten Free Old Fashion Rolled Oats - 25 lb - Bulk Bag25</t>
        </is>
      </c>
      <c r="E249" s="1">
        <f>HYPERLINK("https://www.amazon.com/Bobs-Red-Mill-Gluten-Fashion/dp/B00ZE8P3S2/ref=sr_1_10?keywords=Bob%27s+Red+Mill+25+lb.+Whole+Grain+Rolled+Oats&amp;qid=1695347744&amp;sr=8-10", "https://www.amazon.com/Bobs-Red-Mill-Gluten-Fashion/dp/B00ZE8P3S2/ref=sr_1_10?keywords=Bob%27s+Red+Mill+25+lb.+Whole+Grain+Rolled+Oats&amp;qid=1695347744&amp;sr=8-10")</f>
        <v/>
      </c>
      <c r="F249" t="inlineStr">
        <is>
          <t>B00ZE8P3S2</t>
        </is>
      </c>
      <c r="G249">
        <f>_xlfn.IMAGE("https://cdnimg.webstaurantstore.com/images/products/large/503433/1937922.jpg")</f>
        <v/>
      </c>
      <c r="H249">
        <f>_xlfn.IMAGE("https://m.media-amazon.com/images/I/61VmSOv6CEL._AC_UL320_.jpg")</f>
        <v/>
      </c>
      <c r="K249" t="inlineStr">
        <is>
          <t>24.99</t>
        </is>
      </c>
      <c r="L249" t="n">
        <v>79.48</v>
      </c>
      <c r="M249" s="2" t="inlineStr">
        <is>
          <t>218.05%</t>
        </is>
      </c>
      <c r="N249" t="n">
        <v>4.4</v>
      </c>
      <c r="O249" t="n">
        <v>14</v>
      </c>
      <c r="Q249" t="inlineStr">
        <is>
          <t>InStock</t>
        </is>
      </c>
      <c r="R249" t="inlineStr">
        <is>
          <t>35.99</t>
        </is>
      </c>
      <c r="S249" t="inlineStr">
        <is>
          <t>1041360b25</t>
        </is>
      </c>
    </row>
    <row r="250" ht="75" customHeight="1">
      <c r="A250" s="1">
        <f>HYPERLINK("https://www.webstaurantstore.com/carnival-king-3-1-2-x-4-1-2-small-printed-french-fry-bag-case/150SFFBAGP.html", "https://www.webstaurantstore.com/carnival-king-3-1-2-x-4-1-2-small-printed-french-fry-bag-case/150SFFBAGP.html")</f>
        <v/>
      </c>
      <c r="B250" s="1">
        <f>HYPERLINK("https://www.webstaurantstore.com/carnival-king-3-1-2-x-4-1-2-small-printed-french-fry-bag-case/150SFFBAGP.html", "https://www.webstaurantstore.com/carnival-king-3-1-2-x-4-1-2-small-printed-french-fry-bag-case/150SFFBAGP.html")</f>
        <v/>
      </c>
      <c r="C250" t="inlineStr">
        <is>
          <t>Carnival King 4 1/2" x 3 1/2" Small Printed French Fry Bag - 2000/Case</t>
        </is>
      </c>
      <c r="D250" t="inlineStr">
        <is>
          <t>Carnival King 5 1/2" x 4 1/2" Large French Fry Bag - 2000/Case</t>
        </is>
      </c>
      <c r="E250" s="1">
        <f>HYPERLINK("https://www.amazon.com/Carnival-King-Large-French-Fry/dp/B07B7YYMPB/ref=sr_1_1?keywords=Carnival+King+4+1%2F2%22+x+3+1%2F2%22+Small+Printed+French+Fry+Bag+-+2000%2FCase&amp;qid=1695347734&amp;sr=8-1", "https://www.amazon.com/Carnival-King-Large-French-Fry/dp/B07B7YYMPB/ref=sr_1_1?keywords=Carnival+King+4+1%2F2%22+x+3+1%2F2%22+Small+Printed+French+Fry+Bag+-+2000%2FCase&amp;qid=1695347734&amp;sr=8-1")</f>
        <v/>
      </c>
      <c r="F250" t="inlineStr">
        <is>
          <t>B07B7YYMPB</t>
        </is>
      </c>
      <c r="G250">
        <f>_xlfn.IMAGE("https://cdnimg.webstaurantstore.com/images/products/large/499508/1904008.jpg")</f>
        <v/>
      </c>
      <c r="H250">
        <f>_xlfn.IMAGE("https://m.media-amazon.com/images/I/81nH8o9SJES._AC_UL320_.jpg")</f>
        <v/>
      </c>
      <c r="K250" t="inlineStr">
        <is>
          <t>22.99</t>
        </is>
      </c>
      <c r="L250" t="n">
        <v>66.02</v>
      </c>
      <c r="M250" s="2" t="inlineStr">
        <is>
          <t>187.17%</t>
        </is>
      </c>
      <c r="N250" t="n">
        <v>4.3</v>
      </c>
      <c r="O250" t="n">
        <v>65</v>
      </c>
      <c r="Q250" t="inlineStr">
        <is>
          <t>InStock</t>
        </is>
      </c>
      <c r="R250" t="inlineStr">
        <is>
          <t>25.49</t>
        </is>
      </c>
      <c r="S250" t="inlineStr">
        <is>
          <t>150sffbagp</t>
        </is>
      </c>
    </row>
    <row r="251" ht="75" customHeight="1">
      <c r="A251" s="1">
        <f>HYPERLINK("https://www.webstaurantstore.com/chefmaster-10-5-oz-christmas-red-liqua-gel-food-coloring/725CM5460.html", "https://www.webstaurantstore.com/chefmaster-10-5-oz-christmas-red-liqua-gel-food-coloring/725CM5460.html")</f>
        <v/>
      </c>
      <c r="B251" s="1">
        <f>HYPERLINK("https://www.webstaurantstore.com/chefmaster-10-5-oz-christmas-red-liqua-gel-food-coloring/725CM5460.html", "https://www.webstaurantstore.com/chefmaster-10-5-oz-christmas-red-liqua-gel-food-coloring/725CM5460.html")</f>
        <v/>
      </c>
      <c r="C251" t="inlineStr">
        <is>
          <t>Chefmaster 10.5 oz. Christmas Red Liqua-Gel Food Coloring</t>
        </is>
      </c>
      <c r="D251" t="inlineStr">
        <is>
          <t>U.S. Cake Supply 10.5-Ounce Liqua-Gel Cake Food Coloring Christmas Red</t>
        </is>
      </c>
      <c r="E251" s="1">
        <f>HYPERLINK("https://www.amazon.com/Chefmaster-Cake-Supply-10-5-Ounce-Liqua-Gel/dp/B01DWUWDKE/ref=sr_1_6?keywords=Chefmaster+10.5+oz.+Christmas+Red+Liqua-Gel+Food+Coloring&amp;qid=1695347682&amp;sr=8-6", "https://www.amazon.com/Chefmaster-Cake-Supply-10-5-Ounce-Liqua-Gel/dp/B01DWUWDKE/ref=sr_1_6?keywords=Chefmaster+10.5+oz.+Christmas+Red+Liqua-Gel+Food+Coloring&amp;qid=1695347682&amp;sr=8-6")</f>
        <v/>
      </c>
      <c r="F251" t="inlineStr">
        <is>
          <t>B01DWUWDKE</t>
        </is>
      </c>
      <c r="G251">
        <f>_xlfn.IMAGE("https://cdnimg.webstaurantstore.com/images/products/large/589757/2170105.jpg")</f>
        <v/>
      </c>
      <c r="H251">
        <f>_xlfn.IMAGE("https://m.media-amazon.com/images/I/612Q+VccSUL._AC_UL320_.jpg")</f>
        <v/>
      </c>
      <c r="K251" t="inlineStr">
        <is>
          <t>7.67</t>
        </is>
      </c>
      <c r="L251" t="n">
        <v>17.75</v>
      </c>
      <c r="M251" s="2" t="inlineStr">
        <is>
          <t>131.42%</t>
        </is>
      </c>
      <c r="N251" t="n">
        <v>4.8</v>
      </c>
      <c r="O251" t="n">
        <v>106</v>
      </c>
      <c r="Q251" t="inlineStr">
        <is>
          <t>InStock</t>
        </is>
      </c>
      <c r="R251" t="inlineStr">
        <is>
          <t>9.59</t>
        </is>
      </c>
      <c r="S251" t="inlineStr">
        <is>
          <t>725cm5460</t>
        </is>
      </c>
    </row>
    <row r="252" ht="75" customHeight="1">
      <c r="A252" s="1">
        <f>HYPERLINK("https://www.webstaurantstore.com/chefmaster-10-5-oz-neon-brite-orange-liqua-gel-food-coloring/725CM5756.html", "https://www.webstaurantstore.com/chefmaster-10-5-oz-neon-brite-orange-liqua-gel-food-coloring/725CM5756.html")</f>
        <v/>
      </c>
      <c r="B252" s="1">
        <f>HYPERLINK("https://www.webstaurantstore.com/chefmaster-10-5-oz-neon-brite-orange-liqua-gel-food-coloring/725CM5756.html", "https://www.webstaurantstore.com/chefmaster-10-5-oz-neon-brite-orange-liqua-gel-food-coloring/725CM5756.html")</f>
        <v/>
      </c>
      <c r="C252" t="inlineStr">
        <is>
          <t>Chefmaster 10.5 oz. Neon Brite Orange Liqua-Gel Food Coloring</t>
        </is>
      </c>
      <c r="D252" t="inlineStr">
        <is>
          <t>U.S. Cake Supply 10.5-Ounce Liqua-Gel Cake Food Coloring Neon Brite Orange</t>
        </is>
      </c>
      <c r="E252" s="1">
        <f>HYPERLINK("https://www.amazon.com/Chefmaster-Cake-Supply-10-5-Ounce-Liqua-Gel/dp/B01DWUX6S2/ref=sr_1_3?keywords=Chefmaster+10.5+oz.+Neon+Brite+Orange+Liqua-Gel+Food+Coloring&amp;qid=1695347679&amp;sr=8-3", "https://www.amazon.com/Chefmaster-Cake-Supply-10-5-Ounce-Liqua-Gel/dp/B01DWUX6S2/ref=sr_1_3?keywords=Chefmaster+10.5+oz.+Neon+Brite+Orange+Liqua-Gel+Food+Coloring&amp;qid=1695347679&amp;sr=8-3")</f>
        <v/>
      </c>
      <c r="F252" t="inlineStr">
        <is>
          <t>B01DWUX6S2</t>
        </is>
      </c>
      <c r="G252">
        <f>_xlfn.IMAGE("https://cdnimg.webstaurantstore.com/images/products/large/589779/2170114.jpg")</f>
        <v/>
      </c>
      <c r="H252">
        <f>_xlfn.IMAGE("https://m.media-amazon.com/images/I/61w0mwDm9zL._AC_UL320_.jpg")</f>
        <v/>
      </c>
      <c r="K252" t="inlineStr">
        <is>
          <t>6.02</t>
        </is>
      </c>
      <c r="L252" t="n">
        <v>15.99</v>
      </c>
      <c r="M252" s="2" t="inlineStr">
        <is>
          <t>165.61%</t>
        </is>
      </c>
      <c r="N252" t="n">
        <v>4.7</v>
      </c>
      <c r="O252" t="n">
        <v>17</v>
      </c>
      <c r="Q252" t="inlineStr">
        <is>
          <t>InStock</t>
        </is>
      </c>
      <c r="R252" t="inlineStr">
        <is>
          <t>6.69</t>
        </is>
      </c>
      <c r="S252" t="inlineStr">
        <is>
          <t>725cm5756</t>
        </is>
      </c>
    </row>
    <row r="253" ht="75" customHeight="1">
      <c r="A253" s="1">
        <f>HYPERLINK("https://www.webstaurantstore.com/chefmaster-2-oz-white-oil-based-candy-color/725CM4217.html", "https://www.webstaurantstore.com/chefmaster-2-oz-white-oil-based-candy-color/725CM4217.html")</f>
        <v/>
      </c>
      <c r="B253" s="1">
        <f>HYPERLINK("https://www.webstaurantstore.com/chefmaster-2-oz-white-oil-based-candy-color/725CM4217.html", "https://www.webstaurantstore.com/chefmaster-2-oz-white-oil-based-candy-color/725CM4217.html")</f>
        <v/>
      </c>
      <c r="C253" t="inlineStr">
        <is>
          <t>Chefmaster 2 oz. White Oil-Based Candy Color</t>
        </is>
      </c>
      <c r="D253" t="inlineStr">
        <is>
          <t>Upgraded Oil Based Food Coloring for Chocolate - 24 Colors Edible Oil Based Food Dye for Cake Decorating, Candy Melt Coloring, Baking, Fondant, Cookies, Icing, Slime - .25 Fl. Oz Bottles</t>
        </is>
      </c>
      <c r="E253" s="1">
        <f>HYPERLINK("https://www.amazon.com/Upgraded-Based-Food-Coloring-Chocolate/dp/B0BV21LR3J/ref=sr_1_8?keywords=Chefmaster+2+oz.+White+Oil-Based+Candy+Color&amp;qid=1695347674&amp;sr=8-8", "https://www.amazon.com/Upgraded-Based-Food-Coloring-Chocolate/dp/B0BV21LR3J/ref=sr_1_8?keywords=Chefmaster+2+oz.+White+Oil-Based+Candy+Color&amp;qid=1695347674&amp;sr=8-8")</f>
        <v/>
      </c>
      <c r="F253" t="inlineStr">
        <is>
          <t>B0BV21LR3J</t>
        </is>
      </c>
      <c r="G253">
        <f>_xlfn.IMAGE("https://cdnimg.webstaurantstore.com/images/products/large/589875/2139560.jpg")</f>
        <v/>
      </c>
      <c r="H253">
        <f>_xlfn.IMAGE("https://m.media-amazon.com/images/I/81uz1VUaTUL._AC_UL320_.jpg")</f>
        <v/>
      </c>
      <c r="K253" t="inlineStr">
        <is>
          <t>4.94</t>
        </is>
      </c>
      <c r="L253" t="n">
        <v>16.99</v>
      </c>
      <c r="M253" s="2" t="inlineStr">
        <is>
          <t>243.93%</t>
        </is>
      </c>
      <c r="N253" t="n">
        <v>4.5</v>
      </c>
      <c r="O253" t="n">
        <v>17</v>
      </c>
      <c r="Q253" t="inlineStr">
        <is>
          <t>InStock</t>
        </is>
      </c>
      <c r="R253" t="inlineStr">
        <is>
          <t>5.49</t>
        </is>
      </c>
      <c r="S253" t="inlineStr">
        <is>
          <t>725cm4217</t>
        </is>
      </c>
    </row>
    <row r="254" ht="75" customHeight="1">
      <c r="A254" s="1">
        <f>HYPERLINK("https://www.webstaurantstore.com/chefmaster-9-oz-metallic-gold-airbrush-color/725CM3705.html", "https://www.webstaurantstore.com/chefmaster-9-oz-metallic-gold-airbrush-color/725CM3705.html")</f>
        <v/>
      </c>
      <c r="B254" s="1">
        <f>HYPERLINK("https://www.webstaurantstore.com/chefmaster-9-oz-metallic-gold-airbrush-color/725CM3705.html", "https://www.webstaurantstore.com/chefmaster-9-oz-metallic-gold-airbrush-color/725CM3705.html")</f>
        <v/>
      </c>
      <c r="C254" t="inlineStr">
        <is>
          <t>Chefmaster 9 oz. Metallic Gold Airbrush Color</t>
        </is>
      </c>
      <c r="D254" t="inlineStr">
        <is>
          <t>U.S. Cake Supply 9-Ounce Airbrush Cake Food Color Metallic Gold</t>
        </is>
      </c>
      <c r="E254" s="1">
        <f>HYPERLINK("https://www.amazon.com/Chefmaster-Cake-Supply-Airbrush-Metallic/dp/B01DWUWG6K/ref=sr_1_2?keywords=Chefmaster+9+oz.+Metallic+Gold+Airbrush+Color&amp;qid=1695347688&amp;sr=8-2", "https://www.amazon.com/Chefmaster-Cake-Supply-Airbrush-Metallic/dp/B01DWUWG6K/ref=sr_1_2?keywords=Chefmaster+9+oz.+Metallic+Gold+Airbrush+Color&amp;qid=1695347688&amp;sr=8-2")</f>
        <v/>
      </c>
      <c r="F254" t="inlineStr">
        <is>
          <t>B01DWUWG6K</t>
        </is>
      </c>
      <c r="G254">
        <f>_xlfn.IMAGE("https://cdnimg.webstaurantstore.com/images/products/large/589902/2141442.jpg")</f>
        <v/>
      </c>
      <c r="H254">
        <f>_xlfn.IMAGE("https://m.media-amazon.com/images/I/61aBxkB0mzL._AC_UL320_.jpg")</f>
        <v/>
      </c>
      <c r="K254" t="inlineStr">
        <is>
          <t>9.44</t>
        </is>
      </c>
      <c r="L254" t="n">
        <v>17.99</v>
      </c>
      <c r="M254" s="2" t="inlineStr">
        <is>
          <t>90.57%</t>
        </is>
      </c>
      <c r="N254" t="n">
        <v>4.2</v>
      </c>
      <c r="O254" t="n">
        <v>393</v>
      </c>
      <c r="Q254" t="inlineStr">
        <is>
          <t>InStock</t>
        </is>
      </c>
      <c r="R254" t="inlineStr">
        <is>
          <t>10.49</t>
        </is>
      </c>
      <c r="S254" t="inlineStr">
        <is>
          <t>725cm3705</t>
        </is>
      </c>
    </row>
    <row r="255" ht="75" customHeight="1">
      <c r="A255" s="1">
        <f>HYPERLINK("https://www.webstaurantstore.com/chefmaster-9-oz-metallic-gold-airbrush-color/725CM3705.html", "https://www.webstaurantstore.com/chefmaster-9-oz-metallic-gold-airbrush-color/725CM3705.html")</f>
        <v/>
      </c>
      <c r="B255" s="1">
        <f>HYPERLINK("https://www.webstaurantstore.com/chefmaster-9-oz-metallic-gold-airbrush-color/725CM3705.html", "https://www.webstaurantstore.com/chefmaster-9-oz-metallic-gold-airbrush-color/725CM3705.html")</f>
        <v/>
      </c>
      <c r="C255" t="inlineStr">
        <is>
          <t>Chefmaster 9 oz. Metallic Gold Airbrush Color</t>
        </is>
      </c>
      <c r="D255" t="inlineStr">
        <is>
          <t>Chefmaster Airbrush Food Color, 9-Ounces, Metallic Gold</t>
        </is>
      </c>
      <c r="E255" s="1">
        <f>HYPERLINK("https://www.amazon.com/Chefmaster-Airbrush-Color-9-Ounces-Metallic/dp/B075B2573N/ref=sr_1_1?keywords=Chefmaster+9+oz.+Metallic+Gold+Airbrush+Color&amp;qid=1695347688&amp;sr=8-1", "https://www.amazon.com/Chefmaster-Airbrush-Color-9-Ounces-Metallic/dp/B075B2573N/ref=sr_1_1?keywords=Chefmaster+9+oz.+Metallic+Gold+Airbrush+Color&amp;qid=1695347688&amp;sr=8-1")</f>
        <v/>
      </c>
      <c r="F255" t="inlineStr">
        <is>
          <t>B075B2573N</t>
        </is>
      </c>
      <c r="G255">
        <f>_xlfn.IMAGE("https://cdnimg.webstaurantstore.com/images/products/large/589902/2141442.jpg")</f>
        <v/>
      </c>
      <c r="H255">
        <f>_xlfn.IMAGE("https://m.media-amazon.com/images/I/61aBxkB0mzL._AC_UL320_.jpg")</f>
        <v/>
      </c>
      <c r="K255" t="inlineStr">
        <is>
          <t>9.44</t>
        </is>
      </c>
      <c r="L255" t="n">
        <v>17.83</v>
      </c>
      <c r="M255" s="2" t="inlineStr">
        <is>
          <t>88.88%</t>
        </is>
      </c>
      <c r="N255" t="n">
        <v>4.2</v>
      </c>
      <c r="O255" t="n">
        <v>317</v>
      </c>
      <c r="Q255" t="inlineStr">
        <is>
          <t>InStock</t>
        </is>
      </c>
      <c r="R255" t="inlineStr">
        <is>
          <t>10.49</t>
        </is>
      </c>
      <c r="S255" t="inlineStr">
        <is>
          <t>725cm3705</t>
        </is>
      </c>
    </row>
    <row r="256" ht="75" customHeight="1">
      <c r="A256" s="1">
        <f>HYPERLINK("https://www.webstaurantstore.com/chefmaster-9-oz-metallic-gold-airbrush-color/725CM3705.html", "https://www.webstaurantstore.com/chefmaster-9-oz-metallic-gold-airbrush-color/725CM3705.html")</f>
        <v/>
      </c>
      <c r="B256" s="1">
        <f>HYPERLINK("https://www.webstaurantstore.com/chefmaster-9-oz-metallic-gold-airbrush-color/725CM3705.html", "https://www.webstaurantstore.com/chefmaster-9-oz-metallic-gold-airbrush-color/725CM3705.html")</f>
        <v/>
      </c>
      <c r="C256" t="inlineStr">
        <is>
          <t>Chefmaster 9 oz. Metallic Gold Airbrush Color</t>
        </is>
      </c>
      <c r="D256" t="inlineStr">
        <is>
          <t>Chefmaster Airbrush Food Color, 9-Ounces, Metallic Silver</t>
        </is>
      </c>
      <c r="E256" s="1">
        <f>HYPERLINK("https://www.amazon.com/Chefmaster-Airbrush-9-Ounces-Metallic-Silver/dp/B075CCDK85/ref=sr_1_7?keywords=Chefmaster+9+oz.+Metallic+Gold+Airbrush+Color&amp;qid=1695347688&amp;sr=8-7", "https://www.amazon.com/Chefmaster-Airbrush-9-Ounces-Metallic-Silver/dp/B075CCDK85/ref=sr_1_7?keywords=Chefmaster+9+oz.+Metallic+Gold+Airbrush+Color&amp;qid=1695347688&amp;sr=8-7")</f>
        <v/>
      </c>
      <c r="F256" t="inlineStr">
        <is>
          <t>B075CCDK85</t>
        </is>
      </c>
      <c r="G256">
        <f>_xlfn.IMAGE("https://cdnimg.webstaurantstore.com/images/products/large/589902/2141442.jpg")</f>
        <v/>
      </c>
      <c r="H256">
        <f>_xlfn.IMAGE("https://m.media-amazon.com/images/I/61sq4+bNSQL._AC_UL320_.jpg")</f>
        <v/>
      </c>
      <c r="K256" t="inlineStr">
        <is>
          <t>9.44</t>
        </is>
      </c>
      <c r="L256" t="n">
        <v>16.23</v>
      </c>
      <c r="M256" s="2" t="inlineStr">
        <is>
          <t>71.93%</t>
        </is>
      </c>
      <c r="N256" t="n">
        <v>4.3</v>
      </c>
      <c r="O256" t="n">
        <v>57</v>
      </c>
      <c r="Q256" t="inlineStr">
        <is>
          <t>InStock</t>
        </is>
      </c>
      <c r="R256" t="inlineStr">
        <is>
          <t>10.49</t>
        </is>
      </c>
      <c r="S256" t="inlineStr">
        <is>
          <t>725cm3705</t>
        </is>
      </c>
    </row>
    <row r="257" ht="75" customHeight="1">
      <c r="A257" s="1">
        <f>HYPERLINK("https://www.webstaurantstore.com/chefmaster-9-oz-metallic-gold-airbrush-color/725CM3705.html", "https://www.webstaurantstore.com/chefmaster-9-oz-metallic-gold-airbrush-color/725CM3705.html")</f>
        <v/>
      </c>
      <c r="B257" s="1">
        <f>HYPERLINK("https://www.webstaurantstore.com/chefmaster-9-oz-metallic-gold-airbrush-color/725CM3705.html", "https://www.webstaurantstore.com/chefmaster-9-oz-metallic-gold-airbrush-color/725CM3705.html")</f>
        <v/>
      </c>
      <c r="C257" t="inlineStr">
        <is>
          <t>Chefmaster 9 oz. Metallic Gold Airbrush Color</t>
        </is>
      </c>
      <c r="D257" t="inlineStr">
        <is>
          <t>Chefmaster 6 Bottles of Airbrush Food Color, Each 0.67 Ounce: Metallic Gold, Metallic Green, Metallic Silver, Metallic Pearl, Metallic Blue and Metallic Red</t>
        </is>
      </c>
      <c r="E257" s="1">
        <f>HYPERLINK("https://www.amazon.com/Chefmaster-Bottles-Airbrush-Color-Ounce/dp/B086CX7369/ref=sr_1_4?keywords=Chefmaster+9+oz.+Metallic+Gold+Airbrush+Color&amp;qid=1695347688&amp;sr=8-4", "https://www.amazon.com/Chefmaster-Bottles-Airbrush-Color-Ounce/dp/B086CX7369/ref=sr_1_4?keywords=Chefmaster+9+oz.+Metallic+Gold+Airbrush+Color&amp;qid=1695347688&amp;sr=8-4")</f>
        <v/>
      </c>
      <c r="F257" t="inlineStr">
        <is>
          <t>B086CX7369</t>
        </is>
      </c>
      <c r="G257">
        <f>_xlfn.IMAGE("https://cdnimg.webstaurantstore.com/images/products/large/589902/2141442.jpg")</f>
        <v/>
      </c>
      <c r="H257">
        <f>_xlfn.IMAGE("https://m.media-amazon.com/images/I/51OxgR6krPL._AC_UL320_.jpg")</f>
        <v/>
      </c>
      <c r="K257" t="inlineStr">
        <is>
          <t>9.44</t>
        </is>
      </c>
      <c r="L257" t="n">
        <v>16</v>
      </c>
      <c r="M257" s="2" t="inlineStr">
        <is>
          <t>69.49%</t>
        </is>
      </c>
      <c r="N257" t="n">
        <v>4.4</v>
      </c>
      <c r="O257" t="n">
        <v>6</v>
      </c>
      <c r="Q257" t="inlineStr">
        <is>
          <t>InStock</t>
        </is>
      </c>
      <c r="R257" t="inlineStr">
        <is>
          <t>10.49</t>
        </is>
      </c>
      <c r="S257" t="inlineStr">
        <is>
          <t>725cm3705</t>
        </is>
      </c>
    </row>
    <row r="258" ht="75" customHeight="1">
      <c r="A258" s="1">
        <f>HYPERLINK("https://www.webstaurantstore.com/chobani-flip-almond-coco-loco-low-fat-coconut-greek-yogurt-4-5-oz-case/874CHO1274.html", "https://www.webstaurantstore.com/chobani-flip-almond-coco-loco-low-fat-coconut-greek-yogurt-4-5-oz-case/874CHO1274.html")</f>
        <v/>
      </c>
      <c r="B258" s="1">
        <f>HYPERLINK("https://www.webstaurantstore.com/chobani-flip-almond-coco-loco-low-fat-coconut-greek-yogurt-4-5-oz-case/874CHO1274.html", "https://www.webstaurantstore.com/chobani-flip-almond-coco-loco-low-fat-coconut-greek-yogurt-4-5-oz-case/874CHO1274.html")</f>
        <v/>
      </c>
      <c r="C258" t="inlineStr">
        <is>
          <t>Chobani Flip Almond Coco Loco Low-Fat Coconut Greek Yogurt 4.5 oz. - 12/Case</t>
        </is>
      </c>
      <c r="D258" t="inlineStr">
        <is>
          <t>Chobani Flip Almond Coco Loco Low Fat Greek Yogurt, 4.5 Ounce -- 12 per case</t>
        </is>
      </c>
      <c r="E258" s="1">
        <f>HYPERLINK("https://www.amazon.com/Chobani-Almond-Greek-Yogurt-Ounce/dp/B08RJ1KPGM/ref=sr_1_1?keywords=Chobani+Flip+Almond+Coco+Loco+Low-Fat+Coconut+Greek+Yogurt+4.5+oz.+-+12%2FCase&amp;qid=1695347737&amp;sr=8-1", "https://www.amazon.com/Chobani-Almond-Greek-Yogurt-Ounce/dp/B08RJ1KPGM/ref=sr_1_1?keywords=Chobani+Flip+Almond+Coco+Loco+Low-Fat+Coconut+Greek+Yogurt+4.5+oz.+-+12%2FCase&amp;qid=1695347737&amp;sr=8-1")</f>
        <v/>
      </c>
      <c r="F258" t="inlineStr">
        <is>
          <t>B08RJ1KPGM</t>
        </is>
      </c>
      <c r="G258">
        <f>_xlfn.IMAGE("https://cdnimg.webstaurantstore.com/images/products/large/730974/2500856.jpg")</f>
        <v/>
      </c>
      <c r="H258">
        <f>_xlfn.IMAGE("https://m.media-amazon.com/images/I/61y1u5Obl5L._AC_UL320_.jpg")</f>
        <v/>
      </c>
      <c r="K258" t="inlineStr">
        <is>
          <t>23.4</t>
        </is>
      </c>
      <c r="L258" t="n">
        <v>68.98</v>
      </c>
      <c r="M258" s="2" t="inlineStr">
        <is>
          <t>194.79%</t>
        </is>
      </c>
      <c r="N258" t="n">
        <v>5</v>
      </c>
      <c r="O258" t="n">
        <v>2</v>
      </c>
      <c r="Q258" t="inlineStr">
        <is>
          <t>InStock</t>
        </is>
      </c>
      <c r="R258" t="inlineStr">
        <is>
          <t>31.99</t>
        </is>
      </c>
      <c r="S258" t="inlineStr">
        <is>
          <t>874cho1274</t>
        </is>
      </c>
    </row>
    <row r="259" ht="75" customHeight="1">
      <c r="A259" s="1">
        <f>HYPERLINK("https://www.webstaurantstore.com/chobani-non-fat-blueberry-greek-yogurt-5-3-oz-case/874CHO005.html", "https://www.webstaurantstore.com/chobani-non-fat-blueberry-greek-yogurt-5-3-oz-case/874CHO005.html")</f>
        <v/>
      </c>
      <c r="B259" s="1">
        <f>HYPERLINK("https://www.webstaurantstore.com/chobani-non-fat-blueberry-greek-yogurt-5-3-oz-case/874CHO005.html", "https://www.webstaurantstore.com/chobani-non-fat-blueberry-greek-yogurt-5-3-oz-case/874CHO005.html")</f>
        <v/>
      </c>
      <c r="C259" t="inlineStr">
        <is>
          <t>Chobani Non-Fat Blueberry Greek Yogurt 5.3 oz. - 12/Case</t>
        </is>
      </c>
      <c r="D259" t="inlineStr">
        <is>
          <t>Chobani Strawberry Banana on the Bottom Low Fat Greek Yogurt, 5.3 Ounce -- 12 per case</t>
        </is>
      </c>
      <c r="E259" s="1">
        <f>HYPERLINK("https://www.amazon.com/Chobani-Strawberry-Banana-Bottom-Yogurt/dp/B01J9GH6LG/ref=sr_1_1?keywords=Chobani+Non-Fat+Blueberry+Greek+Yogurt+5.3+oz.+-+12%2FCase&amp;qid=1695347745&amp;sr=8-1", "https://www.amazon.com/Chobani-Strawberry-Banana-Bottom-Yogurt/dp/B01J9GH6LG/ref=sr_1_1?keywords=Chobani+Non-Fat+Blueberry+Greek+Yogurt+5.3+oz.+-+12%2FCase&amp;qid=1695347745&amp;sr=8-1")</f>
        <v/>
      </c>
      <c r="F259" t="inlineStr">
        <is>
          <t>B01J9GH6LG</t>
        </is>
      </c>
      <c r="G259">
        <f>_xlfn.IMAGE("https://cdnimg.webstaurantstore.com/images/products/large/730947/2501861.jpg")</f>
        <v/>
      </c>
      <c r="H259">
        <f>_xlfn.IMAGE("https://m.media-amazon.com/images/I/61cIoMxHIvL._AC_UL320_.jpg")</f>
        <v/>
      </c>
      <c r="K259" t="inlineStr">
        <is>
          <t>23.52</t>
        </is>
      </c>
      <c r="L259" t="n">
        <v>57.31</v>
      </c>
      <c r="M259" s="2" t="inlineStr">
        <is>
          <t>143.66%</t>
        </is>
      </c>
      <c r="N259" t="n">
        <v>4.2</v>
      </c>
      <c r="O259" t="n">
        <v>9</v>
      </c>
      <c r="Q259" t="inlineStr">
        <is>
          <t>InStock</t>
        </is>
      </c>
      <c r="R259" t="inlineStr">
        <is>
          <t>31.49</t>
        </is>
      </c>
      <c r="S259" t="inlineStr">
        <is>
          <t>874cho005</t>
        </is>
      </c>
    </row>
    <row r="260" ht="75" customHeight="1">
      <c r="A260" s="1">
        <f>HYPERLINK("https://www.webstaurantstore.com/chobani-non-fat-blueberry-greek-yogurt-5-3-oz-case/874CHO005.html", "https://www.webstaurantstore.com/chobani-non-fat-blueberry-greek-yogurt-5-3-oz-case/874CHO005.html")</f>
        <v/>
      </c>
      <c r="B260" s="1">
        <f>HYPERLINK("https://www.webstaurantstore.com/chobani-non-fat-blueberry-greek-yogurt-5-3-oz-case/874CHO005.html", "https://www.webstaurantstore.com/chobani-non-fat-blueberry-greek-yogurt-5-3-oz-case/874CHO005.html")</f>
        <v/>
      </c>
      <c r="C260" t="inlineStr">
        <is>
          <t>Chobani Non-Fat Blueberry Greek Yogurt 5.3 oz. - 12/Case</t>
        </is>
      </c>
      <c r="D260" t="inlineStr">
        <is>
          <t>Oikos Organic Triple Zero Peach Nonfat Greek Yogurt, 5.3 Ounce -- 12 per case.</t>
        </is>
      </c>
      <c r="E260" s="1">
        <f>HYPERLINK("https://www.amazon.com/Oikos-Organic-Triple-Nonfat-Yogurt/dp/B01DVJ0PYM/ref=sr_1_2?keywords=Chobani+Non-Fat+Blueberry+Greek+Yogurt+5.3+oz.+-+12%2FCase&amp;qid=1695347745&amp;sr=8-2", "https://www.amazon.com/Oikos-Organic-Triple-Nonfat-Yogurt/dp/B01DVJ0PYM/ref=sr_1_2?keywords=Chobani+Non-Fat+Blueberry+Greek+Yogurt+5.3+oz.+-+12%2FCase&amp;qid=1695347745&amp;sr=8-2")</f>
        <v/>
      </c>
      <c r="F260" t="inlineStr">
        <is>
          <t>B01DVJ0PYM</t>
        </is>
      </c>
      <c r="G260">
        <f>_xlfn.IMAGE("https://cdnimg.webstaurantstore.com/images/products/large/730947/2501861.jpg")</f>
        <v/>
      </c>
      <c r="H260">
        <f>_xlfn.IMAGE("https://m.media-amazon.com/images/I/4177Nu9wotL._AC_UL320_.jpg")</f>
        <v/>
      </c>
      <c r="K260" t="inlineStr">
        <is>
          <t>23.52</t>
        </is>
      </c>
      <c r="L260" t="n">
        <v>56.25</v>
      </c>
      <c r="M260" s="2" t="inlineStr">
        <is>
          <t>139.16%</t>
        </is>
      </c>
      <c r="N260" t="n">
        <v>5</v>
      </c>
      <c r="O260" t="n">
        <v>3</v>
      </c>
      <c r="Q260" t="inlineStr">
        <is>
          <t>InStock</t>
        </is>
      </c>
      <c r="R260" t="inlineStr">
        <is>
          <t>31.49</t>
        </is>
      </c>
      <c r="S260" t="inlineStr">
        <is>
          <t>874cho005</t>
        </is>
      </c>
    </row>
    <row r="261" ht="75" customHeight="1">
      <c r="A261" s="1">
        <f>HYPERLINK("https://www.webstaurantstore.com/chobani-non-fat-plain-greek-yogurt-32-oz-case/874CHO013.html", "https://www.webstaurantstore.com/chobani-non-fat-plain-greek-yogurt-32-oz-case/874CHO013.html")</f>
        <v/>
      </c>
      <c r="B261" s="1">
        <f>HYPERLINK("https://www.webstaurantstore.com/chobani-non-fat-plain-greek-yogurt-32-oz-case/874CHO013.html", "https://www.webstaurantstore.com/chobani-non-fat-plain-greek-yogurt-32-oz-case/874CHO013.html")</f>
        <v/>
      </c>
      <c r="C261" t="inlineStr">
        <is>
          <t>Chobani Non-Fat Plain Greek Yogurt 32 oz. - 6/Case</t>
        </is>
      </c>
      <c r="D261" t="inlineStr">
        <is>
          <t>Upstate Farms Greek Nonfat Blended Plain Yogurt, 32 Ounce - 6 per case.</t>
        </is>
      </c>
      <c r="E261" s="1">
        <f>HYPERLINK("https://www.amazon.com/Upstate-Farms-Nonfat-Blended-Yogurt/dp/B00MJG425M/ref=sr_1_1?keywords=Chobani+Non-Fat+Plain+Greek+Yogurt+32+oz.+-+6%2FCase&amp;qid=1695347774&amp;sr=8-1", "https://www.amazon.com/Upstate-Farms-Nonfat-Blended-Yogurt/dp/B00MJG425M/ref=sr_1_1?keywords=Chobani+Non-Fat+Plain+Greek+Yogurt+32+oz.+-+6%2FCase&amp;qid=1695347774&amp;sr=8-1")</f>
        <v/>
      </c>
      <c r="F261" t="inlineStr">
        <is>
          <t>B00MJG425M</t>
        </is>
      </c>
      <c r="G261">
        <f>_xlfn.IMAGE("https://cdnimg.webstaurantstore.com/images/products/large/730993/2502142.jpg")</f>
        <v/>
      </c>
      <c r="H261">
        <f>_xlfn.IMAGE("https://m.media-amazon.com/images/I/51wEU26L1KL._AC_UL320_.jpg")</f>
        <v/>
      </c>
      <c r="K261" t="inlineStr">
        <is>
          <t>36.43</t>
        </is>
      </c>
      <c r="L261" t="n">
        <v>75.3</v>
      </c>
      <c r="M261" s="2" t="inlineStr">
        <is>
          <t>106.70%</t>
        </is>
      </c>
      <c r="N261" t="n">
        <v>5</v>
      </c>
      <c r="O261" t="n">
        <v>3</v>
      </c>
      <c r="Q261" t="inlineStr">
        <is>
          <t>InStock</t>
        </is>
      </c>
      <c r="R261" t="inlineStr">
        <is>
          <t>undefined</t>
        </is>
      </c>
      <c r="S261" t="inlineStr">
        <is>
          <t>874cho013</t>
        </is>
      </c>
    </row>
    <row r="262" ht="75" customHeight="1">
      <c r="A262" s="1">
        <f>HYPERLINK("https://www.webstaurantstore.com/chobani-non-fat-plain-greek-yogurt-5-3-oz-case/874CHO001.html", "https://www.webstaurantstore.com/chobani-non-fat-plain-greek-yogurt-5-3-oz-case/874CHO001.html")</f>
        <v/>
      </c>
      <c r="B262" s="1">
        <f>HYPERLINK("https://www.webstaurantstore.com/chobani-non-fat-plain-greek-yogurt-5-3-oz-case/874CHO001.html", "https://www.webstaurantstore.com/chobani-non-fat-plain-greek-yogurt-5-3-oz-case/874CHO001.html")</f>
        <v/>
      </c>
      <c r="C262" t="inlineStr">
        <is>
          <t>Chobani Non-Fat Plain Greek Yogurt 5.3 oz. - 12/Case</t>
        </is>
      </c>
      <c r="D262" t="inlineStr">
        <is>
          <t>Chobani Strawberry Banana on the Bottom Low Fat Greek Yogurt, 5.3 Ounce -- 12 per case</t>
        </is>
      </c>
      <c r="E262" s="1">
        <f>HYPERLINK("https://www.amazon.com/Chobani-Strawberry-Banana-Bottom-Yogurt/dp/B01J9GH6LG/ref=sr_1_3?keywords=Chobani+Non-Fat+Plain+Greek+Yogurt+5.3+oz.+-+12%2FCase&amp;qid=1695347742&amp;sr=8-3", "https://www.amazon.com/Chobani-Strawberry-Banana-Bottom-Yogurt/dp/B01J9GH6LG/ref=sr_1_3?keywords=Chobani+Non-Fat+Plain+Greek+Yogurt+5.3+oz.+-+12%2FCase&amp;qid=1695347742&amp;sr=8-3")</f>
        <v/>
      </c>
      <c r="F262" t="inlineStr">
        <is>
          <t>B01J9GH6LG</t>
        </is>
      </c>
      <c r="G262">
        <f>_xlfn.IMAGE("https://cdnimg.webstaurantstore.com/images/products/large/730967/2501858.jpg")</f>
        <v/>
      </c>
      <c r="H262">
        <f>_xlfn.IMAGE("https://m.media-amazon.com/images/I/61cIoMxHIvL._AC_UL320_.jpg")</f>
        <v/>
      </c>
      <c r="K262" t="inlineStr">
        <is>
          <t>23.52</t>
        </is>
      </c>
      <c r="L262" t="n">
        <v>57.31</v>
      </c>
      <c r="M262" s="2" t="inlineStr">
        <is>
          <t>143.66%</t>
        </is>
      </c>
      <c r="N262" t="n">
        <v>4.2</v>
      </c>
      <c r="O262" t="n">
        <v>9</v>
      </c>
      <c r="Q262" t="inlineStr">
        <is>
          <t>InStock</t>
        </is>
      </c>
      <c r="R262" t="inlineStr">
        <is>
          <t>31.49</t>
        </is>
      </c>
      <c r="S262" t="inlineStr">
        <is>
          <t>874cho001</t>
        </is>
      </c>
    </row>
    <row r="263" ht="75" customHeight="1">
      <c r="A263" s="1">
        <f>HYPERLINK("https://www.webstaurantstore.com/chobani-non-fat-plain-greek-yogurt-5-3-oz-case/874CHO001.html", "https://www.webstaurantstore.com/chobani-non-fat-plain-greek-yogurt-5-3-oz-case/874CHO001.html")</f>
        <v/>
      </c>
      <c r="B263" s="1">
        <f>HYPERLINK("https://www.webstaurantstore.com/chobani-non-fat-plain-greek-yogurt-5-3-oz-case/874CHO001.html", "https://www.webstaurantstore.com/chobani-non-fat-plain-greek-yogurt-5-3-oz-case/874CHO001.html")</f>
        <v/>
      </c>
      <c r="C263" t="inlineStr">
        <is>
          <t>Chobani Non-Fat Plain Greek Yogurt 5.3 oz. - 12/Case</t>
        </is>
      </c>
      <c r="D263" t="inlineStr">
        <is>
          <t>Oikos Organic Triple Zero Peach Nonfat Greek Yogurt, 5.3 Ounce -- 12 per case.</t>
        </is>
      </c>
      <c r="E263" s="1">
        <f>HYPERLINK("https://www.amazon.com/Oikos-Organic-Triple-Nonfat-Yogurt/dp/B01DVJ0PYM/ref=sr_1_4?keywords=Chobani+Non-Fat+Plain+Greek+Yogurt+5.3+oz.+-+12%2FCase&amp;qid=1695347742&amp;sr=8-4", "https://www.amazon.com/Oikos-Organic-Triple-Nonfat-Yogurt/dp/B01DVJ0PYM/ref=sr_1_4?keywords=Chobani+Non-Fat+Plain+Greek+Yogurt+5.3+oz.+-+12%2FCase&amp;qid=1695347742&amp;sr=8-4")</f>
        <v/>
      </c>
      <c r="F263" t="inlineStr">
        <is>
          <t>B01DVJ0PYM</t>
        </is>
      </c>
      <c r="G263">
        <f>_xlfn.IMAGE("https://cdnimg.webstaurantstore.com/images/products/large/730967/2501858.jpg")</f>
        <v/>
      </c>
      <c r="H263">
        <f>_xlfn.IMAGE("https://m.media-amazon.com/images/I/4177Nu9wotL._AC_UL320_.jpg")</f>
        <v/>
      </c>
      <c r="K263" t="inlineStr">
        <is>
          <t>23.52</t>
        </is>
      </c>
      <c r="L263" t="n">
        <v>56.25</v>
      </c>
      <c r="M263" s="2" t="inlineStr">
        <is>
          <t>139.16%</t>
        </is>
      </c>
      <c r="N263" t="n">
        <v>5</v>
      </c>
      <c r="O263" t="n">
        <v>3</v>
      </c>
      <c r="Q263" t="inlineStr">
        <is>
          <t>InStock</t>
        </is>
      </c>
      <c r="R263" t="inlineStr">
        <is>
          <t>31.49</t>
        </is>
      </c>
      <c r="S263" t="inlineStr">
        <is>
          <t>874cho001</t>
        </is>
      </c>
    </row>
    <row r="264" ht="75" customHeight="1">
      <c r="A264" s="1">
        <f>HYPERLINK("https://www.webstaurantstore.com/chobani-non-fat-strawberry-greek-yogurt-5-3-oz-case/874CHO004.html", "https://www.webstaurantstore.com/chobani-non-fat-strawberry-greek-yogurt-5-3-oz-case/874CHO004.html")</f>
        <v/>
      </c>
      <c r="B264" s="1">
        <f>HYPERLINK("https://www.webstaurantstore.com/chobani-non-fat-strawberry-greek-yogurt-5-3-oz-case/874CHO004.html", "https://www.webstaurantstore.com/chobani-non-fat-strawberry-greek-yogurt-5-3-oz-case/874CHO004.html")</f>
        <v/>
      </c>
      <c r="C264" t="inlineStr">
        <is>
          <t>Chobani Non-Fat Strawberry Greek Yogurt 5.3 oz. - 12/Case</t>
        </is>
      </c>
      <c r="D264" t="inlineStr">
        <is>
          <t>Chobani Strawberry Banana on the Bottom Low Fat Greek Yogurt, 5.3 Ounce -- 12 per case</t>
        </is>
      </c>
      <c r="E264" s="1">
        <f>HYPERLINK("https://www.amazon.com/Chobani-Strawberry-Banana-Bottom-Yogurt/dp/B01J9GH6LG/ref=sr_1_1?keywords=Chobani+Non-Fat+Strawberry+Greek+Yogurt+5.3+oz.+-+12%2FCase&amp;qid=1695347744&amp;sr=8-1", "https://www.amazon.com/Chobani-Strawberry-Banana-Bottom-Yogurt/dp/B01J9GH6LG/ref=sr_1_1?keywords=Chobani+Non-Fat+Strawberry+Greek+Yogurt+5.3+oz.+-+12%2FCase&amp;qid=1695347744&amp;sr=8-1")</f>
        <v/>
      </c>
      <c r="F264" t="inlineStr">
        <is>
          <t>B01J9GH6LG</t>
        </is>
      </c>
      <c r="G264">
        <f>_xlfn.IMAGE("https://cdnimg.webstaurantstore.com/images/products/large/730992/2501860.jpg")</f>
        <v/>
      </c>
      <c r="H264">
        <f>_xlfn.IMAGE("https://m.media-amazon.com/images/I/61cIoMxHIvL._AC_UL320_.jpg")</f>
        <v/>
      </c>
      <c r="K264" t="inlineStr">
        <is>
          <t>23.52</t>
        </is>
      </c>
      <c r="L264" t="n">
        <v>57.31</v>
      </c>
      <c r="M264" s="2" t="inlineStr">
        <is>
          <t>143.66%</t>
        </is>
      </c>
      <c r="N264" t="n">
        <v>4.2</v>
      </c>
      <c r="O264" t="n">
        <v>9</v>
      </c>
      <c r="Q264" t="inlineStr">
        <is>
          <t>InStock</t>
        </is>
      </c>
      <c r="R264" t="inlineStr">
        <is>
          <t>31.49</t>
        </is>
      </c>
      <c r="S264" t="inlineStr">
        <is>
          <t>874cho004</t>
        </is>
      </c>
    </row>
    <row r="265" ht="75" customHeight="1">
      <c r="A265" s="1">
        <f>HYPERLINK("https://www.webstaurantstore.com/chobani-non-fat-vanilla-greek-yogurt-4-oz-case/874CHO755.html", "https://www.webstaurantstore.com/chobani-non-fat-vanilla-greek-yogurt-4-oz-case/874CHO755.html")</f>
        <v/>
      </c>
      <c r="B265" s="1">
        <f>HYPERLINK("https://www.webstaurantstore.com/chobani-non-fat-vanilla-greek-yogurt-4-oz-case/874CHO755.html", "https://www.webstaurantstore.com/chobani-non-fat-vanilla-greek-yogurt-4-oz-case/874CHO755.html")</f>
        <v/>
      </c>
      <c r="C265" t="inlineStr">
        <is>
          <t>Chobani Non-Fat Vanilla Greek Yogurt 4 oz. - 12/Case</t>
        </is>
      </c>
      <c r="D265" t="inlineStr">
        <is>
          <t>Chobani Vanilla Greek Yogurt, 4 Ounce -- 12 per case.</t>
        </is>
      </c>
      <c r="E265" s="1">
        <f>HYPERLINK("https://www.amazon.com/Chobani-Vanilla-Greek-Yogurt-Ounce/dp/B01N0XNWJ9/ref=sr_1_1?keywords=Chobani+Non-Fat+Vanilla+Greek+Yogurt+4+oz.+-+12%2FCase&amp;qid=1695347714&amp;sr=8-1", "https://www.amazon.com/Chobani-Vanilla-Greek-Yogurt-Ounce/dp/B01N0XNWJ9/ref=sr_1_1?keywords=Chobani+Non-Fat+Vanilla+Greek+Yogurt+4+oz.+-+12%2FCase&amp;qid=1695347714&amp;sr=8-1")</f>
        <v/>
      </c>
      <c r="F265" t="inlineStr">
        <is>
          <t>B01N0XNWJ9</t>
        </is>
      </c>
      <c r="G265">
        <f>_xlfn.IMAGE("https://cdnimg.webstaurantstore.com/images/products/large/731016/2501864.jpg")</f>
        <v/>
      </c>
      <c r="H265">
        <f>_xlfn.IMAGE("https://m.media-amazon.com/images/I/41ub5t4+QrL._AC_UL320_.jpg")</f>
        <v/>
      </c>
      <c r="K265" t="inlineStr">
        <is>
          <t>18.31</t>
        </is>
      </c>
      <c r="L265" t="n">
        <v>47.49</v>
      </c>
      <c r="M265" s="2" t="inlineStr">
        <is>
          <t>159.37%</t>
        </is>
      </c>
      <c r="N265" t="n">
        <v>5</v>
      </c>
      <c r="O265" t="n">
        <v>4</v>
      </c>
      <c r="Q265" t="inlineStr">
        <is>
          <t>InStock</t>
        </is>
      </c>
      <c r="R265" t="inlineStr">
        <is>
          <t>24.49</t>
        </is>
      </c>
      <c r="S265" t="inlineStr">
        <is>
          <t>874cho755</t>
        </is>
      </c>
    </row>
    <row r="266" ht="75" customHeight="1">
      <c r="A266" s="1">
        <f>HYPERLINK("https://www.webstaurantstore.com/chobani-non-fat-vanilla-greek-yogurt-5-3-oz-case/874CHO002.html", "https://www.webstaurantstore.com/chobani-non-fat-vanilla-greek-yogurt-5-3-oz-case/874CHO002.html")</f>
        <v/>
      </c>
      <c r="B266" s="1">
        <f>HYPERLINK("https://www.webstaurantstore.com/chobani-non-fat-vanilla-greek-yogurt-5-3-oz-case/874CHO002.html", "https://www.webstaurantstore.com/chobani-non-fat-vanilla-greek-yogurt-5-3-oz-case/874CHO002.html")</f>
        <v/>
      </c>
      <c r="C266" t="inlineStr">
        <is>
          <t>Chobani Non-Fat Vanilla Greek Yogurt 5.3 oz. - 12/Case</t>
        </is>
      </c>
      <c r="D266" t="inlineStr">
        <is>
          <t>Oikos Organic Triple Zero Peach Nonfat Greek Yogurt, 5.3 Ounce -- 12 per case.</t>
        </is>
      </c>
      <c r="E266" s="1">
        <f>HYPERLINK("https://www.amazon.com/Oikos-Organic-Triple-Nonfat-Yogurt/dp/B01DVJ0PYM/ref=sr_1_1?keywords=Chobani+Non-Fat+Vanilla+Greek+Yogurt+5.3+oz.+-+12%2FCase&amp;qid=1695347766&amp;sr=8-1", "https://www.amazon.com/Oikos-Organic-Triple-Nonfat-Yogurt/dp/B01DVJ0PYM/ref=sr_1_1?keywords=Chobani+Non-Fat+Vanilla+Greek+Yogurt+5.3+oz.+-+12%2FCase&amp;qid=1695347766&amp;sr=8-1")</f>
        <v/>
      </c>
      <c r="F266" t="inlineStr">
        <is>
          <t>B01DVJ0PYM</t>
        </is>
      </c>
      <c r="G266">
        <f>_xlfn.IMAGE("https://cdnimg.webstaurantstore.com/images/products/large/730954/2501859.jpg")</f>
        <v/>
      </c>
      <c r="H266">
        <f>_xlfn.IMAGE("https://m.media-amazon.com/images/I/4177Nu9wotL._AC_UL320_.jpg")</f>
        <v/>
      </c>
      <c r="K266" t="inlineStr">
        <is>
          <t>21.28</t>
        </is>
      </c>
      <c r="L266" t="n">
        <v>56.25</v>
      </c>
      <c r="M266" s="2" t="inlineStr">
        <is>
          <t>164.33%</t>
        </is>
      </c>
      <c r="N266" t="n">
        <v>5</v>
      </c>
      <c r="O266" t="n">
        <v>3</v>
      </c>
      <c r="Q266" t="inlineStr">
        <is>
          <t>InStock</t>
        </is>
      </c>
      <c r="R266" t="inlineStr">
        <is>
          <t>28.49</t>
        </is>
      </c>
      <c r="S266" t="inlineStr">
        <is>
          <t>874cho002</t>
        </is>
      </c>
    </row>
    <row r="267" ht="75" customHeight="1">
      <c r="A267" s="1">
        <f>HYPERLINK("https://www.webstaurantstore.com/choice-0-5-oz-black-plastic-souffle-cup-portion-cup-case/127P050B.html", "https://www.webstaurantstore.com/choice-0-5-oz-black-plastic-souffle-cup-portion-cup-case/127P050B.html")</f>
        <v/>
      </c>
      <c r="B267" s="1">
        <f>HYPERLINK("https://www.webstaurantstore.com/choice-0-5-oz-black-plastic-souffle-cup-portion-cup-case/127P050B.html", "https://www.webstaurantstore.com/choice-0-5-oz-black-plastic-souffle-cup-portion-cup-case/127P050B.html")</f>
        <v/>
      </c>
      <c r="C267" t="inlineStr">
        <is>
          <t>Choice 0.5 oz. Black Plastic Souffle Cup / Portion Cup - 2500/Case</t>
        </is>
      </c>
      <c r="D267" t="inlineStr">
        <is>
          <t>EPC550B Empress Plastic Portion Cup 5.5oz Black 50/50, 2500 per case</t>
        </is>
      </c>
      <c r="E267" s="1">
        <f>HYPERLINK("https://www.amazon.com/EPC550B-Empress-Plastic-Portion-5-5oz/dp/B07R62XKVJ/ref=sr_1_2?keywords=Choice+0.5+oz.+Black+Plastic+Souffle+Cup+%2F+Portion+Cup+-+2500%2FCase&amp;qid=1695347701&amp;sr=8-2", "https://www.amazon.com/EPC550B-Empress-Plastic-Portion-5-5oz/dp/B07R62XKVJ/ref=sr_1_2?keywords=Choice+0.5+oz.+Black+Plastic+Souffle+Cup+%2F+Portion+Cup+-+2500%2FCase&amp;qid=1695347701&amp;sr=8-2")</f>
        <v/>
      </c>
      <c r="F267" t="inlineStr">
        <is>
          <t>B07R62XKVJ</t>
        </is>
      </c>
      <c r="G267">
        <f>_xlfn.IMAGE("https://cdnimg.webstaurantstore.com/images/products/large/406632/2412719.jpg")</f>
        <v/>
      </c>
      <c r="H267">
        <f>_xlfn.IMAGE("https://m.media-amazon.com/images/I/419FfbPaqfL._AC_UY218_.jpg")</f>
        <v/>
      </c>
      <c r="K267" t="inlineStr">
        <is>
          <t>13.99</t>
        </is>
      </c>
      <c r="L267" t="n">
        <v>97.97</v>
      </c>
      <c r="M267" s="2" t="inlineStr">
        <is>
          <t>600.29%</t>
        </is>
      </c>
      <c r="N267" t="n">
        <v>5</v>
      </c>
      <c r="O267" t="n">
        <v>1</v>
      </c>
      <c r="Q267" t="inlineStr">
        <is>
          <t>InStock</t>
        </is>
      </c>
      <c r="R267" t="inlineStr">
        <is>
          <t>17.99</t>
        </is>
      </c>
      <c r="S267" t="inlineStr">
        <is>
          <t>127p050b</t>
        </is>
      </c>
    </row>
    <row r="268" ht="75" customHeight="1">
      <c r="A268" s="1">
        <f>HYPERLINK("https://www.webstaurantstore.com/choice-19-x-10-led-rectangular-kabobs-sign-with-two-display-modes/466LEDKABOBS.html", "https://www.webstaurantstore.com/choice-19-x-10-led-rectangular-kabobs-sign-with-two-display-modes/466LEDKABOBS.html")</f>
        <v/>
      </c>
      <c r="B268" s="1">
        <f>HYPERLINK("https://www.webstaurantstore.com/choice-19-x-10-led-rectangular-kabobs-sign-with-two-display-modes/466LEDKABOBS.html", "https://www.webstaurantstore.com/choice-19-x-10-led-rectangular-kabobs-sign-with-two-display-modes/466LEDKABOBS.html")</f>
        <v/>
      </c>
      <c r="C268" t="inlineStr">
        <is>
          <t>Choice 19" x 10" LED Rectangular Kabobs Sign with Two Display Modes</t>
        </is>
      </c>
      <c r="D268" t="inlineStr">
        <is>
          <t>Alpine Industries Neon LED Take Out Available Sign for Business - Electronic Lighted Board w/ Two Display Modes - For Restaurants, Cafes, Diners (Rectangular, 19" x 10")</t>
        </is>
      </c>
      <c r="E268" s="1">
        <f>HYPERLINK("https://www.amazon.com/Alpine-Industries-Neon-Available-Business/dp/B08BZWLNG1/ref=sr_1_1?keywords=Choice+19%22+x+10%22+LED+Rectangular+Kabobs+Sign+with+Two+Display+Modes&amp;qid=1695347691&amp;sr=8-1", "https://www.amazon.com/Alpine-Industries-Neon-Available-Business/dp/B08BZWLNG1/ref=sr_1_1?keywords=Choice+19%22+x+10%22+LED+Rectangular+Kabobs+Sign+with+Two+Display+Modes&amp;qid=1695347691&amp;sr=8-1")</f>
        <v/>
      </c>
      <c r="F268" t="inlineStr">
        <is>
          <t>B08BZWLNG1</t>
        </is>
      </c>
      <c r="G268">
        <f>_xlfn.IMAGE("https://cdnimg.webstaurantstore.com/images/products/large/566260/2234857.jpg")</f>
        <v/>
      </c>
      <c r="H268">
        <f>_xlfn.IMAGE("https://m.media-amazon.com/images/I/61-+PpLi8LL._AC_UL320_.jpg")</f>
        <v/>
      </c>
      <c r="K268" t="inlineStr">
        <is>
          <t>9.99</t>
        </is>
      </c>
      <c r="L268" t="n">
        <v>28.49</v>
      </c>
      <c r="M268" s="2" t="inlineStr">
        <is>
          <t>185.19%</t>
        </is>
      </c>
      <c r="N268" t="n">
        <v>4.5</v>
      </c>
      <c r="O268" t="n">
        <v>220</v>
      </c>
      <c r="Q268" t="inlineStr">
        <is>
          <t>InStock</t>
        </is>
      </c>
      <c r="R268" t="inlineStr">
        <is>
          <t>19.99</t>
        </is>
      </c>
      <c r="S268" t="inlineStr">
        <is>
          <t>466ledkabobs</t>
        </is>
      </c>
    </row>
    <row r="269" ht="75" customHeight="1">
      <c r="A269" s="1">
        <f>HYPERLINK("https://www.webstaurantstore.com/choice-19-x-10-led-rectangular-kabobs-sign-with-two-display-modes/466LEDKABOBS.html", "https://www.webstaurantstore.com/choice-19-x-10-led-rectangular-kabobs-sign-with-two-display-modes/466LEDKABOBS.html")</f>
        <v/>
      </c>
      <c r="B269" s="1">
        <f>HYPERLINK("https://www.webstaurantstore.com/choice-19-x-10-led-rectangular-kabobs-sign-with-two-display-modes/466LEDKABOBS.html", "https://www.webstaurantstore.com/choice-19-x-10-led-rectangular-kabobs-sign-with-two-display-modes/466LEDKABOBS.html")</f>
        <v/>
      </c>
      <c r="C269" t="inlineStr">
        <is>
          <t>Choice 19" x 10" LED Rectangular Kabobs Sign with Two Display Modes</t>
        </is>
      </c>
      <c r="D269" t="inlineStr">
        <is>
          <t>SK Depot Open Sign Premium Products 19"x10" LED Open Sign Electronic Billboard Bright Advertising Board Flashing Window Display Sign with Motion -"Open" (Red/Blue) - Two Modes</t>
        </is>
      </c>
      <c r="E269" s="1">
        <f>HYPERLINK("https://www.amazon.com/SK-Products-Electronic-Billboard-Advertising/dp/B08JHG837L/ref=sr_1_4?keywords=Choice+19%22+x+10%22+LED+Rectangular+Kabobs+Sign+with+Two+Display+Modes&amp;qid=1695347691&amp;sr=8-4", "https://www.amazon.com/SK-Products-Electronic-Billboard-Advertising/dp/B08JHG837L/ref=sr_1_4?keywords=Choice+19%22+x+10%22+LED+Rectangular+Kabobs+Sign+with+Two+Display+Modes&amp;qid=1695347691&amp;sr=8-4")</f>
        <v/>
      </c>
      <c r="F269" t="inlineStr">
        <is>
          <t>B08JHG837L</t>
        </is>
      </c>
      <c r="G269">
        <f>_xlfn.IMAGE("https://cdnimg.webstaurantstore.com/images/products/large/566260/2234857.jpg")</f>
        <v/>
      </c>
      <c r="H269">
        <f>_xlfn.IMAGE("https://m.media-amazon.com/images/I/71S2xlB6YGL._AC_UL320_.jpg")</f>
        <v/>
      </c>
      <c r="K269" t="inlineStr">
        <is>
          <t>9.99</t>
        </is>
      </c>
      <c r="L269" t="n">
        <v>25.49</v>
      </c>
      <c r="M269" s="2" t="inlineStr">
        <is>
          <t>155.16%</t>
        </is>
      </c>
      <c r="N269" t="n">
        <v>4.4</v>
      </c>
      <c r="O269" t="n">
        <v>1317</v>
      </c>
      <c r="Q269" t="inlineStr">
        <is>
          <t>InStock</t>
        </is>
      </c>
      <c r="R269" t="inlineStr">
        <is>
          <t>19.99</t>
        </is>
      </c>
      <c r="S269" t="inlineStr">
        <is>
          <t>466ledkabobs</t>
        </is>
      </c>
    </row>
    <row r="270" ht="75" customHeight="1">
      <c r="A270" s="1">
        <f>HYPERLINK("https://www.webstaurantstore.com/choice-19-x-10-led-rectangular-sale-sign-with-2-display-modes/466LEDSALE.html", "https://www.webstaurantstore.com/choice-19-x-10-led-rectangular-sale-sign-with-2-display-modes/466LEDSALE.html")</f>
        <v/>
      </c>
      <c r="B270" s="1">
        <f>HYPERLINK("https://www.webstaurantstore.com/choice-19-x-10-led-rectangular-sale-sign-with-2-display-modes/466LEDSALE.html", "https://www.webstaurantstore.com/choice-19-x-10-led-rectangular-sale-sign-with-2-display-modes/466LEDSALE.html")</f>
        <v/>
      </c>
      <c r="C270" t="inlineStr">
        <is>
          <t>Choice 19" x 10" LED Rectangular Sale Sign with Two Display Modes</t>
        </is>
      </c>
      <c r="D270" t="inlineStr">
        <is>
          <t>Alpine Industries Neon LED Take Out Available Sign for Business - Electronic Lighted Board w/ Two Display Modes - For Restaurants, Cafes, Diners (Rectangular, 19" x 10")</t>
        </is>
      </c>
      <c r="E270" s="1">
        <f>HYPERLINK("https://www.amazon.com/Alpine-Industries-Neon-Available-Business/dp/B08BZWLNG1/ref=sr_1_1?keywords=Choice+19%22+x+10%22+LED+Rectangular+Sale+Sign+with+Two+Display+Modes&amp;qid=1695347690&amp;sr=8-1", "https://www.amazon.com/Alpine-Industries-Neon-Available-Business/dp/B08BZWLNG1/ref=sr_1_1?keywords=Choice+19%22+x+10%22+LED+Rectangular+Sale+Sign+with+Two+Display+Modes&amp;qid=1695347690&amp;sr=8-1")</f>
        <v/>
      </c>
      <c r="F270" t="inlineStr">
        <is>
          <t>B08BZWLNG1</t>
        </is>
      </c>
      <c r="G270">
        <f>_xlfn.IMAGE("https://cdnimg.webstaurantstore.com/images/products/large/505238/1950002.jpg")</f>
        <v/>
      </c>
      <c r="H270">
        <f>_xlfn.IMAGE("https://m.media-amazon.com/images/I/61-+PpLi8LL._AC_UL320_.jpg")</f>
        <v/>
      </c>
      <c r="K270" t="inlineStr">
        <is>
          <t>9.99</t>
        </is>
      </c>
      <c r="L270" t="n">
        <v>28.49</v>
      </c>
      <c r="M270" s="2" t="inlineStr">
        <is>
          <t>185.19%</t>
        </is>
      </c>
      <c r="N270" t="n">
        <v>4.5</v>
      </c>
      <c r="O270" t="n">
        <v>220</v>
      </c>
      <c r="Q270" t="inlineStr">
        <is>
          <t>InStock</t>
        </is>
      </c>
      <c r="R270" t="inlineStr">
        <is>
          <t>19.99</t>
        </is>
      </c>
      <c r="S270" t="inlineStr">
        <is>
          <t>466ledsale</t>
        </is>
      </c>
    </row>
    <row r="271" ht="75" customHeight="1">
      <c r="A271" s="1">
        <f>HYPERLINK("https://www.webstaurantstore.com/choice-19-x-10-led-rectangular-take-out-available-sign-with-two-display-modes/466LEDTOAVAL.html", "https://www.webstaurantstore.com/choice-19-x-10-led-rectangular-take-out-available-sign-with-two-display-modes/466LEDTOAVAL.html")</f>
        <v/>
      </c>
      <c r="B271" s="1">
        <f>HYPERLINK("https://www.webstaurantstore.com/choice-19-x-10-led-rectangular-take-out-available-sign-with-two-display-modes/466LEDTOAVAL.html", "https://www.webstaurantstore.com/choice-19-x-10-led-rectangular-take-out-available-sign-with-two-display-modes/466LEDTOAVAL.html")</f>
        <v/>
      </c>
      <c r="C271" t="inlineStr">
        <is>
          <t>Choice 19" x 10" LED Rectangular Take-Out Available Sign with Two Display Modes</t>
        </is>
      </c>
      <c r="D271" t="inlineStr">
        <is>
          <t>Alpine Industries Neon LED Take Out Available Sign for Business - Electronic Lighted Board w/ Two Display Modes - For Restaurants, Cafes, Diners (Rectangular, 19" x 10")</t>
        </is>
      </c>
      <c r="E271" s="1">
        <f>HYPERLINK("https://www.amazon.com/Alpine-Industries-Neon-Available-Business/dp/B08BZWLNG1/ref=sr_1_1?keywords=Choice+19%22+x+10%22+LED+Rectangular+Take-Out+Available+Sign+with+Two+Display+Modes&amp;qid=1695347692&amp;sr=8-1", "https://www.amazon.com/Alpine-Industries-Neon-Available-Business/dp/B08BZWLNG1/ref=sr_1_1?keywords=Choice+19%22+x+10%22+LED+Rectangular+Take-Out+Available+Sign+with+Two+Display+Modes&amp;qid=1695347692&amp;sr=8-1")</f>
        <v/>
      </c>
      <c r="F271" t="inlineStr">
        <is>
          <t>B08BZWLNG1</t>
        </is>
      </c>
      <c r="G271">
        <f>_xlfn.IMAGE("https://cdnimg.webstaurantstore.com/images/products/large/581073/2234879.jpg")</f>
        <v/>
      </c>
      <c r="H271">
        <f>_xlfn.IMAGE("https://m.media-amazon.com/images/I/61-+PpLi8LL._AC_UL320_.jpg")</f>
        <v/>
      </c>
      <c r="K271" t="inlineStr">
        <is>
          <t>9.99</t>
        </is>
      </c>
      <c r="L271" t="n">
        <v>28.49</v>
      </c>
      <c r="M271" s="2" t="inlineStr">
        <is>
          <t>185.19%</t>
        </is>
      </c>
      <c r="N271" t="n">
        <v>4.5</v>
      </c>
      <c r="O271" t="n">
        <v>220</v>
      </c>
      <c r="Q271" t="inlineStr">
        <is>
          <t>InStock</t>
        </is>
      </c>
      <c r="R271" t="inlineStr">
        <is>
          <t>21.99</t>
        </is>
      </c>
      <c r="S271" t="inlineStr">
        <is>
          <t>466ledtoaval</t>
        </is>
      </c>
    </row>
    <row r="272" ht="75" customHeight="1">
      <c r="A272" s="1">
        <f>HYPERLINK("https://www.webstaurantstore.com/choice-1-oz-black-plastic-souffle-cup-portion-cup-case/127P100B.html", "https://www.webstaurantstore.com/choice-1-oz-black-plastic-souffle-cup-portion-cup-case/127P100B.html")</f>
        <v/>
      </c>
      <c r="B272" s="1">
        <f>HYPERLINK("https://www.webstaurantstore.com/choice-1-oz-black-plastic-souffle-cup-portion-cup-case/127P100B.html", "https://www.webstaurantstore.com/choice-1-oz-black-plastic-souffle-cup-portion-cup-case/127P100B.html")</f>
        <v/>
      </c>
      <c r="C272" t="inlineStr">
        <is>
          <t>Choice 1 oz. Black Plastic Souffle Cup / Portion Cup - 2500/Case</t>
        </is>
      </c>
      <c r="D272" t="inlineStr">
        <is>
          <t>Daxwell Plastic Portion Cups, Polypropylene (PP), 1 oz, Black, E10004712 (Case of 2,500)</t>
        </is>
      </c>
      <c r="E272" s="1">
        <f>HYPERLINK("https://www.amazon.com/Daxwell-Polypropylene-Portion-Without-Black/dp/B07D9TG64X/ref=sr_1_1?keywords=Choice+1+oz.+Black+Plastic+Souffle+Cup+%2F+Portion+Cup+-+2500%2FCase&amp;qid=1695347702&amp;sr=8-1", "https://www.amazon.com/Daxwell-Polypropylene-Portion-Without-Black/dp/B07D9TG64X/ref=sr_1_1?keywords=Choice+1+oz.+Black+Plastic+Souffle+Cup+%2F+Portion+Cup+-+2500%2FCase&amp;qid=1695347702&amp;sr=8-1")</f>
        <v/>
      </c>
      <c r="F272" t="inlineStr">
        <is>
          <t>B07D9TG64X</t>
        </is>
      </c>
      <c r="G272">
        <f>_xlfn.IMAGE("https://cdnimg.webstaurantstore.com/images/products/large/209413/2412682.jpg")</f>
        <v/>
      </c>
      <c r="H272">
        <f>_xlfn.IMAGE("https://m.media-amazon.com/images/I/51r5ZYM7CZL._AC_UY218_.jpg")</f>
        <v/>
      </c>
      <c r="K272" t="inlineStr">
        <is>
          <t>14.99</t>
        </is>
      </c>
      <c r="L272" t="n">
        <v>48.64</v>
      </c>
      <c r="M272" s="2" t="inlineStr">
        <is>
          <t>224.48%</t>
        </is>
      </c>
      <c r="N272" t="n">
        <v>5</v>
      </c>
      <c r="O272" t="n">
        <v>2</v>
      </c>
      <c r="Q272" t="inlineStr">
        <is>
          <t>InStock</t>
        </is>
      </c>
      <c r="R272" t="inlineStr">
        <is>
          <t>16.49</t>
        </is>
      </c>
      <c r="S272" t="inlineStr">
        <is>
          <t>127p100b</t>
        </is>
      </c>
    </row>
    <row r="273" ht="75" customHeight="1">
      <c r="A273" s="1">
        <f>HYPERLINK("https://www.webstaurantstore.com/choice-24-oz-clear-rpet-tall-hinged-deli-container-case/127CH24F.html", "https://www.webstaurantstore.com/choice-24-oz-clear-rpet-tall-hinged-deli-container-case/127CH24F.html")</f>
        <v/>
      </c>
      <c r="B273" s="1">
        <f>HYPERLINK("https://www.webstaurantstore.com/choice-24-oz-clear-rpet-tall-hinged-deli-container-case/127CH24F.html", "https://www.webstaurantstore.com/choice-24-oz-clear-rpet-tall-hinged-deli-container-case/127CH24F.html")</f>
        <v/>
      </c>
      <c r="C273" t="inlineStr">
        <is>
          <t>Choice 24 oz. Clear RPET Tall Hinged Deli Container - 200/Case</t>
        </is>
      </c>
      <c r="D273" t="inlineStr">
        <is>
          <t>Genpak's AD24 | 24oz Clear PET Hinged Deli Container | Patented 360-Degree Seal, Leak-Resistant | Recyclable, Made with up to 30% Post-Consumer Content, BPA Free, Made in The USA | 7.13" x 6.38" x 1.75" Case Count 200</t>
        </is>
      </c>
      <c r="E273" s="1">
        <f>HYPERLINK("https://www.amazon.com/Container-360-Degree-Leak-Resistant-Recyclable-Post-Consumer/dp/B07K8RQT68/ref=sr_1_2?keywords=Choice+24+oz.+Clear+RPET+Tall+Hinged+Deli+Container+-+200%2FCase&amp;qid=1695347789&amp;sr=8-2", "https://www.amazon.com/Container-360-Degree-Leak-Resistant-Recyclable-Post-Consumer/dp/B07K8RQT68/ref=sr_1_2?keywords=Choice+24+oz.+Clear+RPET+Tall+Hinged+Deli+Container+-+200%2FCase&amp;qid=1695347789&amp;sr=8-2")</f>
        <v/>
      </c>
      <c r="F273" t="inlineStr">
        <is>
          <t>B07K8RQT68</t>
        </is>
      </c>
      <c r="G273">
        <f>_xlfn.IMAGE("https://cdnimg.webstaurantstore.com/images/products/large/571073/2112187.jpg")</f>
        <v/>
      </c>
      <c r="H273">
        <f>_xlfn.IMAGE("https://m.media-amazon.com/images/I/51b-UYKoHSL._AC_UY218_.jpg")</f>
        <v/>
      </c>
      <c r="K273" t="inlineStr">
        <is>
          <t>42.49</t>
        </is>
      </c>
      <c r="L273" t="n">
        <v>72.52</v>
      </c>
      <c r="M273" s="2" t="inlineStr">
        <is>
          <t>70.68%</t>
        </is>
      </c>
      <c r="N273" t="n">
        <v>4.5</v>
      </c>
      <c r="O273" t="n">
        <v>30</v>
      </c>
      <c r="Q273" t="inlineStr">
        <is>
          <t>InStock</t>
        </is>
      </c>
      <c r="R273" t="inlineStr">
        <is>
          <t>47.49</t>
        </is>
      </c>
      <c r="S273" t="inlineStr">
        <is>
          <t>127ch24f</t>
        </is>
      </c>
    </row>
    <row r="274" ht="75" customHeight="1">
      <c r="A274" s="1">
        <f>HYPERLINK("https://www.webstaurantstore.com/choice-2-5-oz-clear-plastic-souffle-cup-portion-cup-case/127P250C.html", "https://www.webstaurantstore.com/choice-2-5-oz-clear-plastic-souffle-cup-portion-cup-case/127P250C.html")</f>
        <v/>
      </c>
      <c r="B274" s="1">
        <f>HYPERLINK("https://www.webstaurantstore.com/choice-2-5-oz-clear-plastic-souffle-cup-portion-cup-case/127P250C.html", "https://www.webstaurantstore.com/choice-2-5-oz-clear-plastic-souffle-cup-portion-cup-case/127P250C.html")</f>
        <v/>
      </c>
      <c r="C274" t="inlineStr">
        <is>
          <t>Choice 2.5 oz. Clear Plastic Souffle Cup / Portion Cup - 2500/Case</t>
        </is>
      </c>
      <c r="D274" t="inlineStr">
        <is>
          <t>2500 Sets 2 oz Plastic Disposable Portion Cups with Lid Clear Small Sauce Dressing Souffle Cups Bulk Leakproof Mini Jelly Shots Cup Plastic Containers with Lids for Salad Dressing Snack Souffle Salsa</t>
        </is>
      </c>
      <c r="E274" s="1">
        <f>HYPERLINK("https://www.amazon.com/Plastic-Disposable-Dressing-Leakproof-Containers/dp/B0BXNL593L/ref=sr_1_3?keywords=Choice+2.5+oz.+Clear+Plastic+Souffle+Cup+%2F+Portion+Cup+-+2500%2FCase&amp;qid=1695347753&amp;sr=8-3", "https://www.amazon.com/Plastic-Disposable-Dressing-Leakproof-Containers/dp/B0BXNL593L/ref=sr_1_3?keywords=Choice+2.5+oz.+Clear+Plastic+Souffle+Cup+%2F+Portion+Cup+-+2500%2FCase&amp;qid=1695347753&amp;sr=8-3")</f>
        <v/>
      </c>
      <c r="F274" t="inlineStr">
        <is>
          <t>B0BXNL593L</t>
        </is>
      </c>
      <c r="G274">
        <f>_xlfn.IMAGE("https://cdnimg.webstaurantstore.com/images/products/large/209424/2412818.jpg")</f>
        <v/>
      </c>
      <c r="H274">
        <f>_xlfn.IMAGE("https://m.media-amazon.com/images/I/81amqeOKQiL._AC_UY218_.jpg")</f>
        <v/>
      </c>
      <c r="K274" t="inlineStr">
        <is>
          <t>27.99</t>
        </is>
      </c>
      <c r="L274" t="n">
        <v>56.99</v>
      </c>
      <c r="M274" s="2" t="inlineStr">
        <is>
          <t>103.61%</t>
        </is>
      </c>
      <c r="N274" t="n">
        <v>5</v>
      </c>
      <c r="O274" t="n">
        <v>1</v>
      </c>
      <c r="Q274" t="inlineStr">
        <is>
          <t>InStock</t>
        </is>
      </c>
      <c r="R274" t="inlineStr">
        <is>
          <t>30.99</t>
        </is>
      </c>
      <c r="S274" t="inlineStr">
        <is>
          <t>127p250c</t>
        </is>
      </c>
    </row>
    <row r="275" ht="75" customHeight="1">
      <c r="A275" s="1">
        <f>HYPERLINK("https://www.webstaurantstore.com/choice-28-oz-copper-plated-3-piece-cobbler-cocktail-shaker/176SHAKRCP28.html", "https://www.webstaurantstore.com/choice-28-oz-copper-plated-3-piece-cobbler-cocktail-shaker/176SHAKRCP28.html")</f>
        <v/>
      </c>
      <c r="B275" s="1">
        <f>HYPERLINK("https://www.webstaurantstore.com/choice-28-oz-copper-plated-3-piece-cobbler-cocktail-shaker/176SHAKRCP28.html", "https://www.webstaurantstore.com/choice-28-oz-copper-plated-3-piece-cobbler-cocktail-shaker/176SHAKRCP28.html")</f>
        <v/>
      </c>
      <c r="C275" t="inlineStr">
        <is>
          <t>28 oz. Copper-Plated 3-Piece Cobbler Cocktail Shaker</t>
        </is>
      </c>
      <c r="D275" t="inlineStr">
        <is>
          <t>Professional Boston Cocktail Shaker Set | 4-Piece Bar Set | Stainless Steel 304 | 28oz/18oz Weighted Shaker Tins | Hawthorne Strainer | Double Sided Jigger | Recipe Booklet | Bartender Kit (Copper)</t>
        </is>
      </c>
      <c r="E275" s="1">
        <f>HYPERLINK("https://www.amazon.com/Professional-Cocktail-Stainless-Hawthorne-Bartender/dp/B0B7R6K1LC/ref=sr_1_9?keywords=28+oz.+Copper-Plated+3-Piece+Cobbler+Cocktail+Shaker&amp;qid=1695347689&amp;sr=8-9", "https://www.amazon.com/Professional-Cocktail-Stainless-Hawthorne-Bartender/dp/B0B7R6K1LC/ref=sr_1_9?keywords=28+oz.+Copper-Plated+3-Piece+Cobbler+Cocktail+Shaker&amp;qid=1695347689&amp;sr=8-9")</f>
        <v/>
      </c>
      <c r="F275" t="inlineStr">
        <is>
          <t>B0B7R6K1LC</t>
        </is>
      </c>
      <c r="G275">
        <f>_xlfn.IMAGE("https://cdnimg.webstaurantstore.com/images/products/large/443006/2521225.jpg")</f>
        <v/>
      </c>
      <c r="H275">
        <f>_xlfn.IMAGE("https://m.media-amazon.com/images/I/71tNhmhgoaL._AC_UL320_.jpg")</f>
        <v/>
      </c>
      <c r="K275" t="inlineStr">
        <is>
          <t>3.99</t>
        </is>
      </c>
      <c r="L275" t="n">
        <v>29.99</v>
      </c>
      <c r="M275" s="2" t="inlineStr">
        <is>
          <t>651.63%</t>
        </is>
      </c>
      <c r="N275" t="n">
        <v>4.7</v>
      </c>
      <c r="O275" t="n">
        <v>460</v>
      </c>
      <c r="Q275" t="inlineStr">
        <is>
          <t>InStock</t>
        </is>
      </c>
      <c r="R275" t="inlineStr">
        <is>
          <t>7.99</t>
        </is>
      </c>
      <c r="S275" t="inlineStr">
        <is>
          <t>176shakrcp28</t>
        </is>
      </c>
    </row>
    <row r="276" ht="75" customHeight="1">
      <c r="A276" s="1">
        <f>HYPERLINK("https://www.webstaurantstore.com/choice-5-5-oz-clear-plastic-souffle-cup-portion-cup-case/127P550C.html", "https://www.webstaurantstore.com/choice-5-5-oz-clear-plastic-souffle-cup-portion-cup-case/127P550C.html")</f>
        <v/>
      </c>
      <c r="B276" s="1">
        <f>HYPERLINK("https://www.webstaurantstore.com/choice-5-5-oz-clear-plastic-souffle-cup-portion-cup-case/127P550C.html", "https://www.webstaurantstore.com/choice-5-5-oz-clear-plastic-souffle-cup-portion-cup-case/127P550C.html")</f>
        <v/>
      </c>
      <c r="C276" t="inlineStr">
        <is>
          <t>Choice 5.5 oz. Clear Plastic Souffle Cup / Portion Cup - 2500/Case</t>
        </is>
      </c>
      <c r="D276" t="inlineStr">
        <is>
          <t>Daxwell Plastic Portion Cups, Polypropylene (PP), 5.5 oz, Clear, E10004471 (Case of 2,500)</t>
        </is>
      </c>
      <c r="E276" s="1">
        <f>HYPERLINK("https://www.amazon.com/Daxwell-E10004471-Polypropylene-Portion-Without/dp/B077TQG84B/ref=sr_1_7?keywords=Choice+5.5+oz.+Clear+Plastic+Souffle+Cup+%2F+Portion+Cup+-+2500%2FCase&amp;qid=1695347796&amp;sr=8-7", "https://www.amazon.com/Daxwell-E10004471-Polypropylene-Portion-Without/dp/B077TQG84B/ref=sr_1_7?keywords=Choice+5.5+oz.+Clear+Plastic+Souffle+Cup+%2F+Portion+Cup+-+2500%2FCase&amp;qid=1695347796&amp;sr=8-7")</f>
        <v/>
      </c>
      <c r="F276" t="inlineStr">
        <is>
          <t>B077TQG84B</t>
        </is>
      </c>
      <c r="G276">
        <f>_xlfn.IMAGE("https://cdnimg.webstaurantstore.com/images/products/large/222963/2412706.jpg")</f>
        <v/>
      </c>
      <c r="H276">
        <f>_xlfn.IMAGE("https://m.media-amazon.com/images/I/51kLu5JU3sL._AC_UY218_.jpg")</f>
        <v/>
      </c>
      <c r="K276" t="inlineStr">
        <is>
          <t>44.99</t>
        </is>
      </c>
      <c r="L276" t="n">
        <v>88.92</v>
      </c>
      <c r="M276" s="2" t="inlineStr">
        <is>
          <t>97.64%</t>
        </is>
      </c>
      <c r="N276" t="n">
        <v>5</v>
      </c>
      <c r="O276" t="n">
        <v>6</v>
      </c>
      <c r="Q276" t="inlineStr">
        <is>
          <t>InStock</t>
        </is>
      </c>
      <c r="R276" t="inlineStr">
        <is>
          <t>52.99</t>
        </is>
      </c>
      <c r="S276" t="inlineStr">
        <is>
          <t>127p550c</t>
        </is>
      </c>
    </row>
    <row r="277" ht="75" customHeight="1">
      <c r="A277" s="1">
        <f>HYPERLINK("https://www.webstaurantstore.com/choice-9-clear-polycarbonate-plate-cover-case/260PCCOV9.html", "https://www.webstaurantstore.com/choice-9-clear-polycarbonate-plate-cover-case/260PCCOV9.html")</f>
        <v/>
      </c>
      <c r="B277" s="1">
        <f>HYPERLINK("https://www.webstaurantstore.com/choice-9-clear-polycarbonate-plate-cover-case/260PCCOV9.html", "https://www.webstaurantstore.com/choice-9-clear-polycarbonate-plate-cover-case/260PCCOV9.html")</f>
        <v/>
      </c>
      <c r="C277" t="inlineStr">
        <is>
          <t>Choice 9" Clear Polycarbonate Plate Cover - 12/Case</t>
        </is>
      </c>
      <c r="D277" t="inlineStr">
        <is>
          <t>Carlisle FoodService Products 190007 Polycarbonate Plate Cover, 9.37" Diameter x 2.56" Height, Clear (Case of 12)</t>
        </is>
      </c>
      <c r="E277" s="1">
        <f>HYPERLINK("https://www.amazon.com/Carlisle-190007-Polycarbonate-Bottom-Diameter/dp/B0088OWAGC/ref=sr_1_1?keywords=Choice+9%22+Clear+Polycarbonate+Plate+Cover+-+12%2FCase&amp;qid=1695347778&amp;sr=8-1", "https://www.amazon.com/Carlisle-190007-Polycarbonate-Bottom-Diameter/dp/B0088OWAGC/ref=sr_1_1?keywords=Choice+9%22+Clear+Polycarbonate+Plate+Cover+-+12%2FCase&amp;qid=1695347778&amp;sr=8-1")</f>
        <v/>
      </c>
      <c r="F277" t="inlineStr">
        <is>
          <t>B0088OWAGC</t>
        </is>
      </c>
      <c r="G277">
        <f>_xlfn.IMAGE("https://cdnimg.webstaurantstore.com/images/products/large/596488/2167947.jpg")</f>
        <v/>
      </c>
      <c r="H277">
        <f>_xlfn.IMAGE("https://m.media-amazon.com/images/I/71c5rYmYBqL._AC_UL320_.jpg")</f>
        <v/>
      </c>
      <c r="K277" t="inlineStr">
        <is>
          <t>39.99</t>
        </is>
      </c>
      <c r="L277" t="n">
        <v>131.88</v>
      </c>
      <c r="M277" s="2" t="inlineStr">
        <is>
          <t>229.78%</t>
        </is>
      </c>
      <c r="N277" t="n">
        <v>5</v>
      </c>
      <c r="O277" t="n">
        <v>2</v>
      </c>
      <c r="Q277" t="inlineStr">
        <is>
          <t>InStock</t>
        </is>
      </c>
      <c r="R277" t="inlineStr">
        <is>
          <t>49.99</t>
        </is>
      </c>
      <c r="S277" t="inlineStr">
        <is>
          <t>260pccov9</t>
        </is>
      </c>
    </row>
    <row r="278" ht="75" customHeight="1">
      <c r="A278" s="1">
        <f>HYPERLINK("https://www.webstaurantstore.com/choice-blue-polypropylene-shoe-cover-with-anti-skid-bottom-large-pack/167CBLPPSCLG.html", "https://www.webstaurantstore.com/choice-blue-polypropylene-shoe-cover-with-anti-skid-bottom-large-pack/167CBLPPSCLG.html")</f>
        <v/>
      </c>
      <c r="B278" s="1">
        <f>HYPERLINK("https://www.webstaurantstore.com/choice-blue-polypropylene-shoe-cover-with-anti-skid-bottom-large-pack/167CBLPPSCLG.html", "https://www.webstaurantstore.com/choice-blue-polypropylene-shoe-cover-with-anti-skid-bottom-large-pack/167CBLPPSCLG.html")</f>
        <v/>
      </c>
      <c r="C278" t="inlineStr">
        <is>
          <t>Choice Blue Polypropylene Shoe Cover with Anti-Skid Bottom - Large - 100/Pack</t>
        </is>
      </c>
      <c r="D278" t="inlineStr">
        <is>
          <t>CleanPro Disposable Polypropylene Shoe Covers with Anti-skid Treads, Blue, 2X-Large, 1,000 Count</t>
        </is>
      </c>
      <c r="E278" s="1">
        <f>HYPERLINK("https://www.amazon.com/CleanPro-Polypropylene-Shoe-Covers-2X-Large/dp/B072K2ZD6G/ref=sr_1_1?keywords=Choice+Blue+Polypropylene+Shoe+Cover+with+Anti-Skid+Bottom+-+Large+-+100%2FPack&amp;qid=1695347670&amp;sr=8-1", "https://www.amazon.com/CleanPro-Polypropylene-Shoe-Covers-2X-Large/dp/B072K2ZD6G/ref=sr_1_1?keywords=Choice+Blue+Polypropylene+Shoe+Cover+with+Anti-Skid+Bottom+-+Large+-+100%2FPack&amp;qid=1695347670&amp;sr=8-1")</f>
        <v/>
      </c>
      <c r="F278" t="inlineStr">
        <is>
          <t>B072K2ZD6G</t>
        </is>
      </c>
      <c r="G278">
        <f>_xlfn.IMAGE("https://cdnimg.webstaurantstore.com/images/products/large/648994/2367754.jpg")</f>
        <v/>
      </c>
      <c r="H278">
        <f>_xlfn.IMAGE("https://m.media-amazon.com/images/I/51HnjgBWtWL._AC_UL320_.jpg")</f>
        <v/>
      </c>
      <c r="K278" t="inlineStr">
        <is>
          <t>3.99</t>
        </is>
      </c>
      <c r="L278" t="n">
        <v>110.4</v>
      </c>
      <c r="M278" s="2" t="inlineStr">
        <is>
          <t>2666.92%</t>
        </is>
      </c>
      <c r="N278" t="n">
        <v>3.9</v>
      </c>
      <c r="O278" t="n">
        <v>4</v>
      </c>
      <c r="Q278" t="inlineStr">
        <is>
          <t>InStock</t>
        </is>
      </c>
      <c r="R278" t="inlineStr">
        <is>
          <t>6.49</t>
        </is>
      </c>
      <c r="S278" t="inlineStr">
        <is>
          <t>167cblppsclg</t>
        </is>
      </c>
    </row>
    <row r="279" ht="75" customHeight="1">
      <c r="A279" s="1">
        <f>HYPERLINK("https://www.webstaurantstore.com/complete-world-bartender-guide/145CWBG.html", "https://www.webstaurantstore.com/complete-world-bartender-guide/145CWBG.html")</f>
        <v/>
      </c>
      <c r="B279" s="1">
        <f>HYPERLINK("https://www.webstaurantstore.com/complete-world-bartender-guide/145CWBG.html", "https://www.webstaurantstore.com/complete-world-bartender-guide/145CWBG.html")</f>
        <v/>
      </c>
      <c r="C279" t="inlineStr">
        <is>
          <t>Complete World Bartender Guide</t>
        </is>
      </c>
      <c r="D279" t="inlineStr">
        <is>
          <t>Complete Bartender's Guide: Expert Advice on Equipment, Bar Craft, Cocktails and the Wide World of Alcoholic Drinks</t>
        </is>
      </c>
      <c r="E279" s="1">
        <f>HYPERLINK("https://www.amazon.com/Complete-Bartenders-Guide-Equipment-Cocktails/dp/1847326439/ref=sr_1_6?keywords=Complete+World+Bartender+Guide&amp;qid=1695347693&amp;sr=8-6", "https://www.amazon.com/Complete-Bartenders-Guide-Equipment-Cocktails/dp/1847326439/ref=sr_1_6?keywords=Complete+World+Bartender+Guide&amp;qid=1695347693&amp;sr=8-6")</f>
        <v/>
      </c>
      <c r="F279" t="inlineStr">
        <is>
          <t>1847326439</t>
        </is>
      </c>
      <c r="G279">
        <f>_xlfn.IMAGE("https://cdnimg.webstaurantstore.com/images/products/large/47546/390505.jpg")</f>
        <v/>
      </c>
      <c r="H279">
        <f>_xlfn.IMAGE("https://m.media-amazon.com/images/I/91uWdXShxaL._AC_UY218_.jpg")</f>
        <v/>
      </c>
      <c r="K279" t="inlineStr">
        <is>
          <t>10.99</t>
        </is>
      </c>
      <c r="L279" t="n">
        <v>36.95</v>
      </c>
      <c r="M279" s="2" t="inlineStr">
        <is>
          <t>236.21%</t>
        </is>
      </c>
      <c r="N279" t="n">
        <v>4.5</v>
      </c>
      <c r="O279" t="n">
        <v>18</v>
      </c>
      <c r="Q279" t="inlineStr">
        <is>
          <t>InStock</t>
        </is>
      </c>
      <c r="R279" t="inlineStr">
        <is>
          <t>12.99</t>
        </is>
      </c>
      <c r="S279" t="inlineStr">
        <is>
          <t>145cwbg</t>
        </is>
      </c>
    </row>
    <row r="280" ht="75" customHeight="1">
      <c r="A280" s="1">
        <f>HYPERLINK("https://www.webstaurantstore.com/continental-3201rd-huskee-32-gallon-red-trash-can-lid/6902631RD.html", "https://www.webstaurantstore.com/continental-3201rd-huskee-32-gallon-red-trash-can-lid/6902631RD.html")</f>
        <v/>
      </c>
      <c r="B280" s="1">
        <f>HYPERLINK("https://www.webstaurantstore.com/continental-3201rd-huskee-32-gallon-red-trash-can-lid/6902631RD.html", "https://www.webstaurantstore.com/continental-3201rd-huskee-32-gallon-red-trash-can-lid/6902631RD.html")</f>
        <v/>
      </c>
      <c r="C280" t="inlineStr">
        <is>
          <t>Continental 3201RD Huskee 32 Gallon Red Round Trash Can Lid</t>
        </is>
      </c>
      <c r="D280" t="inlineStr">
        <is>
          <t>Continental 3201 Huskee 32 Gallon Round Trash Can Lid Only, Grey</t>
        </is>
      </c>
      <c r="E280" s="1">
        <f>HYPERLINK("https://www.amazon.com/Continental-3201-Huskee-Gallon-Round/dp/B00125RO42/ref=sr_1_2?keywords=Continental+3201RD+Huskee+32+Gallon+Red+Round+Trash+Can+Lid&amp;qid=1695347687&amp;sr=8-2", "https://www.amazon.com/Continental-3201-Huskee-Gallon-Round/dp/B00125RO42/ref=sr_1_2?keywords=Continental+3201RD+Huskee+32+Gallon+Red+Round+Trash+Can+Lid&amp;qid=1695347687&amp;sr=8-2")</f>
        <v/>
      </c>
      <c r="F280" t="inlineStr">
        <is>
          <t>B00125RO42</t>
        </is>
      </c>
      <c r="G280">
        <f>_xlfn.IMAGE("https://cdnimg.webstaurantstore.com/images/products/large/42920/1346406.jpg")</f>
        <v/>
      </c>
      <c r="H280">
        <f>_xlfn.IMAGE("https://m.media-amazon.com/images/I/61hIly7IsgL._AC_UY218_.jpg")</f>
        <v/>
      </c>
      <c r="K280" t="inlineStr">
        <is>
          <t>8.41</t>
        </is>
      </c>
      <c r="L280" t="n">
        <v>22.68</v>
      </c>
      <c r="M280" s="2" t="inlineStr">
        <is>
          <t>169.68%</t>
        </is>
      </c>
      <c r="N280" t="n">
        <v>4.3</v>
      </c>
      <c r="O280" t="n">
        <v>54</v>
      </c>
      <c r="Q280" t="inlineStr">
        <is>
          <t>InStock</t>
        </is>
      </c>
      <c r="R280" t="inlineStr">
        <is>
          <t>9.89</t>
        </is>
      </c>
      <c r="S280" t="inlineStr">
        <is>
          <t>6902631rd</t>
        </is>
      </c>
    </row>
    <row r="281" ht="75" customHeight="1">
      <c r="A281" s="1">
        <f>HYPERLINK("https://www.webstaurantstore.com/dannon-low-fat-plain-yogurt-32-oz-case/874DAN5793.html", "https://www.webstaurantstore.com/dannon-low-fat-plain-yogurt-32-oz-case/874DAN5793.html")</f>
        <v/>
      </c>
      <c r="B281" s="1">
        <f>HYPERLINK("https://www.webstaurantstore.com/dannon-low-fat-plain-yogurt-32-oz-case/874DAN5793.html", "https://www.webstaurantstore.com/dannon-low-fat-plain-yogurt-32-oz-case/874DAN5793.html")</f>
        <v/>
      </c>
      <c r="C281" t="inlineStr">
        <is>
          <t>Dannon Low-Fat Plain Yogurt 32 oz. - 6/Case</t>
        </is>
      </c>
      <c r="D281" t="inlineStr">
        <is>
          <t>Upstate Farms Greek Nonfat Blended Plain Yogurt, 32 Ounce - 6 per case.</t>
        </is>
      </c>
      <c r="E281" s="1">
        <f>HYPERLINK("https://www.amazon.com/Upstate-Farms-Nonfat-Blended-Yogurt/dp/B00MJG425M/ref=sr_1_fkmr0_2?keywords=Dannon+Low-Fat+Plain+Yogurt+32+oz.+-+6%2FCase&amp;qid=1695347733&amp;sr=8-2-fkmr0", "https://www.amazon.com/Upstate-Farms-Nonfat-Blended-Yogurt/dp/B00MJG425M/ref=sr_1_fkmr0_2?keywords=Dannon+Low-Fat+Plain+Yogurt+32+oz.+-+6%2FCase&amp;qid=1695347733&amp;sr=8-2-fkmr0")</f>
        <v/>
      </c>
      <c r="F281" t="inlineStr">
        <is>
          <t>B00MJG425M</t>
        </is>
      </c>
      <c r="G281">
        <f>_xlfn.IMAGE("https://cdnimg.webstaurantstore.com/images/products/large/731025/2502116.jpg")</f>
        <v/>
      </c>
      <c r="H281">
        <f>_xlfn.IMAGE("https://m.media-amazon.com/images/I/51wEU26L1KL._AC_UL320_.jpg")</f>
        <v/>
      </c>
      <c r="K281" t="inlineStr">
        <is>
          <t>22.53</t>
        </is>
      </c>
      <c r="L281" t="n">
        <v>75.3</v>
      </c>
      <c r="M281" s="2" t="inlineStr">
        <is>
          <t>234.22%</t>
        </is>
      </c>
      <c r="N281" t="n">
        <v>5</v>
      </c>
      <c r="O281" t="n">
        <v>3</v>
      </c>
      <c r="Q281" t="inlineStr">
        <is>
          <t>InStock</t>
        </is>
      </c>
      <c r="R281" t="inlineStr">
        <is>
          <t>undefined</t>
        </is>
      </c>
      <c r="S281" t="inlineStr">
        <is>
          <t>874dan5793</t>
        </is>
      </c>
    </row>
    <row r="282" ht="75" customHeight="1">
      <c r="A282" s="1">
        <f>HYPERLINK("https://www.webstaurantstore.com/del-monte-fruit-crunch-strawberry-parfait-5-3oz-case/877DEL005056.html", "https://www.webstaurantstore.com/del-monte-fruit-crunch-strawberry-parfait-5-3oz-case/877DEL005056.html")</f>
        <v/>
      </c>
      <c r="B282" s="1">
        <f>HYPERLINK("https://www.webstaurantstore.com/del-monte-fruit-crunch-strawberry-parfait-5-3oz-case/877DEL005056.html", "https://www.webstaurantstore.com/del-monte-fruit-crunch-strawberry-parfait-5-3oz-case/877DEL005056.html")</f>
        <v/>
      </c>
      <c r="C282" t="inlineStr">
        <is>
          <t>Del Monte Fruit Crunch Strawberry Parfait 5.3oz. - 6/Case</t>
        </is>
      </c>
      <c r="D282" t="inlineStr">
        <is>
          <t>Del Monte Fruit Crunch Parfait Strawberry, 5.3 Ounce Cup -- 6 per case.</t>
        </is>
      </c>
      <c r="E282" s="1">
        <f>HYPERLINK("https://www.amazon.com/Del-Monte-Crunch-Parfait-Strawberry/dp/B08TLZJ55M/ref=sr_1_1?keywords=Del+Monte+Fruit+Crunch+Strawberry+Parfait+5.3oz.+-+6%2FCase&amp;qid=1695347714&amp;sr=8-1", "https://www.amazon.com/Del-Monte-Crunch-Parfait-Strawberry/dp/B08TLZJ55M/ref=sr_1_1?keywords=Del+Monte+Fruit+Crunch+Strawberry+Parfait+5.3oz.+-+6%2FCase&amp;qid=1695347714&amp;sr=8-1")</f>
        <v/>
      </c>
      <c r="F282" t="inlineStr">
        <is>
          <t>B08TLZJ55M</t>
        </is>
      </c>
      <c r="G282">
        <f>_xlfn.IMAGE("https://cdnimg.webstaurantstore.com/images/products/large/728331/2496251.jpg")</f>
        <v/>
      </c>
      <c r="H282">
        <f>_xlfn.IMAGE("https://m.media-amazon.com/images/I/814yARdSXLL._AC_UL320_.jpg")</f>
        <v/>
      </c>
      <c r="K282" t="inlineStr">
        <is>
          <t>15.64</t>
        </is>
      </c>
      <c r="L282" t="n">
        <v>42.31</v>
      </c>
      <c r="M282" s="2" t="inlineStr">
        <is>
          <t>170.52%</t>
        </is>
      </c>
      <c r="N282" t="n">
        <v>3.8</v>
      </c>
      <c r="O282" t="n">
        <v>2</v>
      </c>
      <c r="Q282" t="inlineStr">
        <is>
          <t>InStock</t>
        </is>
      </c>
      <c r="R282" t="inlineStr">
        <is>
          <t>undefined</t>
        </is>
      </c>
      <c r="S282" t="inlineStr">
        <is>
          <t>877del005056</t>
        </is>
      </c>
    </row>
    <row r="283" ht="75" customHeight="1">
      <c r="A283" s="1">
        <f>HYPERLINK("https://www.webstaurantstore.com/ecochoice-biodegradable-compostable-sugarcane-bagasse-10-plate-case/395RP10.html", "https://www.webstaurantstore.com/ecochoice-biodegradable-compostable-sugarcane-bagasse-10-plate-case/395RP10.html")</f>
        <v/>
      </c>
      <c r="B283" s="1">
        <f>HYPERLINK("https://www.webstaurantstore.com/ecochoice-biodegradable-compostable-sugarcane-bagasse-10-plate-case/395RP10.html", "https://www.webstaurantstore.com/ecochoice-biodegradable-compostable-sugarcane-bagasse-10-plate-case/395RP10.html")</f>
        <v/>
      </c>
      <c r="C283" t="inlineStr">
        <is>
          <t>EcoChoice Compostable Sugarcane / Bagasse 10" Plate - 500/Case</t>
        </is>
      </c>
      <c r="D283" t="inlineStr">
        <is>
          <t>Green Earth - Natural Bagasse (Sugarcane Fiber) Tree Free 10" Paper Plate / Biodegradable / Compostable (500 Counts Disposable Plates）</t>
        </is>
      </c>
      <c r="E283" s="1">
        <f>HYPERLINK("https://www.amazon.com/Green-Earth-Biodegradable-Compostable-Disposable/dp/B06XD6L4MB/ref=sr_1_2?keywords=EcoChoice+Compostable+Sugarcane+%2F+Bagasse+10%22+Plate+-+500%2FCase&amp;qid=1695347809&amp;sr=8-2", "https://www.amazon.com/Green-Earth-Biodegradable-Compostable-Disposable/dp/B06XD6L4MB/ref=sr_1_2?keywords=EcoChoice+Compostable+Sugarcane+%2F+Bagasse+10%22+Plate+-+500%2FCase&amp;qid=1695347809&amp;sr=8-2")</f>
        <v/>
      </c>
      <c r="F283" t="inlineStr">
        <is>
          <t>B06XD6L4MB</t>
        </is>
      </c>
      <c r="G283">
        <f>_xlfn.IMAGE("https://cdnimg.webstaurantstore.com/images/products/large/174111/2396408.jpg")</f>
        <v/>
      </c>
      <c r="H283">
        <f>_xlfn.IMAGE("https://m.media-amazon.com/images/I/81egQdOnMdL._AC_UL320_.jpg")</f>
        <v/>
      </c>
      <c r="K283" t="inlineStr">
        <is>
          <t>46.99</t>
        </is>
      </c>
      <c r="L283" t="n">
        <v>98.89</v>
      </c>
      <c r="M283" s="2" t="inlineStr">
        <is>
          <t>110.45%</t>
        </is>
      </c>
      <c r="N283" t="n">
        <v>4.7</v>
      </c>
      <c r="O283" t="n">
        <v>69</v>
      </c>
      <c r="Q283" t="inlineStr">
        <is>
          <t>InStock</t>
        </is>
      </c>
      <c r="R283" t="inlineStr">
        <is>
          <t>54.49</t>
        </is>
      </c>
      <c r="S283" t="inlineStr">
        <is>
          <t>395rp10</t>
        </is>
      </c>
    </row>
    <row r="284" ht="75" customHeight="1">
      <c r="A284" s="1">
        <f>HYPERLINK("https://www.webstaurantstore.com/ecochoice-biodegradable-compostable-sugarcane-bagasse-16-oz-round-bowl-case/395RB16.html", "https://www.webstaurantstore.com/ecochoice-biodegradable-compostable-sugarcane-bagasse-16-oz-round-bowl-case/395RB16.html")</f>
        <v/>
      </c>
      <c r="B284" s="1">
        <f>HYPERLINK("https://www.webstaurantstore.com/ecochoice-biodegradable-compostable-sugarcane-bagasse-16-oz-round-bowl-case/395RB16.html", "https://www.webstaurantstore.com/ecochoice-biodegradable-compostable-sugarcane-bagasse-16-oz-round-bowl-case/395RB16.html")</f>
        <v/>
      </c>
      <c r="C284" t="inlineStr">
        <is>
          <t>EcoChoice Compostable Sugarcane / Bagasse 16 oz. Round Bowl - 1000/Case</t>
        </is>
      </c>
      <c r="D284" t="inlineStr">
        <is>
          <t>Green Earth, 16 oz, 1000-Count, Compostable Bowls, Natural Bagasse (Sugarcane Fiber), Everyday Tableware - Biodegradable – Disposable - Round Shape - Microwave-Safe - Gluten-Free - Eco-Friendly</t>
        </is>
      </c>
      <c r="E284" s="1">
        <f>HYPERLINK("https://www.amazon.com/Green-Earth-1000-Count-Compostable-Sugarcane/dp/B0872L4T9C/ref=sr_1_1?keywords=EcoChoice+Compostable+Sugarcane+%2F+Bagasse+16+oz.+Round+Bowl+-+1000%2FCase&amp;qid=1695347845&amp;sr=8-1", "https://www.amazon.com/Green-Earth-1000-Count-Compostable-Sugarcane/dp/B0872L4T9C/ref=sr_1_1?keywords=EcoChoice+Compostable+Sugarcane+%2F+Bagasse+16+oz.+Round+Bowl+-+1000%2FCase&amp;qid=1695347845&amp;sr=8-1")</f>
        <v/>
      </c>
      <c r="F284" t="inlineStr">
        <is>
          <t>B0872L4T9C</t>
        </is>
      </c>
      <c r="G284">
        <f>_xlfn.IMAGE("https://cdnimg.webstaurantstore.com/images/products/large/406909/2380329.jpg")</f>
        <v/>
      </c>
      <c r="H284">
        <f>_xlfn.IMAGE("https://m.media-amazon.com/images/I/610LV5XzfaL._AC_UL320_.jpg")</f>
        <v/>
      </c>
      <c r="K284" t="inlineStr">
        <is>
          <t>62.99</t>
        </is>
      </c>
      <c r="L284" t="n">
        <v>112.69</v>
      </c>
      <c r="M284" s="2" t="inlineStr">
        <is>
          <t>78.90%</t>
        </is>
      </c>
      <c r="N284" t="n">
        <v>4.6</v>
      </c>
      <c r="O284" t="n">
        <v>94</v>
      </c>
      <c r="Q284" t="inlineStr">
        <is>
          <t>InStock</t>
        </is>
      </c>
      <c r="R284" t="inlineStr">
        <is>
          <t>72.49</t>
        </is>
      </c>
      <c r="S284" t="inlineStr">
        <is>
          <t>395rb16</t>
        </is>
      </c>
    </row>
    <row r="285" ht="75" customHeight="1">
      <c r="A285" s="1">
        <f>HYPERLINK("https://www.webstaurantstore.com/ecochoice-biodegradable-compostable-sugarcane-bagasse-4-oz-portion-cup-case/395PC04.html", "https://www.webstaurantstore.com/ecochoice-biodegradable-compostable-sugarcane-bagasse-4-oz-portion-cup-case/395PC04.html")</f>
        <v/>
      </c>
      <c r="B285" s="1">
        <f>HYPERLINK("https://www.webstaurantstore.com/ecochoice-biodegradable-compostable-sugarcane-bagasse-4-oz-portion-cup-case/395PC04.html", "https://www.webstaurantstore.com/ecochoice-biodegradable-compostable-sugarcane-bagasse-4-oz-portion-cup-case/395PC04.html")</f>
        <v/>
      </c>
      <c r="C285" t="inlineStr">
        <is>
          <t>EcoChoice Compostable Sugarcane / Bagasse 4 oz. Portion Cup - 1000/Case</t>
        </is>
      </c>
      <c r="D285" t="inlineStr">
        <is>
          <t>4-oz (115 ml) Beverage and Food Serving Cup [Case of 1500], Heavy-Duty, 100% Biodegradable Home Compostable, Plastic-Free, Made of Eco-Friendly Plant-Based Sugarcane Bagasse Fibers</t>
        </is>
      </c>
      <c r="E285" s="1">
        <f>HYPERLINK("https://www.amazon.com/Biodegradable-Compostable-Plastic-Free-Eco-Friendly-Plant-Based/dp/B0BWLCPJJ1/ref=sr_1_8?keywords=EcoChoice+Compostable+Sugarcane+%2F+Bagasse+4+oz.+Portion+Cup+-+1000%2FCase&amp;qid=1695347776&amp;sr=8-8", "https://www.amazon.com/Biodegradable-Compostable-Plastic-Free-Eco-Friendly-Plant-Based/dp/B0BWLCPJJ1/ref=sr_1_8?keywords=EcoChoice+Compostable+Sugarcane+%2F+Bagasse+4+oz.+Portion+Cup+-+1000%2FCase&amp;qid=1695347776&amp;sr=8-8")</f>
        <v/>
      </c>
      <c r="F285" t="inlineStr">
        <is>
          <t>B0BWLCPJJ1</t>
        </is>
      </c>
      <c r="G285">
        <f>_xlfn.IMAGE("https://cdnimg.webstaurantstore.com/images/products/large/234365/2400451.jpg")</f>
        <v/>
      </c>
      <c r="H285">
        <f>_xlfn.IMAGE("https://m.media-amazon.com/images/I/4108-Ra5nAL._AC_UL320_.jpg")</f>
        <v/>
      </c>
      <c r="K285" t="inlineStr">
        <is>
          <t>37.99</t>
        </is>
      </c>
      <c r="L285" t="n">
        <v>114.99</v>
      </c>
      <c r="M285" s="2" t="inlineStr">
        <is>
          <t>202.68%</t>
        </is>
      </c>
      <c r="N285" t="n">
        <v>5</v>
      </c>
      <c r="O285" t="n">
        <v>2</v>
      </c>
      <c r="Q285" t="inlineStr">
        <is>
          <t>InStock</t>
        </is>
      </c>
      <c r="R285" t="inlineStr">
        <is>
          <t>45.99</t>
        </is>
      </c>
      <c r="S285" t="inlineStr">
        <is>
          <t>395pc04</t>
        </is>
      </c>
    </row>
    <row r="286" ht="75" customHeight="1">
      <c r="A286" s="1">
        <f>HYPERLINK("https://www.webstaurantstore.com/ecochoice-biodegradable-compostable-sugarcane-bagasse-7-1-2-x-10-oval-platter-case/395OP10.html", "https://www.webstaurantstore.com/ecochoice-biodegradable-compostable-sugarcane-bagasse-7-1-2-x-10-oval-platter-case/395OP10.html")</f>
        <v/>
      </c>
      <c r="B286" s="1">
        <f>HYPERLINK("https://www.webstaurantstore.com/ecochoice-biodegradable-compostable-sugarcane-bagasse-7-1-2-x-10-oval-platter-case/395OP10.html", "https://www.webstaurantstore.com/ecochoice-biodegradable-compostable-sugarcane-bagasse-7-1-2-x-10-oval-platter-case/395OP10.html")</f>
        <v/>
      </c>
      <c r="C286" t="inlineStr">
        <is>
          <t>EcoChoice Compostable Sugarcane / Bagasse 7 1/2" x 10" Oval Platter - 500/Case</t>
        </is>
      </c>
      <c r="D286" t="inlineStr">
        <is>
          <t>brheez Disposable Oval Paper Dinner Plates – Case of 500 Heavy Duty, 7.5"x10" Compostable, Platters – Natural, Large Oval Paper Plates for BBQ, Parties, Holidays, Gatherings, &amp; More</t>
        </is>
      </c>
      <c r="E286" s="1">
        <f>HYPERLINK("https://www.amazon.com/Thanksgiving-Disposable-Paper-Dinner-Plates/dp/B085H8YSF4/ref=sr_1_8?keywords=EcoChoice+Compostable+Sugarcane+%2F+Bagasse+7+1%2F2+x+10+Oval+Platter+-+500%2FCase&amp;qid=1695347801&amp;sr=8-8", "https://www.amazon.com/Thanksgiving-Disposable-Paper-Dinner-Plates/dp/B085H8YSF4/ref=sr_1_8?keywords=EcoChoice+Compostable+Sugarcane+%2F+Bagasse+7+1%2F2+x+10+Oval+Platter+-+500%2FCase&amp;qid=1695347801&amp;sr=8-8")</f>
        <v/>
      </c>
      <c r="F286" t="inlineStr">
        <is>
          <t>B085H8YSF4</t>
        </is>
      </c>
      <c r="G286">
        <f>_xlfn.IMAGE("https://cdnimg.webstaurantstore.com/images/products/large/174050/2379693.jpg")</f>
        <v/>
      </c>
      <c r="H286">
        <f>_xlfn.IMAGE("https://m.media-amazon.com/images/I/71rihqK9vnL._AC_UL320_.jpg")</f>
        <v/>
      </c>
      <c r="K286" t="inlineStr">
        <is>
          <t>45.99</t>
        </is>
      </c>
      <c r="L286" t="n">
        <v>149.99</v>
      </c>
      <c r="M286" s="2" t="inlineStr">
        <is>
          <t>226.14%</t>
        </is>
      </c>
      <c r="N286" t="n">
        <v>4.6</v>
      </c>
      <c r="O286" t="n">
        <v>632</v>
      </c>
      <c r="Q286" t="inlineStr">
        <is>
          <t>InStock</t>
        </is>
      </c>
      <c r="R286" t="inlineStr">
        <is>
          <t>51.49</t>
        </is>
      </c>
      <c r="S286" t="inlineStr">
        <is>
          <t>395op10</t>
        </is>
      </c>
    </row>
    <row r="287" ht="75" customHeight="1">
      <c r="A287" s="1">
        <f>HYPERLINK("https://www.webstaurantstore.com/ecochoice-biodegradable-compostable-sugarcane-bagasse-8-oz-bowl-case/395RB08.html", "https://www.webstaurantstore.com/ecochoice-biodegradable-compostable-sugarcane-bagasse-8-oz-bowl-case/395RB08.html")</f>
        <v/>
      </c>
      <c r="B287" s="1">
        <f>HYPERLINK("https://www.webstaurantstore.com/ecochoice-biodegradable-compostable-sugarcane-bagasse-8-oz-bowl-case/395RB08.html", "https://www.webstaurantstore.com/ecochoice-biodegradable-compostable-sugarcane-bagasse-8-oz-bowl-case/395RB08.html")</f>
        <v/>
      </c>
      <c r="C287" t="inlineStr">
        <is>
          <t>EcoChoice Compostable Sugarcane / Bagasse 8 oz. Bowl - 1000/Case</t>
        </is>
      </c>
      <c r="D287" t="inlineStr">
        <is>
          <t>Green Earth, 12 oz, 1000-Count, Compostable Bowls, Natural Bagasse (Sugarcane Fiber), Everyday Tableware - Biodegradable – Disposable - Round Shape - Microwave-Safe - Gluten-Free - Eco-Friendly</t>
        </is>
      </c>
      <c r="E287" s="1">
        <f>HYPERLINK("https://www.amazon.com/Green-Earth-1000-Count-Compostable-Sugarcane/dp/B0872KTHWB/ref=sr_1_3?keywords=EcoChoice+Compostable+Sugarcane+%2F+Bagasse+8+oz.+Bowl+-+1000%2FCase&amp;qid=1695347780&amp;sr=8-3", "https://www.amazon.com/Green-Earth-1000-Count-Compostable-Sugarcane/dp/B0872KTHWB/ref=sr_1_3?keywords=EcoChoice+Compostable+Sugarcane+%2F+Bagasse+8+oz.+Bowl+-+1000%2FCase&amp;qid=1695347780&amp;sr=8-3")</f>
        <v/>
      </c>
      <c r="F287" t="inlineStr">
        <is>
          <t>B0872KTHWB</t>
        </is>
      </c>
      <c r="G287">
        <f>_xlfn.IMAGE("https://cdnimg.webstaurantstore.com/images/products/large/174051/2380322.jpg")</f>
        <v/>
      </c>
      <c r="H287">
        <f>_xlfn.IMAGE("https://m.media-amazon.com/images/I/61vRnmNyi3L._AC_UL320_.jpg")</f>
        <v/>
      </c>
      <c r="K287" t="inlineStr">
        <is>
          <t>37.99</t>
        </is>
      </c>
      <c r="L287" t="n">
        <v>90.89</v>
      </c>
      <c r="M287" s="2" t="inlineStr">
        <is>
          <t>139.25%</t>
        </is>
      </c>
      <c r="N287" t="n">
        <v>4.6</v>
      </c>
      <c r="O287" t="n">
        <v>94</v>
      </c>
      <c r="Q287" t="inlineStr">
        <is>
          <t>InStock</t>
        </is>
      </c>
      <c r="R287" t="inlineStr">
        <is>
          <t>49.99</t>
        </is>
      </c>
      <c r="S287" t="inlineStr">
        <is>
          <t>395rb08</t>
        </is>
      </c>
    </row>
    <row r="288" ht="75" customHeight="1">
      <c r="A288" s="1">
        <f>HYPERLINK("https://www.webstaurantstore.com/g/1601/baker-s-mark-2-compartment-clear-ops-plastic-cupcake-muffin-container", "https://www.webstaurantstore.com/g/1601/baker-s-mark-2-compartment-clear-ops-plastic-cupcake-muffin-container")</f>
        <v/>
      </c>
      <c r="B288" s="1">
        <f>HYPERLINK("https://www.webstaurantstore.com/g/1601/baker-s-mark-2-compartment-clear-ops-plastic-cupcake-muffin-container", "https://www.webstaurantstore.com/g/1601/baker-s-mark-2-compartment-clear-ops-plastic-cupcake-muffin-container")</f>
        <v/>
      </c>
      <c r="C288" t="inlineStr">
        <is>
          <t>Baker's Mark 2-Compartment Clear OPS Plastic Cupcake / Muffin Container</t>
        </is>
      </c>
      <c r="D288" t="inlineStr">
        <is>
          <t>Detroit Forming LBH-6646 6 Compartment Clear OPS Plastic Hinged Cupcake Muffin Container, 9 x 3 x 3 | 350/Case</t>
        </is>
      </c>
      <c r="E288" s="1">
        <f>HYPERLINK("https://www.amazon.com/Detroit-Forming-LBH-6646-Compartment-Container/dp/B07DF9TP47/ref=sr_1_1?keywords=Bakers+Mark+2-Compartment+Clear+OPS+Plastic+Cupcake+%2F+Muffin+Container&amp;qid=1695347793&amp;sr=8-1", "https://www.amazon.com/Detroit-Forming-LBH-6646-Compartment-Container/dp/B07DF9TP47/ref=sr_1_1?keywords=Bakers+Mark+2-Compartment+Clear+OPS+Plastic+Cupcake+%2F+Muffin+Container&amp;qid=1695347793&amp;sr=8-1")</f>
        <v/>
      </c>
      <c r="F288" t="inlineStr">
        <is>
          <t>B07DF9TP47</t>
        </is>
      </c>
      <c r="G288">
        <f>_xlfn.IMAGE("https://cdnimg.webstaurantstore.com/images/products/large/550489/2099424.jpg")</f>
        <v/>
      </c>
      <c r="H288">
        <f>_xlfn.IMAGE("https://m.media-amazon.com/images/I/61vxXu73xbL._AC_UL320_.jpg")</f>
        <v/>
      </c>
      <c r="K288" t="inlineStr">
        <is>
          <t>43.99</t>
        </is>
      </c>
      <c r="L288" t="n">
        <v>103.15</v>
      </c>
      <c r="M288" s="2" t="inlineStr">
        <is>
          <t>134.49%</t>
        </is>
      </c>
      <c r="N288" t="n">
        <v>5</v>
      </c>
      <c r="O288" t="n">
        <v>3</v>
      </c>
      <c r="Q288" t="inlineStr">
        <is>
          <t>InStock</t>
        </is>
      </c>
      <c r="R288" t="inlineStr">
        <is>
          <t>54.99</t>
        </is>
      </c>
      <c r="S288" t="inlineStr">
        <is>
          <t>826cc02250</t>
        </is>
      </c>
    </row>
    <row r="289" ht="75" customHeight="1">
      <c r="A289" s="1">
        <f>HYPERLINK("https://www.webstaurantstore.com/g/8432/the-cocktail-garnish-dried-blood-orange-slices", "https://www.webstaurantstore.com/g/8432/the-cocktail-garnish-dried-blood-orange-slices")</f>
        <v/>
      </c>
      <c r="B289" s="1">
        <f>HYPERLINK("https://www.webstaurantstore.com/g/8432/the-cocktail-garnish-dried-blood-orange-slices", "https://www.webstaurantstore.com/g/8432/the-cocktail-garnish-dried-blood-orange-slices")</f>
        <v/>
      </c>
      <c r="C289" t="inlineStr">
        <is>
          <t>The Cocktail Garnish Dried Blood Orange Slices</t>
        </is>
      </c>
      <c r="D289" t="inlineStr">
        <is>
          <t>JTEDZI Dried Orange Slices, Dehydrated Orange Slices, Dried Citrus Slices, Dehydrated Fruit for Cocktails Garnish, Home Decor, No Sugar Added Fruit Tea (Orange Slices, 17.63oz(500g))</t>
        </is>
      </c>
      <c r="E289" s="1">
        <f>HYPERLINK("https://www.amazon.com/JTEDZI-Dehydrated-Cocktails-Garnish-17-63oz/dp/B09WMPGKWM/ref=sr_1_10?keywords=The+Cocktail+Garnish+Dried+Blood+Orange+Slices&amp;qid=1695347701&amp;sr=8-10", "https://www.amazon.com/JTEDZI-Dehydrated-Cocktails-Garnish-17-63oz/dp/B09WMPGKWM/ref=sr_1_10?keywords=The+Cocktail+Garnish+Dried+Blood+Orange+Slices&amp;qid=1695347701&amp;sr=8-10")</f>
        <v/>
      </c>
      <c r="F289" t="inlineStr">
        <is>
          <t>B09WMPGKWM</t>
        </is>
      </c>
      <c r="G289">
        <f>_xlfn.IMAGE("https://cdnimg.webstaurantstore.com/images/products/large/690002/2380602.jpg")</f>
        <v/>
      </c>
      <c r="H289">
        <f>_xlfn.IMAGE("https://m.media-amazon.com/images/I/61jA9tbsYDL._AC_UL320_.jpg")</f>
        <v/>
      </c>
      <c r="K289" t="inlineStr">
        <is>
          <t>6.49</t>
        </is>
      </c>
      <c r="L289" t="n">
        <v>22.99</v>
      </c>
      <c r="M289" s="2" t="inlineStr">
        <is>
          <t>254.24%</t>
        </is>
      </c>
      <c r="N289" t="n">
        <v>4.3</v>
      </c>
      <c r="O289" t="n">
        <v>76</v>
      </c>
      <c r="Q289" t="inlineStr">
        <is>
          <t>InStock</t>
        </is>
      </c>
      <c r="R289" t="inlineStr">
        <is>
          <t>8.29</t>
        </is>
      </c>
      <c r="S289" t="inlineStr">
        <is>
          <t>115ftcgborng</t>
        </is>
      </c>
    </row>
    <row r="290" ht="75" customHeight="1">
      <c r="A290" s="1">
        <f>HYPERLINK("https://www.webstaurantstore.com/g/8432/the-cocktail-garnish-dried-blood-orange-slices", "https://www.webstaurantstore.com/g/8432/the-cocktail-garnish-dried-blood-orange-slices")</f>
        <v/>
      </c>
      <c r="B290" s="1">
        <f>HYPERLINK("https://www.webstaurantstore.com/g/8432/the-cocktail-garnish-dried-blood-orange-slices", "https://www.webstaurantstore.com/g/8432/the-cocktail-garnish-dried-blood-orange-slices")</f>
        <v/>
      </c>
      <c r="C290" t="inlineStr">
        <is>
          <t>The Cocktail Garnish Dried Blood Orange Slices</t>
        </is>
      </c>
      <c r="D290" t="inlineStr">
        <is>
          <t>Barrel Roll Bar Essentials USA Grown Dried Orange Slices for Cocktails | 4 Ounces of Large Dehydrated Oranges | Orange Cocktail Garnish | Dried Fruit for Cocktails &amp; Healthy Snacks | Preservative Free</t>
        </is>
      </c>
      <c r="E290" s="1">
        <f>HYPERLINK("https://www.amazon.com/Barrel-Roll-Bar-Essentials-Preservative/dp/B0B781V2SP/ref=sr_1_5?keywords=The+Cocktail+Garnish+Dried+Blood+Orange+Slices&amp;qid=1695347701&amp;sr=8-5", "https://www.amazon.com/Barrel-Roll-Bar-Essentials-Preservative/dp/B0B781V2SP/ref=sr_1_5?keywords=The+Cocktail+Garnish+Dried+Blood+Orange+Slices&amp;qid=1695347701&amp;sr=8-5")</f>
        <v/>
      </c>
      <c r="F290" t="inlineStr">
        <is>
          <t>B0B781V2SP</t>
        </is>
      </c>
      <c r="G290">
        <f>_xlfn.IMAGE("https://cdnimg.webstaurantstore.com/images/products/large/690002/2380602.jpg")</f>
        <v/>
      </c>
      <c r="H290">
        <f>_xlfn.IMAGE("https://m.media-amazon.com/images/I/81xdG81Q+mL._AC_UL320_.jpg")</f>
        <v/>
      </c>
      <c r="K290" t="inlineStr">
        <is>
          <t>6.49</t>
        </is>
      </c>
      <c r="L290" t="n">
        <v>18.35</v>
      </c>
      <c r="M290" s="2" t="inlineStr">
        <is>
          <t>182.74%</t>
        </is>
      </c>
      <c r="N290" t="n">
        <v>4.4</v>
      </c>
      <c r="O290" t="n">
        <v>66</v>
      </c>
      <c r="Q290" t="inlineStr">
        <is>
          <t>InStock</t>
        </is>
      </c>
      <c r="R290" t="inlineStr">
        <is>
          <t>8.29</t>
        </is>
      </c>
      <c r="S290" t="inlineStr">
        <is>
          <t>115ftcgborng</t>
        </is>
      </c>
    </row>
    <row r="291" ht="75" customHeight="1">
      <c r="A291" s="1">
        <f>HYPERLINK("https://www.webstaurantstore.com/g/8432/the-cocktail-garnish-dried-blood-orange-slices", "https://www.webstaurantstore.com/g/8432/the-cocktail-garnish-dried-blood-orange-slices")</f>
        <v/>
      </c>
      <c r="B291" s="1">
        <f>HYPERLINK("https://www.webstaurantstore.com/g/8432/the-cocktail-garnish-dried-blood-orange-slices", "https://www.webstaurantstore.com/g/8432/the-cocktail-garnish-dried-blood-orange-slices")</f>
        <v/>
      </c>
      <c r="C291" t="inlineStr">
        <is>
          <t>The Cocktail Garnish Dried Blood Orange Slices</t>
        </is>
      </c>
      <c r="D291" t="inlineStr">
        <is>
          <t>Cocktail 2 Cocktail Garnish - Blood Orange, 2.5oz, 20+ Slices, 2.5 oz</t>
        </is>
      </c>
      <c r="E291" s="1">
        <f>HYPERLINK("https://www.amazon.com/Cocktail-Garnish-Blood-Orange-Slices/dp/B093ZCG3FD/ref=sr_1_2?keywords=The+Cocktail+Garnish+Dried+Blood+Orange+Slices&amp;qid=1695347701&amp;sr=8-2", "https://www.amazon.com/Cocktail-Garnish-Blood-Orange-Slices/dp/B093ZCG3FD/ref=sr_1_2?keywords=The+Cocktail+Garnish+Dried+Blood+Orange+Slices&amp;qid=1695347701&amp;sr=8-2")</f>
        <v/>
      </c>
      <c r="F291" t="inlineStr">
        <is>
          <t>B093ZCG3FD</t>
        </is>
      </c>
      <c r="G291">
        <f>_xlfn.IMAGE("https://cdnimg.webstaurantstore.com/images/products/large/690002/2380602.jpg")</f>
        <v/>
      </c>
      <c r="H291">
        <f>_xlfn.IMAGE("https://m.media-amazon.com/images/I/51hJ+WKtgUL._AC_UL320_.jpg")</f>
        <v/>
      </c>
      <c r="K291" t="inlineStr">
        <is>
          <t>6.49</t>
        </is>
      </c>
      <c r="L291" t="n">
        <v>16.5</v>
      </c>
      <c r="M291" s="2" t="inlineStr">
        <is>
          <t>154.24%</t>
        </is>
      </c>
      <c r="N291" t="n">
        <v>4.7</v>
      </c>
      <c r="O291" t="n">
        <v>183</v>
      </c>
      <c r="Q291" t="inlineStr">
        <is>
          <t>InStock</t>
        </is>
      </c>
      <c r="R291" t="inlineStr">
        <is>
          <t>8.29</t>
        </is>
      </c>
      <c r="S291" t="inlineStr">
        <is>
          <t>115ftcgborng</t>
        </is>
      </c>
    </row>
    <row r="292" ht="75" customHeight="1">
      <c r="A292" s="1">
        <f>HYPERLINK("https://www.webstaurantstore.com/g/8439/the-cocktail-garnish-dried-lime-slices", "https://www.webstaurantstore.com/g/8439/the-cocktail-garnish-dried-lime-slices")</f>
        <v/>
      </c>
      <c r="B292" s="1">
        <f>HYPERLINK("https://www.webstaurantstore.com/g/8439/the-cocktail-garnish-dried-lime-slices", "https://www.webstaurantstore.com/g/8439/the-cocktail-garnish-dried-lime-slices")</f>
        <v/>
      </c>
      <c r="C292" t="inlineStr">
        <is>
          <t>The Cocktail Garnish Dried Lime Slices</t>
        </is>
      </c>
      <c r="D292" t="inlineStr">
        <is>
          <t>Dried Lemon Slices, Dried Lime Slices Bulk 1.1 Lb Dry Lemons Wheels Cocktail Garnish, Dehydrated Lemon Slices Sour and Refreshing Dried Fruit Slices Citrus Potpourri Tea Crafts Candles Decoration</t>
        </is>
      </c>
      <c r="E292" s="1">
        <f>HYPERLINK("https://www.amazon.com/Cocktail-Garnish-Dehydrated-Refreshing-Potpourri/dp/B0B2PS95DG/ref=sr_1_6?keywords=The+Cocktail+Garnish+Dried+Lime+Slices&amp;qid=1695347700&amp;sr=8-6", "https://www.amazon.com/Cocktail-Garnish-Dehydrated-Refreshing-Potpourri/dp/B0B2PS95DG/ref=sr_1_6?keywords=The+Cocktail+Garnish+Dried+Lime+Slices&amp;qid=1695347700&amp;sr=8-6")</f>
        <v/>
      </c>
      <c r="F292" t="inlineStr">
        <is>
          <t>B0B2PS95DG</t>
        </is>
      </c>
      <c r="G292">
        <f>_xlfn.IMAGE("https://cdnimg.webstaurantstore.com/images/products/large/689902/2380178.jpg")</f>
        <v/>
      </c>
      <c r="H292">
        <f>_xlfn.IMAGE("https://m.media-amazon.com/images/I/71w-2DJCsKL._AC_UL320_.jpg")</f>
        <v/>
      </c>
      <c r="K292" t="inlineStr">
        <is>
          <t>6.99</t>
        </is>
      </c>
      <c r="L292" t="n">
        <v>26.99</v>
      </c>
      <c r="M292" s="2" t="inlineStr">
        <is>
          <t>286.12%</t>
        </is>
      </c>
      <c r="N292" t="n">
        <v>5</v>
      </c>
      <c r="O292" t="n">
        <v>3</v>
      </c>
      <c r="Q292" t="inlineStr">
        <is>
          <t>InStock</t>
        </is>
      </c>
      <c r="R292" t="inlineStr">
        <is>
          <t>8.29</t>
        </is>
      </c>
      <c r="S292" t="inlineStr">
        <is>
          <t>115ftcglime</t>
        </is>
      </c>
    </row>
    <row r="293" ht="75" customHeight="1">
      <c r="A293" s="1">
        <f>HYPERLINK("https://www.webstaurantstore.com/g/8439/the-cocktail-garnish-dried-lime-slices", "https://www.webstaurantstore.com/g/8439/the-cocktail-garnish-dried-lime-slices")</f>
        <v/>
      </c>
      <c r="B293" s="1">
        <f>HYPERLINK("https://www.webstaurantstore.com/g/8439/the-cocktail-garnish-dried-lime-slices", "https://www.webstaurantstore.com/g/8439/the-cocktail-garnish-dried-lime-slices")</f>
        <v/>
      </c>
      <c r="C293" t="inlineStr">
        <is>
          <t>The Cocktail Garnish Dried Lime Slices</t>
        </is>
      </c>
      <c r="D293" t="inlineStr">
        <is>
          <t>Dried Lime Slices - Drink Garnish - Cocktail Garnish - Freeze-Dried, Not Dehydrated, for superior flavor (100 Servings)</t>
        </is>
      </c>
      <c r="E293" s="1">
        <f>HYPERLINK("https://www.amazon.com/Mixologists-Garden-Freeze-Dried-Lime-Slices/dp/B0BNF1MJ18/ref=sr_1_1?keywords=The+Cocktail+Garnish+Dried+Lime+Slices&amp;qid=1695347700&amp;sr=8-1", "https://www.amazon.com/Mixologists-Garden-Freeze-Dried-Lime-Slices/dp/B0BNF1MJ18/ref=sr_1_1?keywords=The+Cocktail+Garnish+Dried+Lime+Slices&amp;qid=1695347700&amp;sr=8-1")</f>
        <v/>
      </c>
      <c r="F293" t="inlineStr">
        <is>
          <t>B0BNF1MJ18</t>
        </is>
      </c>
      <c r="G293">
        <f>_xlfn.IMAGE("https://cdnimg.webstaurantstore.com/images/products/large/689902/2380178.jpg")</f>
        <v/>
      </c>
      <c r="H293">
        <f>_xlfn.IMAGE("https://m.media-amazon.com/images/I/61KPTsshfFL._AC_UL320_.jpg")</f>
        <v/>
      </c>
      <c r="K293" t="inlineStr">
        <is>
          <t>6.99</t>
        </is>
      </c>
      <c r="L293" t="n">
        <v>24.99</v>
      </c>
      <c r="M293" s="2" t="inlineStr">
        <is>
          <t>257.51%</t>
        </is>
      </c>
      <c r="N293" t="n">
        <v>4.1</v>
      </c>
      <c r="O293" t="n">
        <v>8</v>
      </c>
      <c r="Q293" t="inlineStr">
        <is>
          <t>InStock</t>
        </is>
      </c>
      <c r="R293" t="inlineStr">
        <is>
          <t>8.29</t>
        </is>
      </c>
      <c r="S293" t="inlineStr">
        <is>
          <t>115ftcglime</t>
        </is>
      </c>
    </row>
    <row r="294" ht="75" customHeight="1">
      <c r="A294" s="1">
        <f>HYPERLINK("https://www.webstaurantstore.com/g/8439/the-cocktail-garnish-dried-lime-slices", "https://www.webstaurantstore.com/g/8439/the-cocktail-garnish-dried-lime-slices")</f>
        <v/>
      </c>
      <c r="B294" s="1">
        <f>HYPERLINK("https://www.webstaurantstore.com/g/8439/the-cocktail-garnish-dried-lime-slices", "https://www.webstaurantstore.com/g/8439/the-cocktail-garnish-dried-lime-slices")</f>
        <v/>
      </c>
      <c r="C294" t="inlineStr">
        <is>
          <t>The Cocktail Garnish Dried Lime Slices</t>
        </is>
      </c>
      <c r="D294" t="inlineStr">
        <is>
          <t>USA Grown Dried Lime Slices for Cocktails | 4 Ounces of Large Dehydrated Limes | Lime Cocktail Garnish | Dried Fruit for Cocktails &amp; Healthy Snacks | Preservative Free</t>
        </is>
      </c>
      <c r="E294" s="1">
        <f>HYPERLINK("https://www.amazon.com/Barrel-Roll-Bar-Essentials-Preservative/dp/B0BX7FLTSM/ref=sr_1_4?keywords=The+Cocktail+Garnish+Dried+Lime+Slices&amp;qid=1695347700&amp;sr=8-4", "https://www.amazon.com/Barrel-Roll-Bar-Essentials-Preservative/dp/B0BX7FLTSM/ref=sr_1_4?keywords=The+Cocktail+Garnish+Dried+Lime+Slices&amp;qid=1695347700&amp;sr=8-4")</f>
        <v/>
      </c>
      <c r="F294" t="inlineStr">
        <is>
          <t>B0BX7FLTSM</t>
        </is>
      </c>
      <c r="G294">
        <f>_xlfn.IMAGE("https://cdnimg.webstaurantstore.com/images/products/large/689902/2380178.jpg")</f>
        <v/>
      </c>
      <c r="H294">
        <f>_xlfn.IMAGE("https://m.media-amazon.com/images/I/81yDSfs6MFL._AC_UL320_.jpg")</f>
        <v/>
      </c>
      <c r="K294" t="inlineStr">
        <is>
          <t>6.99</t>
        </is>
      </c>
      <c r="L294" t="n">
        <v>19.99</v>
      </c>
      <c r="M294" s="2" t="inlineStr">
        <is>
          <t>185.98%</t>
        </is>
      </c>
      <c r="N294" t="n">
        <v>4.4</v>
      </c>
      <c r="O294" t="n">
        <v>66</v>
      </c>
      <c r="Q294" t="inlineStr">
        <is>
          <t>InStock</t>
        </is>
      </c>
      <c r="R294" t="inlineStr">
        <is>
          <t>8.29</t>
        </is>
      </c>
      <c r="S294" t="inlineStr">
        <is>
          <t>115ftcglime</t>
        </is>
      </c>
    </row>
    <row r="295" ht="75" customHeight="1">
      <c r="A295" s="1">
        <f>HYPERLINK("https://www.webstaurantstore.com/g/8682/the-cocktail-garnish-dried-clementine-orange-slices", "https://www.webstaurantstore.com/g/8682/the-cocktail-garnish-dried-clementine-orange-slices")</f>
        <v/>
      </c>
      <c r="B295" s="1">
        <f>HYPERLINK("https://www.webstaurantstore.com/g/8682/the-cocktail-garnish-dried-clementine-orange-slices", "https://www.webstaurantstore.com/g/8682/the-cocktail-garnish-dried-clementine-orange-slices")</f>
        <v/>
      </c>
      <c r="C295" t="inlineStr">
        <is>
          <t>The Cocktail Garnish Dried Clementine Orange Slices</t>
        </is>
      </c>
      <c r="D295" t="inlineStr">
        <is>
          <t>USA Grown Dried Orange Slices for Cocktails | 4 Ounces of Large Dehydrated Oranges | Orange Cocktail Garnish | Dried Fruit for Cocktails &amp; Healthy Snacks | Preservative Free</t>
        </is>
      </c>
      <c r="E295" s="1">
        <f>HYPERLINK("https://www.amazon.com/Barrel-Roll-Bar-Essentials-Preservative/dp/B0B781V2SP/ref=sr_1_9?keywords=The+Cocktail+Garnish+Dried+Clementine+Orange+Slices&amp;qid=1695347682&amp;sr=8-9", "https://www.amazon.com/Barrel-Roll-Bar-Essentials-Preservative/dp/B0B781V2SP/ref=sr_1_9?keywords=The+Cocktail+Garnish+Dried+Clementine+Orange+Slices&amp;qid=1695347682&amp;sr=8-9")</f>
        <v/>
      </c>
      <c r="F295" t="inlineStr">
        <is>
          <t>B0B781V2SP</t>
        </is>
      </c>
      <c r="G295">
        <f>_xlfn.IMAGE("https://cdnimg.webstaurantstore.com/images/products/large/715952/2461039.jpg")</f>
        <v/>
      </c>
      <c r="H295">
        <f>_xlfn.IMAGE("https://m.media-amazon.com/images/I/81xdG81Q+mL._AC_UL320_.jpg")</f>
        <v/>
      </c>
      <c r="K295" t="inlineStr">
        <is>
          <t>7.99</t>
        </is>
      </c>
      <c r="L295" t="n">
        <v>18.35</v>
      </c>
      <c r="M295" s="2" t="inlineStr">
        <is>
          <t>129.66%</t>
        </is>
      </c>
      <c r="N295" t="n">
        <v>4.4</v>
      </c>
      <c r="O295" t="n">
        <v>66</v>
      </c>
      <c r="Q295" t="inlineStr">
        <is>
          <t>InStock</t>
        </is>
      </c>
      <c r="R295" t="inlineStr">
        <is>
          <t>9.29</t>
        </is>
      </c>
      <c r="S295" t="inlineStr">
        <is>
          <t>115ftcgbclem</t>
        </is>
      </c>
    </row>
    <row r="296" ht="75" customHeight="1">
      <c r="A296" s="1">
        <f>HYPERLINK("https://www.webstaurantstore.com/g/9730/choice-white-corrugated-pizza-box", "https://www.webstaurantstore.com/g/9730/choice-white-corrugated-pizza-box")</f>
        <v/>
      </c>
      <c r="B296" s="1">
        <f>HYPERLINK("https://www.webstaurantstore.com/g/9730/choice-white-corrugated-pizza-box", "https://www.webstaurantstore.com/g/9730/choice-white-corrugated-pizza-box")</f>
        <v/>
      </c>
      <c r="C296" t="inlineStr">
        <is>
          <t>Choice White Corrugated Pizza Box</t>
        </is>
      </c>
      <c r="D296" t="inlineStr">
        <is>
          <t>Premium 14" Pizza Box Bundle of 50 - Plain White Corrugated Cardboard Take out Delivery Container</t>
        </is>
      </c>
      <c r="E296" s="1">
        <f>HYPERLINK("https://www.amazon.com/Premium-Pizza-Box-Bundle-Corrugated/dp/B08LQRHHPC/ref=sr_1_2?keywords=Choice+White+Corrugated+Pizza+Box&amp;qid=1695347714&amp;sr=8-2", "https://www.amazon.com/Premium-Pizza-Box-Bundle-Corrugated/dp/B08LQRHHPC/ref=sr_1_2?keywords=Choice+White+Corrugated+Pizza+Box&amp;qid=1695347714&amp;sr=8-2")</f>
        <v/>
      </c>
      <c r="F296" t="inlineStr">
        <is>
          <t>B08LQRHHPC</t>
        </is>
      </c>
      <c r="G296">
        <f>_xlfn.IMAGE("https://cdnimg.webstaurantstore.com/images/products/large/201437/2068325.jpg")</f>
        <v/>
      </c>
      <c r="H296">
        <f>_xlfn.IMAGE("https://m.media-amazon.com/images/I/41pxBpkT6fL._AC_UY218_.jpg")</f>
        <v/>
      </c>
      <c r="K296" t="inlineStr">
        <is>
          <t>17.49</t>
        </is>
      </c>
      <c r="L296" t="n">
        <v>63.99</v>
      </c>
      <c r="M296" s="2" t="inlineStr">
        <is>
          <t>265.87%</t>
        </is>
      </c>
      <c r="N296" t="n">
        <v>4.4</v>
      </c>
      <c r="O296" t="n">
        <v>63</v>
      </c>
      <c r="Q296" t="inlineStr">
        <is>
          <t>InStock</t>
        </is>
      </c>
      <c r="R296" t="inlineStr">
        <is>
          <t>21.99</t>
        </is>
      </c>
      <c r="S296" t="inlineStr">
        <is>
          <t>245cpb20whtprint</t>
        </is>
      </c>
    </row>
    <row r="297" ht="75" customHeight="1">
      <c r="A297" s="1">
        <f>HYPERLINK("https://www.webstaurantstore.com/g/9730/choice-white-corrugated-pizza-box", "https://www.webstaurantstore.com/g/9730/choice-white-corrugated-pizza-box")</f>
        <v/>
      </c>
      <c r="B297" s="1">
        <f>HYPERLINK("https://www.webstaurantstore.com/g/9730/choice-white-corrugated-pizza-box", "https://www.webstaurantstore.com/g/9730/choice-white-corrugated-pizza-box")</f>
        <v/>
      </c>
      <c r="C297" t="inlineStr">
        <is>
          <t>Choice White Corrugated Pizza Box</t>
        </is>
      </c>
      <c r="D297" t="inlineStr">
        <is>
          <t>COR12, 12x12x2-Inch Corrugated Pizza Boxes, White Printed Paperboard Take Out Catering Pizza Boxes (50)</t>
        </is>
      </c>
      <c r="E297" s="1">
        <f>HYPERLINK("https://www.amazon.com/COR12-12x12x2-Inch-Corrugated-Paperboard-Catering/dp/B01LZQ9JKQ/ref=sr_1_3?keywords=Choice+White+Corrugated+Pizza+Box&amp;qid=1695347714&amp;sr=8-3", "https://www.amazon.com/COR12-12x12x2-Inch-Corrugated-Paperboard-Catering/dp/B01LZQ9JKQ/ref=sr_1_3?keywords=Choice+White+Corrugated+Pizza+Box&amp;qid=1695347714&amp;sr=8-3")</f>
        <v/>
      </c>
      <c r="F297" t="inlineStr">
        <is>
          <t>B01LZQ9JKQ</t>
        </is>
      </c>
      <c r="G297">
        <f>_xlfn.IMAGE("https://cdnimg.webstaurantstore.com/images/products/large/201437/2068325.jpg")</f>
        <v/>
      </c>
      <c r="H297">
        <f>_xlfn.IMAGE("https://m.media-amazon.com/images/I/81ujGlO5MFL._AC_UY218_.jpg")</f>
        <v/>
      </c>
      <c r="K297" t="inlineStr">
        <is>
          <t>17.49</t>
        </is>
      </c>
      <c r="L297" t="n">
        <v>49.99</v>
      </c>
      <c r="M297" s="2" t="inlineStr">
        <is>
          <t>185.82%</t>
        </is>
      </c>
      <c r="N297" t="n">
        <v>4.4</v>
      </c>
      <c r="O297" t="n">
        <v>5</v>
      </c>
      <c r="Q297" t="inlineStr">
        <is>
          <t>InStock</t>
        </is>
      </c>
      <c r="R297" t="inlineStr">
        <is>
          <t>21.99</t>
        </is>
      </c>
      <c r="S297" t="inlineStr">
        <is>
          <t>245cpb20whtprint</t>
        </is>
      </c>
    </row>
    <row r="298" ht="75" customHeight="1">
      <c r="A298" s="1">
        <f>HYPERLINK("https://www.webstaurantstore.com/green-kraft-self-adhesive-200-currency-strap-case/561STRPGR200.html", "https://www.webstaurantstore.com/green-kraft-self-adhesive-200-currency-strap-case/561STRPGR200.html")</f>
        <v/>
      </c>
      <c r="B298" s="1">
        <f>HYPERLINK("https://www.webstaurantstore.com/green-kraft-self-adhesive-200-currency-strap-case/561STRPGR200.html", "https://www.webstaurantstore.com/green-kraft-self-adhesive-200-currency-strap-case/561STRPGR200.html")</f>
        <v/>
      </c>
      <c r="C298" t="inlineStr">
        <is>
          <t>Green Self-Adhesive Currency Strap - $200 - 1000/Case</t>
        </is>
      </c>
      <c r="D298" t="inlineStr">
        <is>
          <t>MMF Industries Self-Adhesive Currency Straps, Blue, 100 in Dollar Bills, 1000 Bands per Box (216070C08)</t>
        </is>
      </c>
      <c r="E298" s="1">
        <f>HYPERLINK("https://www.amazon.com/MMF-Industries-Self-Adhesive-Currency-216070C08/dp/B0017D8APQ/ref=sr_1_3?keywords=Green+Self-Adhesive+Currency+Strap+-+-+1000%2FCase&amp;qid=1695347673&amp;sr=8-3", "https://www.amazon.com/MMF-Industries-Self-Adhesive-Currency-216070C08/dp/B0017D8APQ/ref=sr_1_3?keywords=Green+Self-Adhesive+Currency+Strap+-+-+1000%2FCase&amp;qid=1695347673&amp;sr=8-3")</f>
        <v/>
      </c>
      <c r="F298" t="inlineStr">
        <is>
          <t>B0017D8APQ</t>
        </is>
      </c>
      <c r="G298">
        <f>_xlfn.IMAGE("https://cdnimg.webstaurantstore.com/images/products/large/530429/1955362.jpg")</f>
        <v/>
      </c>
      <c r="H298">
        <f>_xlfn.IMAGE("https://m.media-amazon.com/images/I/71GLbSIadzL._AC_UL320_.jpg")</f>
        <v/>
      </c>
      <c r="K298" t="inlineStr">
        <is>
          <t>4.49</t>
        </is>
      </c>
      <c r="L298" t="n">
        <v>15.49</v>
      </c>
      <c r="M298" s="2" t="inlineStr">
        <is>
          <t>244.99%</t>
        </is>
      </c>
      <c r="N298" t="n">
        <v>4.5</v>
      </c>
      <c r="O298" t="n">
        <v>261</v>
      </c>
      <c r="Q298" t="inlineStr">
        <is>
          <t>InStock</t>
        </is>
      </c>
      <c r="R298" t="inlineStr">
        <is>
          <t>5.29</t>
        </is>
      </c>
      <c r="S298" t="inlineStr">
        <is>
          <t>561strpgr200</t>
        </is>
      </c>
    </row>
    <row r="299" ht="75" customHeight="1">
      <c r="A299" s="1">
        <f>HYPERLINK("https://www.webstaurantstore.com/heinz-14-oz-ketchup-case/125146.html", "https://www.webstaurantstore.com/heinz-14-oz-ketchup-case/125146.html")</f>
        <v/>
      </c>
      <c r="B299" s="1">
        <f>HYPERLINK("https://www.webstaurantstore.com/heinz-14-oz-ketchup-case/125146.html", "https://www.webstaurantstore.com/heinz-14-oz-ketchup-case/125146.html")</f>
        <v/>
      </c>
      <c r="C299" t="inlineStr">
        <is>
          <t>Heinz 14 oz. Ketchup - 24/Case</t>
        </is>
      </c>
      <c r="D299" t="inlineStr">
        <is>
          <t>Restaurant Size Ketchup 24 Case 14 Ounce</t>
        </is>
      </c>
      <c r="E299" s="1">
        <f>HYPERLINK("https://www.amazon.com/Restaurant-Size-Ketchup-Case-Ounce/dp/B07BBX11Q6/ref=sr_1_2?keywords=Heinz+14+oz.+Ketchup+-+24%2FCase&amp;qid=1695347801&amp;sr=8-2", "https://www.amazon.com/Restaurant-Size-Ketchup-Case-Ounce/dp/B07BBX11Q6/ref=sr_1_2?keywords=Heinz+14+oz.+Ketchup+-+24%2FCase&amp;qid=1695347801&amp;sr=8-2")</f>
        <v/>
      </c>
      <c r="F299" t="inlineStr">
        <is>
          <t>B07BBX11Q6</t>
        </is>
      </c>
      <c r="G299">
        <f>_xlfn.IMAGE("https://cdnimg.webstaurantstore.com/images/products/large/88053/1978248.jpg")</f>
        <v/>
      </c>
      <c r="H299">
        <f>_xlfn.IMAGE("https://m.media-amazon.com/images/I/71DPxtOqHaL._AC_UL320_.jpg")</f>
        <v/>
      </c>
      <c r="K299" t="inlineStr">
        <is>
          <t>58.49</t>
        </is>
      </c>
      <c r="L299" t="n">
        <v>101.48</v>
      </c>
      <c r="M299" s="2" t="inlineStr">
        <is>
          <t>73.50%</t>
        </is>
      </c>
      <c r="N299" t="n">
        <v>5</v>
      </c>
      <c r="O299" t="n">
        <v>1</v>
      </c>
      <c r="Q299" t="inlineStr">
        <is>
          <t>undefined</t>
        </is>
      </c>
      <c r="R299" t="inlineStr">
        <is>
          <t>58.49</t>
        </is>
      </c>
      <c r="S299" t="inlineStr">
        <is>
          <t>125146</t>
        </is>
      </c>
    </row>
    <row r="300" ht="75" customHeight="1">
      <c r="A300" s="1">
        <f>HYPERLINK("https://www.webstaurantstore.com/j-o-chicken-fry-5-lb/104BATRCKN5.html", "https://www.webstaurantstore.com/j-o-chicken-fry-5-lb/104BATRCKN5.html")</f>
        <v/>
      </c>
      <c r="B300" s="1">
        <f>HYPERLINK("https://www.webstaurantstore.com/j-o-chicken-fry-5-lb/104BATRCKN5.html", "https://www.webstaurantstore.com/j-o-chicken-fry-5-lb/104BATRCKN5.html")</f>
        <v/>
      </c>
      <c r="C300" t="inlineStr">
        <is>
          <t>J.O. Chicken Fry Batter Blend - 5 lb.</t>
        </is>
      </c>
      <c r="D300" t="inlineStr">
        <is>
          <t>Chicken Fry Batter Mix, Seasoned Coating Fried Chicken Mix with Creole Spices, Crispy Mix for Pork and Chicken, Dip and Fry, 2.25lbs</t>
        </is>
      </c>
      <c r="E300" s="1">
        <f>HYPERLINK("https://www.amazon.com/Southern-Fry-Kings-Chicken-Seasoned/dp/B09NCKPY98/ref=sr_1_2?keywords=J.O.+Chicken+Fry+Batter+Blend+-+5+lb.&amp;qid=1695347706&amp;sr=8-2", "https://www.amazon.com/Southern-Fry-Kings-Chicken-Seasoned/dp/B09NCKPY98/ref=sr_1_2?keywords=J.O.+Chicken+Fry+Batter+Blend+-+5+lb.&amp;qid=1695347706&amp;sr=8-2")</f>
        <v/>
      </c>
      <c r="F300" t="inlineStr">
        <is>
          <t>B09NCKPY98</t>
        </is>
      </c>
      <c r="G300">
        <f>_xlfn.IMAGE("https://cdnimg.webstaurantstore.com/images/products/large/533931/1977980.jpg")</f>
        <v/>
      </c>
      <c r="H300">
        <f>_xlfn.IMAGE("https://m.media-amazon.com/images/I/7117ZO+5FlL._AC_UL320_.jpg")</f>
        <v/>
      </c>
      <c r="K300" t="inlineStr">
        <is>
          <t>14.19</t>
        </is>
      </c>
      <c r="L300" t="n">
        <v>26.99</v>
      </c>
      <c r="M300" s="2" t="inlineStr">
        <is>
          <t>90.20%</t>
        </is>
      </c>
      <c r="N300" t="n">
        <v>3.8</v>
      </c>
      <c r="O300" t="n">
        <v>11</v>
      </c>
      <c r="Q300" t="inlineStr">
        <is>
          <t>InStock</t>
        </is>
      </c>
      <c r="R300" t="inlineStr">
        <is>
          <t>15.99</t>
        </is>
      </c>
      <c r="S300" t="inlineStr">
        <is>
          <t>104batrckn5</t>
        </is>
      </c>
    </row>
    <row r="301" ht="75" customHeight="1">
      <c r="A301" s="1">
        <f>HYPERLINK("https://www.webstaurantstore.com/lancaster-table-seating-black-powder-coated-aluminum-outdoor-arm-chair/427CALUARMBK.html", "https://www.webstaurantstore.com/lancaster-table-seating-black-powder-coated-aluminum-outdoor-arm-chair/427CALUARMBK.html")</f>
        <v/>
      </c>
      <c r="B301" s="1">
        <f>HYPERLINK("https://www.webstaurantstore.com/lancaster-table-seating-black-powder-coated-aluminum-outdoor-arm-chair/427CALUARMBK.html", "https://www.webstaurantstore.com/lancaster-table-seating-black-powder-coated-aluminum-outdoor-arm-chair/427CALUARMBK.html")</f>
        <v/>
      </c>
      <c r="C301" t="inlineStr">
        <is>
          <t>Lancaster Table &amp; Seating Black Powder Coated Aluminum Outdoor Arm Chair</t>
        </is>
      </c>
      <c r="D301" t="inlineStr">
        <is>
          <t>American Tables &amp; Seating 90B Outdoor Chair, Round Back and Arms, Mesh Back and Seat, Powder Coat Finish, Black</t>
        </is>
      </c>
      <c r="E301" s="1">
        <f>HYPERLINK("https://www.amazon.com/American-Tables-Seating-90B-Outdoor/dp/B01FJXUUAC/ref=sr_1_1?keywords=Lancaster+Table+%26+Seating+Black+Powder+Coated+Aluminum+Outdoor+Arm+Chair&amp;qid=1695347860&amp;sr=8-1", "https://www.amazon.com/American-Tables-Seating-90B-Outdoor/dp/B01FJXUUAC/ref=sr_1_1?keywords=Lancaster+Table+%26+Seating+Black+Powder+Coated+Aluminum+Outdoor+Arm+Chair&amp;qid=1695347860&amp;sr=8-1")</f>
        <v/>
      </c>
      <c r="F301" t="inlineStr">
        <is>
          <t>B01FJXUUAC</t>
        </is>
      </c>
      <c r="G301">
        <f>_xlfn.IMAGE("https://cdnimg.webstaurantstore.com/images/products/large/640680/2248441.jpg")</f>
        <v/>
      </c>
      <c r="H301">
        <f>_xlfn.IMAGE("https://m.media-amazon.com/images/I/41eDdcl2zCL._AC_UL320_.jpg")</f>
        <v/>
      </c>
      <c r="K301" t="inlineStr">
        <is>
          <t>67.99</t>
        </is>
      </c>
      <c r="L301" t="n">
        <v>175.58</v>
      </c>
      <c r="M301" s="2" t="inlineStr">
        <is>
          <t>158.24%</t>
        </is>
      </c>
      <c r="N301" t="n">
        <v>5</v>
      </c>
      <c r="O301" t="n">
        <v>1</v>
      </c>
      <c r="Q301" t="inlineStr">
        <is>
          <t>InStock</t>
        </is>
      </c>
      <c r="R301" t="inlineStr">
        <is>
          <t>79.99</t>
        </is>
      </c>
      <c r="S301" t="inlineStr">
        <is>
          <t>427caluarmbk</t>
        </is>
      </c>
    </row>
    <row r="302" ht="75" customHeight="1">
      <c r="A302" s="1">
        <f>HYPERLINK("https://www.webstaurantstore.com/lavex-janitorial-25-red-caution-wet-floor-sign/274WFSGN25RD.html", "https://www.webstaurantstore.com/lavex-janitorial-25-red-caution-wet-floor-sign/274WFSGN25RD.html")</f>
        <v/>
      </c>
      <c r="B302" s="1">
        <f>HYPERLINK("https://www.webstaurantstore.com/lavex-janitorial-25-red-caution-wet-floor-sign/274WFSGN25RD.html", "https://www.webstaurantstore.com/lavex-janitorial-25-red-caution-wet-floor-sign/274WFSGN25RD.html")</f>
        <v/>
      </c>
      <c r="C302" t="inlineStr">
        <is>
          <t>Lavex Janitorial 25" Red Caution Wet Floor Sign</t>
        </is>
      </c>
      <c r="D302" t="inlineStr">
        <is>
          <t>SmartSign Folding Floor Sign, Legend "Caution Wet Floor" with Graphic, 25" high x 12" wide, Black/Red on Yellow</t>
        </is>
      </c>
      <c r="E302" s="1">
        <f>HYPERLINK("https://www.amazon.com/SmartSign-Folding-Legend-Caution-Graphic/dp/B00HKAHQYQ/ref=sr_1_6?keywords=Lavex+Janitorial+25%22+Red+Caution+Wet+Floor+Sign&amp;qid=1695347680&amp;sr=8-6", "https://www.amazon.com/SmartSign-Folding-Legend-Caution-Graphic/dp/B00HKAHQYQ/ref=sr_1_6?keywords=Lavex+Janitorial+25%22+Red+Caution+Wet+Floor+Sign&amp;qid=1695347680&amp;sr=8-6")</f>
        <v/>
      </c>
      <c r="F302" t="inlineStr">
        <is>
          <t>B00HKAHQYQ</t>
        </is>
      </c>
      <c r="G302">
        <f>_xlfn.IMAGE("https://cdnimg.webstaurantstore.com/images/products/large/584424/2171205.jpg")</f>
        <v/>
      </c>
      <c r="H302">
        <f>_xlfn.IMAGE("https://m.media-amazon.com/images/I/619TX7+bkgL._AC_UY218_.jpg")</f>
        <v/>
      </c>
      <c r="K302" t="inlineStr">
        <is>
          <t>4.99</t>
        </is>
      </c>
      <c r="L302" t="n">
        <v>41.95</v>
      </c>
      <c r="M302" s="2" t="inlineStr">
        <is>
          <t>740.68%</t>
        </is>
      </c>
      <c r="N302" t="n">
        <v>4.1</v>
      </c>
      <c r="O302" t="n">
        <v>8</v>
      </c>
      <c r="Q302" t="inlineStr">
        <is>
          <t>InStock</t>
        </is>
      </c>
      <c r="R302" t="inlineStr">
        <is>
          <t>6.19</t>
        </is>
      </c>
      <c r="S302" t="inlineStr">
        <is>
          <t>274wfsgn25rd</t>
        </is>
      </c>
    </row>
    <row r="303" ht="75" customHeight="1">
      <c r="A303" s="1">
        <f>HYPERLINK("https://www.webstaurantstore.com/lavex-janitorial-25-red-caution-wet-floor-sign/274WFSGN25RD.html", "https://www.webstaurantstore.com/lavex-janitorial-25-red-caution-wet-floor-sign/274WFSGN25RD.html")</f>
        <v/>
      </c>
      <c r="B303" s="1">
        <f>HYPERLINK("https://www.webstaurantstore.com/lavex-janitorial-25-red-caution-wet-floor-sign/274WFSGN25RD.html", "https://www.webstaurantstore.com/lavex-janitorial-25-red-caution-wet-floor-sign/274WFSGN25RD.html")</f>
        <v/>
      </c>
      <c r="C303" t="inlineStr">
        <is>
          <t>Lavex Janitorial 25" Red Caution Wet Floor Sign</t>
        </is>
      </c>
      <c r="D303" t="inlineStr">
        <is>
          <t>Accuform PFW426 Sturdy Plastic 2 X Fold-Ups Floor Sign,"Caution Wet Floor Walk Right/Walk Left" with Arrow and Graphic, 25" Height x 12" Width (at Base) and 11" Open Footprint, Red/Black on Yellow</t>
        </is>
      </c>
      <c r="E303" s="1">
        <f>HYPERLINK("https://www.amazon.com/Accuform-PFW426-Plastic-Fold-Ups-Footprint/dp/B00H8LHJYE/ref=sr_1_3?keywords=Lavex+Janitorial+25%22+Red+Caution+Wet+Floor+Sign&amp;qid=1695347680&amp;sr=8-3", "https://www.amazon.com/Accuform-PFW426-Plastic-Fold-Ups-Footprint/dp/B00H8LHJYE/ref=sr_1_3?keywords=Lavex+Janitorial+25%22+Red+Caution+Wet+Floor+Sign&amp;qid=1695347680&amp;sr=8-3")</f>
        <v/>
      </c>
      <c r="F303" t="inlineStr">
        <is>
          <t>B00H8LHJYE</t>
        </is>
      </c>
      <c r="G303">
        <f>_xlfn.IMAGE("https://cdnimg.webstaurantstore.com/images/products/large/584424/2171205.jpg")</f>
        <v/>
      </c>
      <c r="H303">
        <f>_xlfn.IMAGE("https://m.media-amazon.com/images/I/61tr0DFgF3L._AC_UY218_.jpg")</f>
        <v/>
      </c>
      <c r="K303" t="inlineStr">
        <is>
          <t>4.99</t>
        </is>
      </c>
      <c r="L303" t="n">
        <v>31.83</v>
      </c>
      <c r="M303" s="2" t="inlineStr">
        <is>
          <t>537.88%</t>
        </is>
      </c>
      <c r="N303" t="n">
        <v>5</v>
      </c>
      <c r="O303" t="n">
        <v>2</v>
      </c>
      <c r="Q303" t="inlineStr">
        <is>
          <t>InStock</t>
        </is>
      </c>
      <c r="R303" t="inlineStr">
        <is>
          <t>6.19</t>
        </is>
      </c>
      <c r="S303" t="inlineStr">
        <is>
          <t>274wfsgn25rd</t>
        </is>
      </c>
    </row>
    <row r="304" ht="75" customHeight="1">
      <c r="A304" s="1">
        <f>HYPERLINK("https://www.webstaurantstore.com/monin-750-ml-homecrafted-margarita-cocktail-mix/544MIXAX253B.html", "https://www.webstaurantstore.com/monin-750-ml-homecrafted-margarita-cocktail-mix/544MIXAX253B.html")</f>
        <v/>
      </c>
      <c r="B304" s="1">
        <f>HYPERLINK("https://www.webstaurantstore.com/monin-750-ml-homecrafted-margarita-cocktail-mix/544MIXAX253B.html", "https://www.webstaurantstore.com/monin-750-ml-homecrafted-margarita-cocktail-mix/544MIXAX253B.html")</f>
        <v/>
      </c>
      <c r="C304" t="inlineStr">
        <is>
          <t>Monin 750 mL HomeCrafted Margarita Cocktail Mix</t>
        </is>
      </c>
      <c r="D304" t="inlineStr">
        <is>
          <t>Monin - Mojito Mix Syrup, Sweet Herbal Mint Flavor, Great for Frozen Cocktails, Mocktails, &amp; Delicious Desserts, Gluten-Free, Vegan, Non-GMO (750 ml)</t>
        </is>
      </c>
      <c r="E304" s="1">
        <f>HYPERLINK("https://www.amazon.com/Monin-Cocktails-Mocktails-Delicious-Gluten-Free/dp/B000CHMK0Y/ref=sr_1_8?keywords=Monin+750+mL+HomeCrafted+Margarita+Cocktail+Mix&amp;qid=1695347680&amp;sr=8-8", "https://www.amazon.com/Monin-Cocktails-Mocktails-Delicious-Gluten-Free/dp/B000CHMK0Y/ref=sr_1_8?keywords=Monin+750+mL+HomeCrafted+Margarita+Cocktail+Mix&amp;qid=1695347680&amp;sr=8-8")</f>
        <v/>
      </c>
      <c r="F304" t="inlineStr">
        <is>
          <t>B000CHMK0Y</t>
        </is>
      </c>
      <c r="G304">
        <f>_xlfn.IMAGE("https://cdnimg.webstaurantstore.com/images/products/large/598391/2171302.jpg")</f>
        <v/>
      </c>
      <c r="H304">
        <f>_xlfn.IMAGE("https://m.media-amazon.com/images/I/61zNyoEiuyL._AC_UL320_.jpg")</f>
        <v/>
      </c>
      <c r="K304" t="inlineStr">
        <is>
          <t>4.99</t>
        </is>
      </c>
      <c r="L304" t="n">
        <v>16.49</v>
      </c>
      <c r="M304" s="2" t="inlineStr">
        <is>
          <t>230.46%</t>
        </is>
      </c>
      <c r="N304" t="n">
        <v>4.5</v>
      </c>
      <c r="O304" t="n">
        <v>503</v>
      </c>
      <c r="Q304" t="inlineStr">
        <is>
          <t>InStock</t>
        </is>
      </c>
      <c r="R304" t="inlineStr">
        <is>
          <t>5.99</t>
        </is>
      </c>
      <c r="S304" t="inlineStr">
        <is>
          <t>544mixax253b</t>
        </is>
      </c>
    </row>
    <row r="305" ht="75" customHeight="1">
      <c r="A305" s="1">
        <f>HYPERLINK("https://www.webstaurantstore.com/monin-750-ml-homecrafted-margarita-cocktail-mix/544MIXAX253B.html", "https://www.webstaurantstore.com/monin-750-ml-homecrafted-margarita-cocktail-mix/544MIXAX253B.html")</f>
        <v/>
      </c>
      <c r="B305" s="1">
        <f>HYPERLINK("https://www.webstaurantstore.com/monin-750-ml-homecrafted-margarita-cocktail-mix/544MIXAX253B.html", "https://www.webstaurantstore.com/monin-750-ml-homecrafted-margarita-cocktail-mix/544MIXAX253B.html")</f>
        <v/>
      </c>
      <c r="C305" t="inlineStr">
        <is>
          <t>Monin 750 mL HomeCrafted Margarita Cocktail Mix</t>
        </is>
      </c>
      <c r="D305" t="inlineStr">
        <is>
          <t>Monin - HomeCrafted Margarita Cocktail Mixer, Ready-to-Use Drink Mix, Well Balanced and Made with Real Citrus Juices, DIY Cocktails, Just Add Tequila, Perfect on the Rocks or Frozen (750 ml)</t>
        </is>
      </c>
      <c r="E305" s="1">
        <f>HYPERLINK("https://www.amazon.com/Monin-HomeCrafted-Margarita-Ready-Use/dp/B08LLBQV6X/ref=sr_1_1?keywords=Monin+750+mL+HomeCrafted+Margarita+Cocktail+Mix&amp;qid=1695347680&amp;sr=8-1", "https://www.amazon.com/Monin-HomeCrafted-Margarita-Ready-Use/dp/B08LLBQV6X/ref=sr_1_1?keywords=Monin+750+mL+HomeCrafted+Margarita+Cocktail+Mix&amp;qid=1695347680&amp;sr=8-1")</f>
        <v/>
      </c>
      <c r="F305" t="inlineStr">
        <is>
          <t>B08LLBQV6X</t>
        </is>
      </c>
      <c r="G305">
        <f>_xlfn.IMAGE("https://cdnimg.webstaurantstore.com/images/products/large/598391/2171302.jpg")</f>
        <v/>
      </c>
      <c r="H305">
        <f>_xlfn.IMAGE("https://m.media-amazon.com/images/I/614-C1TgoPL._AC_UL320_.jpg")</f>
        <v/>
      </c>
      <c r="K305" t="inlineStr">
        <is>
          <t>4.99</t>
        </is>
      </c>
      <c r="L305" t="n">
        <v>15</v>
      </c>
      <c r="M305" s="2" t="inlineStr">
        <is>
          <t>200.60%</t>
        </is>
      </c>
      <c r="N305" t="n">
        <v>4.3</v>
      </c>
      <c r="O305" t="n">
        <v>364</v>
      </c>
      <c r="Q305" t="inlineStr">
        <is>
          <t>InStock</t>
        </is>
      </c>
      <c r="R305" t="inlineStr">
        <is>
          <t>5.99</t>
        </is>
      </c>
      <c r="S305" t="inlineStr">
        <is>
          <t>544mixax253b</t>
        </is>
      </c>
    </row>
    <row r="306" ht="75" customHeight="1">
      <c r="A306" s="1">
        <f>HYPERLINK("https://www.webstaurantstore.com/national-public-seating-201-beige-premium-metal-folding-chair/386201.html", "https://www.webstaurantstore.com/national-public-seating-201-beige-premium-metal-folding-chair/386201.html")</f>
        <v/>
      </c>
      <c r="B306" s="1">
        <f>HYPERLINK("https://www.webstaurantstore.com/national-public-seating-201-beige-premium-metal-folding-chair/386201.html", "https://www.webstaurantstore.com/national-public-seating-201-beige-premium-metal-folding-chair/386201.html")</f>
        <v/>
      </c>
      <c r="C306" t="inlineStr">
        <is>
          <t>National Public Seating 201 Beige Premium Metal Folding Chair</t>
        </is>
      </c>
      <c r="D306" t="inlineStr">
        <is>
          <t>National Public Seating 2300 Series Steel Frame Upholstered Premium Fabric Seat and Back Folding Chair with Triple Brace, 480 lbs Capacity, Cafe Beige/Beige (Carton of 4)</t>
        </is>
      </c>
      <c r="E306" s="1">
        <f>HYPERLINK("https://www.amazon.com/National-Public-Seating-Upholstered-Capacity/dp/B0043C6C6C/ref=sr_1_1?keywords=National+Public+Seating+201+Beige+Premium+Metal+Folding+Chair&amp;qid=1695347737&amp;sr=8-1", "https://www.amazon.com/National-Public-Seating-Upholstered-Capacity/dp/B0043C6C6C/ref=sr_1_1?keywords=National+Public+Seating+201+Beige+Premium+Metal+Folding+Chair&amp;qid=1695347737&amp;sr=8-1")</f>
        <v/>
      </c>
      <c r="F306" t="inlineStr">
        <is>
          <t>B0043C6C6C</t>
        </is>
      </c>
      <c r="G306">
        <f>_xlfn.IMAGE("https://cdnimg.webstaurantstore.com/images/products/large/204366/1713726.jpg")</f>
        <v/>
      </c>
      <c r="H306">
        <f>_xlfn.IMAGE("https://m.media-amazon.com/images/I/81Y-9QDRUAL._AC_UL320_.jpg")</f>
        <v/>
      </c>
      <c r="K306" t="inlineStr">
        <is>
          <t>23.0</t>
        </is>
      </c>
      <c r="L306" t="n">
        <v>189.05</v>
      </c>
      <c r="M306" s="2" t="inlineStr">
        <is>
          <t>721.96%</t>
        </is>
      </c>
      <c r="N306" t="n">
        <v>4.6</v>
      </c>
      <c r="O306" t="n">
        <v>332</v>
      </c>
      <c r="Q306" t="inlineStr">
        <is>
          <t>InStock</t>
        </is>
      </c>
      <c r="R306" t="inlineStr">
        <is>
          <t>30.32</t>
        </is>
      </c>
      <c r="S306" t="inlineStr">
        <is>
          <t>386201</t>
        </is>
      </c>
    </row>
    <row r="307" ht="75" customHeight="1">
      <c r="A307" s="1">
        <f>HYPERLINK("https://www.webstaurantstore.com/national-public-seating-202-gray-premium-metal-folding-chair/386202.html", "https://www.webstaurantstore.com/national-public-seating-202-gray-premium-metal-folding-chair/386202.html")</f>
        <v/>
      </c>
      <c r="B307" s="1">
        <f>HYPERLINK("https://www.webstaurantstore.com/national-public-seating-202-gray-premium-metal-folding-chair/386202.html", "https://www.webstaurantstore.com/national-public-seating-202-gray-premium-metal-folding-chair/386202.html")</f>
        <v/>
      </c>
      <c r="C307" t="inlineStr">
        <is>
          <t>National Public Seating 202 Gray Premium Metal Folding Chair</t>
        </is>
      </c>
      <c r="D307" t="inlineStr">
        <is>
          <t>National Public Seating 2302 Steel Frame Upholstered Premium Fabric Seat and Back Folding Chair with Triple Brace, 480 lbs Capacity, Graystone/Gray (Carton of 4)</t>
        </is>
      </c>
      <c r="E307" s="1">
        <f>HYPERLINK("https://www.amazon.com/National-Public-Seating-2302-Upholstered/dp/B003VKKYB6/ref=sr_1_2?keywords=National+Public+Seating+202+Gray+Premium+Metal+Folding+Chair&amp;qid=1695347736&amp;sr=8-2", "https://www.amazon.com/National-Public-Seating-2302-Upholstered/dp/B003VKKYB6/ref=sr_1_2?keywords=National+Public+Seating+202+Gray+Premium+Metal+Folding+Chair&amp;qid=1695347736&amp;sr=8-2")</f>
        <v/>
      </c>
      <c r="F307" t="inlineStr">
        <is>
          <t>B003VKKYB6</t>
        </is>
      </c>
      <c r="G307">
        <f>_xlfn.IMAGE("https://cdnimg.webstaurantstore.com/images/products/large/204362/1713742.jpg")</f>
        <v/>
      </c>
      <c r="H307">
        <f>_xlfn.IMAGE("https://m.media-amazon.com/images/I/81v49GJDVGL._AC_UL320_.jpg")</f>
        <v/>
      </c>
      <c r="K307" t="inlineStr">
        <is>
          <t>23.0</t>
        </is>
      </c>
      <c r="L307" t="n">
        <v>189.05</v>
      </c>
      <c r="M307" s="2" t="inlineStr">
        <is>
          <t>721.96%</t>
        </is>
      </c>
      <c r="N307" t="n">
        <v>4.4</v>
      </c>
      <c r="O307" t="n">
        <v>113</v>
      </c>
      <c r="Q307" t="inlineStr">
        <is>
          <t>InStock</t>
        </is>
      </c>
      <c r="R307" t="inlineStr">
        <is>
          <t>30.32</t>
        </is>
      </c>
      <c r="S307" t="inlineStr">
        <is>
          <t>386202</t>
        </is>
      </c>
    </row>
    <row r="308" ht="75" customHeight="1">
      <c r="A308" s="1">
        <f>HYPERLINK("https://www.webstaurantstore.com/national-public-seating-210-black-premium-metal-folding-chair/386210.html", "https://www.webstaurantstore.com/national-public-seating-210-black-premium-metal-folding-chair/386210.html")</f>
        <v/>
      </c>
      <c r="B308" s="1">
        <f>HYPERLINK("https://www.webstaurantstore.com/national-public-seating-210-black-premium-metal-folding-chair/386210.html", "https://www.webstaurantstore.com/national-public-seating-210-black-premium-metal-folding-chair/386210.html")</f>
        <v/>
      </c>
      <c r="C308" t="inlineStr">
        <is>
          <t>National Public Seating 210 Black Premium Metal Folding Chair</t>
        </is>
      </c>
      <c r="D308" t="inlineStr">
        <is>
          <t>National Public Seating 300 Series, Model 310 All Steel Premium Folding Chair with Triple Brace, 480 lbs Capacity, Black (Carton of 4)</t>
        </is>
      </c>
      <c r="E308" s="1">
        <f>HYPERLINK("https://www.amazon.com/National-Public-Seating-310-Capacity/dp/B000PRS0HI/ref=sr_1_4?keywords=National+Public+Seating+210+Black+Premium+Metal+Folding+Chair&amp;qid=1695347743&amp;sr=8-4", "https://www.amazon.com/National-Public-Seating-310-Capacity/dp/B000PRS0HI/ref=sr_1_4?keywords=National+Public+Seating+210+Black+Premium+Metal+Folding+Chair&amp;qid=1695347743&amp;sr=8-4")</f>
        <v/>
      </c>
      <c r="F308" t="inlineStr">
        <is>
          <t>B000PRS0HI</t>
        </is>
      </c>
      <c r="G308">
        <f>_xlfn.IMAGE("https://cdnimg.webstaurantstore.com/images/products/large/204340/1713788.jpg")</f>
        <v/>
      </c>
      <c r="H308">
        <f>_xlfn.IMAGE("https://m.media-amazon.com/images/I/71PDcLlDAAL._AC_UL320_.jpg")</f>
        <v/>
      </c>
      <c r="K308" t="inlineStr">
        <is>
          <t>23.0</t>
        </is>
      </c>
      <c r="L308" t="n">
        <v>116.01</v>
      </c>
      <c r="M308" s="2" t="inlineStr">
        <is>
          <t>404.39%</t>
        </is>
      </c>
      <c r="N308" t="n">
        <v>4.4</v>
      </c>
      <c r="O308" t="n">
        <v>114</v>
      </c>
      <c r="Q308" t="inlineStr">
        <is>
          <t>InStock</t>
        </is>
      </c>
      <c r="R308" t="inlineStr">
        <is>
          <t>30.32</t>
        </is>
      </c>
      <c r="S308" t="inlineStr">
        <is>
          <t>386210</t>
        </is>
      </c>
    </row>
    <row r="309" ht="75" customHeight="1">
      <c r="A309" s="1">
        <f>HYPERLINK("https://www.webstaurantstore.com/national-public-seating-240-red-premium-metal-folding-chair/386240.html", "https://www.webstaurantstore.com/national-public-seating-240-red-premium-metal-folding-chair/386240.html")</f>
        <v/>
      </c>
      <c r="B309" s="1">
        <f>HYPERLINK("https://www.webstaurantstore.com/national-public-seating-240-red-premium-metal-folding-chair/386240.html", "https://www.webstaurantstore.com/national-public-seating-240-red-premium-metal-folding-chair/386240.html")</f>
        <v/>
      </c>
      <c r="C309" t="inlineStr">
        <is>
          <t>National Public Seating 240 Red Premium Metal Folding Chair</t>
        </is>
      </c>
      <c r="D309" t="inlineStr">
        <is>
          <t>National Public Seating 2302 Steel Frame Upholstered Premium Fabric Seat and Back Folding Chair with Triple Brace, 480 lbs Capacity, Graystone/Gray (Carton of 4)</t>
        </is>
      </c>
      <c r="E309" s="1">
        <f>HYPERLINK("https://www.amazon.com/National-Public-Seating-2302-Upholstered/dp/B003VKKYB6/ref=sr_1_5?keywords=National+Public+Seating+240+Red+Premium+Metal+Folding+Chair&amp;qid=1695347742&amp;sr=8-5", "https://www.amazon.com/National-Public-Seating-2302-Upholstered/dp/B003VKKYB6/ref=sr_1_5?keywords=National+Public+Seating+240+Red+Premium+Metal+Folding+Chair&amp;qid=1695347742&amp;sr=8-5")</f>
        <v/>
      </c>
      <c r="F309" t="inlineStr">
        <is>
          <t>B003VKKYB6</t>
        </is>
      </c>
      <c r="G309">
        <f>_xlfn.IMAGE("https://cdnimg.webstaurantstore.com/images/products/large/204385/1713801.jpg")</f>
        <v/>
      </c>
      <c r="H309">
        <f>_xlfn.IMAGE("https://m.media-amazon.com/images/I/81v49GJDVGL._AC_UL320_.jpg")</f>
        <v/>
      </c>
      <c r="K309" t="inlineStr">
        <is>
          <t>23.0</t>
        </is>
      </c>
      <c r="L309" t="n">
        <v>189.05</v>
      </c>
      <c r="M309" s="2" t="inlineStr">
        <is>
          <t>721.96%</t>
        </is>
      </c>
      <c r="N309" t="n">
        <v>4.4</v>
      </c>
      <c r="O309" t="n">
        <v>113</v>
      </c>
      <c r="Q309" t="inlineStr">
        <is>
          <t>OutOfStock</t>
        </is>
      </c>
      <c r="R309" t="inlineStr">
        <is>
          <t>30.32</t>
        </is>
      </c>
      <c r="S309" t="inlineStr">
        <is>
          <t>386240</t>
        </is>
      </c>
    </row>
    <row r="310" ht="75" customHeight="1">
      <c r="A310" s="1">
        <f>HYPERLINK("https://www.webstaurantstore.com/national-public-seating-301-beige-premium-metal-triple-brace-folding-chair/386301.html", "https://www.webstaurantstore.com/national-public-seating-301-beige-premium-metal-triple-brace-folding-chair/386301.html")</f>
        <v/>
      </c>
      <c r="B310" s="1">
        <f>HYPERLINK("https://www.webstaurantstore.com/national-public-seating-301-beige-premium-metal-triple-brace-folding-chair/386301.html", "https://www.webstaurantstore.com/national-public-seating-301-beige-premium-metal-triple-brace-folding-chair/386301.html")</f>
        <v/>
      </c>
      <c r="C310" t="inlineStr">
        <is>
          <t>National Public Seating 301 Beige Premium Metal Triple-Brace Folding Chair</t>
        </is>
      </c>
      <c r="D310" t="inlineStr">
        <is>
          <t>National Public Seating 2302 Steel Frame Upholstered Premium Fabric Seat and Back Folding Chair with Triple Brace, 480 lbs Capacity, Graystone/Gray (Carton of 4)</t>
        </is>
      </c>
      <c r="E310" s="1">
        <f>HYPERLINK("https://www.amazon.com/National-Public-Seating-2302-Upholstered/dp/B003VKKYB6/ref=sr_1_5?keywords=National+Public+Seating+301+Beige+Premium+Metal+Triple-Brace+Folding+Chair&amp;qid=1695347744&amp;sr=8-5", "https://www.amazon.com/National-Public-Seating-2302-Upholstered/dp/B003VKKYB6/ref=sr_1_5?keywords=National+Public+Seating+301+Beige+Premium+Metal+Triple-Brace+Folding+Chair&amp;qid=1695347744&amp;sr=8-5")</f>
        <v/>
      </c>
      <c r="F310" t="inlineStr">
        <is>
          <t>B003VKKYB6</t>
        </is>
      </c>
      <c r="G310">
        <f>_xlfn.IMAGE("https://cdnimg.webstaurantstore.com/images/products/large/204346/1722992.jpg")</f>
        <v/>
      </c>
      <c r="H310">
        <f>_xlfn.IMAGE("https://m.media-amazon.com/images/I/81v49GJDVGL._AC_UL320_.jpg")</f>
        <v/>
      </c>
      <c r="K310" t="inlineStr">
        <is>
          <t>24.0</t>
        </is>
      </c>
      <c r="L310" t="n">
        <v>189.05</v>
      </c>
      <c r="M310" s="2" t="inlineStr">
        <is>
          <t>687.71%</t>
        </is>
      </c>
      <c r="N310" t="n">
        <v>4.4</v>
      </c>
      <c r="O310" t="n">
        <v>113</v>
      </c>
      <c r="Q310" t="inlineStr">
        <is>
          <t>InStock</t>
        </is>
      </c>
      <c r="R310" t="inlineStr">
        <is>
          <t>31.39</t>
        </is>
      </c>
      <c r="S310" t="inlineStr">
        <is>
          <t>386301</t>
        </is>
      </c>
    </row>
    <row r="311" ht="75" customHeight="1">
      <c r="A311" s="1">
        <f>HYPERLINK("https://www.webstaurantstore.com/national-public-seating-301-beige-premium-metal-triple-brace-folding-chair/386301.html", "https://www.webstaurantstore.com/national-public-seating-301-beige-premium-metal-triple-brace-folding-chair/386301.html")</f>
        <v/>
      </c>
      <c r="B311" s="1">
        <f>HYPERLINK("https://www.webstaurantstore.com/national-public-seating-301-beige-premium-metal-triple-brace-folding-chair/386301.html", "https://www.webstaurantstore.com/national-public-seating-301-beige-premium-metal-triple-brace-folding-chair/386301.html")</f>
        <v/>
      </c>
      <c r="C311" t="inlineStr">
        <is>
          <t>National Public Seating 301 Beige Premium Metal Triple-Brace Folding Chair</t>
        </is>
      </c>
      <c r="D311" t="inlineStr">
        <is>
          <t>National Public Seating 2300 Series Steel Frame Upholstered Premium Fabric Seat and Back Folding Chair with Triple Brace, 480 lbs Capacity, Cafe Beige/Beige (Carton of 4)</t>
        </is>
      </c>
      <c r="E311" s="1">
        <f>HYPERLINK("https://www.amazon.com/National-Public-Seating-Upholstered-Capacity/dp/B0043C6C6C/ref=sr_1_2?keywords=National+Public+Seating+301+Beige+Premium+Metal+Triple-Brace+Folding+Chair&amp;qid=1695347744&amp;sr=8-2", "https://www.amazon.com/National-Public-Seating-Upholstered-Capacity/dp/B0043C6C6C/ref=sr_1_2?keywords=National+Public+Seating+301+Beige+Premium+Metal+Triple-Brace+Folding+Chair&amp;qid=1695347744&amp;sr=8-2")</f>
        <v/>
      </c>
      <c r="F311" t="inlineStr">
        <is>
          <t>B0043C6C6C</t>
        </is>
      </c>
      <c r="G311">
        <f>_xlfn.IMAGE("https://cdnimg.webstaurantstore.com/images/products/large/204346/1722992.jpg")</f>
        <v/>
      </c>
      <c r="H311">
        <f>_xlfn.IMAGE("https://m.media-amazon.com/images/I/81Y-9QDRUAL._AC_UL320_.jpg")</f>
        <v/>
      </c>
      <c r="K311" t="inlineStr">
        <is>
          <t>24.0</t>
        </is>
      </c>
      <c r="L311" t="n">
        <v>189.05</v>
      </c>
      <c r="M311" s="2" t="inlineStr">
        <is>
          <t>687.71%</t>
        </is>
      </c>
      <c r="N311" t="n">
        <v>4.6</v>
      </c>
      <c r="O311" t="n">
        <v>332</v>
      </c>
      <c r="Q311" t="inlineStr">
        <is>
          <t>InStock</t>
        </is>
      </c>
      <c r="R311" t="inlineStr">
        <is>
          <t>31.39</t>
        </is>
      </c>
      <c r="S311" t="inlineStr">
        <is>
          <t>386301</t>
        </is>
      </c>
    </row>
    <row r="312" ht="75" customHeight="1">
      <c r="A312" s="1">
        <f>HYPERLINK("https://www.webstaurantstore.com/national-public-seating-301-beige-premium-metal-triple-brace-folding-chair/386301.html", "https://www.webstaurantstore.com/national-public-seating-301-beige-premium-metal-triple-brace-folding-chair/386301.html")</f>
        <v/>
      </c>
      <c r="B312" s="1">
        <f>HYPERLINK("https://www.webstaurantstore.com/national-public-seating-301-beige-premium-metal-triple-brace-folding-chair/386301.html", "https://www.webstaurantstore.com/national-public-seating-301-beige-premium-metal-triple-brace-folding-chair/386301.html")</f>
        <v/>
      </c>
      <c r="C312" t="inlineStr">
        <is>
          <t>National Public Seating 301 Beige Premium Metal Triple-Brace Folding Chair</t>
        </is>
      </c>
      <c r="D312" t="inlineStr">
        <is>
          <t>National Public Seating 300 Series, Model 310 All Steel Premium Folding Chair with Triple Brace, 480 lbs Capacity, Black (Carton of 4)</t>
        </is>
      </c>
      <c r="E312" s="1">
        <f>HYPERLINK("https://www.amazon.com/National-Public-Seating-310-Capacity/dp/B000PRS0HI/ref=sr_1_1?keywords=National+Public+Seating+301+Beige+Premium+Metal+Triple-Brace+Folding+Chair&amp;qid=1695347744&amp;sr=8-1", "https://www.amazon.com/National-Public-Seating-310-Capacity/dp/B000PRS0HI/ref=sr_1_1?keywords=National+Public+Seating+301+Beige+Premium+Metal+Triple-Brace+Folding+Chair&amp;qid=1695347744&amp;sr=8-1")</f>
        <v/>
      </c>
      <c r="F312" t="inlineStr">
        <is>
          <t>B000PRS0HI</t>
        </is>
      </c>
      <c r="G312">
        <f>_xlfn.IMAGE("https://cdnimg.webstaurantstore.com/images/products/large/204346/1722992.jpg")</f>
        <v/>
      </c>
      <c r="H312">
        <f>_xlfn.IMAGE("https://m.media-amazon.com/images/I/71PDcLlDAAL._AC_UL320_.jpg")</f>
        <v/>
      </c>
      <c r="K312" t="inlineStr">
        <is>
          <t>24.0</t>
        </is>
      </c>
      <c r="L312" t="n">
        <v>116.01</v>
      </c>
      <c r="M312" s="2" t="inlineStr">
        <is>
          <t>383.38%</t>
        </is>
      </c>
      <c r="N312" t="n">
        <v>4.4</v>
      </c>
      <c r="O312" t="n">
        <v>114</v>
      </c>
      <c r="Q312" t="inlineStr">
        <is>
          <t>InStock</t>
        </is>
      </c>
      <c r="R312" t="inlineStr">
        <is>
          <t>31.39</t>
        </is>
      </c>
      <c r="S312" t="inlineStr">
        <is>
          <t>386301</t>
        </is>
      </c>
    </row>
    <row r="313" ht="75" customHeight="1">
      <c r="A313" s="1">
        <f>HYPERLINK("https://www.webstaurantstore.com/national-public-seating-302-gray-premium-metal-triple-brace-folding-chair/386302.html", "https://www.webstaurantstore.com/national-public-seating-302-gray-premium-metal-triple-brace-folding-chair/386302.html")</f>
        <v/>
      </c>
      <c r="B313" s="1">
        <f>HYPERLINK("https://www.webstaurantstore.com/national-public-seating-302-gray-premium-metal-triple-brace-folding-chair/386302.html", "https://www.webstaurantstore.com/national-public-seating-302-gray-premium-metal-triple-brace-folding-chair/386302.html")</f>
        <v/>
      </c>
      <c r="C313" t="inlineStr">
        <is>
          <t>National Public Seating 302 Gray Premium Metal Triple-Brace Folding Chair</t>
        </is>
      </c>
      <c r="D313" t="inlineStr">
        <is>
          <t>National Public Seating 2302 Steel Frame Upholstered Premium Fabric Seat and Back Folding Chair with Triple Brace, 480 lbs Capacity, Graystone/Gray (Carton of 4)</t>
        </is>
      </c>
      <c r="E313" s="1">
        <f>HYPERLINK("https://www.amazon.com/National-Public-Seating-2302-Upholstered/dp/B003VKKYB6/ref=sr_1_1?keywords=National+Public+Seating+302+Gray+Premium+Metal+Triple-Brace+Folding+Chair&amp;qid=1695347739&amp;sr=8-1", "https://www.amazon.com/National-Public-Seating-2302-Upholstered/dp/B003VKKYB6/ref=sr_1_1?keywords=National+Public+Seating+302+Gray+Premium+Metal+Triple-Brace+Folding+Chair&amp;qid=1695347739&amp;sr=8-1")</f>
        <v/>
      </c>
      <c r="F313" t="inlineStr">
        <is>
          <t>B003VKKYB6</t>
        </is>
      </c>
      <c r="G313">
        <f>_xlfn.IMAGE("https://cdnimg.webstaurantstore.com/images/products/large/204367/1723011.jpg")</f>
        <v/>
      </c>
      <c r="H313">
        <f>_xlfn.IMAGE("https://m.media-amazon.com/images/I/81v49GJDVGL._AC_UL320_.jpg")</f>
        <v/>
      </c>
      <c r="K313" t="inlineStr">
        <is>
          <t>24.0</t>
        </is>
      </c>
      <c r="L313" t="n">
        <v>189.05</v>
      </c>
      <c r="M313" s="2" t="inlineStr">
        <is>
          <t>687.71%</t>
        </is>
      </c>
      <c r="N313" t="n">
        <v>4.4</v>
      </c>
      <c r="O313" t="n">
        <v>113</v>
      </c>
      <c r="Q313" t="inlineStr">
        <is>
          <t>InStock</t>
        </is>
      </c>
      <c r="R313" t="inlineStr">
        <is>
          <t>31.39</t>
        </is>
      </c>
      <c r="S313" t="inlineStr">
        <is>
          <t>386302</t>
        </is>
      </c>
    </row>
    <row r="314" ht="75" customHeight="1">
      <c r="A314" s="1">
        <f>HYPERLINK("https://www.webstaurantstore.com/national-public-seating-302-gray-premium-metal-triple-brace-folding-chair/386302.html", "https://www.webstaurantstore.com/national-public-seating-302-gray-premium-metal-triple-brace-folding-chair/386302.html")</f>
        <v/>
      </c>
      <c r="B314" s="1">
        <f>HYPERLINK("https://www.webstaurantstore.com/national-public-seating-302-gray-premium-metal-triple-brace-folding-chair/386302.html", "https://www.webstaurantstore.com/national-public-seating-302-gray-premium-metal-triple-brace-folding-chair/386302.html")</f>
        <v/>
      </c>
      <c r="C314" t="inlineStr">
        <is>
          <t>National Public Seating 302 Gray Premium Metal Triple-Brace Folding Chair</t>
        </is>
      </c>
      <c r="D314" t="inlineStr">
        <is>
          <t>National Public Seating 1200 Series Steel Frame Upholstered Premium Vinyl Seat and Back Folding Chair with Double Brace, 480 lbs Capacity, Warm Gray/Gray (Carton of 4)</t>
        </is>
      </c>
      <c r="E314" s="1">
        <f>HYPERLINK("https://www.amazon.com/National-Public-Seating-Upholstered-Capacity/dp/B000PRQVS8/ref=sr_1_4?keywords=National+Public+Seating+302+Gray+Premium+Metal+Triple-Brace+Folding+Chair&amp;qid=1695347739&amp;sr=8-4", "https://www.amazon.com/National-Public-Seating-Upholstered-Capacity/dp/B000PRQVS8/ref=sr_1_4?keywords=National+Public+Seating+302+Gray+Premium+Metal+Triple-Brace+Folding+Chair&amp;qid=1695347739&amp;sr=8-4")</f>
        <v/>
      </c>
      <c r="F314" t="inlineStr">
        <is>
          <t>B000PRQVS8</t>
        </is>
      </c>
      <c r="G314">
        <f>_xlfn.IMAGE("https://cdnimg.webstaurantstore.com/images/products/large/204367/1723011.jpg")</f>
        <v/>
      </c>
      <c r="H314">
        <f>_xlfn.IMAGE("https://m.media-amazon.com/images/I/71SV6syLdEL._AC_UL320_.jpg")</f>
        <v/>
      </c>
      <c r="K314" t="inlineStr">
        <is>
          <t>24.0</t>
        </is>
      </c>
      <c r="L314" t="n">
        <v>173.71</v>
      </c>
      <c r="M314" s="2" t="inlineStr">
        <is>
          <t>623.79%</t>
        </is>
      </c>
      <c r="N314" t="n">
        <v>4.6</v>
      </c>
      <c r="O314" t="n">
        <v>246</v>
      </c>
      <c r="Q314" t="inlineStr">
        <is>
          <t>InStock</t>
        </is>
      </c>
      <c r="R314" t="inlineStr">
        <is>
          <t>31.39</t>
        </is>
      </c>
      <c r="S314" t="inlineStr">
        <is>
          <t>386302</t>
        </is>
      </c>
    </row>
    <row r="315" ht="75" customHeight="1">
      <c r="A315" s="1">
        <f>HYPERLINK("https://www.webstaurantstore.com/national-public-seating-302-gray-premium-metal-triple-brace-folding-chair/386302.html", "https://www.webstaurantstore.com/national-public-seating-302-gray-premium-metal-triple-brace-folding-chair/386302.html")</f>
        <v/>
      </c>
      <c r="B315" s="1">
        <f>HYPERLINK("https://www.webstaurantstore.com/national-public-seating-302-gray-premium-metal-triple-brace-folding-chair/386302.html", "https://www.webstaurantstore.com/national-public-seating-302-gray-premium-metal-triple-brace-folding-chair/386302.html")</f>
        <v/>
      </c>
      <c r="C315" t="inlineStr">
        <is>
          <t>National Public Seating 302 Gray Premium Metal Triple-Brace Folding Chair</t>
        </is>
      </c>
      <c r="D315" t="inlineStr">
        <is>
          <t>National Public Seating 300 Series, Model 310 All Steel Premium Folding Chair with Triple Brace, 480 lbs Capacity, Black (Carton of 4)</t>
        </is>
      </c>
      <c r="E315" s="1">
        <f>HYPERLINK("https://www.amazon.com/National-Public-Seating-310-Capacity/dp/B000PRS0HI/ref=sr_1_2?keywords=National+Public+Seating+302+Gray+Premium+Metal+Triple-Brace+Folding+Chair&amp;qid=1695347739&amp;sr=8-2", "https://www.amazon.com/National-Public-Seating-310-Capacity/dp/B000PRS0HI/ref=sr_1_2?keywords=National+Public+Seating+302+Gray+Premium+Metal+Triple-Brace+Folding+Chair&amp;qid=1695347739&amp;sr=8-2")</f>
        <v/>
      </c>
      <c r="F315" t="inlineStr">
        <is>
          <t>B000PRS0HI</t>
        </is>
      </c>
      <c r="G315">
        <f>_xlfn.IMAGE("https://cdnimg.webstaurantstore.com/images/products/large/204367/1723011.jpg")</f>
        <v/>
      </c>
      <c r="H315">
        <f>_xlfn.IMAGE("https://m.media-amazon.com/images/I/71PDcLlDAAL._AC_UL320_.jpg")</f>
        <v/>
      </c>
      <c r="K315" t="inlineStr">
        <is>
          <t>24.0</t>
        </is>
      </c>
      <c r="L315" t="n">
        <v>116.01</v>
      </c>
      <c r="M315" s="2" t="inlineStr">
        <is>
          <t>383.38%</t>
        </is>
      </c>
      <c r="N315" t="n">
        <v>4.4</v>
      </c>
      <c r="O315" t="n">
        <v>114</v>
      </c>
      <c r="Q315" t="inlineStr">
        <is>
          <t>InStock</t>
        </is>
      </c>
      <c r="R315" t="inlineStr">
        <is>
          <t>31.39</t>
        </is>
      </c>
      <c r="S315" t="inlineStr">
        <is>
          <t>386302</t>
        </is>
      </c>
    </row>
    <row r="316" ht="75" customHeight="1">
      <c r="A316" s="1">
        <f>HYPERLINK("https://www.webstaurantstore.com/national-public-seating-303-brown-premium-metal-triple-brace-folding-chair/386303.html", "https://www.webstaurantstore.com/national-public-seating-303-brown-premium-metal-triple-brace-folding-chair/386303.html")</f>
        <v/>
      </c>
      <c r="B316" s="1">
        <f>HYPERLINK("https://www.webstaurantstore.com/national-public-seating-303-brown-premium-metal-triple-brace-folding-chair/386303.html", "https://www.webstaurantstore.com/national-public-seating-303-brown-premium-metal-triple-brace-folding-chair/386303.html")</f>
        <v/>
      </c>
      <c r="C316" t="inlineStr">
        <is>
          <t>National Public Seating 303 Brown Premium Metal Triple-Brace Folding Chair</t>
        </is>
      </c>
      <c r="D316" t="inlineStr">
        <is>
          <t>National Public Seating 2300 Series Steel Frame Upholstered Premium Fabric Seat and Back Folding Chair with Triple Brace, 480 lbs Capacity, Cafe Beige/Beige (Carton of 4)</t>
        </is>
      </c>
      <c r="E316" s="1">
        <f>HYPERLINK("https://www.amazon.com/National-Public-Seating-Upholstered-Capacity/dp/B0043C6C6C/ref=sr_1_4?keywords=National+Public+Seating+303+Brown+Premium+Metal+Triple-Brace+Folding+Chair&amp;qid=1695347746&amp;sr=8-4", "https://www.amazon.com/National-Public-Seating-Upholstered-Capacity/dp/B0043C6C6C/ref=sr_1_4?keywords=National+Public+Seating+303+Brown+Premium+Metal+Triple-Brace+Folding+Chair&amp;qid=1695347746&amp;sr=8-4")</f>
        <v/>
      </c>
      <c r="F316" t="inlineStr">
        <is>
          <t>B0043C6C6C</t>
        </is>
      </c>
      <c r="G316">
        <f>_xlfn.IMAGE("https://cdnimg.webstaurantstore.com/images/products/large/204338/1723022.jpg")</f>
        <v/>
      </c>
      <c r="H316">
        <f>_xlfn.IMAGE("https://m.media-amazon.com/images/I/81Y-9QDRUAL._AC_UL320_.jpg")</f>
        <v/>
      </c>
      <c r="K316" t="inlineStr">
        <is>
          <t>24.0</t>
        </is>
      </c>
      <c r="L316" t="n">
        <v>189.05</v>
      </c>
      <c r="M316" s="2" t="inlineStr">
        <is>
          <t>687.71%</t>
        </is>
      </c>
      <c r="N316" t="n">
        <v>4.6</v>
      </c>
      <c r="O316" t="n">
        <v>332</v>
      </c>
      <c r="Q316" t="inlineStr">
        <is>
          <t>OutOfStock</t>
        </is>
      </c>
      <c r="R316" t="inlineStr">
        <is>
          <t>31.39</t>
        </is>
      </c>
      <c r="S316" t="inlineStr">
        <is>
          <t>386303</t>
        </is>
      </c>
    </row>
    <row r="317" ht="75" customHeight="1">
      <c r="A317" s="1">
        <f>HYPERLINK("https://www.webstaurantstore.com/national-public-seating-303-brown-premium-metal-triple-brace-folding-chair/386303.html", "https://www.webstaurantstore.com/national-public-seating-303-brown-premium-metal-triple-brace-folding-chair/386303.html")</f>
        <v/>
      </c>
      <c r="B317" s="1">
        <f>HYPERLINK("https://www.webstaurantstore.com/national-public-seating-303-brown-premium-metal-triple-brace-folding-chair/386303.html", "https://www.webstaurantstore.com/national-public-seating-303-brown-premium-metal-triple-brace-folding-chair/386303.html")</f>
        <v/>
      </c>
      <c r="C317" t="inlineStr">
        <is>
          <t>National Public Seating 303 Brown Premium Metal Triple-Brace Folding Chair</t>
        </is>
      </c>
      <c r="D317" t="inlineStr">
        <is>
          <t>National Public Seating 2302 Steel Frame Upholstered Premium Fabric Seat and Back Folding Chair with Triple Brace, 480 lbs Capacity, Graystone/Gray (Carton of 4)</t>
        </is>
      </c>
      <c r="E317" s="1">
        <f>HYPERLINK("https://www.amazon.com/National-Public-Seating-2302-Upholstered/dp/B003VKKYB6/ref=sr_1_3?keywords=National+Public+Seating+303+Brown+Premium+Metal+Triple-Brace+Folding+Chair&amp;qid=1695347746&amp;sr=8-3", "https://www.amazon.com/National-Public-Seating-2302-Upholstered/dp/B003VKKYB6/ref=sr_1_3?keywords=National+Public+Seating+303+Brown+Premium+Metal+Triple-Brace+Folding+Chair&amp;qid=1695347746&amp;sr=8-3")</f>
        <v/>
      </c>
      <c r="F317" t="inlineStr">
        <is>
          <t>B003VKKYB6</t>
        </is>
      </c>
      <c r="G317">
        <f>_xlfn.IMAGE("https://cdnimg.webstaurantstore.com/images/products/large/204338/1723022.jpg")</f>
        <v/>
      </c>
      <c r="H317">
        <f>_xlfn.IMAGE("https://m.media-amazon.com/images/I/81v49GJDVGL._AC_UL320_.jpg")</f>
        <v/>
      </c>
      <c r="K317" t="inlineStr">
        <is>
          <t>24.0</t>
        </is>
      </c>
      <c r="L317" t="n">
        <v>189.05</v>
      </c>
      <c r="M317" s="2" t="inlineStr">
        <is>
          <t>687.71%</t>
        </is>
      </c>
      <c r="N317" t="n">
        <v>4.4</v>
      </c>
      <c r="O317" t="n">
        <v>113</v>
      </c>
      <c r="Q317" t="inlineStr">
        <is>
          <t>OutOfStock</t>
        </is>
      </c>
      <c r="R317" t="inlineStr">
        <is>
          <t>31.39</t>
        </is>
      </c>
      <c r="S317" t="inlineStr">
        <is>
          <t>386303</t>
        </is>
      </c>
    </row>
    <row r="318" ht="75" customHeight="1">
      <c r="A318" s="1">
        <f>HYPERLINK("https://www.webstaurantstore.com/national-public-seating-303-brown-premium-metal-triple-brace-folding-chair/386303.html", "https://www.webstaurantstore.com/national-public-seating-303-brown-premium-metal-triple-brace-folding-chair/386303.html")</f>
        <v/>
      </c>
      <c r="B318" s="1">
        <f>HYPERLINK("https://www.webstaurantstore.com/national-public-seating-303-brown-premium-metal-triple-brace-folding-chair/386303.html", "https://www.webstaurantstore.com/national-public-seating-303-brown-premium-metal-triple-brace-folding-chair/386303.html")</f>
        <v/>
      </c>
      <c r="C318" t="inlineStr">
        <is>
          <t>National Public Seating 303 Brown Premium Metal Triple-Brace Folding Chair</t>
        </is>
      </c>
      <c r="D318" t="inlineStr">
        <is>
          <t>National Public Seating 300 Series, Model 310 All Steel Premium Folding Chair with Triple Brace, 480 lbs Capacity, Black (Carton of 4)</t>
        </is>
      </c>
      <c r="E318" s="1">
        <f>HYPERLINK("https://www.amazon.com/National-Public-Seating-310-Capacity/dp/B000PRS0HI/ref=sr_1_1?keywords=National+Public+Seating+303+Brown+Premium+Metal+Triple-Brace+Folding+Chair&amp;qid=1695347746&amp;sr=8-1", "https://www.amazon.com/National-Public-Seating-310-Capacity/dp/B000PRS0HI/ref=sr_1_1?keywords=National+Public+Seating+303+Brown+Premium+Metal+Triple-Brace+Folding+Chair&amp;qid=1695347746&amp;sr=8-1")</f>
        <v/>
      </c>
      <c r="F318" t="inlineStr">
        <is>
          <t>B000PRS0HI</t>
        </is>
      </c>
      <c r="G318">
        <f>_xlfn.IMAGE("https://cdnimg.webstaurantstore.com/images/products/large/204338/1723022.jpg")</f>
        <v/>
      </c>
      <c r="H318">
        <f>_xlfn.IMAGE("https://m.media-amazon.com/images/I/71PDcLlDAAL._AC_UL320_.jpg")</f>
        <v/>
      </c>
      <c r="K318" t="inlineStr">
        <is>
          <t>24.0</t>
        </is>
      </c>
      <c r="L318" t="n">
        <v>116.01</v>
      </c>
      <c r="M318" s="2" t="inlineStr">
        <is>
          <t>383.38%</t>
        </is>
      </c>
      <c r="N318" t="n">
        <v>4.4</v>
      </c>
      <c r="O318" t="n">
        <v>114</v>
      </c>
      <c r="Q318" t="inlineStr">
        <is>
          <t>OutOfStock</t>
        </is>
      </c>
      <c r="R318" t="inlineStr">
        <is>
          <t>31.39</t>
        </is>
      </c>
      <c r="S318" t="inlineStr">
        <is>
          <t>386303</t>
        </is>
      </c>
    </row>
    <row r="319" ht="75" customHeight="1">
      <c r="A319" s="1">
        <f>HYPERLINK("https://www.webstaurantstore.com/national-public-seating-304-char-blue-premium-metal-triple-brace-folding-chair/386304.html", "https://www.webstaurantstore.com/national-public-seating-304-char-blue-premium-metal-triple-brace-folding-chair/386304.html")</f>
        <v/>
      </c>
      <c r="B319" s="1">
        <f>HYPERLINK("https://www.webstaurantstore.com/national-public-seating-304-char-blue-premium-metal-triple-brace-folding-chair/386304.html", "https://www.webstaurantstore.com/national-public-seating-304-char-blue-premium-metal-triple-brace-folding-chair/386304.html")</f>
        <v/>
      </c>
      <c r="C319" t="inlineStr">
        <is>
          <t>National Public Seating 304 Char-Blue Premium Metal Triple-Brace Folding Chair</t>
        </is>
      </c>
      <c r="D319" t="inlineStr">
        <is>
          <t>National Public Seating 2300 Series Steel Frame Upholstered Premium Fabric Seat and Back Folding Chair with Triple Brace, 480 lbs Capacity, Imperial Blue/Char-Blue (Carton of 4)</t>
        </is>
      </c>
      <c r="E319" s="1">
        <f>HYPERLINK("https://www.amazon.com/National-Public-Seating-Upholstered-Char-Blue/dp/B003VKM5ZY/ref=sr_1_1?keywords=National+Public+Seating+304+Char-Blue+Premium+Metal+Triple-Brace+Folding+Chair&amp;qid=1695347739&amp;sr=8-1", "https://www.amazon.com/National-Public-Seating-Upholstered-Char-Blue/dp/B003VKM5ZY/ref=sr_1_1?keywords=National+Public+Seating+304+Char-Blue+Premium+Metal+Triple-Brace+Folding+Chair&amp;qid=1695347739&amp;sr=8-1")</f>
        <v/>
      </c>
      <c r="F319" t="inlineStr">
        <is>
          <t>B003VKM5ZY</t>
        </is>
      </c>
      <c r="G319">
        <f>_xlfn.IMAGE("https://cdnimg.webstaurantstore.com/images/products/large/204377/1723043.jpg")</f>
        <v/>
      </c>
      <c r="H319">
        <f>_xlfn.IMAGE("https://m.media-amazon.com/images/I/81lYT9vmrrL._AC_UL320_.jpg")</f>
        <v/>
      </c>
      <c r="K319" t="inlineStr">
        <is>
          <t>24.0</t>
        </is>
      </c>
      <c r="L319" t="n">
        <v>189.05</v>
      </c>
      <c r="M319" s="2" t="inlineStr">
        <is>
          <t>687.71%</t>
        </is>
      </c>
      <c r="N319" t="n">
        <v>4.6</v>
      </c>
      <c r="O319" t="n">
        <v>332</v>
      </c>
      <c r="Q319" t="inlineStr">
        <is>
          <t>InStock</t>
        </is>
      </c>
      <c r="R319" t="inlineStr">
        <is>
          <t>31.39</t>
        </is>
      </c>
      <c r="S319" t="inlineStr">
        <is>
          <t>386304</t>
        </is>
      </c>
    </row>
    <row r="320" ht="75" customHeight="1">
      <c r="A320" s="1">
        <f>HYPERLINK("https://www.webstaurantstore.com/national-public-seating-310-black-premium-metal-triple-brace-folding-chair/386310.html", "https://www.webstaurantstore.com/national-public-seating-310-black-premium-metal-triple-brace-folding-chair/386310.html")</f>
        <v/>
      </c>
      <c r="B320" s="1">
        <f>HYPERLINK("https://www.webstaurantstore.com/national-public-seating-310-black-premium-metal-triple-brace-folding-chair/386310.html", "https://www.webstaurantstore.com/national-public-seating-310-black-premium-metal-triple-brace-folding-chair/386310.html")</f>
        <v/>
      </c>
      <c r="C320" t="inlineStr">
        <is>
          <t>National Public Seating 310 Black Premium Metal Triple-Brace Folding Chair</t>
        </is>
      </c>
      <c r="D320" t="inlineStr">
        <is>
          <t>National Public Seating 1100 Series Deluxe Fan Back with Triple Brace Double Hinge Folding Chair, Black</t>
        </is>
      </c>
      <c r="E320" s="1">
        <f>HYPERLINK("https://www.amazon.com/Deluxe-Triple-Brace-Double-Folding/dp/B001GT6LT8/ref=sr_1_5?keywords=National+Public+Seating+310+Black+Premium+Metal+Triple-Brace+Folding+Chair&amp;qid=1695347743&amp;sr=8-5", "https://www.amazon.com/Deluxe-Triple-Brace-Double-Folding/dp/B001GT6LT8/ref=sr_1_5?keywords=National+Public+Seating+310+Black+Premium+Metal+Triple-Brace+Folding+Chair&amp;qid=1695347743&amp;sr=8-5")</f>
        <v/>
      </c>
      <c r="F320" t="inlineStr">
        <is>
          <t>B001GT6LT8</t>
        </is>
      </c>
      <c r="G320">
        <f>_xlfn.IMAGE("https://cdnimg.webstaurantstore.com/images/products/large/204394/1723431.jpg")</f>
        <v/>
      </c>
      <c r="H320">
        <f>_xlfn.IMAGE("https://m.media-amazon.com/images/I/81jmwU8h2IL._AC_UL320_.jpg")</f>
        <v/>
      </c>
      <c r="K320" t="inlineStr">
        <is>
          <t>24.0</t>
        </is>
      </c>
      <c r="L320" t="n">
        <v>190.94</v>
      </c>
      <c r="M320" s="2" t="inlineStr">
        <is>
          <t>695.58%</t>
        </is>
      </c>
      <c r="N320" t="n">
        <v>4.2</v>
      </c>
      <c r="O320" t="n">
        <v>7</v>
      </c>
      <c r="Q320" t="inlineStr">
        <is>
          <t>OutOfStock</t>
        </is>
      </c>
      <c r="R320" t="inlineStr">
        <is>
          <t>31.39</t>
        </is>
      </c>
      <c r="S320" t="inlineStr">
        <is>
          <t>386310</t>
        </is>
      </c>
    </row>
    <row r="321" ht="75" customHeight="1">
      <c r="A321" s="1">
        <f>HYPERLINK("https://www.webstaurantstore.com/national-public-seating-310-black-premium-metal-triple-brace-folding-chair/386310.html", "https://www.webstaurantstore.com/national-public-seating-310-black-premium-metal-triple-brace-folding-chair/386310.html")</f>
        <v/>
      </c>
      <c r="B321" s="1">
        <f>HYPERLINK("https://www.webstaurantstore.com/national-public-seating-310-black-premium-metal-triple-brace-folding-chair/386310.html", "https://www.webstaurantstore.com/national-public-seating-310-black-premium-metal-triple-brace-folding-chair/386310.html")</f>
        <v/>
      </c>
      <c r="C321" t="inlineStr">
        <is>
          <t>National Public Seating 310 Black Premium Metal Triple-Brace Folding Chair</t>
        </is>
      </c>
      <c r="D321" t="inlineStr">
        <is>
          <t>National Public Seating 2300 Series Steel Frame Upholstered Premium Fabric Seat and Back Folding Chair with Triple Brace, 480 lbs Capacity, Cafe Beige/Beige (Carton of 4)</t>
        </is>
      </c>
      <c r="E321" s="1">
        <f>HYPERLINK("https://www.amazon.com/National-Public-Seating-Upholstered-Capacity/dp/B0043C6C6C/ref=sr_1_6?keywords=National+Public+Seating+310+Black+Premium+Metal+Triple-Brace+Folding+Chair&amp;qid=1695347743&amp;sr=8-6", "https://www.amazon.com/National-Public-Seating-Upholstered-Capacity/dp/B0043C6C6C/ref=sr_1_6?keywords=National+Public+Seating+310+Black+Premium+Metal+Triple-Brace+Folding+Chair&amp;qid=1695347743&amp;sr=8-6")</f>
        <v/>
      </c>
      <c r="F321" t="inlineStr">
        <is>
          <t>B0043C6C6C</t>
        </is>
      </c>
      <c r="G321">
        <f>_xlfn.IMAGE("https://cdnimg.webstaurantstore.com/images/products/large/204394/1723431.jpg")</f>
        <v/>
      </c>
      <c r="H321">
        <f>_xlfn.IMAGE("https://m.media-amazon.com/images/I/81Y-9QDRUAL._AC_UL320_.jpg")</f>
        <v/>
      </c>
      <c r="K321" t="inlineStr">
        <is>
          <t>24.0</t>
        </is>
      </c>
      <c r="L321" t="n">
        <v>189.05</v>
      </c>
      <c r="M321" s="2" t="inlineStr">
        <is>
          <t>687.71%</t>
        </is>
      </c>
      <c r="N321" t="n">
        <v>4.6</v>
      </c>
      <c r="O321" t="n">
        <v>332</v>
      </c>
      <c r="Q321" t="inlineStr">
        <is>
          <t>OutOfStock</t>
        </is>
      </c>
      <c r="R321" t="inlineStr">
        <is>
          <t>31.39</t>
        </is>
      </c>
      <c r="S321" t="inlineStr">
        <is>
          <t>386310</t>
        </is>
      </c>
    </row>
    <row r="322" ht="75" customHeight="1">
      <c r="A322" s="1">
        <f>HYPERLINK("https://www.webstaurantstore.com/national-public-seating-310-black-premium-metal-triple-brace-folding-chair/386310.html", "https://www.webstaurantstore.com/national-public-seating-310-black-premium-metal-triple-brace-folding-chair/386310.html")</f>
        <v/>
      </c>
      <c r="B322" s="1">
        <f>HYPERLINK("https://www.webstaurantstore.com/national-public-seating-310-black-premium-metal-triple-brace-folding-chair/386310.html", "https://www.webstaurantstore.com/national-public-seating-310-black-premium-metal-triple-brace-folding-chair/386310.html")</f>
        <v/>
      </c>
      <c r="C322" t="inlineStr">
        <is>
          <t>National Public Seating 310 Black Premium Metal Triple-Brace Folding Chair</t>
        </is>
      </c>
      <c r="D322" t="inlineStr">
        <is>
          <t>National Public Seating 2302 Steel Frame Upholstered Premium Fabric Seat and Back Folding Chair with Triple Brace, 480 lbs Capacity, Graystone/Gray (Carton of 4)</t>
        </is>
      </c>
      <c r="E322" s="1">
        <f>HYPERLINK("https://www.amazon.com/National-Public-Seating-2302-Upholstered/dp/B003VKKYB6/ref=sr_1_3?keywords=National+Public+Seating+310+Black+Premium+Metal+Triple-Brace+Folding+Chair&amp;qid=1695347743&amp;sr=8-3", "https://www.amazon.com/National-Public-Seating-2302-Upholstered/dp/B003VKKYB6/ref=sr_1_3?keywords=National+Public+Seating+310+Black+Premium+Metal+Triple-Brace+Folding+Chair&amp;qid=1695347743&amp;sr=8-3")</f>
        <v/>
      </c>
      <c r="F322" t="inlineStr">
        <is>
          <t>B003VKKYB6</t>
        </is>
      </c>
      <c r="G322">
        <f>_xlfn.IMAGE("https://cdnimg.webstaurantstore.com/images/products/large/204394/1723431.jpg")</f>
        <v/>
      </c>
      <c r="H322">
        <f>_xlfn.IMAGE("https://m.media-amazon.com/images/I/81v49GJDVGL._AC_UL320_.jpg")</f>
        <v/>
      </c>
      <c r="K322" t="inlineStr">
        <is>
          <t>24.0</t>
        </is>
      </c>
      <c r="L322" t="n">
        <v>189.05</v>
      </c>
      <c r="M322" s="2" t="inlineStr">
        <is>
          <t>687.71%</t>
        </is>
      </c>
      <c r="N322" t="n">
        <v>4.4</v>
      </c>
      <c r="O322" t="n">
        <v>113</v>
      </c>
      <c r="Q322" t="inlineStr">
        <is>
          <t>OutOfStock</t>
        </is>
      </c>
      <c r="R322" t="inlineStr">
        <is>
          <t>31.39</t>
        </is>
      </c>
      <c r="S322" t="inlineStr">
        <is>
          <t>386310</t>
        </is>
      </c>
    </row>
    <row r="323" ht="75" customHeight="1">
      <c r="A323" s="1">
        <f>HYPERLINK("https://www.webstaurantstore.com/national-public-seating-310-black-premium-metal-triple-brace-folding-chair/386310.html", "https://www.webstaurantstore.com/national-public-seating-310-black-premium-metal-triple-brace-folding-chair/386310.html")</f>
        <v/>
      </c>
      <c r="B323" s="1">
        <f>HYPERLINK("https://www.webstaurantstore.com/national-public-seating-310-black-premium-metal-triple-brace-folding-chair/386310.html", "https://www.webstaurantstore.com/national-public-seating-310-black-premium-metal-triple-brace-folding-chair/386310.html")</f>
        <v/>
      </c>
      <c r="C323" t="inlineStr">
        <is>
          <t>National Public Seating 310 Black Premium Metal Triple-Brace Folding Chair</t>
        </is>
      </c>
      <c r="D323" t="inlineStr">
        <is>
          <t>National Public Seating 300 Series, Model 310 All Steel Premium Folding Chair with Triple Brace, 480 lbs Capacity, Black (Carton of 4)</t>
        </is>
      </c>
      <c r="E323" s="1">
        <f>HYPERLINK("https://www.amazon.com/National-Public-Seating-310-Capacity/dp/B000PRS0HI/ref=sr_1_1?keywords=National+Public+Seating+310+Black+Premium+Metal+Triple-Brace+Folding+Chair&amp;qid=1695347743&amp;sr=8-1", "https://www.amazon.com/National-Public-Seating-310-Capacity/dp/B000PRS0HI/ref=sr_1_1?keywords=National+Public+Seating+310+Black+Premium+Metal+Triple-Brace+Folding+Chair&amp;qid=1695347743&amp;sr=8-1")</f>
        <v/>
      </c>
      <c r="F323" t="inlineStr">
        <is>
          <t>B000PRS0HI</t>
        </is>
      </c>
      <c r="G323">
        <f>_xlfn.IMAGE("https://cdnimg.webstaurantstore.com/images/products/large/204394/1723431.jpg")</f>
        <v/>
      </c>
      <c r="H323">
        <f>_xlfn.IMAGE("https://m.media-amazon.com/images/I/71PDcLlDAAL._AC_UL320_.jpg")</f>
        <v/>
      </c>
      <c r="K323" t="inlineStr">
        <is>
          <t>24.0</t>
        </is>
      </c>
      <c r="L323" t="n">
        <v>116.01</v>
      </c>
      <c r="M323" s="2" t="inlineStr">
        <is>
          <t>383.38%</t>
        </is>
      </c>
      <c r="N323" t="n">
        <v>4.4</v>
      </c>
      <c r="O323" t="n">
        <v>114</v>
      </c>
      <c r="Q323" t="inlineStr">
        <is>
          <t>OutOfStock</t>
        </is>
      </c>
      <c r="R323" t="inlineStr">
        <is>
          <t>31.39</t>
        </is>
      </c>
      <c r="S323" t="inlineStr">
        <is>
          <t>386310</t>
        </is>
      </c>
    </row>
    <row r="324" ht="75" customHeight="1">
      <c r="A324" s="1">
        <f>HYPERLINK("https://www.webstaurantstore.com/national-public-seating-510-black-metal-folding-chair/386510.html", "https://www.webstaurantstore.com/national-public-seating-510-black-metal-folding-chair/386510.html")</f>
        <v/>
      </c>
      <c r="B324" s="1">
        <f>HYPERLINK("https://www.webstaurantstore.com/national-public-seating-510-black-metal-folding-chair/386510.html", "https://www.webstaurantstore.com/national-public-seating-510-black-metal-folding-chair/386510.html")</f>
        <v/>
      </c>
      <c r="C324" t="inlineStr">
        <is>
          <t>National Public Seating 510 Black Metal Folding Chair</t>
        </is>
      </c>
      <c r="D324" t="inlineStr">
        <is>
          <t>National Public Seating 1100 Series Deluxe Fan Back with Triple Brace Double Hinge Folding Chair, Black</t>
        </is>
      </c>
      <c r="E324" s="1">
        <f>HYPERLINK("https://www.amazon.com/Deluxe-Triple-Brace-Double-Folding/dp/B001GT6LT8/ref=sr_1_7?keywords=National+Public+Seating+510+Black+Metal+Folding+Chair&amp;qid=1695347744&amp;sr=8-7", "https://www.amazon.com/Deluxe-Triple-Brace-Double-Folding/dp/B001GT6LT8/ref=sr_1_7?keywords=National+Public+Seating+510+Black+Metal+Folding+Chair&amp;qid=1695347744&amp;sr=8-7")</f>
        <v/>
      </c>
      <c r="F324" t="inlineStr">
        <is>
          <t>B001GT6LT8</t>
        </is>
      </c>
      <c r="G324">
        <f>_xlfn.IMAGE("https://cdnimg.webstaurantstore.com/images/products/large/204351/1723540.jpg")</f>
        <v/>
      </c>
      <c r="H324">
        <f>_xlfn.IMAGE("https://m.media-amazon.com/images/I/81jmwU8h2IL._AC_UL320_.jpg")</f>
        <v/>
      </c>
      <c r="K324" t="inlineStr">
        <is>
          <t>23.0</t>
        </is>
      </c>
      <c r="L324" t="n">
        <v>190.94</v>
      </c>
      <c r="M324" s="2" t="inlineStr">
        <is>
          <t>730.17%</t>
        </is>
      </c>
      <c r="N324" t="n">
        <v>4.2</v>
      </c>
      <c r="O324" t="n">
        <v>7</v>
      </c>
      <c r="Q324" t="inlineStr">
        <is>
          <t>undefined</t>
        </is>
      </c>
      <c r="R324" t="inlineStr">
        <is>
          <t>28.73</t>
        </is>
      </c>
      <c r="S324" t="inlineStr">
        <is>
          <t>386510</t>
        </is>
      </c>
    </row>
    <row r="325" ht="75" customHeight="1">
      <c r="A325" s="1">
        <f>HYPERLINK("https://www.webstaurantstore.com/national-public-seating-510-black-metal-folding-chair/386510.html", "https://www.webstaurantstore.com/national-public-seating-510-black-metal-folding-chair/386510.html")</f>
        <v/>
      </c>
      <c r="B325" s="1">
        <f>HYPERLINK("https://www.webstaurantstore.com/national-public-seating-510-black-metal-folding-chair/386510.html", "https://www.webstaurantstore.com/national-public-seating-510-black-metal-folding-chair/386510.html")</f>
        <v/>
      </c>
      <c r="C325" t="inlineStr">
        <is>
          <t>National Public Seating 510 Black Metal Folding Chair</t>
        </is>
      </c>
      <c r="D325" t="inlineStr">
        <is>
          <t>National Public Seating 300 Series, Model 310 All Steel Premium Folding Chair with Triple Brace, 480 lbs Capacity, Black (Carton of 4)</t>
        </is>
      </c>
      <c r="E325" s="1">
        <f>HYPERLINK("https://www.amazon.com/National-Public-Seating-310-Capacity/dp/B000PRS0HI/ref=sr_1_1?keywords=National+Public+Seating+510+Black+Metal+Folding+Chair&amp;qid=1695347744&amp;sr=8-1", "https://www.amazon.com/National-Public-Seating-310-Capacity/dp/B000PRS0HI/ref=sr_1_1?keywords=National+Public+Seating+510+Black+Metal+Folding+Chair&amp;qid=1695347744&amp;sr=8-1")</f>
        <v/>
      </c>
      <c r="F325" t="inlineStr">
        <is>
          <t>B000PRS0HI</t>
        </is>
      </c>
      <c r="G325">
        <f>_xlfn.IMAGE("https://cdnimg.webstaurantstore.com/images/products/large/204351/1723540.jpg")</f>
        <v/>
      </c>
      <c r="H325">
        <f>_xlfn.IMAGE("https://m.media-amazon.com/images/I/71PDcLlDAAL._AC_UL320_.jpg")</f>
        <v/>
      </c>
      <c r="K325" t="inlineStr">
        <is>
          <t>23.0</t>
        </is>
      </c>
      <c r="L325" t="n">
        <v>116.01</v>
      </c>
      <c r="M325" s="2" t="inlineStr">
        <is>
          <t>404.39%</t>
        </is>
      </c>
      <c r="N325" t="n">
        <v>4.4</v>
      </c>
      <c r="O325" t="n">
        <v>114</v>
      </c>
      <c r="Q325" t="inlineStr">
        <is>
          <t>undefined</t>
        </is>
      </c>
      <c r="R325" t="inlineStr">
        <is>
          <t>28.73</t>
        </is>
      </c>
      <c r="S325" t="inlineStr">
        <is>
          <t>386510</t>
        </is>
      </c>
    </row>
    <row r="326" ht="75" customHeight="1">
      <c r="A326" s="1">
        <f>HYPERLINK("https://www.webstaurantstore.com/national-public-seating-51-beige-metal-folding-chair/38651.html", "https://www.webstaurantstore.com/national-public-seating-51-beige-metal-folding-chair/38651.html")</f>
        <v/>
      </c>
      <c r="B326" s="1">
        <f>HYPERLINK("https://www.webstaurantstore.com/national-public-seating-51-beige-metal-folding-chair/38651.html", "https://www.webstaurantstore.com/national-public-seating-51-beige-metal-folding-chair/38651.html")</f>
        <v/>
      </c>
      <c r="C326" t="inlineStr">
        <is>
          <t>National Public Seating 51 Beige Metal Folding Chair</t>
        </is>
      </c>
      <c r="D326" t="inlineStr">
        <is>
          <t>National Public Seating 2300 Series Steel Frame Upholstered Premium Fabric Seat and Back Folding Chair with Triple Brace, 480 lbs Capacity, Cafe Beige/Beige (Carton of 4)</t>
        </is>
      </c>
      <c r="E326" s="1">
        <f>HYPERLINK("https://www.amazon.com/National-Public-Seating-Upholstered-Capacity/dp/B0043C6C6C/ref=sr_1_5?keywords=National+Public+Seating+51+Beige+Metal+Folding+Chair&amp;qid=1695347736&amp;sr=8-5", "https://www.amazon.com/National-Public-Seating-Upholstered-Capacity/dp/B0043C6C6C/ref=sr_1_5?keywords=National+Public+Seating+51+Beige+Metal+Folding+Chair&amp;qid=1695347736&amp;sr=8-5")</f>
        <v/>
      </c>
      <c r="F326" t="inlineStr">
        <is>
          <t>B0043C6C6C</t>
        </is>
      </c>
      <c r="G326">
        <f>_xlfn.IMAGE("https://cdnimg.webstaurantstore.com/images/products/large/204361/1723512.jpg")</f>
        <v/>
      </c>
      <c r="H326">
        <f>_xlfn.IMAGE("https://m.media-amazon.com/images/I/81Y-9QDRUAL._AC_UL320_.jpg")</f>
        <v/>
      </c>
      <c r="K326" t="inlineStr">
        <is>
          <t>22.0</t>
        </is>
      </c>
      <c r="L326" t="n">
        <v>189.05</v>
      </c>
      <c r="M326" s="2" t="inlineStr">
        <is>
          <t>759.32%</t>
        </is>
      </c>
      <c r="N326" t="n">
        <v>4.6</v>
      </c>
      <c r="O326" t="n">
        <v>332</v>
      </c>
      <c r="Q326" t="inlineStr">
        <is>
          <t>InStock</t>
        </is>
      </c>
      <c r="R326" t="inlineStr">
        <is>
          <t>28.73</t>
        </is>
      </c>
      <c r="S326" t="inlineStr">
        <is>
          <t>38651</t>
        </is>
      </c>
    </row>
    <row r="327" ht="75" customHeight="1">
      <c r="A327" s="1">
        <f>HYPERLINK("https://www.webstaurantstore.com/national-public-seating-52-gray-metal-folding-chair/38652.html", "https://www.webstaurantstore.com/national-public-seating-52-gray-metal-folding-chair/38652.html")</f>
        <v/>
      </c>
      <c r="B327" s="1">
        <f>HYPERLINK("https://www.webstaurantstore.com/national-public-seating-52-gray-metal-folding-chair/38652.html", "https://www.webstaurantstore.com/national-public-seating-52-gray-metal-folding-chair/38652.html")</f>
        <v/>
      </c>
      <c r="C327" t="inlineStr">
        <is>
          <t>National Public Seating 52 Gray Metal Folding Chair</t>
        </is>
      </c>
      <c r="D327" t="inlineStr">
        <is>
          <t>National Public Seating 2302 Steel Frame Upholstered Premium Fabric Seat and Back Folding Chair with Triple Brace, 480 lbs Capacity, Graystone/Gray (Carton of 4)</t>
        </is>
      </c>
      <c r="E327" s="1">
        <f>HYPERLINK("https://www.amazon.com/National-Public-Seating-2302-Upholstered/dp/B003VKKYB6/ref=sr_1_1?keywords=National+Public+Seating+52+Gray+Metal+Folding+Chair&amp;qid=1695347737&amp;sr=8-1", "https://www.amazon.com/National-Public-Seating-2302-Upholstered/dp/B003VKKYB6/ref=sr_1_1?keywords=National+Public+Seating+52+Gray+Metal+Folding+Chair&amp;qid=1695347737&amp;sr=8-1")</f>
        <v/>
      </c>
      <c r="F327" t="inlineStr">
        <is>
          <t>B003VKKYB6</t>
        </is>
      </c>
      <c r="G327">
        <f>_xlfn.IMAGE("https://cdnimg.webstaurantstore.com/images/products/large/204364/1723555.jpg")</f>
        <v/>
      </c>
      <c r="H327">
        <f>_xlfn.IMAGE("https://m.media-amazon.com/images/I/81v49GJDVGL._AC_UL320_.jpg")</f>
        <v/>
      </c>
      <c r="K327" t="inlineStr">
        <is>
          <t>22.0</t>
        </is>
      </c>
      <c r="L327" t="n">
        <v>189.05</v>
      </c>
      <c r="M327" s="2" t="inlineStr">
        <is>
          <t>759.32%</t>
        </is>
      </c>
      <c r="N327" t="n">
        <v>4.4</v>
      </c>
      <c r="O327" t="n">
        <v>113</v>
      </c>
      <c r="Q327" t="inlineStr">
        <is>
          <t>InStock</t>
        </is>
      </c>
      <c r="R327" t="inlineStr">
        <is>
          <t>28.73</t>
        </is>
      </c>
      <c r="S327" t="inlineStr">
        <is>
          <t>38652</t>
        </is>
      </c>
    </row>
    <row r="328" ht="75" customHeight="1">
      <c r="A328" s="1">
        <f>HYPERLINK("https://www.webstaurantstore.com/national-public-seating-6218-18-gray-hardboard-round-lab-stool/3866218.html", "https://www.webstaurantstore.com/national-public-seating-6218-18-gray-hardboard-round-lab-stool/3866218.html")</f>
        <v/>
      </c>
      <c r="B328" s="1">
        <f>HYPERLINK("https://www.webstaurantstore.com/national-public-seating-6218-18-gray-hardboard-round-lab-stool/3866218.html", "https://www.webstaurantstore.com/national-public-seating-6218-18-gray-hardboard-round-lab-stool/3866218.html")</f>
        <v/>
      </c>
      <c r="C328" t="inlineStr">
        <is>
          <t>National Public Seating 6218 18" Gray Hardboard Round Lab Stool</t>
        </is>
      </c>
      <c r="D328" t="inlineStr">
        <is>
          <t>National Public Seating 6218B Steel Stool with 18" Hardboard Seat and Backrest, Grey</t>
        </is>
      </c>
      <c r="E328" s="1">
        <f>HYPERLINK("https://www.amazon.com/National-Public-Seating-6218B-Hardboard/dp/B00KQPBKCQ/ref=sr_1_4?keywords=National+Public+Seating+6218+18%22+Gray+Hardboard+Round+Lab+Stool&amp;qid=1695347764&amp;sr=8-4", "https://www.amazon.com/National-Public-Seating-6218B-Hardboard/dp/B00KQPBKCQ/ref=sr_1_4?keywords=National+Public+Seating+6218+18%22+Gray+Hardboard+Round+Lab+Stool&amp;qid=1695347764&amp;sr=8-4")</f>
        <v/>
      </c>
      <c r="F328" t="inlineStr">
        <is>
          <t>B00KQPBKCQ</t>
        </is>
      </c>
      <c r="G328">
        <f>_xlfn.IMAGE("https://cdnimg.webstaurantstore.com/images/products/large/57602/490637.jpg")</f>
        <v/>
      </c>
      <c r="H328">
        <f>_xlfn.IMAGE("https://m.media-amazon.com/images/I/71-PL9XlGLL._AC_UL320_.jpg")</f>
        <v/>
      </c>
      <c r="K328" t="inlineStr">
        <is>
          <t>33.0</t>
        </is>
      </c>
      <c r="L328" t="n">
        <v>67.97</v>
      </c>
      <c r="M328" s="2" t="inlineStr">
        <is>
          <t>105.97%</t>
        </is>
      </c>
      <c r="N328" t="n">
        <v>4.2</v>
      </c>
      <c r="O328" t="n">
        <v>5</v>
      </c>
      <c r="Q328" t="inlineStr">
        <is>
          <t>InStock</t>
        </is>
      </c>
      <c r="R328" t="inlineStr">
        <is>
          <t>43.62</t>
        </is>
      </c>
      <c r="S328" t="inlineStr">
        <is>
          <t>3866218</t>
        </is>
      </c>
    </row>
    <row r="329" ht="75" customHeight="1">
      <c r="A329" s="1">
        <f>HYPERLINK("https://www.webstaurantstore.com/national-public-seating-6218-black-18-hardboard-round-lab-stool/386621810.html", "https://www.webstaurantstore.com/national-public-seating-6218-black-18-hardboard-round-lab-stool/386621810.html")</f>
        <v/>
      </c>
      <c r="B329" s="1">
        <f>HYPERLINK("https://www.webstaurantstore.com/national-public-seating-6218-black-18-hardboard-round-lab-stool/386621810.html", "https://www.webstaurantstore.com/national-public-seating-6218-black-18-hardboard-round-lab-stool/386621810.html")</f>
        <v/>
      </c>
      <c r="C329" t="inlineStr">
        <is>
          <t>National Public Seating 6218 Black 18" Hardboard Round Lab Stool</t>
        </is>
      </c>
      <c r="D329" t="inlineStr">
        <is>
          <t>National Public Seating 6218B Steel Stool with 18" Hardboard Seat and Backrest, Grey</t>
        </is>
      </c>
      <c r="E329" s="1">
        <f>HYPERLINK("https://www.amazon.com/National-Public-Seating-6218B-Hardboard/dp/B00KQPBKCQ/ref=sr_1_3?keywords=National+Public+Seating+6218+Black+18%22+Hardboard+Round+Lab+Stool&amp;qid=1695347768&amp;sr=8-3", "https://www.amazon.com/National-Public-Seating-6218B-Hardboard/dp/B00KQPBKCQ/ref=sr_1_3?keywords=National+Public+Seating+6218+Black+18%22+Hardboard+Round+Lab+Stool&amp;qid=1695347768&amp;sr=8-3")</f>
        <v/>
      </c>
      <c r="F329" t="inlineStr">
        <is>
          <t>B00KQPBKCQ</t>
        </is>
      </c>
      <c r="G329">
        <f>_xlfn.IMAGE("https://cdnimg.webstaurantstore.com/images/products/large/1200/490577.jpg")</f>
        <v/>
      </c>
      <c r="H329">
        <f>_xlfn.IMAGE("https://m.media-amazon.com/images/I/71-PL9XlGLL._AC_UL320_.jpg")</f>
        <v/>
      </c>
      <c r="K329" t="inlineStr">
        <is>
          <t>35.0</t>
        </is>
      </c>
      <c r="L329" t="n">
        <v>67.97</v>
      </c>
      <c r="M329" s="2" t="inlineStr">
        <is>
          <t>94.20%</t>
        </is>
      </c>
      <c r="N329" t="n">
        <v>4.2</v>
      </c>
      <c r="O329" t="n">
        <v>5</v>
      </c>
      <c r="Q329" t="inlineStr">
        <is>
          <t>InStock</t>
        </is>
      </c>
      <c r="R329" t="inlineStr">
        <is>
          <t>46.28</t>
        </is>
      </c>
      <c r="S329" t="inlineStr">
        <is>
          <t>386621810</t>
        </is>
      </c>
    </row>
    <row r="330" ht="75" customHeight="1">
      <c r="A330" s="1">
        <f>HYPERLINK("https://www.webstaurantstore.com/national-public-seating-6218h-10-black-19-27-adjustable-hardboard-round-lab-stool/3866218H10.html", "https://www.webstaurantstore.com/national-public-seating-6218h-10-black-19-27-adjustable-hardboard-round-lab-stool/3866218H10.html")</f>
        <v/>
      </c>
      <c r="B330" s="1">
        <f>HYPERLINK("https://www.webstaurantstore.com/national-public-seating-6218h-10-black-19-27-adjustable-hardboard-round-lab-stool/3866218H10.html", "https://www.webstaurantstore.com/national-public-seating-6218h-10-black-19-27-adjustable-hardboard-round-lab-stool/3866218H10.html")</f>
        <v/>
      </c>
      <c r="C330" t="inlineStr">
        <is>
          <t>National Public Seating 6218H-10 Black 19" - 27" Adjustable Hardboard Round Lab Stool</t>
        </is>
      </c>
      <c r="D330" t="inlineStr">
        <is>
          <t>National Public Seating 6218HB Steel Stool with Hardboard Seat Adjustable and Backrest, 19"-27", Grey</t>
        </is>
      </c>
      <c r="E330" s="1">
        <f>HYPERLINK("https://www.amazon.com/National-Public-Seating-6218HB-Adjustable/dp/B00KQPBK5I/ref=sr_1_2?keywords=National+Public+Seating+6218H-10+Black+19+-+27+Adjustable+Hardboard+Round+Lab+Stool&amp;qid=1695347809&amp;sr=8-2", "https://www.amazon.com/National-Public-Seating-6218HB-Adjustable/dp/B00KQPBK5I/ref=sr_1_2?keywords=National+Public+Seating+6218H-10+Black+19+-+27+Adjustable+Hardboard+Round+Lab+Stool&amp;qid=1695347809&amp;sr=8-2")</f>
        <v/>
      </c>
      <c r="F330" t="inlineStr">
        <is>
          <t>B00KQPBK5I</t>
        </is>
      </c>
      <c r="G330">
        <f>_xlfn.IMAGE("https://cdnimg.webstaurantstore.com/images/products/large/21496/490662.jpg")</f>
        <v/>
      </c>
      <c r="H330">
        <f>_xlfn.IMAGE("https://m.media-amazon.com/images/I/71O0pI9XHfL._AC_UL320_.jpg")</f>
        <v/>
      </c>
      <c r="K330" t="inlineStr">
        <is>
          <t>48.0</t>
        </is>
      </c>
      <c r="L330" t="n">
        <v>80.72</v>
      </c>
      <c r="M330" s="2" t="inlineStr">
        <is>
          <t>68.17%</t>
        </is>
      </c>
      <c r="N330" t="n">
        <v>4.2</v>
      </c>
      <c r="O330" t="n">
        <v>62</v>
      </c>
      <c r="Q330" t="inlineStr">
        <is>
          <t>InStock</t>
        </is>
      </c>
      <c r="R330" t="inlineStr">
        <is>
          <t>62.77</t>
        </is>
      </c>
      <c r="S330" t="inlineStr">
        <is>
          <t>3866218h10</t>
        </is>
      </c>
    </row>
    <row r="331" ht="75" customHeight="1">
      <c r="A331" s="1">
        <f>HYPERLINK("https://www.webstaurantstore.com/national-public-seating-6218h-19-27-gray-adjustable-hardboard-round-lab-stool/3866218H.html", "https://www.webstaurantstore.com/national-public-seating-6218h-19-27-gray-adjustable-hardboard-round-lab-stool/3866218H.html")</f>
        <v/>
      </c>
      <c r="B331" s="1">
        <f>HYPERLINK("https://www.webstaurantstore.com/national-public-seating-6218h-19-27-gray-adjustable-hardboard-round-lab-stool/3866218H.html", "https://www.webstaurantstore.com/national-public-seating-6218h-19-27-gray-adjustable-hardboard-round-lab-stool/3866218H.html")</f>
        <v/>
      </c>
      <c r="C331" t="inlineStr">
        <is>
          <t>National Public Seating 6218H 19" - 27" Gray Adjustable Hardboard Round Lab Stool</t>
        </is>
      </c>
      <c r="D331" t="inlineStr">
        <is>
          <t>National Public Seating 6218HB Steel Stool with Hardboard Seat Adjustable and Backrest, 19"-27", Grey</t>
        </is>
      </c>
      <c r="E331" s="1">
        <f>HYPERLINK("https://www.amazon.com/National-Public-Seating-6218HB-Adjustable/dp/B00KQPBK5I/ref=sr_1_2?keywords=National+Public+Seating+6218H+19%22+-+27%22+Gray+Adjustable+Hardboard+Round+Lab+Stool&amp;qid=1695347804&amp;sr=8-2", "https://www.amazon.com/National-Public-Seating-6218HB-Adjustable/dp/B00KQPBK5I/ref=sr_1_2?keywords=National+Public+Seating+6218H+19%22+-+27%22+Gray+Adjustable+Hardboard+Round+Lab+Stool&amp;qid=1695347804&amp;sr=8-2")</f>
        <v/>
      </c>
      <c r="F331" t="inlineStr">
        <is>
          <t>B00KQPBK5I</t>
        </is>
      </c>
      <c r="G331">
        <f>_xlfn.IMAGE("https://cdnimg.webstaurantstore.com/images/products/large/19506/490751.jpg")</f>
        <v/>
      </c>
      <c r="H331">
        <f>_xlfn.IMAGE("https://m.media-amazon.com/images/I/71O0pI9XHfL._AC_UL320_.jpg")</f>
        <v/>
      </c>
      <c r="K331" t="inlineStr">
        <is>
          <t>46.0</t>
        </is>
      </c>
      <c r="L331" t="n">
        <v>80.72</v>
      </c>
      <c r="M331" s="2" t="inlineStr">
        <is>
          <t>75.48%</t>
        </is>
      </c>
      <c r="N331" t="n">
        <v>4.2</v>
      </c>
      <c r="O331" t="n">
        <v>62</v>
      </c>
      <c r="Q331" t="inlineStr">
        <is>
          <t>InStock</t>
        </is>
      </c>
      <c r="R331" t="inlineStr">
        <is>
          <t>60.11</t>
        </is>
      </c>
      <c r="S331" t="inlineStr">
        <is>
          <t>3866218h</t>
        </is>
      </c>
    </row>
    <row r="332" ht="75" customHeight="1">
      <c r="A332" s="1">
        <f>HYPERLINK("https://www.webstaurantstore.com/national-public-seating-6218hb-19-27-gray-adjustable-round-hardboard-lab-stool-with-adjustable-backrest/3866218HB.html", "https://www.webstaurantstore.com/national-public-seating-6218hb-19-27-gray-adjustable-round-hardboard-lab-stool-with-adjustable-backrest/3866218HB.html")</f>
        <v/>
      </c>
      <c r="B332" s="1">
        <f>HYPERLINK("https://www.webstaurantstore.com/national-public-seating-6218hb-19-27-gray-adjustable-round-hardboard-lab-stool-with-adjustable-backrest/3866218HB.html", "https://www.webstaurantstore.com/national-public-seating-6218hb-19-27-gray-adjustable-round-hardboard-lab-stool-with-adjustable-backrest/3866218HB.html")</f>
        <v/>
      </c>
      <c r="C332" t="inlineStr">
        <is>
          <t>National Public Seating 6218HB 19" - 27" Gray Adjustable Round Hardboard Lab Stool with Adjustable Backrest</t>
        </is>
      </c>
      <c r="D332" t="inlineStr">
        <is>
          <t>National Public Seating 6318HB Steel Stool with Square Hardboard Seat Adjustable and Backrest, 19"-27", Grey</t>
        </is>
      </c>
      <c r="E332" s="1">
        <f>HYPERLINK("https://www.amazon.com/National-Public-Seating-6318HB-Adjustable/dp/B00KQPC58Y/ref=sr_1_3?keywords=National+Public+Seating+6218HB+19%22+-+27%22+Gray+Adjustable+Round+Hardboard+Lab+Stool+with+Adjustable+Backrest&amp;qid=1695347850&amp;sr=8-3", "https://www.amazon.com/National-Public-Seating-6318HB-Adjustable/dp/B00KQPC58Y/ref=sr_1_3?keywords=National+Public+Seating+6218HB+19%22+-+27%22+Gray+Adjustable+Round+Hardboard+Lab+Stool+with+Adjustable+Backrest&amp;qid=1695347850&amp;sr=8-3")</f>
        <v/>
      </c>
      <c r="F332" t="inlineStr">
        <is>
          <t>B00KQPC58Y</t>
        </is>
      </c>
      <c r="G332">
        <f>_xlfn.IMAGE("https://cdnimg.webstaurantstore.com/images/products/large/6910/490697.jpg")</f>
        <v/>
      </c>
      <c r="H332">
        <f>_xlfn.IMAGE("https://m.media-amazon.com/images/I/71NZBgaw2AL._AC_UL320_.jpg")</f>
        <v/>
      </c>
      <c r="K332" t="inlineStr">
        <is>
          <t>63.0</t>
        </is>
      </c>
      <c r="L332" t="n">
        <v>110.47</v>
      </c>
      <c r="M332" s="2" t="inlineStr">
        <is>
          <t>75.35%</t>
        </is>
      </c>
      <c r="N332" t="n">
        <v>3.9</v>
      </c>
      <c r="O332" t="n">
        <v>8</v>
      </c>
      <c r="Q332" t="inlineStr">
        <is>
          <t>InStock</t>
        </is>
      </c>
      <c r="R332" t="inlineStr">
        <is>
          <t>82.99</t>
        </is>
      </c>
      <c r="S332" t="inlineStr">
        <is>
          <t>3866218hb</t>
        </is>
      </c>
    </row>
    <row r="333" ht="75" customHeight="1">
      <c r="A333" s="1">
        <f>HYPERLINK("https://www.webstaurantstore.com/national-public-seating-6230-30-gray-hardboard-round-lab-stool/3866230.html", "https://www.webstaurantstore.com/national-public-seating-6230-30-gray-hardboard-round-lab-stool/3866230.html")</f>
        <v/>
      </c>
      <c r="B333" s="1">
        <f>HYPERLINK("https://www.webstaurantstore.com/national-public-seating-6230-30-gray-hardboard-round-lab-stool/3866230.html", "https://www.webstaurantstore.com/national-public-seating-6230-30-gray-hardboard-round-lab-stool/3866230.html")</f>
        <v/>
      </c>
      <c r="C333" t="inlineStr">
        <is>
          <t>National Public Seating 6230 30" Gray Hardboard Round Lab Stool</t>
        </is>
      </c>
      <c r="D333" t="inlineStr">
        <is>
          <t>National Public Seating 6230B Grey Steel Stool with 30" Hardboard Seat and Backrest</t>
        </is>
      </c>
      <c r="E333" s="1">
        <f>HYPERLINK("https://www.amazon.com/National-Public-Seating-6230B-Hardboard/dp/B00KQPBKBC/ref=sr_1_3?keywords=National+Public+Seating+6230+30%22+Gray+Hardboard+Round+Lab+Stool&amp;qid=1695347793&amp;sr=8-3", "https://www.amazon.com/National-Public-Seating-6230B-Hardboard/dp/B00KQPBKBC/ref=sr_1_3?keywords=National+Public+Seating+6230+30%22+Gray+Hardboard+Round+Lab+Stool&amp;qid=1695347793&amp;sr=8-3")</f>
        <v/>
      </c>
      <c r="F333" t="inlineStr">
        <is>
          <t>B00KQPBKBC</t>
        </is>
      </c>
      <c r="G333">
        <f>_xlfn.IMAGE("https://cdnimg.webstaurantstore.com/images/products/large/5395/490620.jpg")</f>
        <v/>
      </c>
      <c r="H333">
        <f>_xlfn.IMAGE("https://m.media-amazon.com/images/I/712mb7YQUML._AC_UL320_.jpg")</f>
        <v/>
      </c>
      <c r="K333" t="inlineStr">
        <is>
          <t>44.0</t>
        </is>
      </c>
      <c r="L333" t="n">
        <v>93.08</v>
      </c>
      <c r="M333" s="2" t="inlineStr">
        <is>
          <t>111.55%</t>
        </is>
      </c>
      <c r="N333" t="n">
        <v>3.8</v>
      </c>
      <c r="O333" t="n">
        <v>5</v>
      </c>
      <c r="Q333" t="inlineStr">
        <is>
          <t>OutOfStock</t>
        </is>
      </c>
      <c r="R333" t="inlineStr">
        <is>
          <t>56.92</t>
        </is>
      </c>
      <c r="S333" t="inlineStr">
        <is>
          <t>3866230</t>
        </is>
      </c>
    </row>
    <row r="334" ht="75" customHeight="1">
      <c r="A334" s="1">
        <f>HYPERLINK("https://www.webstaurantstore.com/national-public-seating-6318-18-gray-hardboard-square-lab-stool/3866318.html", "https://www.webstaurantstore.com/national-public-seating-6318-18-gray-hardboard-square-lab-stool/3866318.html")</f>
        <v/>
      </c>
      <c r="B334" s="1">
        <f>HYPERLINK("https://www.webstaurantstore.com/national-public-seating-6318-18-gray-hardboard-square-lab-stool/3866318.html", "https://www.webstaurantstore.com/national-public-seating-6318-18-gray-hardboard-square-lab-stool/3866318.html")</f>
        <v/>
      </c>
      <c r="C334" t="inlineStr">
        <is>
          <t>National Public Seating 6318 18" Gray Hardboard Square Lab Stool</t>
        </is>
      </c>
      <c r="D334" t="inlineStr">
        <is>
          <t>National Public Seating 6318HB Steel Stool with Square Hardboard Seat Adjustable and Backrest, 19"-27", Grey</t>
        </is>
      </c>
      <c r="E334" s="1">
        <f>HYPERLINK("https://www.amazon.com/National-Public-Seating-6318HB-Adjustable/dp/B00KQPC58Y/ref=sr_1_3?keywords=National+Public+Seating+6318+18%22+Gray+Hardboard+Square+Lab+Stool&amp;qid=1695347810&amp;sr=8-3", "https://www.amazon.com/National-Public-Seating-6318HB-Adjustable/dp/B00KQPC58Y/ref=sr_1_3?keywords=National+Public+Seating+6318+18%22+Gray+Hardboard+Square+Lab+Stool&amp;qid=1695347810&amp;sr=8-3")</f>
        <v/>
      </c>
      <c r="F334" t="inlineStr">
        <is>
          <t>B00KQPC58Y</t>
        </is>
      </c>
      <c r="G334">
        <f>_xlfn.IMAGE("https://cdnimg.webstaurantstore.com/images/products/large/1295/1416917.jpg")</f>
        <v/>
      </c>
      <c r="H334">
        <f>_xlfn.IMAGE("https://m.media-amazon.com/images/I/71NZBgaw2AL._AC_UL320_.jpg")</f>
        <v/>
      </c>
      <c r="K334" t="inlineStr">
        <is>
          <t>50.0</t>
        </is>
      </c>
      <c r="L334" t="n">
        <v>110.47</v>
      </c>
      <c r="M334" s="2" t="inlineStr">
        <is>
          <t>120.94%</t>
        </is>
      </c>
      <c r="N334" t="n">
        <v>3.9</v>
      </c>
      <c r="O334" t="n">
        <v>8</v>
      </c>
      <c r="Q334" t="inlineStr">
        <is>
          <t>InStock</t>
        </is>
      </c>
      <c r="R334" t="inlineStr">
        <is>
          <t>64.9</t>
        </is>
      </c>
      <c r="S334" t="inlineStr">
        <is>
          <t>3866318</t>
        </is>
      </c>
    </row>
    <row r="335" ht="75" customHeight="1">
      <c r="A335" s="1">
        <f>HYPERLINK("https://www.webstaurantstore.com/national-public-seating-6318h-19-27-gray-adjustable-hardboard-square-lab-stool/3866318H.html", "https://www.webstaurantstore.com/national-public-seating-6318h-19-27-gray-adjustable-hardboard-square-lab-stool/3866318H.html")</f>
        <v/>
      </c>
      <c r="B335" s="1">
        <f>HYPERLINK("https://www.webstaurantstore.com/national-public-seating-6318h-19-27-gray-adjustable-hardboard-square-lab-stool/3866318H.html", "https://www.webstaurantstore.com/national-public-seating-6318h-19-27-gray-adjustable-hardboard-square-lab-stool/3866318H.html")</f>
        <v/>
      </c>
      <c r="C335" t="inlineStr">
        <is>
          <t>National Public Seating 6318H 19" - 27" Gray Adjustable Hardboard Square Lab Stool</t>
        </is>
      </c>
      <c r="D335" t="inlineStr">
        <is>
          <t>National Public Seating 6318HB Steel Stool with Square Hardboard Seat Adjustable and Backrest, 19"-27", Grey</t>
        </is>
      </c>
      <c r="E335" s="1">
        <f>HYPERLINK("https://www.amazon.com/National-Public-Seating-6318HB-Adjustable/dp/B00KQPC58Y/ref=sr_1_2?keywords=National+Public+Seating+6318H+19%22+-+27%22+Gray+Adjustable+Hardboard+Square+Lab+Stool&amp;qid=1695347855&amp;sr=8-2", "https://www.amazon.com/National-Public-Seating-6318HB-Adjustable/dp/B00KQPC58Y/ref=sr_1_2?keywords=National+Public+Seating+6318H+19%22+-+27%22+Gray+Adjustable+Hardboard+Square+Lab+Stool&amp;qid=1695347855&amp;sr=8-2")</f>
        <v/>
      </c>
      <c r="F335" t="inlineStr">
        <is>
          <t>B00KQPC58Y</t>
        </is>
      </c>
      <c r="G335">
        <f>_xlfn.IMAGE("https://cdnimg.webstaurantstore.com/images/products/large/14901/1416974.jpg")</f>
        <v/>
      </c>
      <c r="H335">
        <f>_xlfn.IMAGE("https://m.media-amazon.com/images/I/71NZBgaw2AL._AC_UL320_.jpg")</f>
        <v/>
      </c>
      <c r="K335" t="inlineStr">
        <is>
          <t>62.0</t>
        </is>
      </c>
      <c r="L335" t="n">
        <v>110.47</v>
      </c>
      <c r="M335" s="2" t="inlineStr">
        <is>
          <t>78.18%</t>
        </is>
      </c>
      <c r="N335" t="n">
        <v>3.9</v>
      </c>
      <c r="O335" t="n">
        <v>8</v>
      </c>
      <c r="Q335" t="inlineStr">
        <is>
          <t>InStock</t>
        </is>
      </c>
      <c r="R335" t="inlineStr">
        <is>
          <t>81.39</t>
        </is>
      </c>
      <c r="S335" t="inlineStr">
        <is>
          <t>3866318h</t>
        </is>
      </c>
    </row>
    <row r="336" ht="75" customHeight="1">
      <c r="A336" s="1">
        <f>HYPERLINK("https://www.webstaurantstore.com/nielsen-massey-4-oz-organic-orange-extract/104NM86197.html", "https://www.webstaurantstore.com/nielsen-massey-4-oz-organic-orange-extract/104NM86197.html")</f>
        <v/>
      </c>
      <c r="B336" s="1">
        <f>HYPERLINK("https://www.webstaurantstore.com/nielsen-massey-4-oz-organic-orange-extract/104NM86197.html", "https://www.webstaurantstore.com/nielsen-massey-4-oz-organic-orange-extract/104NM86197.html")</f>
        <v/>
      </c>
      <c r="C336" t="inlineStr">
        <is>
          <t>Nielsen-Massey 4 oz. Pure Organic Orange Extract</t>
        </is>
      </c>
      <c r="D336" t="inlineStr">
        <is>
          <t>Nielsen-Massey Floral Food Flavors Bundle, Rose Water, Orange Blossom Water, Madagascar Bourbon Pure Vanilla Extract for Baking and Cooking, 4 Ounce Bottles</t>
        </is>
      </c>
      <c r="E336" s="1">
        <f>HYPERLINK("https://www.amazon.com/Nielsen-Massey-Floral-Flavors-Product-Bundle/dp/B07DFQR84G/ref=sr_1_9?keywords=Nielsen-Massey+4+oz.+Pure+Organic+Orange+Extract&amp;qid=1695347682&amp;sr=8-9", "https://www.amazon.com/Nielsen-Massey-Floral-Flavors-Product-Bundle/dp/B07DFQR84G/ref=sr_1_9?keywords=Nielsen-Massey+4+oz.+Pure+Organic+Orange+Extract&amp;qid=1695347682&amp;sr=8-9")</f>
        <v/>
      </c>
      <c r="F336" t="inlineStr">
        <is>
          <t>B07DFQR84G</t>
        </is>
      </c>
      <c r="G336">
        <f>_xlfn.IMAGE("https://cdnimg.webstaurantstore.com/images/products/large/539330/1971876.jpg")</f>
        <v/>
      </c>
      <c r="H336">
        <f>_xlfn.IMAGE("https://m.media-amazon.com/images/I/51ZNoQkUz8L._AC_UL320_.jpg")</f>
        <v/>
      </c>
      <c r="K336" t="inlineStr">
        <is>
          <t>7.99</t>
        </is>
      </c>
      <c r="L336" t="n">
        <v>42.95</v>
      </c>
      <c r="M336" s="2" t="inlineStr">
        <is>
          <t>437.55%</t>
        </is>
      </c>
      <c r="N336" t="n">
        <v>4.4</v>
      </c>
      <c r="O336" t="n">
        <v>72</v>
      </c>
      <c r="Q336" t="inlineStr">
        <is>
          <t>InStock</t>
        </is>
      </c>
      <c r="R336" t="inlineStr">
        <is>
          <t>10.99</t>
        </is>
      </c>
      <c r="S336" t="inlineStr">
        <is>
          <t>104nm86197</t>
        </is>
      </c>
    </row>
    <row r="337" ht="75" customHeight="1">
      <c r="A337" s="1">
        <f>HYPERLINK("https://www.webstaurantstore.com/oikos-plain-nonfat-greek-yogurt-32-oz-case/874OIK57735.html", "https://www.webstaurantstore.com/oikos-plain-nonfat-greek-yogurt-32-oz-case/874OIK57735.html")</f>
        <v/>
      </c>
      <c r="B337" s="1">
        <f>HYPERLINK("https://www.webstaurantstore.com/oikos-plain-nonfat-greek-yogurt-32-oz-case/874OIK57735.html", "https://www.webstaurantstore.com/oikos-plain-nonfat-greek-yogurt-32-oz-case/874OIK57735.html")</f>
        <v/>
      </c>
      <c r="C337" t="inlineStr">
        <is>
          <t>Oikos Plain Nonfat Greek Yogurt 32 oz. - 6/Case</t>
        </is>
      </c>
      <c r="D337" t="inlineStr">
        <is>
          <t>Upstate Farms Greek Nonfat Blended Plain Yogurt, 32 Ounce - 6 per case.</t>
        </is>
      </c>
      <c r="E337" s="1">
        <f>HYPERLINK("https://www.amazon.com/Upstate-Farms-Nonfat-Blended-Yogurt/dp/B00MJG425M/ref=sr_1_2?keywords=Oikos+Plain+Nonfat+Greek+Yogurt+32+oz.+-+6%2FCase&amp;qid=1695347770&amp;sr=8-2", "https://www.amazon.com/Upstate-Farms-Nonfat-Blended-Yogurt/dp/B00MJG425M/ref=sr_1_2?keywords=Oikos+Plain+Nonfat+Greek+Yogurt+32+oz.+-+6%2FCase&amp;qid=1695347770&amp;sr=8-2")</f>
        <v/>
      </c>
      <c r="F337" t="inlineStr">
        <is>
          <t>B00MJG425M</t>
        </is>
      </c>
      <c r="G337">
        <f>_xlfn.IMAGE("https://cdnimg.webstaurantstore.com/images/products/large/698004/2393917.jpg")</f>
        <v/>
      </c>
      <c r="H337">
        <f>_xlfn.IMAGE("https://m.media-amazon.com/images/I/51wEU26L1KL._AC_UL320_.jpg")</f>
        <v/>
      </c>
      <c r="K337" t="inlineStr">
        <is>
          <t>36.61</t>
        </is>
      </c>
      <c r="L337" t="n">
        <v>75.3</v>
      </c>
      <c r="M337" s="2" t="inlineStr">
        <is>
          <t>105.68%</t>
        </is>
      </c>
      <c r="N337" t="n">
        <v>5</v>
      </c>
      <c r="O337" t="n">
        <v>3</v>
      </c>
      <c r="Q337" t="inlineStr">
        <is>
          <t>InStock</t>
        </is>
      </c>
      <c r="R337" t="inlineStr">
        <is>
          <t>48.99</t>
        </is>
      </c>
      <c r="S337" t="inlineStr">
        <is>
          <t>874oik57735</t>
        </is>
      </c>
    </row>
    <row r="338" ht="75" customHeight="1">
      <c r="A338" s="1">
        <f>HYPERLINK("https://www.webstaurantstore.com/regal-16-oz-green-maraschino-cherries-with-stems/115CHERYLM16.html", "https://www.webstaurantstore.com/regal-16-oz-green-maraschino-cherries-with-stems/115CHERYLM16.html")</f>
        <v/>
      </c>
      <c r="B338" s="1">
        <f>HYPERLINK("https://www.webstaurantstore.com/regal-16-oz-green-maraschino-cherries-with-stems/115CHERYLM16.html", "https://www.webstaurantstore.com/regal-16-oz-green-maraschino-cherries-with-stems/115CHERYLM16.html")</f>
        <v/>
      </c>
      <c r="C338" t="inlineStr">
        <is>
          <t>Regal 16 oz. Green Maraschino Cherries with Stems</t>
        </is>
      </c>
      <c r="D338" t="inlineStr">
        <is>
          <t>Regal 16 oz. Dark Blue Maraschino Cherries with Stems</t>
        </is>
      </c>
      <c r="E338" s="1">
        <f>HYPERLINK("https://www.amazon.com/Regal-Dark-Maraschino-Cherries-Stems/dp/B07JZDWV51/ref=sr_1_5?keywords=Regal+16+oz.+Green+Maraschino+Cherries+with+Stems&amp;qid=1695347684&amp;sr=8-5", "https://www.amazon.com/Regal-Dark-Maraschino-Cherries-Stems/dp/B07JZDWV51/ref=sr_1_5?keywords=Regal+16+oz.+Green+Maraschino+Cherries+with+Stems&amp;qid=1695347684&amp;sr=8-5")</f>
        <v/>
      </c>
      <c r="F338" t="inlineStr">
        <is>
          <t>B07JZDWV51</t>
        </is>
      </c>
      <c r="G338">
        <f>_xlfn.IMAGE("https://cdnimg.webstaurantstore.com/images/products/large/273424/1954841.jpg")</f>
        <v/>
      </c>
      <c r="H338">
        <f>_xlfn.IMAGE("https://m.media-amazon.com/images/I/61A-ME0fTZL._AC_UL320_.jpg")</f>
        <v/>
      </c>
      <c r="K338" t="inlineStr">
        <is>
          <t>4.99</t>
        </is>
      </c>
      <c r="L338" t="n">
        <v>28.9</v>
      </c>
      <c r="M338" s="2" t="inlineStr">
        <is>
          <t>479.16%</t>
        </is>
      </c>
      <c r="N338" t="n">
        <v>3.9</v>
      </c>
      <c r="O338" t="n">
        <v>34</v>
      </c>
      <c r="Q338" t="inlineStr">
        <is>
          <t>InStock</t>
        </is>
      </c>
      <c r="R338" t="inlineStr">
        <is>
          <t>10.49</t>
        </is>
      </c>
      <c r="S338" t="inlineStr">
        <is>
          <t>115cherylm16</t>
        </is>
      </c>
    </row>
    <row r="339" ht="75" customHeight="1">
      <c r="A339" s="1">
        <f>HYPERLINK("https://www.webstaurantstore.com/regal-16-oz-green-maraschino-cherries-with-stems/115CHERYLM16.html", "https://www.webstaurantstore.com/regal-16-oz-green-maraschino-cherries-with-stems/115CHERYLM16.html")</f>
        <v/>
      </c>
      <c r="B339" s="1">
        <f>HYPERLINK("https://www.webstaurantstore.com/regal-16-oz-green-maraschino-cherries-with-stems/115CHERYLM16.html", "https://www.webstaurantstore.com/regal-16-oz-green-maraschino-cherries-with-stems/115CHERYLM16.html")</f>
        <v/>
      </c>
      <c r="C339" t="inlineStr">
        <is>
          <t>Regal 16 oz. Green Maraschino Cherries with Stems</t>
        </is>
      </c>
      <c r="D339" t="inlineStr">
        <is>
          <t>Regal 16 oz. Green Maraschino Cherries with Stems</t>
        </is>
      </c>
      <c r="E339" s="1">
        <f>HYPERLINK("https://www.amazon.com/Regal-Green-Maraschino-Cherries-Stems/dp/B07JZG21LT/ref=sr_1_1?keywords=Regal+16+oz.+Green+Maraschino+Cherries+with+Stems&amp;qid=1695347684&amp;sr=8-1", "https://www.amazon.com/Regal-Green-Maraschino-Cherries-Stems/dp/B07JZG21LT/ref=sr_1_1?keywords=Regal+16+oz.+Green+Maraschino+Cherries+with+Stems&amp;qid=1695347684&amp;sr=8-1")</f>
        <v/>
      </c>
      <c r="F339" t="inlineStr">
        <is>
          <t>B07JZG21LT</t>
        </is>
      </c>
      <c r="G339">
        <f>_xlfn.IMAGE("https://cdnimg.webstaurantstore.com/images/products/large/273424/1954841.jpg")</f>
        <v/>
      </c>
      <c r="H339">
        <f>_xlfn.IMAGE("https://m.media-amazon.com/images/I/61orBuaXMfS._AC_UL320_.jpg")</f>
        <v/>
      </c>
      <c r="K339" t="inlineStr">
        <is>
          <t>4.99</t>
        </is>
      </c>
      <c r="L339" t="n">
        <v>20.83</v>
      </c>
      <c r="M339" s="2" t="inlineStr">
        <is>
          <t>317.43%</t>
        </is>
      </c>
      <c r="N339" t="n">
        <v>3.9</v>
      </c>
      <c r="O339" t="n">
        <v>55</v>
      </c>
      <c r="Q339" t="inlineStr">
        <is>
          <t>InStock</t>
        </is>
      </c>
      <c r="R339" t="inlineStr">
        <is>
          <t>10.49</t>
        </is>
      </c>
      <c r="S339" t="inlineStr">
        <is>
          <t>115cherylm16</t>
        </is>
      </c>
    </row>
    <row r="340" ht="75" customHeight="1">
      <c r="A340" s="1">
        <f>HYPERLINK("https://www.webstaurantstore.com/regal-16-oz-orange-maraschino-cherries-with-stems/115CHERYOR16.html", "https://www.webstaurantstore.com/regal-16-oz-orange-maraschino-cherries-with-stems/115CHERYOR16.html")</f>
        <v/>
      </c>
      <c r="B340" s="1">
        <f>HYPERLINK("https://www.webstaurantstore.com/regal-16-oz-orange-maraschino-cherries-with-stems/115CHERYOR16.html", "https://www.webstaurantstore.com/regal-16-oz-orange-maraschino-cherries-with-stems/115CHERYOR16.html")</f>
        <v/>
      </c>
      <c r="C340" t="inlineStr">
        <is>
          <t>Regal 16 oz. Orange Maraschino Cherries with Stems</t>
        </is>
      </c>
      <c r="D340" t="inlineStr">
        <is>
          <t>Regal 16 oz. Dark Blue Maraschino Cherries with Stems</t>
        </is>
      </c>
      <c r="E340" s="1">
        <f>HYPERLINK("https://www.amazon.com/Regal-Dark-Maraschino-Cherries-Stems/dp/B07JZDWV51/ref=sr_1_6?keywords=Regal+16+oz.+Orange+Maraschino+Cherries+with+Stems&amp;qid=1695347703&amp;sr=8-6", "https://www.amazon.com/Regal-Dark-Maraschino-Cherries-Stems/dp/B07JZDWV51/ref=sr_1_6?keywords=Regal+16+oz.+Orange+Maraschino+Cherries+with+Stems&amp;qid=1695347703&amp;sr=8-6")</f>
        <v/>
      </c>
      <c r="F340" t="inlineStr">
        <is>
          <t>B07JZDWV51</t>
        </is>
      </c>
      <c r="G340">
        <f>_xlfn.IMAGE("https://cdnimg.webstaurantstore.com/images/products/large/273409/1952139.jpg")</f>
        <v/>
      </c>
      <c r="H340">
        <f>_xlfn.IMAGE("https://m.media-amazon.com/images/I/61A-ME0fTZL._AC_UL320_.jpg")</f>
        <v/>
      </c>
      <c r="K340" t="inlineStr">
        <is>
          <t>4.99</t>
        </is>
      </c>
      <c r="L340" t="n">
        <v>28.95</v>
      </c>
      <c r="M340" s="2" t="inlineStr">
        <is>
          <t>480.16%</t>
        </is>
      </c>
      <c r="N340" t="n">
        <v>3.9</v>
      </c>
      <c r="O340" t="n">
        <v>34</v>
      </c>
      <c r="Q340" t="inlineStr">
        <is>
          <t>InStock</t>
        </is>
      </c>
      <c r="R340" t="inlineStr">
        <is>
          <t>10.49</t>
        </is>
      </c>
      <c r="S340" t="inlineStr">
        <is>
          <t>115cheryor16</t>
        </is>
      </c>
    </row>
    <row r="341" ht="75" customHeight="1">
      <c r="A341" s="1">
        <f>HYPERLINK("https://www.webstaurantstore.com/regal-16-oz-orange-maraschino-cherries-with-stems/115CHERYOR16.html", "https://www.webstaurantstore.com/regal-16-oz-orange-maraschino-cherries-with-stems/115CHERYOR16.html")</f>
        <v/>
      </c>
      <c r="B341" s="1">
        <f>HYPERLINK("https://www.webstaurantstore.com/regal-16-oz-orange-maraschino-cherries-with-stems/115CHERYOR16.html", "https://www.webstaurantstore.com/regal-16-oz-orange-maraschino-cherries-with-stems/115CHERYOR16.html")</f>
        <v/>
      </c>
      <c r="C341" t="inlineStr">
        <is>
          <t>Regal 16 oz. Orange Maraschino Cherries with Stems</t>
        </is>
      </c>
      <c r="D341" t="inlineStr">
        <is>
          <t>Regal 16 oz. Green Maraschino Cherries with Stems</t>
        </is>
      </c>
      <c r="E341" s="1">
        <f>HYPERLINK("https://www.amazon.com/Regal-Green-Maraschino-Cherries-Stems/dp/B07JZG21LT/ref=sr_1_7?keywords=Regal+16+oz.+Orange+Maraschino+Cherries+with+Stems&amp;qid=1695347703&amp;sr=8-7", "https://www.amazon.com/Regal-Green-Maraschino-Cherries-Stems/dp/B07JZG21LT/ref=sr_1_7?keywords=Regal+16+oz.+Orange+Maraschino+Cherries+with+Stems&amp;qid=1695347703&amp;sr=8-7")</f>
        <v/>
      </c>
      <c r="F341" t="inlineStr">
        <is>
          <t>B07JZG21LT</t>
        </is>
      </c>
      <c r="G341">
        <f>_xlfn.IMAGE("https://cdnimg.webstaurantstore.com/images/products/large/273409/1952139.jpg")</f>
        <v/>
      </c>
      <c r="H341">
        <f>_xlfn.IMAGE("https://m.media-amazon.com/images/I/61orBuaXMfS._AC_UL320_.jpg")</f>
        <v/>
      </c>
      <c r="K341" t="inlineStr">
        <is>
          <t>4.99</t>
        </is>
      </c>
      <c r="L341" t="n">
        <v>20.83</v>
      </c>
      <c r="M341" s="2" t="inlineStr">
        <is>
          <t>317.43%</t>
        </is>
      </c>
      <c r="N341" t="n">
        <v>3.9</v>
      </c>
      <c r="O341" t="n">
        <v>55</v>
      </c>
      <c r="Q341" t="inlineStr">
        <is>
          <t>InStock</t>
        </is>
      </c>
      <c r="R341" t="inlineStr">
        <is>
          <t>10.49</t>
        </is>
      </c>
      <c r="S341" t="inlineStr">
        <is>
          <t>115cheryor16</t>
        </is>
      </c>
    </row>
    <row r="342" ht="75" customHeight="1">
      <c r="A342" s="1">
        <f>HYPERLINK("https://www.webstaurantstore.com/regal-16-oz-yellow-maraschino-cherries-with-stems/115CHERYLN16.html", "https://www.webstaurantstore.com/regal-16-oz-yellow-maraschino-cherries-with-stems/115CHERYLN16.html")</f>
        <v/>
      </c>
      <c r="B342" s="1">
        <f>HYPERLINK("https://www.webstaurantstore.com/regal-16-oz-yellow-maraschino-cherries-with-stems/115CHERYLN16.html", "https://www.webstaurantstore.com/regal-16-oz-yellow-maraschino-cherries-with-stems/115CHERYLN16.html")</f>
        <v/>
      </c>
      <c r="C342" t="inlineStr">
        <is>
          <t>Regal 16 oz. Yellow Maraschino Cherries with Stems</t>
        </is>
      </c>
      <c r="D342" t="inlineStr">
        <is>
          <t>Regal 16 oz. Dark Blue Maraschino Cherries with Stems</t>
        </is>
      </c>
      <c r="E342" s="1">
        <f>HYPERLINK("https://www.amazon.com/Regal-Dark-Maraschino-Cherries-Stems/dp/B07JZDWV51/ref=sr_1_5?keywords=Regal+16+oz.+Yellow+Maraschino+Cherries+with+Stems&amp;qid=1695347676&amp;sr=8-5", "https://www.amazon.com/Regal-Dark-Maraschino-Cherries-Stems/dp/B07JZDWV51/ref=sr_1_5?keywords=Regal+16+oz.+Yellow+Maraschino+Cherries+with+Stems&amp;qid=1695347676&amp;sr=8-5")</f>
        <v/>
      </c>
      <c r="F342" t="inlineStr">
        <is>
          <t>B07JZDWV51</t>
        </is>
      </c>
      <c r="G342">
        <f>_xlfn.IMAGE("https://cdnimg.webstaurantstore.com/images/products/large/273455/1954838.jpg")</f>
        <v/>
      </c>
      <c r="H342">
        <f>_xlfn.IMAGE("https://m.media-amazon.com/images/I/61A-ME0fTZL._AC_UL320_.jpg")</f>
        <v/>
      </c>
      <c r="K342" t="inlineStr">
        <is>
          <t>4.99</t>
        </is>
      </c>
      <c r="L342" t="n">
        <v>28.9</v>
      </c>
      <c r="M342" s="2" t="inlineStr">
        <is>
          <t>479.16%</t>
        </is>
      </c>
      <c r="N342" t="n">
        <v>3.9</v>
      </c>
      <c r="O342" t="n">
        <v>34</v>
      </c>
      <c r="Q342" t="inlineStr">
        <is>
          <t>InStock</t>
        </is>
      </c>
      <c r="R342" t="inlineStr">
        <is>
          <t>10.49</t>
        </is>
      </c>
      <c r="S342" t="inlineStr">
        <is>
          <t>115cheryln16</t>
        </is>
      </c>
    </row>
    <row r="343" ht="75" customHeight="1">
      <c r="A343" s="1">
        <f>HYPERLINK("https://www.webstaurantstore.com/regal-16-oz-yellow-maraschino-cherries-with-stems/115CHERYLN16.html", "https://www.webstaurantstore.com/regal-16-oz-yellow-maraschino-cherries-with-stems/115CHERYLN16.html")</f>
        <v/>
      </c>
      <c r="B343" s="1">
        <f>HYPERLINK("https://www.webstaurantstore.com/regal-16-oz-yellow-maraschino-cherries-with-stems/115CHERYLN16.html", "https://www.webstaurantstore.com/regal-16-oz-yellow-maraschino-cherries-with-stems/115CHERYLN16.html")</f>
        <v/>
      </c>
      <c r="C343" t="inlineStr">
        <is>
          <t>Regal 16 oz. Yellow Maraschino Cherries with Stems</t>
        </is>
      </c>
      <c r="D343" t="inlineStr">
        <is>
          <t>Regal 16 oz. Green Maraschino Cherries with Stems</t>
        </is>
      </c>
      <c r="E343" s="1">
        <f>HYPERLINK("https://www.amazon.com/Regal-Green-Maraschino-Cherries-Stems/dp/B07JZG21LT/ref=sr_1_4?keywords=Regal+16+oz.+Yellow+Maraschino+Cherries+with+Stems&amp;qid=1695347676&amp;sr=8-4", "https://www.amazon.com/Regal-Green-Maraschino-Cherries-Stems/dp/B07JZG21LT/ref=sr_1_4?keywords=Regal+16+oz.+Yellow+Maraschino+Cherries+with+Stems&amp;qid=1695347676&amp;sr=8-4")</f>
        <v/>
      </c>
      <c r="F343" t="inlineStr">
        <is>
          <t>B07JZG21LT</t>
        </is>
      </c>
      <c r="G343">
        <f>_xlfn.IMAGE("https://cdnimg.webstaurantstore.com/images/products/large/273455/1954838.jpg")</f>
        <v/>
      </c>
      <c r="H343">
        <f>_xlfn.IMAGE("https://m.media-amazon.com/images/I/61orBuaXMfS._AC_UL320_.jpg")</f>
        <v/>
      </c>
      <c r="K343" t="inlineStr">
        <is>
          <t>4.99</t>
        </is>
      </c>
      <c r="L343" t="n">
        <v>20.99</v>
      </c>
      <c r="M343" s="2" t="inlineStr">
        <is>
          <t>320.64%</t>
        </is>
      </c>
      <c r="N343" t="n">
        <v>3.9</v>
      </c>
      <c r="O343" t="n">
        <v>55</v>
      </c>
      <c r="Q343" t="inlineStr">
        <is>
          <t>InStock</t>
        </is>
      </c>
      <c r="R343" t="inlineStr">
        <is>
          <t>10.49</t>
        </is>
      </c>
      <c r="S343" t="inlineStr">
        <is>
          <t>115cheryln16</t>
        </is>
      </c>
    </row>
    <row r="344" ht="75" customHeight="1">
      <c r="A344" s="1">
        <f>HYPERLINK("https://www.webstaurantstore.com/regal-black-caraway-5-lb/10207020.html", "https://www.webstaurantstore.com/regal-black-caraway-5-lb/10207020.html")</f>
        <v/>
      </c>
      <c r="B344" s="1">
        <f>HYPERLINK("https://www.webstaurantstore.com/regal-black-caraway-5-lb/10207020.html", "https://www.webstaurantstore.com/regal-black-caraway-5-lb/10207020.html")</f>
        <v/>
      </c>
      <c r="C344" t="inlineStr">
        <is>
          <t>Regal Black Caraway Seed - 5 lb.</t>
        </is>
      </c>
      <c r="D344" t="inlineStr">
        <is>
          <t>Caraway Seeds, Ground - 5 lbs Bulk</t>
        </is>
      </c>
      <c r="E344" s="1">
        <f>HYPERLINK("https://www.amazon.com/Caraway-Seeds-Ground-lbs-Bulk/dp/B00884PZ0K/ref=sr_1_6?keywords=Regal+Black+Caraway+Seed+-+5+lb.&amp;qid=1695347716&amp;sr=8-6", "https://www.amazon.com/Caraway-Seeds-Ground-lbs-Bulk/dp/B00884PZ0K/ref=sr_1_6?keywords=Regal+Black+Caraway+Seed+-+5+lb.&amp;qid=1695347716&amp;sr=8-6")</f>
        <v/>
      </c>
      <c r="F344" t="inlineStr">
        <is>
          <t>B00884PZ0K</t>
        </is>
      </c>
      <c r="G344">
        <f>_xlfn.IMAGE("https://cdnimg.webstaurantstore.com/images/products/large/570382/2134589.jpg")</f>
        <v/>
      </c>
      <c r="H344">
        <f>_xlfn.IMAGE("https://m.media-amazon.com/images/I/71qW-973AKL._AC_UL320_.jpg")</f>
        <v/>
      </c>
      <c r="K344" t="inlineStr">
        <is>
          <t>18.49</t>
        </is>
      </c>
      <c r="L344" t="n">
        <v>49.45</v>
      </c>
      <c r="M344" s="2" t="inlineStr">
        <is>
          <t>167.44%</t>
        </is>
      </c>
      <c r="N344" t="n">
        <v>4.9</v>
      </c>
      <c r="O344" t="n">
        <v>38</v>
      </c>
      <c r="Q344" t="inlineStr">
        <is>
          <t>InStock</t>
        </is>
      </c>
      <c r="R344" t="inlineStr">
        <is>
          <t>19.99</t>
        </is>
      </c>
      <c r="S344" t="inlineStr">
        <is>
          <t>10207020</t>
        </is>
      </c>
    </row>
    <row r="345" ht="75" customHeight="1">
      <c r="A345" s="1">
        <f>HYPERLINK("https://www.webstaurantstore.com/regal-caraway-seed-8-oz/10207017.html", "https://www.webstaurantstore.com/regal-caraway-seed-8-oz/10207017.html")</f>
        <v/>
      </c>
      <c r="B345" s="1">
        <f>HYPERLINK("https://www.webstaurantstore.com/regal-caraway-seed-8-oz/10207017.html", "https://www.webstaurantstore.com/regal-caraway-seed-8-oz/10207017.html")</f>
        <v/>
      </c>
      <c r="C345" t="inlineStr">
        <is>
          <t>Regal Caraway Seed - 8 oz.</t>
        </is>
      </c>
      <c r="D345" t="inlineStr">
        <is>
          <t>Caraway Seeds, Ground (8 oz)</t>
        </is>
      </c>
      <c r="E345" s="1">
        <f>HYPERLINK("https://www.amazon.com/Caraway-Seeds-Ground-8-oz/dp/B00D5U91KW/ref=sr_1_9?keywords=Regal+Caraway+Seed+-+8+oz.&amp;qid=1695347673&amp;sr=8-9", "https://www.amazon.com/Caraway-Seeds-Ground-8-oz/dp/B00D5U91KW/ref=sr_1_9?keywords=Regal+Caraway+Seed+-+8+oz.&amp;qid=1695347673&amp;sr=8-9")</f>
        <v/>
      </c>
      <c r="F345" t="inlineStr">
        <is>
          <t>B00D5U91KW</t>
        </is>
      </c>
      <c r="G345">
        <f>_xlfn.IMAGE("https://cdnimg.webstaurantstore.com/images/products/large/32249/1841814.jpg")</f>
        <v/>
      </c>
      <c r="H345">
        <f>_xlfn.IMAGE("https://m.media-amazon.com/images/I/81NyxXeDz4L._AC_UL320_.jpg")</f>
        <v/>
      </c>
      <c r="K345" t="inlineStr">
        <is>
          <t>1.89</t>
        </is>
      </c>
      <c r="L345" t="n">
        <v>15.72</v>
      </c>
      <c r="M345" s="2" t="inlineStr">
        <is>
          <t>731.75%</t>
        </is>
      </c>
      <c r="N345" t="n">
        <v>4.9</v>
      </c>
      <c r="O345" t="n">
        <v>38</v>
      </c>
      <c r="Q345" t="inlineStr">
        <is>
          <t>InStock</t>
        </is>
      </c>
      <c r="R345" t="inlineStr">
        <is>
          <t>1.99</t>
        </is>
      </c>
      <c r="S345" t="inlineStr">
        <is>
          <t>10207017</t>
        </is>
      </c>
    </row>
    <row r="346" ht="75" customHeight="1">
      <c r="A346" s="1">
        <f>HYPERLINK("https://www.webstaurantstore.com/regal-celery-seed-25-lb/10207024.html", "https://www.webstaurantstore.com/regal-celery-seed-25-lb/10207024.html")</f>
        <v/>
      </c>
      <c r="B346" s="1">
        <f>HYPERLINK("https://www.webstaurantstore.com/regal-celery-seed-25-lb/10207024.html", "https://www.webstaurantstore.com/regal-celery-seed-25-lb/10207024.html")</f>
        <v/>
      </c>
      <c r="C346" t="inlineStr">
        <is>
          <t>Regal Celery Seed 25 lb.</t>
        </is>
      </c>
      <c r="D346" t="inlineStr">
        <is>
          <t>Celery Seeds, Whole - 25 lbs Bulk</t>
        </is>
      </c>
      <c r="E346" s="1">
        <f>HYPERLINK("https://www.amazon.com/Celery-Seeds-Whole-lbs-Bulk/dp/B008BK6C0S/ref=sr_1_7?keywords=Regal+Celery+Seed+25+lb.&amp;qid=1695347832&amp;sr=8-7", "https://www.amazon.com/Celery-Seeds-Whole-lbs-Bulk/dp/B008BK6C0S/ref=sr_1_7?keywords=Regal+Celery+Seed+25+lb.&amp;qid=1695347832&amp;sr=8-7")</f>
        <v/>
      </c>
      <c r="F346" t="inlineStr">
        <is>
          <t>B008BK6C0S</t>
        </is>
      </c>
      <c r="G346">
        <f>_xlfn.IMAGE("https://cdnimg.webstaurantstore.com/images/products/large/620611/2192031.jpg")</f>
        <v/>
      </c>
      <c r="H346">
        <f>_xlfn.IMAGE("https://m.media-amazon.com/images/I/81I0wKm3iBL._AC_UL320_.jpg")</f>
        <v/>
      </c>
      <c r="K346" t="inlineStr">
        <is>
          <t>59.99</t>
        </is>
      </c>
      <c r="L346" t="n">
        <v>155.25</v>
      </c>
      <c r="M346" s="2" t="inlineStr">
        <is>
          <t>158.79%</t>
        </is>
      </c>
      <c r="N346" t="n">
        <v>5</v>
      </c>
      <c r="O346" t="n">
        <v>1</v>
      </c>
      <c r="Q346" t="inlineStr">
        <is>
          <t>InStock</t>
        </is>
      </c>
      <c r="R346" t="inlineStr">
        <is>
          <t>62.99</t>
        </is>
      </c>
      <c r="S346" t="inlineStr">
        <is>
          <t>10207024</t>
        </is>
      </c>
    </row>
    <row r="347" ht="75" customHeight="1">
      <c r="A347" s="1">
        <f>HYPERLINK("https://www.webstaurantstore.com/regal-chives-0-5-oz/10207029.html", "https://www.webstaurantstore.com/regal-chives-0-5-oz/10207029.html")</f>
        <v/>
      </c>
      <c r="B347" s="1">
        <f>HYPERLINK("https://www.webstaurantstore.com/regal-chives-0-5-oz/10207029.html", "https://www.webstaurantstore.com/regal-chives-0-5-oz/10207029.html")</f>
        <v/>
      </c>
      <c r="C347" t="inlineStr">
        <is>
          <t>Regal Chives - 0.5 oz.</t>
        </is>
      </c>
      <c r="D347" t="inlineStr">
        <is>
          <t>Regal Spice Dried Chives 9 oz.– Dehydrated Chives Spice to Liven Up Your Favorite Dishes</t>
        </is>
      </c>
      <c r="E347" s="1">
        <f>HYPERLINK("https://www.amazon.com/Regal-Chives-Dehydrated-Favorite-Dishes/dp/B08ZK27CGF/ref=sr_1_2?keywords=Regal+Chives+-+0.5+oz.&amp;qid=1695347661&amp;sr=8-2", "https://www.amazon.com/Regal-Chives-Dehydrated-Favorite-Dishes/dp/B08ZK27CGF/ref=sr_1_2?keywords=Regal+Chives+-+0.5+oz.&amp;qid=1695347661&amp;sr=8-2")</f>
        <v/>
      </c>
      <c r="F347" t="inlineStr">
        <is>
          <t>B08ZK27CGF</t>
        </is>
      </c>
      <c r="G347">
        <f>_xlfn.IMAGE("https://cdnimg.webstaurantstore.com/images/products/large/47183/1814348.jpg")</f>
        <v/>
      </c>
      <c r="H347">
        <f>_xlfn.IMAGE("https://m.media-amazon.com/images/I/812YW9XPRxL._AC_UL320_.jpg")</f>
        <v/>
      </c>
      <c r="K347" t="inlineStr">
        <is>
          <t>1.19</t>
        </is>
      </c>
      <c r="L347" t="n">
        <v>21.99</v>
      </c>
      <c r="M347" s="2" t="inlineStr">
        <is>
          <t>1747.90%</t>
        </is>
      </c>
      <c r="N347" t="n">
        <v>4.6</v>
      </c>
      <c r="O347" t="n">
        <v>18</v>
      </c>
      <c r="Q347" t="inlineStr">
        <is>
          <t>InStock</t>
        </is>
      </c>
      <c r="R347" t="inlineStr">
        <is>
          <t>1.99</t>
        </is>
      </c>
      <c r="S347" t="inlineStr">
        <is>
          <t>10207029</t>
        </is>
      </c>
    </row>
    <row r="348" ht="75" customHeight="1">
      <c r="A348" s="1">
        <f>HYPERLINK("https://www.webstaurantstore.com/regal-cilantro-20-oz/102708453.html", "https://www.webstaurantstore.com/regal-cilantro-20-oz/102708453.html")</f>
        <v/>
      </c>
      <c r="B348" s="1">
        <f>HYPERLINK("https://www.webstaurantstore.com/regal-cilantro-20-oz/102708453.html", "https://www.webstaurantstore.com/regal-cilantro-20-oz/102708453.html")</f>
        <v/>
      </c>
      <c r="C348" t="inlineStr">
        <is>
          <t>Regal Cilantro - 20 oz.</t>
        </is>
      </c>
      <c r="D348" t="inlineStr">
        <is>
          <t>Regal Cilantro Leaves/Flakes 20 oz - Dried Seasoning</t>
        </is>
      </c>
      <c r="E348" s="1">
        <f>HYPERLINK("https://www.amazon.com/Regal-Cilantro-Leaves-Flakes-Seasoning/dp/B0BFFN1KK4/ref=sr_1_1?keywords=Regal+Cilantro+-+20+oz.&amp;qid=1695347702&amp;sr=8-1", "https://www.amazon.com/Regal-Cilantro-Leaves-Flakes-Seasoning/dp/B0BFFN1KK4/ref=sr_1_1?keywords=Regal+Cilantro+-+20+oz.&amp;qid=1695347702&amp;sr=8-1")</f>
        <v/>
      </c>
      <c r="F348" t="inlineStr">
        <is>
          <t>B0BFFN1KK4</t>
        </is>
      </c>
      <c r="G348">
        <f>_xlfn.IMAGE("https://cdnimg.webstaurantstore.com/images/products/large/499938/1895020.jpg")</f>
        <v/>
      </c>
      <c r="H348">
        <f>_xlfn.IMAGE("https://m.media-amazon.com/images/I/51Hazo6VwRL._AC_UL320_.jpg")</f>
        <v/>
      </c>
      <c r="K348" t="inlineStr">
        <is>
          <t>11.49</t>
        </is>
      </c>
      <c r="L348" t="n">
        <v>27.99</v>
      </c>
      <c r="M348" s="2" t="inlineStr">
        <is>
          <t>143.60%</t>
        </is>
      </c>
      <c r="N348" t="n">
        <v>4.8</v>
      </c>
      <c r="O348" t="n">
        <v>23</v>
      </c>
      <c r="Q348" t="inlineStr">
        <is>
          <t>InStock</t>
        </is>
      </c>
      <c r="R348" t="inlineStr">
        <is>
          <t>12.49</t>
        </is>
      </c>
      <c r="S348" t="inlineStr">
        <is>
          <t>102708453</t>
        </is>
      </c>
    </row>
    <row r="349" ht="75" customHeight="1">
      <c r="A349" s="1">
        <f>HYPERLINK("https://www.webstaurantstore.com/regal-fancy-oregano-leaves-2-oz/10207098.html", "https://www.webstaurantstore.com/regal-fancy-oregano-leaves-2-oz/10207098.html")</f>
        <v/>
      </c>
      <c r="B349" s="1">
        <f>HYPERLINK("https://www.webstaurantstore.com/regal-fancy-oregano-leaves-2-oz/10207098.html", "https://www.webstaurantstore.com/regal-fancy-oregano-leaves-2-oz/10207098.html")</f>
        <v/>
      </c>
      <c r="C349" t="inlineStr">
        <is>
          <t>Regal Fancy Oregano Leaves - 2 oz.</t>
        </is>
      </c>
      <c r="D349" t="inlineStr">
        <is>
          <t>Regal Chopped Oregano Leaves 24 oz - Dried Seasoning</t>
        </is>
      </c>
      <c r="E349" s="1">
        <f>HYPERLINK("https://www.amazon.com/Regal-Chopped-Oregano-Leaves-Seasoning/dp/B0BFFQ9VYW/ref=sr_1_2?keywords=Regal+Fancy+Oregano+Leaves+-+2+oz.&amp;qid=1695347665&amp;sr=8-2", "https://www.amazon.com/Regal-Chopped-Oregano-Leaves-Seasoning/dp/B0BFFQ9VYW/ref=sr_1_2?keywords=Regal+Fancy+Oregano+Leaves+-+2+oz.&amp;qid=1695347665&amp;sr=8-2")</f>
        <v/>
      </c>
      <c r="F349" t="inlineStr">
        <is>
          <t>B0BFFQ9VYW</t>
        </is>
      </c>
      <c r="G349">
        <f>_xlfn.IMAGE("https://cdnimg.webstaurantstore.com/images/products/large/480886/1839981.jpg")</f>
        <v/>
      </c>
      <c r="H349">
        <f>_xlfn.IMAGE("https://m.media-amazon.com/images/I/81ny6o0xZVL._AC_UL320_.jpg")</f>
        <v/>
      </c>
      <c r="K349" t="inlineStr">
        <is>
          <t>0.99</t>
        </is>
      </c>
      <c r="L349" t="n">
        <v>19.99</v>
      </c>
      <c r="M349" s="2" t="inlineStr">
        <is>
          <t>1919.19%</t>
        </is>
      </c>
      <c r="N349" t="n">
        <v>4.8</v>
      </c>
      <c r="O349" t="n">
        <v>7</v>
      </c>
      <c r="Q349" t="inlineStr">
        <is>
          <t>InStock</t>
        </is>
      </c>
      <c r="R349" t="inlineStr">
        <is>
          <t>1.39</t>
        </is>
      </c>
      <c r="S349" t="inlineStr">
        <is>
          <t>10207098</t>
        </is>
      </c>
    </row>
    <row r="350" ht="75" customHeight="1">
      <c r="A350" s="1">
        <f>HYPERLINK("https://www.webstaurantstore.com/regal-fine-black-pepper-8-oz/10207503.html", "https://www.webstaurantstore.com/regal-fine-black-pepper-8-oz/10207503.html")</f>
        <v/>
      </c>
      <c r="B350" s="1">
        <f>HYPERLINK("https://www.webstaurantstore.com/regal-fine-black-pepper-8-oz/10207503.html", "https://www.webstaurantstore.com/regal-fine-black-pepper-8-oz/10207503.html")</f>
        <v/>
      </c>
      <c r="C350" t="inlineStr">
        <is>
          <t>Regal Fine Grind Ground Black Pepper - 8 oz.</t>
        </is>
      </c>
      <c r="D350" t="inlineStr">
        <is>
          <t>McCormick Culinary Table Grind Black Pepper, 18 oz - One 18 Ounce Container of Coarse Ground Black Pepper, Perfect on Vegetables, Rubs, Roasts and More</t>
        </is>
      </c>
      <c r="E350" s="1">
        <f>HYPERLINK("https://www.amazon.com/McCormick-Culinary-Table-Grind-Pepper/dp/B000YV91YQ/ref=sr_1_2?keywords=Regal+Fine+Grind+Ground+Black+Pepper+-+8+oz.&amp;qid=1695347667&amp;sr=8-2", "https://www.amazon.com/McCormick-Culinary-Table-Grind-Pepper/dp/B000YV91YQ/ref=sr_1_2?keywords=Regal+Fine+Grind+Ground+Black+Pepper+-+8+oz.&amp;qid=1695347667&amp;sr=8-2")</f>
        <v/>
      </c>
      <c r="F350" t="inlineStr">
        <is>
          <t>B000YV91YQ</t>
        </is>
      </c>
      <c r="G350">
        <f>_xlfn.IMAGE("https://cdnimg.webstaurantstore.com/images/products/large/34707/1823826.jpg")</f>
        <v/>
      </c>
      <c r="H350">
        <f>_xlfn.IMAGE("https://m.media-amazon.com/images/I/81G2g8EofmL._AC_UL320_.jpg")</f>
        <v/>
      </c>
      <c r="K350" t="inlineStr">
        <is>
          <t>3.19</t>
        </is>
      </c>
      <c r="L350" t="n">
        <v>15.46</v>
      </c>
      <c r="M350" s="2" t="inlineStr">
        <is>
          <t>384.64%</t>
        </is>
      </c>
      <c r="N350" t="n">
        <v>4.8</v>
      </c>
      <c r="O350" t="n">
        <v>294</v>
      </c>
      <c r="Q350" t="inlineStr">
        <is>
          <t>InStock</t>
        </is>
      </c>
      <c r="R350" t="inlineStr">
        <is>
          <t>3.99</t>
        </is>
      </c>
      <c r="S350" t="inlineStr">
        <is>
          <t>10207503</t>
        </is>
      </c>
    </row>
    <row r="351" ht="75" customHeight="1">
      <c r="A351" s="1">
        <f>HYPERLINK("https://www.webstaurantstore.com/regal-ground-coriander-8-oz/10207043.html", "https://www.webstaurantstore.com/regal-ground-coriander-8-oz/10207043.html")</f>
        <v/>
      </c>
      <c r="B351" s="1">
        <f>HYPERLINK("https://www.webstaurantstore.com/regal-ground-coriander-8-oz/10207043.html", "https://www.webstaurantstore.com/regal-ground-coriander-8-oz/10207043.html")</f>
        <v/>
      </c>
      <c r="C351" t="inlineStr">
        <is>
          <t>Regal Ground Coriander - 8 oz.</t>
        </is>
      </c>
      <c r="D351" t="inlineStr">
        <is>
          <t>Rani Coriander Ground Powder (Indian Dhania) Spice 80oz (5lbs) 2.27kg Bulk ~ All Natural | Salt-Free | Vegan | No Colors | Gluten Friendly | NON-GMO | Indian Origin</t>
        </is>
      </c>
      <c r="E351" s="1">
        <f>HYPERLINK("https://www.amazon.com/Rani-Coriander-Indian-Salt-Free-Ingredients/dp/B07WVPH7ZT/ref=sr_1_10?keywords=Regal+Ground+Coriander+-+8+oz.&amp;qid=1695347658&amp;sr=8-10", "https://www.amazon.com/Rani-Coriander-Indian-Salt-Free-Ingredients/dp/B07WVPH7ZT/ref=sr_1_10?keywords=Regal+Ground+Coriander+-+8+oz.&amp;qid=1695347658&amp;sr=8-10")</f>
        <v/>
      </c>
      <c r="F351" t="inlineStr">
        <is>
          <t>B07WVPH7ZT</t>
        </is>
      </c>
      <c r="G351">
        <f>_xlfn.IMAGE("https://cdnimg.webstaurantstore.com/images/products/large/55693/1860747.jpg")</f>
        <v/>
      </c>
      <c r="H351">
        <f>_xlfn.IMAGE("https://m.media-amazon.com/images/I/81ZHR1awTnL._AC_UL320_.jpg")</f>
        <v/>
      </c>
      <c r="K351" t="inlineStr">
        <is>
          <t>1.99</t>
        </is>
      </c>
      <c r="L351" t="n">
        <v>24.99</v>
      </c>
      <c r="M351" s="2" t="inlineStr">
        <is>
          <t>1155.78%</t>
        </is>
      </c>
      <c r="N351" t="n">
        <v>4.6</v>
      </c>
      <c r="O351" t="n">
        <v>1275</v>
      </c>
      <c r="Q351" t="inlineStr">
        <is>
          <t>InStock</t>
        </is>
      </c>
      <c r="R351" t="inlineStr">
        <is>
          <t>2.49</t>
        </is>
      </c>
      <c r="S351" t="inlineStr">
        <is>
          <t>10207043</t>
        </is>
      </c>
    </row>
    <row r="352" ht="75" customHeight="1">
      <c r="A352" s="1">
        <f>HYPERLINK("https://www.webstaurantstore.com/regal-marjoram-leaves-2-oz/10207075.html", "https://www.webstaurantstore.com/regal-marjoram-leaves-2-oz/10207075.html")</f>
        <v/>
      </c>
      <c r="B352" s="1">
        <f>HYPERLINK("https://www.webstaurantstore.com/regal-marjoram-leaves-2-oz/10207075.html", "https://www.webstaurantstore.com/regal-marjoram-leaves-2-oz/10207075.html")</f>
        <v/>
      </c>
      <c r="C352" t="inlineStr">
        <is>
          <t>Regal Marjoram Leaves 2 oz.</t>
        </is>
      </c>
      <c r="D352" t="inlineStr">
        <is>
          <t>The Spice Way Mint Leaves 2 oz, Marjoram Leaves 2 oz and Thyme Leaves 4 oz</t>
        </is>
      </c>
      <c r="E352" s="1">
        <f>HYPERLINK("https://www.amazon.com/Spice-Way-Leaves-Marjoram-Thyme/dp/B09VZPXRD1/ref=sr_1_4?keywords=Regal+Marjoram+Leaves+2+oz.&amp;qid=1695347658&amp;sr=8-4", "https://www.amazon.com/Spice-Way-Leaves-Marjoram-Thyme/dp/B09VZPXRD1/ref=sr_1_4?keywords=Regal+Marjoram+Leaves+2+oz.&amp;qid=1695347658&amp;sr=8-4")</f>
        <v/>
      </c>
      <c r="F352" t="inlineStr">
        <is>
          <t>B09VZPXRD1</t>
        </is>
      </c>
      <c r="G352">
        <f>_xlfn.IMAGE("https://cdnimg.webstaurantstore.com/images/products/large/25290/1857652.jpg")</f>
        <v/>
      </c>
      <c r="H352">
        <f>_xlfn.IMAGE("https://m.media-amazon.com/images/I/81oa49ZiRSL._AC_UL320_.jpg")</f>
        <v/>
      </c>
      <c r="K352" t="inlineStr">
        <is>
          <t>0.99</t>
        </is>
      </c>
      <c r="L352" t="n">
        <v>19.99</v>
      </c>
      <c r="M352" s="2" t="inlineStr">
        <is>
          <t>1919.19%</t>
        </is>
      </c>
      <c r="N352" t="n">
        <v>5</v>
      </c>
      <c r="O352" t="n">
        <v>1</v>
      </c>
      <c r="Q352" t="inlineStr">
        <is>
          <t>InStock</t>
        </is>
      </c>
      <c r="R352" t="inlineStr">
        <is>
          <t>1.39</t>
        </is>
      </c>
      <c r="S352" t="inlineStr">
        <is>
          <t>10207075</t>
        </is>
      </c>
    </row>
    <row r="353" ht="75" customHeight="1">
      <c r="A353" s="1">
        <f>HYPERLINK("https://www.webstaurantstore.com/regal-mexican-chorizo-sausage-seasoning-8-oz/10204030.html", "https://www.webstaurantstore.com/regal-mexican-chorizo-sausage-seasoning-8-oz/10204030.html")</f>
        <v/>
      </c>
      <c r="B353" s="1">
        <f>HYPERLINK("https://www.webstaurantstore.com/regal-mexican-chorizo-sausage-seasoning-8-oz/10204030.html", "https://www.webstaurantstore.com/regal-mexican-chorizo-sausage-seasoning-8-oz/10204030.html")</f>
        <v/>
      </c>
      <c r="C353" t="inlineStr">
        <is>
          <t>Regal Mexican Chorizo Sausage Seasoning 8 oz.</t>
        </is>
      </c>
      <c r="D353" t="inlineStr">
        <is>
          <t>The Sausage Maker - Mexican Chorizo Sausage Seasoning, 2 lbs. 8 oz.</t>
        </is>
      </c>
      <c r="E353" s="1">
        <f>HYPERLINK("https://www.amazon.com/TSM-Chorizo-Sausage-Seasoning-lbs/dp/B002L7WV7A/ref=sr_1_1?keywords=Regal+Mexican+Chorizo+Sausage+Seasoning+8+oz.&amp;qid=1695347673&amp;sr=8-1", "https://www.amazon.com/TSM-Chorizo-Sausage-Seasoning-lbs/dp/B002L7WV7A/ref=sr_1_1?keywords=Regal+Mexican+Chorizo+Sausage+Seasoning+8+oz.&amp;qid=1695347673&amp;sr=8-1")</f>
        <v/>
      </c>
      <c r="F353" t="inlineStr">
        <is>
          <t>B002L7WV7A</t>
        </is>
      </c>
      <c r="G353">
        <f>_xlfn.IMAGE("https://cdnimg.webstaurantstore.com/images/products/large/646237/2268512.jpg")</f>
        <v/>
      </c>
      <c r="H353">
        <f>_xlfn.IMAGE("https://m.media-amazon.com/images/I/91q1Fr1-woL._AC_UL320_.jpg")</f>
        <v/>
      </c>
      <c r="K353" t="inlineStr">
        <is>
          <t>4.29</t>
        </is>
      </c>
      <c r="L353" t="n">
        <v>25.45</v>
      </c>
      <c r="M353" s="2" t="inlineStr">
        <is>
          <t>493.24%</t>
        </is>
      </c>
      <c r="N353" t="n">
        <v>4.2</v>
      </c>
      <c r="O353" t="n">
        <v>51</v>
      </c>
      <c r="Q353" t="inlineStr">
        <is>
          <t>InStock</t>
        </is>
      </c>
      <c r="R353" t="inlineStr">
        <is>
          <t>4.99</t>
        </is>
      </c>
      <c r="S353" t="inlineStr">
        <is>
          <t>10204030</t>
        </is>
      </c>
    </row>
    <row r="354" ht="75" customHeight="1">
      <c r="A354" s="1">
        <f>HYPERLINK("https://www.webstaurantstore.com/regal-mexican-chorizo-sausage-seasoning-8-oz/10204030.html", "https://www.webstaurantstore.com/regal-mexican-chorizo-sausage-seasoning-8-oz/10204030.html")</f>
        <v/>
      </c>
      <c r="B354" s="1">
        <f>HYPERLINK("https://www.webstaurantstore.com/regal-mexican-chorizo-sausage-seasoning-8-oz/10204030.html", "https://www.webstaurantstore.com/regal-mexican-chorizo-sausage-seasoning-8-oz/10204030.html")</f>
        <v/>
      </c>
      <c r="C354" t="inlineStr">
        <is>
          <t>Regal Mexican Chorizo Sausage Seasoning 8 oz.</t>
        </is>
      </c>
      <c r="D354" t="inlineStr">
        <is>
          <t>Savory Spice Chimayo Chorizo Sausage Spice - Chorizo Seasoning Mix with Chimayo Red Chiles | Add Chorizo Spice Blend to Ground Pork for Mexican-Style Chorizo (2 Cup Bag - Net: 8.6 oz)</t>
        </is>
      </c>
      <c r="E354" s="1">
        <f>HYPERLINK("https://www.amazon.com/Chimayo-Chorizo-Sausage-Spice-Cup/dp/B07S5BYRGF/ref=sr_1_8?keywords=Regal+Mexican+Chorizo+Sausage+Seasoning+8+oz.&amp;qid=1695347673&amp;sr=8-8", "https://www.amazon.com/Chimayo-Chorizo-Sausage-Spice-Cup/dp/B07S5BYRGF/ref=sr_1_8?keywords=Regal+Mexican+Chorizo+Sausage+Seasoning+8+oz.&amp;qid=1695347673&amp;sr=8-8")</f>
        <v/>
      </c>
      <c r="F354" t="inlineStr">
        <is>
          <t>B07S5BYRGF</t>
        </is>
      </c>
      <c r="G354">
        <f>_xlfn.IMAGE("https://cdnimg.webstaurantstore.com/images/products/large/646237/2268512.jpg")</f>
        <v/>
      </c>
      <c r="H354">
        <f>_xlfn.IMAGE("https://m.media-amazon.com/images/I/61fMC8dX6tL._AC_UL320_.jpg")</f>
        <v/>
      </c>
      <c r="K354" t="inlineStr">
        <is>
          <t>4.29</t>
        </is>
      </c>
      <c r="L354" t="n">
        <v>20.99</v>
      </c>
      <c r="M354" s="2" t="inlineStr">
        <is>
          <t>389.28%</t>
        </is>
      </c>
      <c r="N354" t="n">
        <v>4.1</v>
      </c>
      <c r="O354" t="n">
        <v>5</v>
      </c>
      <c r="Q354" t="inlineStr">
        <is>
          <t>InStock</t>
        </is>
      </c>
      <c r="R354" t="inlineStr">
        <is>
          <t>4.99</t>
        </is>
      </c>
      <c r="S354" t="inlineStr">
        <is>
          <t>10204030</t>
        </is>
      </c>
    </row>
    <row r="355" ht="75" customHeight="1">
      <c r="A355" s="1">
        <f>HYPERLINK("https://www.webstaurantstore.com/regal-mild-crushed-red-pepper-4-lb/10200121.html", "https://www.webstaurantstore.com/regal-mild-crushed-red-pepper-4-lb/10200121.html")</f>
        <v/>
      </c>
      <c r="B355" s="1">
        <f>HYPERLINK("https://www.webstaurantstore.com/regal-mild-crushed-red-pepper-4-lb/10200121.html", "https://www.webstaurantstore.com/regal-mild-crushed-red-pepper-4-lb/10200121.html")</f>
        <v/>
      </c>
      <c r="C355" t="inlineStr">
        <is>
          <t>Regal Mild Crushed Red Pepper - 4 lb.</t>
        </is>
      </c>
      <c r="D355" t="inlineStr">
        <is>
          <t>TOSS Crushed Red Pepper Flakes, Red Chili Flakes Bulk Spice 4 LB Container, Hot Pepper Flakes For Pizza Seasoning, Great for Chowder, Seafood, Pasta Seasonings and Spices for Cooking</t>
        </is>
      </c>
      <c r="E355" s="1">
        <f>HYPERLINK("https://www.amazon.com/TOSS-Crushed-Container-Seasoning-Seasonings/dp/B0BK9ZZBDX/ref=sr_1_7?keywords=Regal+Mild+Crushed+Red+Pepper+-+4+lb.&amp;qid=1695347697&amp;sr=8-7", "https://www.amazon.com/TOSS-Crushed-Container-Seasoning-Seasonings/dp/B0BK9ZZBDX/ref=sr_1_7?keywords=Regal+Mild+Crushed+Red+Pepper+-+4+lb.&amp;qid=1695347697&amp;sr=8-7")</f>
        <v/>
      </c>
      <c r="F355" t="inlineStr">
        <is>
          <t>B0BK9ZZBDX</t>
        </is>
      </c>
      <c r="G355">
        <f>_xlfn.IMAGE("https://cdnimg.webstaurantstore.com/images/products/large/565018/2091407.jpg")</f>
        <v/>
      </c>
      <c r="H355">
        <f>_xlfn.IMAGE("https://m.media-amazon.com/images/I/81o+41fkaGL._AC_UL320_.jpg")</f>
        <v/>
      </c>
      <c r="K355" t="inlineStr">
        <is>
          <t>13.99</t>
        </is>
      </c>
      <c r="L355" t="n">
        <v>34.99</v>
      </c>
      <c r="M355" s="2" t="inlineStr">
        <is>
          <t>150.11%</t>
        </is>
      </c>
      <c r="N355" t="n">
        <v>4.8</v>
      </c>
      <c r="O355" t="n">
        <v>91</v>
      </c>
      <c r="Q355" t="inlineStr">
        <is>
          <t>InStock</t>
        </is>
      </c>
      <c r="R355" t="inlineStr">
        <is>
          <t>15.99</t>
        </is>
      </c>
      <c r="S355" t="inlineStr">
        <is>
          <t>10200121</t>
        </is>
      </c>
    </row>
    <row r="356" ht="75" customHeight="1">
      <c r="A356" s="1">
        <f>HYPERLINK("https://www.webstaurantstore.com/regal-organic-table-grind-ground-black-pepper-8-oz/10230009.html", "https://www.webstaurantstore.com/regal-organic-table-grind-ground-black-pepper-8-oz/10230009.html")</f>
        <v/>
      </c>
      <c r="B356" s="1">
        <f>HYPERLINK("https://www.webstaurantstore.com/regal-organic-table-grind-ground-black-pepper-8-oz/10230009.html", "https://www.webstaurantstore.com/regal-organic-table-grind-ground-black-pepper-8-oz/10230009.html")</f>
        <v/>
      </c>
      <c r="C356" t="inlineStr">
        <is>
          <t>Regal Organic Table Grind Ground Black Pepper 8 oz.</t>
        </is>
      </c>
      <c r="D356" t="inlineStr">
        <is>
          <t>McCormick Culinary Table Grind Black Pepper, 18 oz - One 18 Ounce Container of Coarse Ground Black Pepper, Perfect on Vegetables, Rubs, Roasts and More</t>
        </is>
      </c>
      <c r="E356" s="1">
        <f>HYPERLINK("https://www.amazon.com/McCormick-Culinary-Table-Grind-Pepper/dp/B000YV91YQ/ref=sr_1_2?keywords=Regal+Organic+Table+Grind+Ground+Black+Pepper+8+oz.&amp;qid=1695347682&amp;sr=8-2", "https://www.amazon.com/McCormick-Culinary-Table-Grind-Pepper/dp/B000YV91YQ/ref=sr_1_2?keywords=Regal+Organic+Table+Grind+Ground+Black+Pepper+8+oz.&amp;qid=1695347682&amp;sr=8-2")</f>
        <v/>
      </c>
      <c r="F356" t="inlineStr">
        <is>
          <t>B000YV91YQ</t>
        </is>
      </c>
      <c r="G356">
        <f>_xlfn.IMAGE("https://cdnimg.webstaurantstore.com/images/products/large/727409/2491045.jpg")</f>
        <v/>
      </c>
      <c r="H356">
        <f>_xlfn.IMAGE("https://m.media-amazon.com/images/I/81G2g8EofmL._AC_UL320_.jpg")</f>
        <v/>
      </c>
      <c r="K356" t="inlineStr">
        <is>
          <t>5.99</t>
        </is>
      </c>
      <c r="L356" t="n">
        <v>15.46</v>
      </c>
      <c r="M356" s="2" t="inlineStr">
        <is>
          <t>158.10%</t>
        </is>
      </c>
      <c r="N356" t="n">
        <v>4.8</v>
      </c>
      <c r="O356" t="n">
        <v>294</v>
      </c>
      <c r="Q356" t="inlineStr">
        <is>
          <t>InStock</t>
        </is>
      </c>
      <c r="R356" t="inlineStr">
        <is>
          <t>6.69</t>
        </is>
      </c>
      <c r="S356" t="inlineStr">
        <is>
          <t>10230009</t>
        </is>
      </c>
    </row>
    <row r="357" ht="75" customHeight="1">
      <c r="A357" s="1">
        <f>HYPERLINK("https://www.webstaurantstore.com/regal-roasted-garlic-granules-1-lb/10207061.html", "https://www.webstaurantstore.com/regal-roasted-garlic-granules-1-lb/10207061.html")</f>
        <v/>
      </c>
      <c r="B357" s="1">
        <f>HYPERLINK("https://www.webstaurantstore.com/regal-roasted-garlic-granules-1-lb/10207061.html", "https://www.webstaurantstore.com/regal-roasted-garlic-granules-1-lb/10207061.html")</f>
        <v/>
      </c>
      <c r="C357" t="inlineStr">
        <is>
          <t>Regal Roasted Garlic Granules - 1 lb.</t>
        </is>
      </c>
      <c r="D357" t="inlineStr">
        <is>
          <t>Frontier Co-op Roasted Garlic Granules 1lb</t>
        </is>
      </c>
      <c r="E357" s="1">
        <f>HYPERLINK("https://www.amazon.com/Frontier-Natural-Products-Granules-Roasted/dp/B000UVUHTS/ref=sr_1_1?keywords=Regal+Roasted+Garlic+Granules+-+1+lb.&amp;qid=1695347698&amp;sr=8-1", "https://www.amazon.com/Frontier-Natural-Products-Granules-Roasted/dp/B000UVUHTS/ref=sr_1_1?keywords=Regal+Roasted+Garlic+Granules+-+1+lb.&amp;qid=1695347698&amp;sr=8-1")</f>
        <v/>
      </c>
      <c r="F357" t="inlineStr">
        <is>
          <t>B000UVUHTS</t>
        </is>
      </c>
      <c r="G357">
        <f>_xlfn.IMAGE("https://cdnimg.webstaurantstore.com/images/products/large/570484/2111330.jpg")</f>
        <v/>
      </c>
      <c r="H357">
        <f>_xlfn.IMAGE("https://m.media-amazon.com/images/I/91Q-bjf861L._AC_UL320_.jpg")</f>
        <v/>
      </c>
      <c r="K357" t="inlineStr">
        <is>
          <t>6.99</t>
        </is>
      </c>
      <c r="L357" t="n">
        <v>22.52</v>
      </c>
      <c r="M357" s="2" t="inlineStr">
        <is>
          <t>222.17%</t>
        </is>
      </c>
      <c r="N357" t="n">
        <v>4.6</v>
      </c>
      <c r="O357" t="n">
        <v>62</v>
      </c>
      <c r="Q357" t="inlineStr">
        <is>
          <t>InStock</t>
        </is>
      </c>
      <c r="R357" t="inlineStr">
        <is>
          <t>7.49</t>
        </is>
      </c>
      <c r="S357" t="inlineStr">
        <is>
          <t>10207061</t>
        </is>
      </c>
    </row>
    <row r="358" ht="75" customHeight="1">
      <c r="A358" s="1">
        <f>HYPERLINK("https://www.webstaurantstore.com/regal-savory-grill-seasoning-16-oz/10207370.html", "https://www.webstaurantstore.com/regal-savory-grill-seasoning-16-oz/10207370.html")</f>
        <v/>
      </c>
      <c r="B358" s="1">
        <f>HYPERLINK("https://www.webstaurantstore.com/regal-savory-grill-seasoning-16-oz/10207370.html", "https://www.webstaurantstore.com/regal-savory-grill-seasoning-16-oz/10207370.html")</f>
        <v/>
      </c>
      <c r="C358" t="inlineStr">
        <is>
          <t>Regal Savory Grill Seasoning - 16 oz.</t>
        </is>
      </c>
      <c r="D358" t="inlineStr">
        <is>
          <t>Regal Herbs and Spices (Savory Grill Seasoning 16 oz)</t>
        </is>
      </c>
      <c r="E358" s="1">
        <f>HYPERLINK("https://www.amazon.com/Regal-Herbs-Spices-Savory-Seasoning/dp/B00KL3IE3G/ref=sr_1_1?keywords=Regal+Savory+Grill+Seasoning+-+16+oz.&amp;qid=1695347666&amp;sr=8-1", "https://www.amazon.com/Regal-Herbs-Spices-Savory-Seasoning/dp/B00KL3IE3G/ref=sr_1_1?keywords=Regal+Savory+Grill+Seasoning+-+16+oz.&amp;qid=1695347666&amp;sr=8-1")</f>
        <v/>
      </c>
      <c r="F358" t="inlineStr">
        <is>
          <t>B00KL3IE3G</t>
        </is>
      </c>
      <c r="G358">
        <f>_xlfn.IMAGE("https://cdnimg.webstaurantstore.com/images/products/large/74329/2136812.jpg")</f>
        <v/>
      </c>
      <c r="H358">
        <f>_xlfn.IMAGE("https://m.media-amazon.com/images/I/716os9Ao4UL._AC_UL320_.jpg")</f>
        <v/>
      </c>
      <c r="K358" t="inlineStr">
        <is>
          <t>3.29</t>
        </is>
      </c>
      <c r="L358" t="n">
        <v>29.95</v>
      </c>
      <c r="M358" s="2" t="inlineStr">
        <is>
          <t>810.33%</t>
        </is>
      </c>
      <c r="N358" t="n">
        <v>4</v>
      </c>
      <c r="O358" t="n">
        <v>1</v>
      </c>
      <c r="Q358" t="inlineStr">
        <is>
          <t>InStock</t>
        </is>
      </c>
      <c r="R358" t="inlineStr">
        <is>
          <t>3.79</t>
        </is>
      </c>
      <c r="S358" t="inlineStr">
        <is>
          <t>10207370</t>
        </is>
      </c>
    </row>
    <row r="359" ht="75" customHeight="1">
      <c r="A359" s="1">
        <f>HYPERLINK("https://www.webstaurantstore.com/regal-whole-ginger-1-lb/102708285.html", "https://www.webstaurantstore.com/regal-whole-ginger-1-lb/102708285.html")</f>
        <v/>
      </c>
      <c r="B359" s="1">
        <f>HYPERLINK("https://www.webstaurantstore.com/regal-whole-ginger-1-lb/102708285.html", "https://www.webstaurantstore.com/regal-whole-ginger-1-lb/102708285.html")</f>
        <v/>
      </c>
      <c r="C359" t="inlineStr">
        <is>
          <t>Regal Dried Ginger Root - 12 oz.</t>
        </is>
      </c>
      <c r="D359" t="inlineStr">
        <is>
          <t>Dried Ginger Root 1 LB (16 Oz)| Cut and Sifted Dried Ginger Pieces | As Spicy as Fresh Ginger | Flavourful Indian Spice |100% Pure and Natural For Making Flavourful Ginger Tea | By Yogi's Gift®</t>
        </is>
      </c>
      <c r="E359" s="1">
        <f>HYPERLINK("https://www.amazon.com/Ginger-Sifted-Flavourful-Natural-flavourful/dp/B09NR8G3XT/ref=sr_1_2?keywords=Regal+Dried+Ginger+Root+-+12+oz.&amp;qid=1695347687&amp;sr=8-2", "https://www.amazon.com/Ginger-Sifted-Flavourful-Natural-flavourful/dp/B09NR8G3XT/ref=sr_1_2?keywords=Regal+Dried+Ginger+Root+-+12+oz.&amp;qid=1695347687&amp;sr=8-2")</f>
        <v/>
      </c>
      <c r="F359" t="inlineStr">
        <is>
          <t>B09NR8G3XT</t>
        </is>
      </c>
      <c r="G359">
        <f>_xlfn.IMAGE("https://cdnimg.webstaurantstore.com/images/products/large/570567/2124523.jpg")</f>
        <v/>
      </c>
      <c r="H359">
        <f>_xlfn.IMAGE("https://m.media-amazon.com/images/I/71pIAvarfyL._AC_UL320_.jpg")</f>
        <v/>
      </c>
      <c r="K359" t="inlineStr">
        <is>
          <t>7.4</t>
        </is>
      </c>
      <c r="L359" t="n">
        <v>16.99</v>
      </c>
      <c r="M359" s="2" t="inlineStr">
        <is>
          <t>129.59%</t>
        </is>
      </c>
      <c r="N359" t="n">
        <v>4.6</v>
      </c>
      <c r="O359" t="n">
        <v>72</v>
      </c>
      <c r="Q359" t="inlineStr">
        <is>
          <t>undefined</t>
        </is>
      </c>
      <c r="R359" t="inlineStr">
        <is>
          <t>7.69</t>
        </is>
      </c>
      <c r="S359" t="inlineStr">
        <is>
          <t>102708285</t>
        </is>
      </c>
    </row>
    <row r="360" ht="75" customHeight="1">
      <c r="A360" s="1">
        <f>HYPERLINK("https://www.webstaurantstore.com/regal-whole-nutmeg-8-oz/10207089.html", "https://www.webstaurantstore.com/regal-whole-nutmeg-8-oz/10207089.html")</f>
        <v/>
      </c>
      <c r="B360" s="1">
        <f>HYPERLINK("https://www.webstaurantstore.com/regal-whole-nutmeg-8-oz/10207089.html", "https://www.webstaurantstore.com/regal-whole-nutmeg-8-oz/10207089.html")</f>
        <v/>
      </c>
      <c r="C360" t="inlineStr">
        <is>
          <t>Regal Whole Nutmeg - 8 oz.</t>
        </is>
      </c>
      <c r="D360" t="inlineStr">
        <is>
          <t>Spicy World Whole Nutmeg 1 Pound (16oz) - 80+ Pieces!</t>
        </is>
      </c>
      <c r="E360" s="1">
        <f>HYPERLINK("https://www.amazon.com/Spicy-World-Whole-Nutmeg-Pound/dp/B07HPDM49D/ref=sr_1_10?keywords=Regal+Whole+Nutmeg+-+8+oz.&amp;qid=1695347678&amp;sr=8-10", "https://www.amazon.com/Spicy-World-Whole-Nutmeg-Pound/dp/B07HPDM49D/ref=sr_1_10?keywords=Regal+Whole+Nutmeg+-+8+oz.&amp;qid=1695347678&amp;sr=8-10")</f>
        <v/>
      </c>
      <c r="F360" t="inlineStr">
        <is>
          <t>B07HPDM49D</t>
        </is>
      </c>
      <c r="G360">
        <f>_xlfn.IMAGE("https://cdnimg.webstaurantstore.com/images/products/large/61701/2047565.jpg")</f>
        <v/>
      </c>
      <c r="H360">
        <f>_xlfn.IMAGE("https://m.media-amazon.com/images/I/61HetDzrvrL._AC_UL320_.jpg")</f>
        <v/>
      </c>
      <c r="K360" t="inlineStr">
        <is>
          <t>5.99</t>
        </is>
      </c>
      <c r="L360" t="n">
        <v>16.99</v>
      </c>
      <c r="M360" s="2" t="inlineStr">
        <is>
          <t>183.64%</t>
        </is>
      </c>
      <c r="N360" t="n">
        <v>4.7</v>
      </c>
      <c r="O360" t="n">
        <v>707</v>
      </c>
      <c r="Q360" t="inlineStr">
        <is>
          <t>InStock</t>
        </is>
      </c>
      <c r="R360" t="inlineStr">
        <is>
          <t>6.99</t>
        </is>
      </c>
      <c r="S360" t="inlineStr">
        <is>
          <t>10207089</t>
        </is>
      </c>
    </row>
    <row r="361" ht="75" customHeight="1">
      <c r="A361" s="1">
        <f>HYPERLINK("https://www.webstaurantstore.com/roxy-rich-plain-cocoa-butter-8-oz/409RRBC8099.html", "https://www.webstaurantstore.com/roxy-rich-plain-cocoa-butter-8-oz/409RRBC8099.html")</f>
        <v/>
      </c>
      <c r="B361" s="1">
        <f>HYPERLINK("https://www.webstaurantstore.com/roxy-rich-plain-cocoa-butter-8-oz/409RRBC8099.html", "https://www.webstaurantstore.com/roxy-rich-plain-cocoa-butter-8-oz/409RRBC8099.html")</f>
        <v/>
      </c>
      <c r="C361" t="inlineStr">
        <is>
          <t>Roxy &amp; Rich Plain Cocoa Butter 8 oz.</t>
        </is>
      </c>
      <c r="D361" t="inlineStr">
        <is>
          <t>Roxy &amp; Rich Artist Collection Cocoa Butter, 225 Grams Plain</t>
        </is>
      </c>
      <c r="E361" s="1">
        <f>HYPERLINK("https://www.amazon.com/Roxy-Rich-Artist-Collection-Butter/dp/B075XRKPZB/ref=sr_1_5?keywords=Roxy+%26+Rich+Plain+Cocoa+Butter+8+oz.&amp;qid=1695347694&amp;sr=8-5", "https://www.amazon.com/Roxy-Rich-Artist-Collection-Butter/dp/B075XRKPZB/ref=sr_1_5?keywords=Roxy+%26+Rich+Plain+Cocoa+Butter+8+oz.&amp;qid=1695347694&amp;sr=8-5")</f>
        <v/>
      </c>
      <c r="F361" t="inlineStr">
        <is>
          <t>B075XRKPZB</t>
        </is>
      </c>
      <c r="G361">
        <f>_xlfn.IMAGE("https://cdnimg.webstaurantstore.com/images/products/large/640521/2316067.jpg")</f>
        <v/>
      </c>
      <c r="H361">
        <f>_xlfn.IMAGE("https://m.media-amazon.com/images/I/51nehawmRrL._AC_UL320_.jpg")</f>
        <v/>
      </c>
      <c r="K361" t="inlineStr">
        <is>
          <t>12.75</t>
        </is>
      </c>
      <c r="L361" t="n">
        <v>30.24</v>
      </c>
      <c r="M361" s="2" t="inlineStr">
        <is>
          <t>137.18%</t>
        </is>
      </c>
      <c r="N361" t="n">
        <v>5</v>
      </c>
      <c r="O361" t="n">
        <v>1</v>
      </c>
      <c r="Q361" t="inlineStr">
        <is>
          <t>OutOfStock</t>
        </is>
      </c>
      <c r="R361" t="inlineStr">
        <is>
          <t>14.99</t>
        </is>
      </c>
      <c r="S361" t="inlineStr">
        <is>
          <t>409rrbc8099</t>
        </is>
      </c>
    </row>
    <row r="362" ht="75" customHeight="1">
      <c r="A362" s="1">
        <f>HYPERLINK("https://www.webstaurantstore.com/seiko-instruments-slp2rl-1-1-8-x-3-1-2-white-removable-adhesive-printable-address-labels-box/328KPSLPR2RL.html", "https://www.webstaurantstore.com/seiko-instruments-slp2rl-1-1-8-x-3-1-2-white-removable-adhesive-printable-address-labels-box/328KPSLPR2RL.html")</f>
        <v/>
      </c>
      <c r="B362" s="1">
        <f>HYPERLINK("https://www.webstaurantstore.com/seiko-instruments-slp2rl-1-1-8-x-3-1-2-white-removable-adhesive-printable-address-labels-box/328KPSLPR2RL.html", "https://www.webstaurantstore.com/seiko-instruments-slp2rl-1-1-8-x-3-1-2-white-removable-adhesive-printable-address-labels-box/328KPSLPR2RL.html")</f>
        <v/>
      </c>
      <c r="C362" t="inlineStr">
        <is>
          <t>Seiko Instruments SLPR2RL 1 1/8" x 3 1/2" White Removable Adhesive Printable Address Labels - 260/Box</t>
        </is>
      </c>
      <c r="D362" t="inlineStr">
        <is>
          <t>Seiko SLPR2RL Removable Adhesive Address Labels, 1-1/8 x 3-1/2, White, 260/Box</t>
        </is>
      </c>
      <c r="E362" s="1">
        <f>HYPERLINK("https://www.amazon.com/Seiko-Removable-Adhesive-Printers-SKPSLPR2RL/dp/B0057WSNSW/ref=sr_1_1?keywords=Seiko+Instruments+SLPR2RL+1+1%2F8+x+3+1%2F2+White+Removable+Adhesive+Printable+Address+Labels+-+260%2FBox&amp;qid=1695347707&amp;sr=8-1", "https://www.amazon.com/Seiko-Removable-Adhesive-Printers-SKPSLPR2RL/dp/B0057WSNSW/ref=sr_1_1?keywords=Seiko+Instruments+SLPR2RL+1+1%2F8+x+3+1%2F2+White+Removable+Adhesive+Printable+Address+Labels+-+260%2FBox&amp;qid=1695347707&amp;sr=8-1")</f>
        <v/>
      </c>
      <c r="F362" t="inlineStr">
        <is>
          <t>B0057WSNSW</t>
        </is>
      </c>
      <c r="G362">
        <f>_xlfn.IMAGE("https://cdnimg.webstaurantstore.com/images/products/large/467931/1763214.jpg")</f>
        <v/>
      </c>
      <c r="H362">
        <f>_xlfn.IMAGE("https://m.media-amazon.com/images/I/61ZLX8KV9gL._AC_UL320_.jpg")</f>
        <v/>
      </c>
      <c r="K362" t="inlineStr">
        <is>
          <t>15.75</t>
        </is>
      </c>
      <c r="L362" t="n">
        <v>34.4</v>
      </c>
      <c r="M362" s="2" t="inlineStr">
        <is>
          <t>118.41%</t>
        </is>
      </c>
      <c r="N362" t="n">
        <v>4</v>
      </c>
      <c r="O362" t="n">
        <v>1</v>
      </c>
      <c r="Q362" t="inlineStr">
        <is>
          <t>InStock</t>
        </is>
      </c>
      <c r="R362" t="inlineStr">
        <is>
          <t>17.99</t>
        </is>
      </c>
      <c r="S362" t="inlineStr">
        <is>
          <t>328kpslpr2rl</t>
        </is>
      </c>
    </row>
    <row r="363" ht="75" customHeight="1">
      <c r="A363" s="1">
        <f>HYPERLINK("https://www.zoro.com/3m-30-mil-34-x-30-ft-black-splicing-tape-23-34x30ft/i/G2330912/", "https://www.zoro.com/3m-30-mil-34-x-30-ft-black-splicing-tape-23-34x30ft/i/G2330912/")</f>
        <v/>
      </c>
      <c r="B363" s="1">
        <f>HYPERLINK("https://www.zoro.com/3m-30-mil-34-x-30-ft-black-splicing-tape-23-34x30ft/i/G2330912/", "https://www.zoro.com/3m-30-mil-34-x-30-ft-black-splicing-tape-23-34x30ft/i/G2330912/")</f>
        <v/>
      </c>
      <c r="C363" t="inlineStr">
        <is>
          <t>30 mil, 3/4" x 30 ft. Black Splicing Tape</t>
        </is>
      </c>
      <c r="D363" t="inlineStr">
        <is>
          <t>Splicing Tape, 30 mil, 1" x 30 ft, Black</t>
        </is>
      </c>
      <c r="E363" s="1">
        <f>HYPERLINK("https://www.amazon.com/Splicing-Tape-mil-ft-Black/dp/B0078RYFDQ/ref=sr_1_2?keywords=30+mil%2C+3%2F4%22+x+30+ft.+Black+Splicing+Tape&amp;qid=1695348109&amp;sr=8-2", "https://www.amazon.com/Splicing-Tape-mil-ft-Black/dp/B0078RYFDQ/ref=sr_1_2?keywords=30+mil%2C+3%2F4%22+x+30+ft.+Black+Splicing+Tape&amp;qid=1695348109&amp;sr=8-2")</f>
        <v/>
      </c>
      <c r="F363" t="inlineStr">
        <is>
          <t>B0078RYFDQ</t>
        </is>
      </c>
      <c r="G363">
        <f>_xlfn.IMAGE("https://www.zoro.com/static/cms/product/full/Z1KIvyfo5oy.JPG")</f>
        <v/>
      </c>
      <c r="H363">
        <f>_xlfn.IMAGE("https://m.media-amazon.com/images/I/412k5lWuPsL._AC_UY218_.jpg")</f>
        <v/>
      </c>
      <c r="K363" t="inlineStr">
        <is>
          <t>25.19</t>
        </is>
      </c>
      <c r="L363" t="n">
        <v>49.76</v>
      </c>
      <c r="M363" s="2" t="inlineStr">
        <is>
          <t>97.54%</t>
        </is>
      </c>
      <c r="N363" t="n">
        <v>5</v>
      </c>
      <c r="O363" t="n">
        <v>1</v>
      </c>
      <c r="Q363" t="inlineStr">
        <is>
          <t>InStock</t>
        </is>
      </c>
      <c r="R363" t="inlineStr">
        <is>
          <t>46.79</t>
        </is>
      </c>
      <c r="S363" t="inlineStr">
        <is>
          <t>G2330912</t>
        </is>
      </c>
    </row>
    <row r="364" ht="75" customHeight="1">
      <c r="A364" s="1">
        <f>HYPERLINK("https://www.zoro.com/3m-30-mil-34-x-30-ft-black-splicing-tape-23-34x30ft/i/G2330912/", "https://www.zoro.com/3m-30-mil-34-x-30-ft-black-splicing-tape-23-34x30ft/i/G2330912/")</f>
        <v/>
      </c>
      <c r="B364" s="1">
        <f>HYPERLINK("https://www.zoro.com/3m-30-mil-34-x-30-ft-black-splicing-tape-23-34x30ft/i/G2330912/", "https://www.zoro.com/3m-30-mil-34-x-30-ft-black-splicing-tape-23-34x30ft/i/G2330912/")</f>
        <v/>
      </c>
      <c r="C364" t="inlineStr">
        <is>
          <t>30 mil, 3/4" x 30 ft. Black Splicing Tape</t>
        </is>
      </c>
      <c r="D364" t="inlineStr">
        <is>
          <t>Splicing Tape, 30 mil, 1" x 30 ft, Black</t>
        </is>
      </c>
      <c r="E364" s="1">
        <f>HYPERLINK("https://www.amazon.com/Splicing-Tape-mil-ft-Black/dp/B0078RYFDQ/ref=sr_1_2?keywords=30+mil%2C+3%2F4%22+x+30+ft.+Black+Splicing+Tape&amp;qid=1695348109&amp;sr=8-2", "https://www.amazon.com/Splicing-Tape-mil-ft-Black/dp/B0078RYFDQ/ref=sr_1_2?keywords=30+mil%2C+3%2F4%22+x+30+ft.+Black+Splicing+Tape&amp;qid=1695348109&amp;sr=8-2")</f>
        <v/>
      </c>
      <c r="F364" t="inlineStr">
        <is>
          <t>B0078RYFDQ</t>
        </is>
      </c>
      <c r="G364">
        <f>_xlfn.IMAGE("https://www.zoro.com/static/cms/product/full/Z1KIvyfo5oy.JPG")</f>
        <v/>
      </c>
      <c r="H364">
        <f>_xlfn.IMAGE("https://m.media-amazon.com/images/I/412k5lWuPsL._AC_UY218_.jpg")</f>
        <v/>
      </c>
      <c r="K364" t="inlineStr">
        <is>
          <t>25.19</t>
        </is>
      </c>
      <c r="L364" t="n">
        <v>49.76</v>
      </c>
      <c r="M364" s="2" t="inlineStr">
        <is>
          <t>97.54%</t>
        </is>
      </c>
      <c r="N364" t="n">
        <v>5</v>
      </c>
      <c r="O364" t="n">
        <v>1</v>
      </c>
      <c r="Q364" t="inlineStr">
        <is>
          <t>InStock</t>
        </is>
      </c>
      <c r="R364" t="inlineStr">
        <is>
          <t>46.79</t>
        </is>
      </c>
      <c r="S364" t="inlineStr">
        <is>
          <t>G2330912</t>
        </is>
      </c>
    </row>
    <row r="365" ht="75" customHeight="1">
      <c r="A365" s="1">
        <f>HYPERLINK("https://www.zoro.com/3m-3m-2228-1-in-x-10-ft-rubber-mastic-tape-812166/i/G003915032/", "https://www.zoro.com/3m-3m-2228-1-in-x-10-ft-rubber-mastic-tape-812166/i/G003915032/")</f>
        <v/>
      </c>
      <c r="B365" s="1">
        <f>HYPERLINK("https://www.zoro.com/3m-3m-2228-1-in-x-10-ft-rubber-mastic-tape-812166/i/G003915032/", "https://www.zoro.com/3m-3m-2228-1-in-x-10-ft-rubber-mastic-tape-812166/i/G003915032/")</f>
        <v/>
      </c>
      <c r="C365" t="inlineStr">
        <is>
          <t>3M 2228 1 in x 10 ft. Rubber Mastic Tape</t>
        </is>
      </c>
      <c r="D365" t="inlineStr">
        <is>
          <t>Scotch Rubber Mastic Tape 2228-2x10FT, 2 in x 10 ft (51 mm x 3,05 m), 10 per case</t>
        </is>
      </c>
      <c r="E365" s="1">
        <f>HYPERLINK("https://www.amazon.com/Scotch-Rubber-Mastic-Tape-2228-2x10FT/dp/B00OI7CDMO/ref=sr_1_9?keywords=3M+2228+1+in+x+10+ft.+Rubber+Mastic+Tape&amp;qid=1695347919&amp;sr=8-9", "https://www.amazon.com/Scotch-Rubber-Mastic-Tape-2228-2x10FT/dp/B00OI7CDMO/ref=sr_1_9?keywords=3M+2228+1+in+x+10+ft.+Rubber+Mastic+Tape&amp;qid=1695347919&amp;sr=8-9")</f>
        <v/>
      </c>
      <c r="F365" t="inlineStr">
        <is>
          <t>B00OI7CDMO</t>
        </is>
      </c>
      <c r="G365">
        <f>_xlfn.IMAGE("https://www.zoro.com/static/cms/product/full/Unbeatablesale Inc_trval452xx650xx1b5455.jpeg")</f>
        <v/>
      </c>
      <c r="H365">
        <f>_xlfn.IMAGE("https://m.media-amazon.com/images/I/71G4cvuKAWL._AC_UY218_.jpg")</f>
        <v/>
      </c>
      <c r="K365" t="inlineStr">
        <is>
          <t>39.99</t>
        </is>
      </c>
      <c r="L365" t="n">
        <v>279.05</v>
      </c>
      <c r="M365" s="2" t="inlineStr">
        <is>
          <t>597.80%</t>
        </is>
      </c>
      <c r="N365" t="n">
        <v>5</v>
      </c>
      <c r="O365" t="n">
        <v>1</v>
      </c>
      <c r="Q365" t="inlineStr">
        <is>
          <t>InStock</t>
        </is>
      </c>
      <c r="R365" t="inlineStr">
        <is>
          <t>undefined</t>
        </is>
      </c>
      <c r="S365" t="inlineStr">
        <is>
          <t>G003915032</t>
        </is>
      </c>
    </row>
    <row r="366" ht="75" customHeight="1">
      <c r="A366" s="1">
        <f>HYPERLINK("https://www.zoro.com/3m-3m-2228-1-in-x-10-ft-rubber-mastic-tape-812166/i/G003915032/", "https://www.zoro.com/3m-3m-2228-1-in-x-10-ft-rubber-mastic-tape-812166/i/G003915032/")</f>
        <v/>
      </c>
      <c r="B366" s="1">
        <f>HYPERLINK("https://www.zoro.com/3m-3m-2228-1-in-x-10-ft-rubber-mastic-tape-812166/i/G003915032/", "https://www.zoro.com/3m-3m-2228-1-in-x-10-ft-rubber-mastic-tape-812166/i/G003915032/")</f>
        <v/>
      </c>
      <c r="C366" t="inlineStr">
        <is>
          <t>3M 2228 1 in x 10 ft. Rubber Mastic Tape</t>
        </is>
      </c>
      <c r="D366" t="inlineStr">
        <is>
          <t>Scotch Vinyl Mastic Roll Electrical Tape 2210, 4 inch x 10 feet, Black, Self-Fusing Rubber Tape for Insulating and Moisture Seal</t>
        </is>
      </c>
      <c r="E366" s="1">
        <f>HYPERLINK("https://www.amazon.com/3M-Electrical-Self-Fusing-Insulating-Moisture/dp/B00GRKQY70/ref=sr_1_10?keywords=3M+2228+1+in+x+10+ft.+Rubber+Mastic+Tape&amp;qid=1695347919&amp;sr=8-10", "https://www.amazon.com/3M-Electrical-Self-Fusing-Insulating-Moisture/dp/B00GRKQY70/ref=sr_1_10?keywords=3M+2228+1+in+x+10+ft.+Rubber+Mastic+Tape&amp;qid=1695347919&amp;sr=8-10")</f>
        <v/>
      </c>
      <c r="F366" t="inlineStr">
        <is>
          <t>B00GRKQY70</t>
        </is>
      </c>
      <c r="G366">
        <f>_xlfn.IMAGE("https://www.zoro.com/static/cms/product/full/Unbeatablesale Inc_trval452xx650xx1b5455.jpeg")</f>
        <v/>
      </c>
      <c r="H366">
        <f>_xlfn.IMAGE("https://m.media-amazon.com/images/I/81Dm0SIBPuL._AC_UY218_.jpg")</f>
        <v/>
      </c>
      <c r="K366" t="inlineStr">
        <is>
          <t>39.99</t>
        </is>
      </c>
      <c r="L366" t="n">
        <v>97.34</v>
      </c>
      <c r="M366" s="2" t="inlineStr">
        <is>
          <t>143.41%</t>
        </is>
      </c>
      <c r="N366" t="n">
        <v>5</v>
      </c>
      <c r="O366" t="n">
        <v>5</v>
      </c>
      <c r="Q366" t="inlineStr">
        <is>
          <t>InStock</t>
        </is>
      </c>
      <c r="R366" t="inlineStr">
        <is>
          <t>undefined</t>
        </is>
      </c>
      <c r="S366" t="inlineStr">
        <is>
          <t>G003915032</t>
        </is>
      </c>
    </row>
    <row r="367" ht="75" customHeight="1">
      <c r="A367" s="1">
        <f>HYPERLINK("https://www.zoro.com/3m-3m-27-glass-cloth-electrical-tape-27-4893806/i/G404022155/", "https://www.zoro.com/3m-3m-27-glass-cloth-electrical-tape-27-4893806/i/G404022155/")</f>
        <v/>
      </c>
      <c r="B367" s="1">
        <f>HYPERLINK("https://www.zoro.com/3m-3m-27-glass-cloth-electrical-tape-27-4893806/i/G404022155/", "https://www.zoro.com/3m-3m-27-glass-cloth-electrical-tape-27-4893806/i/G404022155/")</f>
        <v/>
      </c>
      <c r="C367" t="inlineStr">
        <is>
          <t>3M 27 Glass Cloth Electrical Tape 27</t>
        </is>
      </c>
      <c r="D367" t="inlineStr">
        <is>
          <t>3M 69 Glass Cloth Electrical Tape - 2 in. x 108 ft. Flame Retardant Silicone Adhesive Tape Roll. Insulation Tape</t>
        </is>
      </c>
      <c r="E367" s="1">
        <f>HYPERLINK("https://www.amazon.com/3M-69-Glass-Cloth-Electrical/dp/B007Y7GFJW/ref=sr_1_3?keywords=3M+27+Glass+Cloth+Electrical+Tape+27&amp;qid=1695348129&amp;sr=8-3", "https://www.amazon.com/3M-69-Glass-Cloth-Electrical/dp/B007Y7GFJW/ref=sr_1_3?keywords=3M+27+Glass+Cloth+Electrical+Tape+27&amp;qid=1695348129&amp;sr=8-3")</f>
        <v/>
      </c>
      <c r="F367" t="inlineStr">
        <is>
          <t>B007Y7GFJW</t>
        </is>
      </c>
      <c r="G367">
        <f>_xlfn.IMAGE("https://www.zoro.com/static/cms/product/full/Unbeatablesale Inc_orgl59626xx650xx674924.jpeg")</f>
        <v/>
      </c>
      <c r="H367">
        <f>_xlfn.IMAGE("https://m.media-amazon.com/images/I/819XZjEdRSL._AC_UY218_.jpg")</f>
        <v/>
      </c>
      <c r="K367" t="inlineStr">
        <is>
          <t>43.89</t>
        </is>
      </c>
      <c r="L367" t="n">
        <v>111.11</v>
      </c>
      <c r="M367" s="2" t="inlineStr">
        <is>
          <t>153.16%</t>
        </is>
      </c>
      <c r="N367" t="n">
        <v>4.1</v>
      </c>
      <c r="O367" t="n">
        <v>6</v>
      </c>
      <c r="Q367" t="inlineStr">
        <is>
          <t>OutOfStock</t>
        </is>
      </c>
      <c r="R367" t="inlineStr">
        <is>
          <t>undefined</t>
        </is>
      </c>
      <c r="S367" t="inlineStr">
        <is>
          <t>G404022155</t>
        </is>
      </c>
    </row>
    <row r="368" ht="75" customHeight="1">
      <c r="A368" s="1">
        <f>HYPERLINK("https://www.zoro.com/3m-3m-27-glass-cloth-electrical-tape-27-4893806/i/G404022155/", "https://www.zoro.com/3m-3m-27-glass-cloth-electrical-tape-27-4893806/i/G404022155/")</f>
        <v/>
      </c>
      <c r="B368" s="1">
        <f>HYPERLINK("https://www.zoro.com/3m-3m-27-glass-cloth-electrical-tape-27-4893806/i/G404022155/", "https://www.zoro.com/3m-3m-27-glass-cloth-electrical-tape-27-4893806/i/G404022155/")</f>
        <v/>
      </c>
      <c r="C368" t="inlineStr">
        <is>
          <t>3M 27 Glass Cloth Electrical Tape 27</t>
        </is>
      </c>
      <c r="D368" t="inlineStr">
        <is>
          <t>3M 27 Cloth Electrical Tape, 2" Width x 60yd Length (1 roll)</t>
        </is>
      </c>
      <c r="E368" s="1">
        <f>HYPERLINK("https://www.amazon.com/3M-27-Cloth-Electrical-length/dp/B007Y7G5O2/ref=sr_1_7?keywords=3M+27+Glass+Cloth+Electrical+Tape+27&amp;qid=1695348129&amp;sr=8-7", "https://www.amazon.com/3M-27-Cloth-Electrical-length/dp/B007Y7G5O2/ref=sr_1_7?keywords=3M+27+Glass+Cloth+Electrical+Tape+27&amp;qid=1695348129&amp;sr=8-7")</f>
        <v/>
      </c>
      <c r="F368" t="inlineStr">
        <is>
          <t>B007Y7G5O2</t>
        </is>
      </c>
      <c r="G368">
        <f>_xlfn.IMAGE("https://www.zoro.com/static/cms/product/full/Unbeatablesale Inc_orgl59626xx650xx674924.jpeg")</f>
        <v/>
      </c>
      <c r="H368">
        <f>_xlfn.IMAGE("https://m.media-amazon.com/images/I/814Tt+WbCgL._AC_UY218_.jpg")</f>
        <v/>
      </c>
      <c r="K368" t="inlineStr">
        <is>
          <t>43.89</t>
        </is>
      </c>
      <c r="L368" t="n">
        <v>109.16</v>
      </c>
      <c r="M368" s="2" t="inlineStr">
        <is>
          <t>148.71%</t>
        </is>
      </c>
      <c r="N368" t="n">
        <v>4.5</v>
      </c>
      <c r="O368" t="n">
        <v>2</v>
      </c>
      <c r="Q368" t="inlineStr">
        <is>
          <t>OutOfStock</t>
        </is>
      </c>
      <c r="R368" t="inlineStr">
        <is>
          <t>undefined</t>
        </is>
      </c>
      <c r="S368" t="inlineStr">
        <is>
          <t>G404022155</t>
        </is>
      </c>
    </row>
    <row r="369" ht="75" customHeight="1">
      <c r="A369" s="1">
        <f>HYPERLINK("https://www.zoro.com/3m-3m-27-glass-cloth-electrical-tape-27-4893806/i/G404022155/", "https://www.zoro.com/3m-3m-27-glass-cloth-electrical-tape-27-4893806/i/G404022155/")</f>
        <v/>
      </c>
      <c r="B369" s="1">
        <f>HYPERLINK("https://www.zoro.com/3m-3m-27-glass-cloth-electrical-tape-27-4893806/i/G404022155/", "https://www.zoro.com/3m-3m-27-glass-cloth-electrical-tape-27-4893806/i/G404022155/")</f>
        <v/>
      </c>
      <c r="C369" t="inlineStr">
        <is>
          <t>3M 27 Glass Cloth Electrical Tape 27</t>
        </is>
      </c>
      <c r="D369" t="inlineStr">
        <is>
          <t>3M 27 Cloth Electrical Tape, 2" Width x 60yd Length (1 roll)</t>
        </is>
      </c>
      <c r="E369" s="1">
        <f>HYPERLINK("https://www.amazon.com/3M-27-Cloth-Electrical-length/dp/B007Y7G5O2/ref=sr_1_7?keywords=3M+27+Glass+Cloth+Electrical+Tape+27&amp;qid=1695348129&amp;sr=8-7", "https://www.amazon.com/3M-27-Cloth-Electrical-length/dp/B007Y7G5O2/ref=sr_1_7?keywords=3M+27+Glass+Cloth+Electrical+Tape+27&amp;qid=1695348129&amp;sr=8-7")</f>
        <v/>
      </c>
      <c r="F369" t="inlineStr">
        <is>
          <t>B007Y7G5O2</t>
        </is>
      </c>
      <c r="G369">
        <f>_xlfn.IMAGE("https://www.zoro.com/static/cms/product/full/Unbeatablesale Inc_orgl59626xx650xx674924.jpeg")</f>
        <v/>
      </c>
      <c r="H369">
        <f>_xlfn.IMAGE("https://m.media-amazon.com/images/I/814Tt+WbCgL._AC_UY218_.jpg")</f>
        <v/>
      </c>
      <c r="K369" t="inlineStr">
        <is>
          <t>43.89</t>
        </is>
      </c>
      <c r="L369" t="n">
        <v>109.16</v>
      </c>
      <c r="M369" s="2" t="inlineStr">
        <is>
          <t>148.71%</t>
        </is>
      </c>
      <c r="N369" t="n">
        <v>4.5</v>
      </c>
      <c r="O369" t="n">
        <v>2</v>
      </c>
      <c r="Q369" t="inlineStr">
        <is>
          <t>OutOfStock</t>
        </is>
      </c>
      <c r="R369" t="inlineStr">
        <is>
          <t>undefined</t>
        </is>
      </c>
      <c r="S369" t="inlineStr">
        <is>
          <t>G404022155</t>
        </is>
      </c>
    </row>
    <row r="370" ht="75" customHeight="1">
      <c r="A370" s="1">
        <f>HYPERLINK("https://www.zoro.com/3m-3m-amf99-99-in-hand-masker-pre-folded-masking-film-1052497/i/G403995924/", "https://www.zoro.com/3m-3m-amf99-99-in-hand-masker-pre-folded-masking-film-1052497/i/G403995924/")</f>
        <v/>
      </c>
      <c r="B370" s="1">
        <f>HYPERLINK("https://www.zoro.com/3m-3m-amf99-99-in-hand-masker-pre-folded-masking-film-1052497/i/G403995924/", "https://www.zoro.com/3m-3m-amf99-99-in-hand-masker-pre-folded-masking-film-1052497/i/G403995924/")</f>
        <v/>
      </c>
      <c r="C370" t="inlineStr">
        <is>
          <t>3m AMF99 99 in. Hand-Masker Pre-Folded Masking Film</t>
        </is>
      </c>
      <c r="D370" t="inlineStr">
        <is>
          <t>Scotch Painter's Tape AMF99 3M Hand-Masker Advanced Masking Film, 99" Width, 12 Rolls</t>
        </is>
      </c>
      <c r="E370" s="1">
        <f>HYPERLINK("https://www.amazon.com/3M-Hand-Masker-Advanced-Masking-AMF99/dp/B01IEOWGTQ/ref=sr_1_1?keywords=3m+AMF99+99+in.+Hand-Masker+Pre-Folded+Masking+Film&amp;qid=1695348007&amp;sr=8-1", "https://www.amazon.com/3M-Hand-Masker-Advanced-Masking-AMF99/dp/B01IEOWGTQ/ref=sr_1_1?keywords=3m+AMF99+99+in.+Hand-Masker+Pre-Folded+Masking+Film&amp;qid=1695348007&amp;sr=8-1")</f>
        <v/>
      </c>
      <c r="F370" t="inlineStr">
        <is>
          <t>B01IEOWGTQ</t>
        </is>
      </c>
      <c r="G370">
        <f>_xlfn.IMAGE("https://www.zoro.com/static/cms/product/full/Unbeatablesale Inc_jnsn56235xx650xxc3125d.jpeg")</f>
        <v/>
      </c>
      <c r="H370">
        <f>_xlfn.IMAGE("https://m.media-amazon.com/images/I/71ecuLC+vTL._AC_UL320_.jpg")</f>
        <v/>
      </c>
      <c r="K370" t="inlineStr">
        <is>
          <t>45.39</t>
        </is>
      </c>
      <c r="L370" t="n">
        <v>264.58</v>
      </c>
      <c r="M370" s="2" t="inlineStr">
        <is>
          <t>482.90%</t>
        </is>
      </c>
      <c r="N370" t="n">
        <v>5</v>
      </c>
      <c r="O370" t="n">
        <v>1</v>
      </c>
      <c r="Q370" t="inlineStr">
        <is>
          <t>InStock</t>
        </is>
      </c>
      <c r="R370" t="inlineStr">
        <is>
          <t>undefined</t>
        </is>
      </c>
      <c r="S370" t="inlineStr">
        <is>
          <t>G403995924</t>
        </is>
      </c>
    </row>
    <row r="371" ht="75" customHeight="1">
      <c r="A371" s="1">
        <f>HYPERLINK("https://www.zoro.com/3m-3m-amf99-99-in-hand-masker-pre-folded-masking-film-1052497/i/G403995924/", "https://www.zoro.com/3m-3m-amf99-99-in-hand-masker-pre-folded-masking-film-1052497/i/G403995924/")</f>
        <v/>
      </c>
      <c r="B371" s="1">
        <f>HYPERLINK("https://www.zoro.com/3m-3m-amf99-99-in-hand-masker-pre-folded-masking-film-1052497/i/G403995924/", "https://www.zoro.com/3m-3m-amf99-99-in-hand-masker-pre-folded-masking-film-1052497/i/G403995924/")</f>
        <v/>
      </c>
      <c r="C371" t="inlineStr">
        <is>
          <t>3m AMF99 99 in. Hand-Masker Pre-Folded Masking Film</t>
        </is>
      </c>
      <c r="D371" t="inlineStr">
        <is>
          <t>Scotch Painter's Tape Hand-Masker Advanced Masking Film, 8.25 ft x 90 ft, AMF99-8C, 8 Rolls</t>
        </is>
      </c>
      <c r="E371" s="1">
        <f>HYPERLINK("https://www.amazon.com/Hand-Masker-Advanced-Masking-AMF99-8C-Rolls/dp/B08NRL5R9R/ref=sr_1_5?keywords=3m+AMF99+99+in.+Hand-Masker+Pre-Folded+Masking+Film&amp;qid=1695348007&amp;sr=8-5", "https://www.amazon.com/Hand-Masker-Advanced-Masking-AMF99-8C-Rolls/dp/B08NRL5R9R/ref=sr_1_5?keywords=3m+AMF99+99+in.+Hand-Masker+Pre-Folded+Masking+Film&amp;qid=1695348007&amp;sr=8-5")</f>
        <v/>
      </c>
      <c r="F371" t="inlineStr">
        <is>
          <t>B08NRL5R9R</t>
        </is>
      </c>
      <c r="G371">
        <f>_xlfn.IMAGE("https://www.zoro.com/static/cms/product/full/Unbeatablesale Inc_jnsn56235xx650xxc3125d.jpeg")</f>
        <v/>
      </c>
      <c r="H371">
        <f>_xlfn.IMAGE("https://m.media-amazon.com/images/I/81oj1bsURTL._AC_UL320_.jpg")</f>
        <v/>
      </c>
      <c r="K371" t="inlineStr">
        <is>
          <t>45.39</t>
        </is>
      </c>
      <c r="L371" t="n">
        <v>107.57</v>
      </c>
      <c r="M371" s="2" t="inlineStr">
        <is>
          <t>136.99%</t>
        </is>
      </c>
      <c r="N371" t="n">
        <v>4.7</v>
      </c>
      <c r="O371" t="n">
        <v>1146</v>
      </c>
      <c r="Q371" t="inlineStr">
        <is>
          <t>InStock</t>
        </is>
      </c>
      <c r="R371" t="inlineStr">
        <is>
          <t>undefined</t>
        </is>
      </c>
      <c r="S371" t="inlineStr">
        <is>
          <t>G403995924</t>
        </is>
      </c>
    </row>
    <row r="372" ht="75" customHeight="1">
      <c r="A372" s="1">
        <f>HYPERLINK("https://www.zoro.com/3m-3m-amf99-99-in-hand-masker-pre-folded-masking-film-1052497/i/G403995924/", "https://www.zoro.com/3m-3m-amf99-99-in-hand-masker-pre-folded-masking-film-1052497/i/G403995924/")</f>
        <v/>
      </c>
      <c r="B372" s="1">
        <f>HYPERLINK("https://www.zoro.com/3m-3m-amf99-99-in-hand-masker-pre-folded-masking-film-1052497/i/G403995924/", "https://www.zoro.com/3m-3m-amf99-99-in-hand-masker-pre-folded-masking-film-1052497/i/G403995924/")</f>
        <v/>
      </c>
      <c r="C372" t="inlineStr">
        <is>
          <t>3m AMF99 99 in. Hand-Masker Pre-Folded Masking Film</t>
        </is>
      </c>
      <c r="D372" t="inlineStr">
        <is>
          <t>Reli. Masking Film, 10 Rolls Bulk (90' Foot x 99" Inch) - Masking Plastic Film for Painting, Automotive - Pre-Folded - Hand-Masker Film Plastic in Bulk</t>
        </is>
      </c>
      <c r="E372" s="1">
        <f>HYPERLINK("https://www.amazon.com/Reli-Pre-Folded-Masking-Wholesale-Length/dp/B07C5BV2F6/ref=sr_1_7?keywords=3m+AMF99+99+in.+Hand-Masker+Pre-Folded+Masking+Film&amp;qid=1695348007&amp;sr=8-7", "https://www.amazon.com/Reli-Pre-Folded-Masking-Wholesale-Length/dp/B07C5BV2F6/ref=sr_1_7?keywords=3m+AMF99+99+in.+Hand-Masker+Pre-Folded+Masking+Film&amp;qid=1695348007&amp;sr=8-7")</f>
        <v/>
      </c>
      <c r="F372" t="inlineStr">
        <is>
          <t>B07C5BV2F6</t>
        </is>
      </c>
      <c r="G372">
        <f>_xlfn.IMAGE("https://www.zoro.com/static/cms/product/full/Unbeatablesale Inc_jnsn56235xx650xxc3125d.jpeg")</f>
        <v/>
      </c>
      <c r="H372">
        <f>_xlfn.IMAGE("https://m.media-amazon.com/images/I/61T2BTRjG0L._AC_UL320_.jpg")</f>
        <v/>
      </c>
      <c r="K372" t="inlineStr">
        <is>
          <t>45.39</t>
        </is>
      </c>
      <c r="L372" t="n">
        <v>86.98999999999999</v>
      </c>
      <c r="M372" s="2" t="inlineStr">
        <is>
          <t>91.65%</t>
        </is>
      </c>
      <c r="N372" t="n">
        <v>4.6</v>
      </c>
      <c r="O372" t="n">
        <v>193</v>
      </c>
      <c r="Q372" t="inlineStr">
        <is>
          <t>InStock</t>
        </is>
      </c>
      <c r="R372" t="inlineStr">
        <is>
          <t>undefined</t>
        </is>
      </c>
      <c r="S372" t="inlineStr">
        <is>
          <t>G403995924</t>
        </is>
      </c>
    </row>
    <row r="373" ht="75" customHeight="1">
      <c r="A373" s="1">
        <f>HYPERLINK("https://www.zoro.com/3m-automotive-performance-masking-tape-36mm-mmm03433/i/G5086460/", "https://www.zoro.com/3m-automotive-performance-masking-tape-36mm-mmm03433/i/G5086460/")</f>
        <v/>
      </c>
      <c r="B373" s="1">
        <f>HYPERLINK("https://www.zoro.com/3m-automotive-performance-masking-tape-36mm-mmm03433/i/G5086460/", "https://www.zoro.com/3m-automotive-performance-masking-tape-36mm-mmm03433/i/G5086460/")</f>
        <v/>
      </c>
      <c r="C373" t="inlineStr">
        <is>
          <t>Automotive Performance Masking Tape, 36mm</t>
        </is>
      </c>
      <c r="D373" t="inlineStr">
        <is>
          <t>3M 301+ High Performance Masking Tape, Yellow, 36 mm x 55 m - High Performance Holding and Masking Tape for Automotive, Specialty Vehicle and Industrial Markets, Case of 24</t>
        </is>
      </c>
      <c r="E373" s="1">
        <f>HYPERLINK("https://www.amazon.com/3M-Performance-Yellow-Masking-Tape/dp/B00EUI4LQM/ref=sr_1_7?keywords=Automotive+Performance+Masking+Tape%2C+36mm&amp;qid=1695347973&amp;sr=8-7", "https://www.amazon.com/3M-Performance-Yellow-Masking-Tape/dp/B00EUI4LQM/ref=sr_1_7?keywords=Automotive+Performance+Masking+Tape%2C+36mm&amp;qid=1695347973&amp;sr=8-7")</f>
        <v/>
      </c>
      <c r="F373" t="inlineStr">
        <is>
          <t>B00EUI4LQM</t>
        </is>
      </c>
      <c r="G373">
        <f>_xlfn.IMAGE("https://www.zoro.com/static/cms/product/full/Grainger_MMM03433xx1200Wx1200Hxxad3d70.jpeg")</f>
        <v/>
      </c>
      <c r="H373">
        <f>_xlfn.IMAGE("https://m.media-amazon.com/images/I/51Gn+VjOTPL._AC_UL320_.jpg")</f>
        <v/>
      </c>
      <c r="K373" t="inlineStr">
        <is>
          <t>8.09</t>
        </is>
      </c>
      <c r="L373" t="n">
        <v>158.4</v>
      </c>
      <c r="M373" s="2" t="inlineStr">
        <is>
          <t>1857.97%</t>
        </is>
      </c>
      <c r="N373" t="n">
        <v>5</v>
      </c>
      <c r="O373" t="n">
        <v>2</v>
      </c>
      <c r="Q373" t="inlineStr">
        <is>
          <t>InStock</t>
        </is>
      </c>
      <c r="R373" t="inlineStr">
        <is>
          <t>undefined</t>
        </is>
      </c>
      <c r="S373" t="inlineStr">
        <is>
          <t>G5086460</t>
        </is>
      </c>
    </row>
    <row r="374" ht="75" customHeight="1">
      <c r="A374" s="1">
        <f>HYPERLINK("https://www.zoro.com/3m-automotive-performance-masking-tape-36mm-mmm03433/i/G5086460/", "https://www.zoro.com/3m-automotive-performance-masking-tape-36mm-mmm03433/i/G5086460/")</f>
        <v/>
      </c>
      <c r="B374" s="1">
        <f>HYPERLINK("https://www.zoro.com/3m-automotive-performance-masking-tape-36mm-mmm03433/i/G5086460/", "https://www.zoro.com/3m-automotive-performance-masking-tape-36mm-mmm03433/i/G5086460/")</f>
        <v/>
      </c>
      <c r="C374" t="inlineStr">
        <is>
          <t>Automotive Performance Masking Tape, 36mm</t>
        </is>
      </c>
      <c r="D374" t="inlineStr">
        <is>
          <t>1.5 inch (36mm) Premium High Performance Automotive Orange 207 Masking Tape (24 Rolls)</t>
        </is>
      </c>
      <c r="E374" s="1">
        <f>HYPERLINK("https://www.amazon.com/Vibac-Premium-Performance-Automotive-Masking/dp/B0C9SFJ1N4/ref=sr_1_3?keywords=Automotive+Performance+Masking+Tape%2C+36mm&amp;qid=1695347973&amp;sr=8-3", "https://www.amazon.com/Vibac-Premium-Performance-Automotive-Masking/dp/B0C9SFJ1N4/ref=sr_1_3?keywords=Automotive+Performance+Masking+Tape%2C+36mm&amp;qid=1695347973&amp;sr=8-3")</f>
        <v/>
      </c>
      <c r="F374" t="inlineStr">
        <is>
          <t>B0C9SFJ1N4</t>
        </is>
      </c>
      <c r="G374">
        <f>_xlfn.IMAGE("https://www.zoro.com/static/cms/product/full/Grainger_MMM03433xx1200Wx1200Hxxad3d70.jpeg")</f>
        <v/>
      </c>
      <c r="H374">
        <f>_xlfn.IMAGE("https://m.media-amazon.com/images/I/61Ry4wUnikL._AC_UL320_.jpg")</f>
        <v/>
      </c>
      <c r="K374" t="inlineStr">
        <is>
          <t>8.09</t>
        </is>
      </c>
      <c r="L374" t="n">
        <v>105.95</v>
      </c>
      <c r="M374" s="2" t="inlineStr">
        <is>
          <t>1209.64%</t>
        </is>
      </c>
      <c r="N374" t="n">
        <v>5</v>
      </c>
      <c r="O374" t="n">
        <v>1</v>
      </c>
      <c r="Q374" t="inlineStr">
        <is>
          <t>InStock</t>
        </is>
      </c>
      <c r="R374" t="inlineStr">
        <is>
          <t>undefined</t>
        </is>
      </c>
      <c r="S374" t="inlineStr">
        <is>
          <t>G5086460</t>
        </is>
      </c>
    </row>
    <row r="375" ht="75" customHeight="1">
      <c r="A375" s="1">
        <f>HYPERLINK("https://www.zoro.com/3m-auto-refinish-masking-tape-18mm-x-55m-06334/i/G101985333/", "https://www.zoro.com/3m-auto-refinish-masking-tape-18mm-x-55m-06334/i/G101985333/")</f>
        <v/>
      </c>
      <c r="B375" s="1">
        <f>HYPERLINK("https://www.zoro.com/3m-auto-refinish-masking-tape-18mm-x-55m-06334/i/G101985333/", "https://www.zoro.com/3m-auto-refinish-masking-tape-18mm-x-55m-06334/i/G101985333/")</f>
        <v/>
      </c>
      <c r="C375" t="inlineStr">
        <is>
          <t>Auto Refinish Masking Tape, 18mm x 55m</t>
        </is>
      </c>
      <c r="D375" t="inlineStr">
        <is>
          <t>3M 06652 Automotive Refinish Masking Tape, 250 Degree F Performance Temperature, 28 lbsin Tensile Strength, 55m Length x 18mm Width, Yellow (Case of 12 Rolls)</t>
        </is>
      </c>
      <c r="E375" s="1">
        <f>HYPERLINK("https://www.amazon.com/3M-Automotive-Refinish-Performance-Temperature/dp/B0036C7APC/ref=sr_1_2?keywords=Auto+Refinish+Masking+Tape%2C+18mm+x+55m&amp;qid=1695348062&amp;sr=8-2", "https://www.amazon.com/3M-Automotive-Refinish-Performance-Temperature/dp/B0036C7APC/ref=sr_1_2?keywords=Auto+Refinish+Masking+Tape%2C+18mm+x+55m&amp;qid=1695348062&amp;sr=8-2")</f>
        <v/>
      </c>
      <c r="F375" t="inlineStr">
        <is>
          <t>B0036C7APC</t>
        </is>
      </c>
      <c r="G375">
        <f>_xlfn.IMAGE("https://www.zoro.com/static/cms/product/full/Z0vwB6lcpIx_.JPG")</f>
        <v/>
      </c>
      <c r="H375">
        <f>_xlfn.IMAGE("https://m.media-amazon.com/images/I/81EfOujTmOL._AC_UL320_.jpg")</f>
        <v/>
      </c>
      <c r="K375" t="inlineStr">
        <is>
          <t>6.19</t>
        </is>
      </c>
      <c r="L375" t="n">
        <v>43.49</v>
      </c>
      <c r="M375" s="2" t="inlineStr">
        <is>
          <t>602.58%</t>
        </is>
      </c>
      <c r="N375" t="n">
        <v>4.8</v>
      </c>
      <c r="O375" t="n">
        <v>294</v>
      </c>
      <c r="Q375" t="inlineStr">
        <is>
          <t>undefined</t>
        </is>
      </c>
      <c r="R375" t="inlineStr">
        <is>
          <t>undefined</t>
        </is>
      </c>
      <c r="S375" t="inlineStr">
        <is>
          <t>G101985333</t>
        </is>
      </c>
    </row>
    <row r="376" ht="75" customHeight="1">
      <c r="A376" s="1">
        <f>HYPERLINK("https://www.zoro.com/3m-electrical-tape-1-x-60-yd-46/i/G5795268/", "https://www.zoro.com/3m-electrical-tape-1-x-60-yd-46/i/G5795268/")</f>
        <v/>
      </c>
      <c r="B376" s="1">
        <f>HYPERLINK("https://www.zoro.com/3m-electrical-tape-1-x-60-yd-46/i/G5795268/", "https://www.zoro.com/3m-electrical-tape-1-x-60-yd-46/i/G5795268/")</f>
        <v/>
      </c>
      <c r="C376" t="inlineStr">
        <is>
          <t>Electrical Tape, 1" x 60 yd.</t>
        </is>
      </c>
      <c r="D376" t="inlineStr">
        <is>
          <t>3M 27 Cloth Electrical Tape, 2" Width x 60yd Length (1 roll)</t>
        </is>
      </c>
      <c r="E376" s="1">
        <f>HYPERLINK("https://www.amazon.com/3M-27-Cloth-Electrical-length/dp/B007Y7G5O2/ref=sr_1_7?keywords=Electrical+Tape%2C+1%22+x+60+yd.&amp;qid=1695348153&amp;sr=8-7", "https://www.amazon.com/3M-27-Cloth-Electrical-length/dp/B007Y7G5O2/ref=sr_1_7?keywords=Electrical+Tape%2C+1%22+x+60+yd.&amp;qid=1695348153&amp;sr=8-7")</f>
        <v/>
      </c>
      <c r="F376" t="inlineStr">
        <is>
          <t>B007Y7G5O2</t>
        </is>
      </c>
      <c r="G376">
        <f>_xlfn.IMAGE("https://www.zoro.com/static/cms/product/full/Tapecase_1013028514xx9ba4f9.jpeg")</f>
        <v/>
      </c>
      <c r="H376">
        <f>_xlfn.IMAGE("https://m.media-amazon.com/images/I/814Tt+WbCgL._AC_UY218_.jpg")</f>
        <v/>
      </c>
      <c r="K376" t="inlineStr">
        <is>
          <t>38.35</t>
        </is>
      </c>
      <c r="L376" t="n">
        <v>109.16</v>
      </c>
      <c r="M376" s="2" t="inlineStr">
        <is>
          <t>184.64%</t>
        </is>
      </c>
      <c r="N376" t="n">
        <v>4.5</v>
      </c>
      <c r="O376" t="n">
        <v>2</v>
      </c>
      <c r="Q376" t="inlineStr">
        <is>
          <t>undefined</t>
        </is>
      </c>
      <c r="R376" t="inlineStr">
        <is>
          <t>undefined</t>
        </is>
      </c>
      <c r="S376" t="inlineStr">
        <is>
          <t>G5795268</t>
        </is>
      </c>
    </row>
    <row r="377" ht="75" customHeight="1">
      <c r="A377" s="1">
        <f>HYPERLINK("https://www.zoro.com/3m-electrical-tape-1-x-60-yd-46/i/G5795268/", "https://www.zoro.com/3m-electrical-tape-1-x-60-yd-46/i/G5795268/")</f>
        <v/>
      </c>
      <c r="B377" s="1">
        <f>HYPERLINK("https://www.zoro.com/3m-electrical-tape-1-x-60-yd-46/i/G5795268/", "https://www.zoro.com/3m-electrical-tape-1-x-60-yd-46/i/G5795268/")</f>
        <v/>
      </c>
      <c r="C377" t="inlineStr">
        <is>
          <t>Electrical Tape, 1" x 60 yd.</t>
        </is>
      </c>
      <c r="D377" t="inlineStr">
        <is>
          <t>3M 27 Cloth Electrical Tape, 1.5" width x 60yd length (1 roll)</t>
        </is>
      </c>
      <c r="E377" s="1">
        <f>HYPERLINK("https://www.amazon.com/3M-27-Electrical-1-5-60yd/dp/B00MS1Q5UI/ref=sr_1_5?keywords=Electrical+Tape%2C+1%22+x+60+yd.&amp;qid=1695348153&amp;sr=8-5", "https://www.amazon.com/3M-27-Electrical-1-5-60yd/dp/B00MS1Q5UI/ref=sr_1_5?keywords=Electrical+Tape%2C+1%22+x+60+yd.&amp;qid=1695348153&amp;sr=8-5")</f>
        <v/>
      </c>
      <c r="F377" t="inlineStr">
        <is>
          <t>B00MS1Q5UI</t>
        </is>
      </c>
      <c r="G377">
        <f>_xlfn.IMAGE("https://www.zoro.com/static/cms/product/full/Tapecase_1013028514xx9ba4f9.jpeg")</f>
        <v/>
      </c>
      <c r="H377">
        <f>_xlfn.IMAGE("https://m.media-amazon.com/images/I/6167Lec6siL._AC_UY218_.jpg")</f>
        <v/>
      </c>
      <c r="K377" t="inlineStr">
        <is>
          <t>38.35</t>
        </is>
      </c>
      <c r="L377" t="n">
        <v>70.48</v>
      </c>
      <c r="M377" s="2" t="inlineStr">
        <is>
          <t>83.78%</t>
        </is>
      </c>
      <c r="N377" t="n">
        <v>5</v>
      </c>
      <c r="O377" t="n">
        <v>1</v>
      </c>
      <c r="Q377" t="inlineStr">
        <is>
          <t>undefined</t>
        </is>
      </c>
      <c r="R377" t="inlineStr">
        <is>
          <t>undefined</t>
        </is>
      </c>
      <c r="S377" t="inlineStr">
        <is>
          <t>G5795268</t>
        </is>
      </c>
    </row>
    <row r="378" ht="75" customHeight="1">
      <c r="A378" s="1">
        <f>HYPERLINK("https://www.zoro.com/3m-electrical-tape-1-x-60-yd-46/i/G5795268/", "https://www.zoro.com/3m-electrical-tape-1-x-60-yd-46/i/G5795268/")</f>
        <v/>
      </c>
      <c r="B378" s="1">
        <f>HYPERLINK("https://www.zoro.com/3m-electrical-tape-1-x-60-yd-46/i/G5795268/", "https://www.zoro.com/3m-electrical-tape-1-x-60-yd-46/i/G5795268/")</f>
        <v/>
      </c>
      <c r="C378" t="inlineStr">
        <is>
          <t>Electrical Tape, 1" x 60 yd.</t>
        </is>
      </c>
      <c r="D378" t="inlineStr">
        <is>
          <t>3M 27 Cloth Electrical Tape, 1.5" width x 60yd length (1 roll)</t>
        </is>
      </c>
      <c r="E378" s="1">
        <f>HYPERLINK("https://www.amazon.com/3M-27-Electrical-1-5-60yd/dp/B00MS1Q5UI/ref=sr_1_5?keywords=Electrical+Tape%2C+1%22+x+60+yd.&amp;qid=1695348153&amp;sr=8-5", "https://www.amazon.com/3M-27-Electrical-1-5-60yd/dp/B00MS1Q5UI/ref=sr_1_5?keywords=Electrical+Tape%2C+1%22+x+60+yd.&amp;qid=1695348153&amp;sr=8-5")</f>
        <v/>
      </c>
      <c r="F378" t="inlineStr">
        <is>
          <t>B00MS1Q5UI</t>
        </is>
      </c>
      <c r="G378">
        <f>_xlfn.IMAGE("https://www.zoro.com/static/cms/product/full/Tapecase_1013028514xx9ba4f9.jpeg")</f>
        <v/>
      </c>
      <c r="H378">
        <f>_xlfn.IMAGE("https://m.media-amazon.com/images/I/6167Lec6siL._AC_UY218_.jpg")</f>
        <v/>
      </c>
      <c r="K378" t="inlineStr">
        <is>
          <t>38.35</t>
        </is>
      </c>
      <c r="L378" t="n">
        <v>70.48</v>
      </c>
      <c r="M378" s="2" t="inlineStr">
        <is>
          <t>83.78%</t>
        </is>
      </c>
      <c r="N378" t="n">
        <v>5</v>
      </c>
      <c r="O378" t="n">
        <v>1</v>
      </c>
      <c r="Q378" t="inlineStr">
        <is>
          <t>undefined</t>
        </is>
      </c>
      <c r="R378" t="inlineStr">
        <is>
          <t>undefined</t>
        </is>
      </c>
      <c r="S378" t="inlineStr">
        <is>
          <t>G5795268</t>
        </is>
      </c>
    </row>
    <row r="379" ht="75" customHeight="1">
      <c r="A379" s="1">
        <f>HYPERLINK("https://www.zoro.com/3m-electrical-tape-34x66-super-88-3m6143/i/G101937219/", "https://www.zoro.com/3m-electrical-tape-34x66-super-88-3m6143/i/G101937219/")</f>
        <v/>
      </c>
      <c r="B379" s="1">
        <f>HYPERLINK("https://www.zoro.com/3m-electrical-tape-34x66-super-88-3m6143/i/G101937219/", "https://www.zoro.com/3m-electrical-tape-34x66-super-88-3m6143/i/G101937219/")</f>
        <v/>
      </c>
      <c r="C379" t="inlineStr">
        <is>
          <t>ELECTRICAL TAPE 3/4X66 SUPER 88</t>
        </is>
      </c>
      <c r="D379" t="inlineStr">
        <is>
          <t>3M Safety 6143-BA-10 051131996748 Super 88 Electrical Tape, 3/4-Inch x 66-Feet x 0.0085-Inch, 10 Per Case, Black, Piece</t>
        </is>
      </c>
      <c r="E379" s="1">
        <f>HYPERLINK("https://www.amazon.com/Scotch-Super-Electrical-Tape-0-0085/dp/B00NK6IGTI/ref=sr_1_2?keywords=ELECTRICAL+TAPE+3%2F4X66+SUPER+88&amp;qid=1695348142&amp;sr=8-2", "https://www.amazon.com/Scotch-Super-Electrical-Tape-0-0085/dp/B00NK6IGTI/ref=sr_1_2?keywords=ELECTRICAL+TAPE+3%2F4X66+SUPER+88&amp;qid=1695348142&amp;sr=8-2")</f>
        <v/>
      </c>
      <c r="F379" t="inlineStr">
        <is>
          <t>B00NK6IGTI</t>
        </is>
      </c>
      <c r="G379">
        <f>_xlfn.IMAGE("https://www.zoro.com/static/cms/product/full/ZKAIyMrw_.JPG")</f>
        <v/>
      </c>
      <c r="H379">
        <f>_xlfn.IMAGE("https://m.media-amazon.com/images/I/61mpm2YJgfL._AC_UY218_.jpg")</f>
        <v/>
      </c>
      <c r="K379" t="inlineStr">
        <is>
          <t>9.39</t>
        </is>
      </c>
      <c r="L379" t="n">
        <v>65</v>
      </c>
      <c r="M379" s="2" t="inlineStr">
        <is>
          <t>592.23%</t>
        </is>
      </c>
      <c r="N379" t="n">
        <v>4.8</v>
      </c>
      <c r="O379" t="n">
        <v>669</v>
      </c>
      <c r="Q379" t="inlineStr">
        <is>
          <t>InStock</t>
        </is>
      </c>
      <c r="R379" t="inlineStr">
        <is>
          <t>undefined</t>
        </is>
      </c>
      <c r="S379" t="inlineStr">
        <is>
          <t>G101937219</t>
        </is>
      </c>
    </row>
    <row r="380" ht="75" customHeight="1">
      <c r="A380" s="1">
        <f>HYPERLINK("https://www.zoro.com/3m-electrical-tape-34x66-super-88-3m6143/i/G101937219/", "https://www.zoro.com/3m-electrical-tape-34x66-super-88-3m6143/i/G101937219/")</f>
        <v/>
      </c>
      <c r="B380" s="1">
        <f>HYPERLINK("https://www.zoro.com/3m-electrical-tape-34x66-super-88-3m6143/i/G101937219/", "https://www.zoro.com/3m-electrical-tape-34x66-super-88-3m6143/i/G101937219/")</f>
        <v/>
      </c>
      <c r="C380" t="inlineStr">
        <is>
          <t>ELECTRICAL TAPE 3/4X66 SUPER 88</t>
        </is>
      </c>
      <c r="D380" t="inlineStr">
        <is>
          <t>3M Scotch Super 88 Vinyl Electrical Tape, -18 to 105 Degree C, 10000 mV Dielectric Strength, 66' Length x 3/4" Width, Black</t>
        </is>
      </c>
      <c r="E380" s="1">
        <f>HYPERLINK("https://www.amazon.com/3M-Scotch-Electrical-Dielectric-Strength/dp/B007FVUEP8/ref=sr_1_5?keywords=ELECTRICAL+TAPE+3%2F4X66+SUPER+88&amp;qid=1695348142&amp;sr=8-5", "https://www.amazon.com/3M-Scotch-Electrical-Dielectric-Strength/dp/B007FVUEP8/ref=sr_1_5?keywords=ELECTRICAL+TAPE+3%2F4X66+SUPER+88&amp;qid=1695348142&amp;sr=8-5")</f>
        <v/>
      </c>
      <c r="F380" t="inlineStr">
        <is>
          <t>B007FVUEP8</t>
        </is>
      </c>
      <c r="G380">
        <f>_xlfn.IMAGE("https://www.zoro.com/static/cms/product/full/ZKAIyMrw_.JPG")</f>
        <v/>
      </c>
      <c r="H380">
        <f>_xlfn.IMAGE("https://m.media-amazon.com/images/I/315V03WUn-L._AC_UY218_.jpg")</f>
        <v/>
      </c>
      <c r="K380" t="inlineStr">
        <is>
          <t>9.39</t>
        </is>
      </c>
      <c r="L380" t="n">
        <v>18.14</v>
      </c>
      <c r="M380" s="2" t="inlineStr">
        <is>
          <t>93.18%</t>
        </is>
      </c>
      <c r="N380" t="n">
        <v>4.8</v>
      </c>
      <c r="O380" t="n">
        <v>16</v>
      </c>
      <c r="Q380" t="inlineStr">
        <is>
          <t>InStock</t>
        </is>
      </c>
      <c r="R380" t="inlineStr">
        <is>
          <t>undefined</t>
        </is>
      </c>
      <c r="S380" t="inlineStr">
        <is>
          <t>G101937219</t>
        </is>
      </c>
    </row>
    <row r="381" ht="75" customHeight="1">
      <c r="A381" s="1">
        <f>HYPERLINK("https://www.zoro.com/3m-electrical-tape-34x66-super-88-3m6143/i/G101937219/", "https://www.zoro.com/3m-electrical-tape-34x66-super-88-3m6143/i/G101937219/")</f>
        <v/>
      </c>
      <c r="B381" s="1">
        <f>HYPERLINK("https://www.zoro.com/3m-electrical-tape-34x66-super-88-3m6143/i/G101937219/", "https://www.zoro.com/3m-electrical-tape-34x66-super-88-3m6143/i/G101937219/")</f>
        <v/>
      </c>
      <c r="C381" t="inlineStr">
        <is>
          <t>ELECTRICAL TAPE 3/4X66 SUPER 88</t>
        </is>
      </c>
      <c r="D381" t="inlineStr">
        <is>
          <t>3M Scotch Super 88 Vinyl Electrical Tape, -18 to 105 Degree C, 10000 mV Dielectric Strength, 66' Length x 3/4" Width, Black</t>
        </is>
      </c>
      <c r="E381" s="1">
        <f>HYPERLINK("https://www.amazon.com/3M-Scotch-Electrical-Dielectric-Strength/dp/B007FVUEP8/ref=sr_1_5?keywords=ELECTRICAL+TAPE+3%2F4X66+SUPER+88&amp;qid=1695348142&amp;sr=8-5", "https://www.amazon.com/3M-Scotch-Electrical-Dielectric-Strength/dp/B007FVUEP8/ref=sr_1_5?keywords=ELECTRICAL+TAPE+3%2F4X66+SUPER+88&amp;qid=1695348142&amp;sr=8-5")</f>
        <v/>
      </c>
      <c r="F381" t="inlineStr">
        <is>
          <t>B007FVUEP8</t>
        </is>
      </c>
      <c r="G381">
        <f>_xlfn.IMAGE("https://www.zoro.com/static/cms/product/full/ZKAIyMrw_.JPG")</f>
        <v/>
      </c>
      <c r="H381">
        <f>_xlfn.IMAGE("https://m.media-amazon.com/images/I/315V03WUn-L._AC_UY218_.jpg")</f>
        <v/>
      </c>
      <c r="K381" t="inlineStr">
        <is>
          <t>9.39</t>
        </is>
      </c>
      <c r="L381" t="n">
        <v>18.14</v>
      </c>
      <c r="M381" s="2" t="inlineStr">
        <is>
          <t>93.18%</t>
        </is>
      </c>
      <c r="N381" t="n">
        <v>4.8</v>
      </c>
      <c r="O381" t="n">
        <v>16</v>
      </c>
      <c r="Q381" t="inlineStr">
        <is>
          <t>InStock</t>
        </is>
      </c>
      <c r="R381" t="inlineStr">
        <is>
          <t>undefined</t>
        </is>
      </c>
      <c r="S381" t="inlineStr">
        <is>
          <t>G101937219</t>
        </is>
      </c>
    </row>
    <row r="382" ht="75" customHeight="1">
      <c r="A382" s="1">
        <f>HYPERLINK("https://www.zoro.com/3m-electrical-tape-blue-12x20ft-54007-10240/i/G9269209/", "https://www.zoro.com/3m-electrical-tape-blue-12x20ft-54007-10240/i/G9269209/")</f>
        <v/>
      </c>
      <c r="B382" s="1">
        <f>HYPERLINK("https://www.zoro.com/3m-electrical-tape-blue-12x20ft-54007-10240/i/G9269209/", "https://www.zoro.com/3m-electrical-tape-blue-12x20ft-54007-10240/i/G9269209/")</f>
        <v/>
      </c>
      <c r="C382" t="inlineStr">
        <is>
          <t>Electrical Tape, Blue, 1/2"X20Ft</t>
        </is>
      </c>
      <c r="D382" t="inlineStr">
        <is>
          <t>3M 35 BLUE (1/2"X20FT) TAPE, INSULATION, PVC, BLUE, 0.5INX20FT (5 pieces)</t>
        </is>
      </c>
      <c r="E382" s="1">
        <f>HYPERLINK("https://www.amazon.com/3M-X20FT-INSULATION-0-5INX20FT-pieces/dp/B00LQREFLQ/ref=sr_1_5?keywords=Electrical+Tape%2C+Blue%2C+1%2F2%22X20Ft&amp;qid=1695348149&amp;sr=8-5", "https://www.amazon.com/3M-X20FT-INSULATION-0-5INX20FT-pieces/dp/B00LQREFLQ/ref=sr_1_5?keywords=Electrical+Tape%2C+Blue%2C+1%2F2%22X20Ft&amp;qid=1695348149&amp;sr=8-5")</f>
        <v/>
      </c>
      <c r="F382" t="inlineStr">
        <is>
          <t>B00LQREFLQ</t>
        </is>
      </c>
      <c r="G382">
        <f>_xlfn.IMAGE("https://www.zoro.com/static/cms/product/full/Alliance Distribution Partners LLC_MMM5400710240media01.jpeg")</f>
        <v/>
      </c>
      <c r="H382">
        <f>_xlfn.IMAGE("https://m.media-amazon.com/images/I/51fbDauZ1yL._AC_UY218_.jpg")</f>
        <v/>
      </c>
      <c r="K382" t="inlineStr">
        <is>
          <t>5.69</t>
        </is>
      </c>
      <c r="L382" t="n">
        <v>24.98</v>
      </c>
      <c r="M382" s="2" t="inlineStr">
        <is>
          <t>339.02%</t>
        </is>
      </c>
      <c r="N382" t="n">
        <v>5</v>
      </c>
      <c r="O382" t="n">
        <v>2</v>
      </c>
      <c r="Q382" t="inlineStr">
        <is>
          <t>InStock</t>
        </is>
      </c>
      <c r="R382" t="inlineStr">
        <is>
          <t>undefined</t>
        </is>
      </c>
      <c r="S382" t="inlineStr">
        <is>
          <t>G9269209</t>
        </is>
      </c>
    </row>
    <row r="383" ht="75" customHeight="1">
      <c r="A383" s="1">
        <f>HYPERLINK("https://www.zoro.com/3m-electrical-tape-purple-530-pu/i/G4791029/", "https://www.zoro.com/3m-electrical-tape-purple-530-pu/i/G4791029/")</f>
        <v/>
      </c>
      <c r="B383" s="1">
        <f>HYPERLINK("https://www.zoro.com/3m-electrical-tape-purple-530-pu/i/G4791029/", "https://www.zoro.com/3m-electrical-tape-purple-530-pu/i/G4791029/")</f>
        <v/>
      </c>
      <c r="C383" t="inlineStr">
        <is>
          <t>Electrical Tape PURPLE</t>
        </is>
      </c>
      <c r="D383" t="inlineStr">
        <is>
          <t>10 Rolls Professional Industrial General Purpose Electrical Tape with Moisture Tight Protection - 3/4 Inch X 66 Feet - Purple Color - 10 Rolls per Case</t>
        </is>
      </c>
      <c r="E383" s="1">
        <f>HYPERLINK("https://www.amazon.com/Professional-Industrial-Electrical-Tape-Protection/dp/B00HZ4HRYG/ref=sr_1_9?keywords=Electrical+Tape+PURPLE&amp;qid=1695348187&amp;sr=8-9", "https://www.amazon.com/Professional-Industrial-Electrical-Tape-Protection/dp/B00HZ4HRYG/ref=sr_1_9?keywords=Electrical+Tape+PURPLE&amp;qid=1695348187&amp;sr=8-9")</f>
        <v/>
      </c>
      <c r="F383" t="inlineStr">
        <is>
          <t>B00HZ4HRYG</t>
        </is>
      </c>
      <c r="G383">
        <f>_xlfn.IMAGE("https://www.zoro.com/static/cms/product/full/Jacks Inc_530L1d989633.jpg")</f>
        <v/>
      </c>
      <c r="H383">
        <f>_xlfn.IMAGE("https://m.media-amazon.com/images/I/61pqAkb8e8L._AC_UY218_.jpg")</f>
        <v/>
      </c>
      <c r="K383" t="inlineStr">
        <is>
          <t>4.39</t>
        </is>
      </c>
      <c r="L383" t="n">
        <v>20.8</v>
      </c>
      <c r="M383" s="2" t="inlineStr">
        <is>
          <t>373.80%</t>
        </is>
      </c>
      <c r="N383" t="n">
        <v>5</v>
      </c>
      <c r="O383" t="n">
        <v>1</v>
      </c>
      <c r="Q383" t="inlineStr">
        <is>
          <t>InStock</t>
        </is>
      </c>
      <c r="R383" t="inlineStr">
        <is>
          <t>5.29</t>
        </is>
      </c>
      <c r="S383" t="inlineStr">
        <is>
          <t>G4791029</t>
        </is>
      </c>
    </row>
    <row r="384" ht="75" customHeight="1">
      <c r="A384" s="1">
        <f>HYPERLINK("https://www.zoro.com/3m-electrical-tape-scotch-vinyl-electrical-color-coding-tape-35-blue-54007-10836/i/G9273217/", "https://www.zoro.com/3m-electrical-tape-scotch-vinyl-electrical-color-coding-tape-35-blue-54007-10836/i/G9273217/")</f>
        <v/>
      </c>
      <c r="B384" s="1">
        <f>HYPERLINK("https://www.zoro.com/3m-electrical-tape-scotch-vinyl-electrical-color-coding-tape-35-blue-54007-10836/i/G9273217/", "https://www.zoro.com/3m-electrical-tape-scotch-vinyl-electrical-color-coding-tape-35-blue-54007-10836/i/G9273217/")</f>
        <v/>
      </c>
      <c r="C384" t="inlineStr">
        <is>
          <t>Electrical Tape, Scotch Vinyl Electrical Color Coding Tape 35, Blue</t>
        </is>
      </c>
      <c r="D384" t="inlineStr">
        <is>
          <t>Scotch(R) Vinyl Electrical Color Coding Tape 35-Blue-1/2, 1/2 in x 20 ft (13 mm x 6,1 m)</t>
        </is>
      </c>
      <c r="E384" s="1">
        <f>HYPERLINK("https://www.amazon.com/Scotch-Vinyl-Electrical-Coding-35-Blue-1/dp/B00NK3ZTFU/ref=sr_1_9?keywords=Electrical+Tape%2C+Scotch+Vinyl+Electrical+Color+Coding+Tape+35%2C+Blue&amp;qid=1695348159&amp;sr=8-9", "https://www.amazon.com/Scotch-Vinyl-Electrical-Coding-35-Blue-1/dp/B00NK3ZTFU/ref=sr_1_9?keywords=Electrical+Tape%2C+Scotch+Vinyl+Electrical+Color+Coding+Tape+35%2C+Blue&amp;qid=1695348159&amp;sr=8-9")</f>
        <v/>
      </c>
      <c r="F384" t="inlineStr">
        <is>
          <t>B00NK3ZTFU</t>
        </is>
      </c>
      <c r="G384">
        <f>_xlfn.IMAGE("https://www.zoro.com/static/cms/product/full/Alliance Distribution Partners LLC_MMM5400710836media01.jpeg")</f>
        <v/>
      </c>
      <c r="H384">
        <f>_xlfn.IMAGE("https://m.media-amazon.com/images/I/61FA2PUJyeL._AC_UY218_.jpg")</f>
        <v/>
      </c>
      <c r="K384" t="inlineStr">
        <is>
          <t>11.35</t>
        </is>
      </c>
      <c r="L384" t="n">
        <v>46.36</v>
      </c>
      <c r="M384" s="2" t="inlineStr">
        <is>
          <t>308.46%</t>
        </is>
      </c>
      <c r="N384" t="n">
        <v>5</v>
      </c>
      <c r="O384" t="n">
        <v>1</v>
      </c>
      <c r="Q384" t="inlineStr">
        <is>
          <t>InStock</t>
        </is>
      </c>
      <c r="R384" t="inlineStr">
        <is>
          <t>undefined</t>
        </is>
      </c>
      <c r="S384" t="inlineStr">
        <is>
          <t>G9273217</t>
        </is>
      </c>
    </row>
    <row r="385" ht="75" customHeight="1">
      <c r="A385" s="1">
        <f>HYPERLINK("https://www.zoro.com/3m-electrical-tape-scotch-vinyl-electrical-color-coding-tape-35-gray-54007-00072/i/G9270934/", "https://www.zoro.com/3m-electrical-tape-scotch-vinyl-electrical-color-coding-tape-35-gray-54007-00072/i/G9270934/")</f>
        <v/>
      </c>
      <c r="B385" s="1">
        <f>HYPERLINK("https://www.zoro.com/3m-electrical-tape-scotch-vinyl-electrical-color-coding-tape-35-gray-54007-00072/i/G9270934/", "https://www.zoro.com/3m-electrical-tape-scotch-vinyl-electrical-color-coding-tape-35-gray-54007-00072/i/G9270934/")</f>
        <v/>
      </c>
      <c r="C385" t="inlineStr">
        <is>
          <t>Electrical Tape, Scotch Vinyl Electrical Color Coding Tape 35, Gray</t>
        </is>
      </c>
      <c r="D385" t="inlineStr">
        <is>
          <t>Scotch(R) Vinyl Electrical Color Coding Tape 35-Blue-1/2, 1/2 in x 20 ft (13 mm x 6,1 m)</t>
        </is>
      </c>
      <c r="E385" s="1">
        <f>HYPERLINK("https://www.amazon.com/Scotch-Vinyl-Electrical-Coding-35-Blue-1/dp/B00NK3ZTFU/ref=sr_1_10?keywords=Electrical+Tape%2C+Scotch+Vinyl+Electrical+Color+Coding+Tape+35%2C+Gray&amp;qid=1695348150&amp;sr=8-10", "https://www.amazon.com/Scotch-Vinyl-Electrical-Coding-35-Blue-1/dp/B00NK3ZTFU/ref=sr_1_10?keywords=Electrical+Tape%2C+Scotch+Vinyl+Electrical+Color+Coding+Tape+35%2C+Gray&amp;qid=1695348150&amp;sr=8-10")</f>
        <v/>
      </c>
      <c r="F385" t="inlineStr">
        <is>
          <t>B00NK3ZTFU</t>
        </is>
      </c>
      <c r="G385">
        <f>_xlfn.IMAGE("https://www.zoro.com/static/cms/product/full/Alliance Distribution Partners LLC_MMM5400700072media01.jpeg")</f>
        <v/>
      </c>
      <c r="H385">
        <f>_xlfn.IMAGE("https://m.media-amazon.com/images/I/61FA2PUJyeL._AC_UY218_.jpg")</f>
        <v/>
      </c>
      <c r="K385" t="inlineStr">
        <is>
          <t>12.69</t>
        </is>
      </c>
      <c r="L385" t="n">
        <v>46.36</v>
      </c>
      <c r="M385" s="2" t="inlineStr">
        <is>
          <t>265.33%</t>
        </is>
      </c>
      <c r="N385" t="n">
        <v>5</v>
      </c>
      <c r="O385" t="n">
        <v>1</v>
      </c>
      <c r="Q385" t="inlineStr">
        <is>
          <t>InStock</t>
        </is>
      </c>
      <c r="R385" t="inlineStr">
        <is>
          <t>15.64</t>
        </is>
      </c>
      <c r="S385" t="inlineStr">
        <is>
          <t>G9270934</t>
        </is>
      </c>
    </row>
    <row r="386" ht="75" customHeight="1">
      <c r="A386" s="1">
        <f>HYPERLINK("https://www.zoro.com/3m-electrical-tape-yellow-047-x-72-yd-56/i/G5794717/", "https://www.zoro.com/3m-electrical-tape-yellow-047-x-72-yd-56/i/G5794717/")</f>
        <v/>
      </c>
      <c r="B386" s="1">
        <f>HYPERLINK("https://www.zoro.com/3m-electrical-tape-yellow-047-x-72-yd-56/i/G5794717/", "https://www.zoro.com/3m-electrical-tape-yellow-047-x-72-yd-56/i/G5794717/")</f>
        <v/>
      </c>
      <c r="C386" t="inlineStr">
        <is>
          <t>Electrical Tape, Yellow, 0.47" x 72 yd.</t>
        </is>
      </c>
      <c r="D386" t="inlineStr">
        <is>
          <t>3M 56 Yellow Polyester Film Electrical Tape, 0.75" width x 72yd length (1 roll)</t>
        </is>
      </c>
      <c r="E386" s="1">
        <f>HYPERLINK("https://www.amazon.com/3M-56-Electrical-0-75-72yd/dp/B00MS1MLTM/ref=sr_1_2?keywords=Electrical+Tape%2C+Yellow%2C+0.47%22+x+72+yd.&amp;qid=1695348144&amp;sr=8-2", "https://www.amazon.com/3M-56-Electrical-0-75-72yd/dp/B00MS1MLTM/ref=sr_1_2?keywords=Electrical+Tape%2C+Yellow%2C+0.47%22+x+72+yd.&amp;qid=1695348144&amp;sr=8-2")</f>
        <v/>
      </c>
      <c r="F386" t="inlineStr">
        <is>
          <t>B00MS1MLTM</t>
        </is>
      </c>
      <c r="G386">
        <f>_xlfn.IMAGE("https://www.zoro.com/static/cms/product/full/Z2oL2vhcpIx_.JPG")</f>
        <v/>
      </c>
      <c r="H386">
        <f>_xlfn.IMAGE("https://m.media-amazon.com/images/I/518J87nbuFL._AC_UY218_.jpg")</f>
        <v/>
      </c>
      <c r="K386" t="inlineStr">
        <is>
          <t>11.99</t>
        </is>
      </c>
      <c r="L386" t="n">
        <v>22.75</v>
      </c>
      <c r="M386" s="2" t="inlineStr">
        <is>
          <t>89.74%</t>
        </is>
      </c>
      <c r="N386" t="n">
        <v>5</v>
      </c>
      <c r="O386" t="n">
        <v>3</v>
      </c>
      <c r="Q386" t="inlineStr">
        <is>
          <t>undefined</t>
        </is>
      </c>
      <c r="R386" t="inlineStr">
        <is>
          <t>undefined</t>
        </is>
      </c>
      <c r="S386" t="inlineStr">
        <is>
          <t>G5794717</t>
        </is>
      </c>
    </row>
    <row r="387" ht="75" customHeight="1">
      <c r="A387" s="1">
        <f>HYPERLINK("https://www.zoro.com/3m-electrical-tape-yellow-047-x-72-yd-56/i/G5794717/", "https://www.zoro.com/3m-electrical-tape-yellow-047-x-72-yd-56/i/G5794717/")</f>
        <v/>
      </c>
      <c r="B387" s="1">
        <f>HYPERLINK("https://www.zoro.com/3m-electrical-tape-yellow-047-x-72-yd-56/i/G5794717/", "https://www.zoro.com/3m-electrical-tape-yellow-047-x-72-yd-56/i/G5794717/")</f>
        <v/>
      </c>
      <c r="C387" t="inlineStr">
        <is>
          <t>Electrical Tape, Yellow, 0.47" x 72 yd.</t>
        </is>
      </c>
      <c r="D387" t="inlineStr">
        <is>
          <t>3M 56 Yellow Polyester Film Electrical Tape, 0.75" width x 72yd length (1 roll)</t>
        </is>
      </c>
      <c r="E387" s="1">
        <f>HYPERLINK("https://www.amazon.com/3M-56-Electrical-0-75-72yd/dp/B00MS1MLTM/ref=sr_1_2?keywords=Electrical+Tape%2C+Yellow%2C+0.47%22+x+72+yd.&amp;qid=1695348144&amp;sr=8-2", "https://www.amazon.com/3M-56-Electrical-0-75-72yd/dp/B00MS1MLTM/ref=sr_1_2?keywords=Electrical+Tape%2C+Yellow%2C+0.47%22+x+72+yd.&amp;qid=1695348144&amp;sr=8-2")</f>
        <v/>
      </c>
      <c r="F387" t="inlineStr">
        <is>
          <t>B00MS1MLTM</t>
        </is>
      </c>
      <c r="G387">
        <f>_xlfn.IMAGE("https://www.zoro.com/static/cms/product/full/Z2oL2vhcpIx_.JPG")</f>
        <v/>
      </c>
      <c r="H387">
        <f>_xlfn.IMAGE("https://m.media-amazon.com/images/I/518J87nbuFL._AC_UY218_.jpg")</f>
        <v/>
      </c>
      <c r="K387" t="inlineStr">
        <is>
          <t>11.99</t>
        </is>
      </c>
      <c r="L387" t="n">
        <v>22.75</v>
      </c>
      <c r="M387" s="2" t="inlineStr">
        <is>
          <t>89.74%</t>
        </is>
      </c>
      <c r="N387" t="n">
        <v>5</v>
      </c>
      <c r="O387" t="n">
        <v>3</v>
      </c>
      <c r="Q387" t="inlineStr">
        <is>
          <t>undefined</t>
        </is>
      </c>
      <c r="R387" t="inlineStr">
        <is>
          <t>undefined</t>
        </is>
      </c>
      <c r="S387" t="inlineStr">
        <is>
          <t>G5794717</t>
        </is>
      </c>
    </row>
    <row r="388" ht="75" customHeight="1">
      <c r="A388" s="1">
        <f>HYPERLINK("https://www.zoro.com/3m-electrical-tape-yellow-530-ye/i/G4789534/", "https://www.zoro.com/3m-electrical-tape-yellow-530-ye/i/G4789534/")</f>
        <v/>
      </c>
      <c r="B388" s="1">
        <f>HYPERLINK("https://www.zoro.com/3m-electrical-tape-yellow-530-ye/i/G4789534/", "https://www.zoro.com/3m-electrical-tape-yellow-530-ye/i/G4789534/")</f>
        <v/>
      </c>
      <c r="C388" t="inlineStr">
        <is>
          <t>Electrical Tape YELLOW</t>
        </is>
      </c>
      <c r="D388" t="inlineStr">
        <is>
          <t>10 Rolls PVC Electrical Tapes, Maveek Self-Adhesive Waterproof Insulation Yellow Tapes, Rated up to 600 Volts and 176 °F, 15mmx18m(0.6" x 59ft)</t>
        </is>
      </c>
      <c r="E388" s="1">
        <f>HYPERLINK("https://www.amazon.com/Electrical-Maveek-Professional-Self-Adhesive-Waterproof/dp/B07PLCYY82/ref=sr_1_7?keywords=Electrical+Tape+YELLOW&amp;qid=1695348194&amp;sr=8-7", "https://www.amazon.com/Electrical-Maveek-Professional-Self-Adhesive-Waterproof/dp/B07PLCYY82/ref=sr_1_7?keywords=Electrical+Tape+YELLOW&amp;qid=1695348194&amp;sr=8-7")</f>
        <v/>
      </c>
      <c r="F388" t="inlineStr">
        <is>
          <t>B07PLCYY82</t>
        </is>
      </c>
      <c r="G388">
        <f>_xlfn.IMAGE("https://www.zoro.com/static/cms/product/full/Jacks Inc_530L1d989633.jpg")</f>
        <v/>
      </c>
      <c r="H388">
        <f>_xlfn.IMAGE("https://m.media-amazon.com/images/I/51zeXxOc+7L._AC_UY218_.jpg")</f>
        <v/>
      </c>
      <c r="K388" t="inlineStr">
        <is>
          <t>2.49</t>
        </is>
      </c>
      <c r="L388" t="n">
        <v>15.86</v>
      </c>
      <c r="M388" s="2" t="inlineStr">
        <is>
          <t>536.95%</t>
        </is>
      </c>
      <c r="N388" t="n">
        <v>4.2</v>
      </c>
      <c r="O388" t="n">
        <v>282</v>
      </c>
      <c r="Q388" t="inlineStr">
        <is>
          <t>InStock</t>
        </is>
      </c>
      <c r="R388" t="inlineStr">
        <is>
          <t>undefined</t>
        </is>
      </c>
      <c r="S388" t="inlineStr">
        <is>
          <t>G4789534</t>
        </is>
      </c>
    </row>
    <row r="389" ht="75" customHeight="1">
      <c r="A389" s="1">
        <f>HYPERLINK("https://www.zoro.com/3m-general-purpose-masking-tape-234-natural-24mm-x-55-m-21200-02982/i/G9269559/", "https://www.zoro.com/3m-general-purpose-masking-tape-234-natural-24mm-x-55-m-21200-02982/i/G9269559/")</f>
        <v/>
      </c>
      <c r="B389" s="1">
        <f>HYPERLINK("https://www.zoro.com/3m-general-purpose-masking-tape-234-natural-24mm-x-55-m-21200-02982/i/G9269559/", "https://www.zoro.com/3m-general-purpose-masking-tape-234-natural-24mm-x-55-m-21200-02982/i/G9269559/")</f>
        <v/>
      </c>
      <c r="C389" t="inlineStr">
        <is>
          <t>General Purpose Masking Tape 234 Natural, 24Mm X 55 M</t>
        </is>
      </c>
      <c r="D389" t="inlineStr">
        <is>
          <t>3M General Purpose Masking Tape 234, Tan, 48 mm x 55 m, 5.9 mil, 24 per case</t>
        </is>
      </c>
      <c r="E389" s="1">
        <f>HYPERLINK("https://www.amazon.com/Scotch-T937234-Masking-Tape-Pack/dp/B00IK31NY6/ref=sr_1_8?keywords=General+Purpose+Masking+Tape+234+Natural%2C+24Mm+X+55+M&amp;qid=1695348036&amp;sr=8-8", "https://www.amazon.com/Scotch-T937234-Masking-Tape-Pack/dp/B00IK31NY6/ref=sr_1_8?keywords=General+Purpose+Masking+Tape+234+Natural%2C+24Mm+X+55+M&amp;qid=1695348036&amp;sr=8-8")</f>
        <v/>
      </c>
      <c r="F389" t="inlineStr">
        <is>
          <t>B00IK31NY6</t>
        </is>
      </c>
      <c r="G389">
        <f>_xlfn.IMAGE("https://www.zoro.com/static/cms/product/full/Alliance Distribution Partners LLC_MMM2120002982media01.jpeg")</f>
        <v/>
      </c>
      <c r="H389">
        <f>_xlfn.IMAGE("https://m.media-amazon.com/images/I/61wG9rntS3L._AC_UL320_.jpg")</f>
        <v/>
      </c>
      <c r="K389" t="inlineStr">
        <is>
          <t>13.99</t>
        </is>
      </c>
      <c r="L389" t="n">
        <v>662.4</v>
      </c>
      <c r="M389" s="2" t="inlineStr">
        <is>
          <t>4634.81%</t>
        </is>
      </c>
      <c r="N389" t="n">
        <v>4</v>
      </c>
      <c r="O389" t="n">
        <v>1</v>
      </c>
      <c r="Q389" t="inlineStr">
        <is>
          <t>InStock</t>
        </is>
      </c>
      <c r="R389" t="inlineStr">
        <is>
          <t>16.5</t>
        </is>
      </c>
      <c r="S389" t="inlineStr">
        <is>
          <t>G9269559</t>
        </is>
      </c>
    </row>
    <row r="390" ht="75" customHeight="1">
      <c r="A390" s="1">
        <f>HYPERLINK("https://www.zoro.com/3m-high-performance-green-masking-tape-401-48-mm-x-55-m-67-mil-7000124898/i/G604422496/", "https://www.zoro.com/3m-high-performance-green-masking-tape-401-48-mm-x-55-m-67-mil-7000124898/i/G604422496/")</f>
        <v/>
      </c>
      <c r="B390" s="1">
        <f>HYPERLINK("https://www.zoro.com/3m-high-performance-green-masking-tape-401-48-mm-x-55-m-67-mil-7000124898/i/G604422496/", "https://www.zoro.com/3m-high-performance-green-masking-tape-401-48-mm-x-55-m-67-mil-7000124898/i/G604422496/")</f>
        <v/>
      </c>
      <c r="C390" t="inlineStr">
        <is>
          <t>High Performance Green Masking Tape 401+, 48 mm x 55 m 6.7 mil</t>
        </is>
      </c>
      <c r="D390" t="inlineStr">
        <is>
          <t>3M High Performance Green Masking Tape 401+, Superior Adhesion, Clean Removal, Highly Conformable, Paint-Bleed Resistant, 24 mm x 55 m, 6.4 mil, 24/Case Bulk</t>
        </is>
      </c>
      <c r="E390" s="1">
        <f>HYPERLINK("https://www.amazon.com/3M-High-Performance-Green-Masking/dp/B00EUI4SDI/ref=sr_1_10?keywords=High+Performance+Green+Masking+Tape+401+%2C+48+mm+x+55+m+6.7+mil&amp;qid=1695347929&amp;sr=8-10", "https://www.amazon.com/3M-High-Performance-Green-Masking/dp/B00EUI4SDI/ref=sr_1_10?keywords=High+Performance+Green+Masking+Tape+401+%2C+48+mm+x+55+m+6.7+mil&amp;qid=1695347929&amp;sr=8-10")</f>
        <v/>
      </c>
      <c r="F390" t="inlineStr">
        <is>
          <t>B00EUI4SDI</t>
        </is>
      </c>
      <c r="G390">
        <f>_xlfn.IMAGE("https://www.zoro.com/static/cms/product/full/AgoNow LLC_c2ee9b33aa50622473fe970289669d8e1595a158xx66a172.jpeg")</f>
        <v/>
      </c>
      <c r="H390">
        <f>_xlfn.IMAGE("https://m.media-amazon.com/images/I/717UE5p1IwL._AC_UL320_.jpg")</f>
        <v/>
      </c>
      <c r="K390" t="inlineStr">
        <is>
          <t>18.35</t>
        </is>
      </c>
      <c r="L390" t="n">
        <v>174</v>
      </c>
      <c r="M390" s="2" t="inlineStr">
        <is>
          <t>848.23%</t>
        </is>
      </c>
      <c r="N390" t="n">
        <v>5</v>
      </c>
      <c r="O390" t="n">
        <v>1</v>
      </c>
      <c r="Q390" t="inlineStr">
        <is>
          <t>InStock</t>
        </is>
      </c>
      <c r="R390" t="inlineStr">
        <is>
          <t>undefined</t>
        </is>
      </c>
      <c r="S390" t="inlineStr">
        <is>
          <t>G604422496</t>
        </is>
      </c>
    </row>
    <row r="391" ht="75" customHeight="1">
      <c r="A391" s="1">
        <f>HYPERLINK("https://www.zoro.com/3m-high-performance-green-masking-tape-401-48-mm-x-55-m-67-mil-7000124898/i/G604422496/", "https://www.zoro.com/3m-high-performance-green-masking-tape-401-48-mm-x-55-m-67-mil-7000124898/i/G604422496/")</f>
        <v/>
      </c>
      <c r="B391" s="1">
        <f>HYPERLINK("https://www.zoro.com/3m-high-performance-green-masking-tape-401-48-mm-x-55-m-67-mil-7000124898/i/G604422496/", "https://www.zoro.com/3m-high-performance-green-masking-tape-401-48-mm-x-55-m-67-mil-7000124898/i/G604422496/")</f>
        <v/>
      </c>
      <c r="C391" t="inlineStr">
        <is>
          <t>High Performance Green Masking Tape 401+, 48 mm x 55 m 6.7 mil</t>
        </is>
      </c>
      <c r="D391" t="inlineStr">
        <is>
          <t>3M 401+ High Performance Masking Tape, Green, 48 mm x 55 m - Strong Holding Power for Automotive, Specialty Vehicle and Industrial Markets, Case of 12</t>
        </is>
      </c>
      <c r="E391" s="1">
        <f>HYPERLINK("https://www.amazon.com/3M-High-Performance-Green-Masking/dp/B00EUI4UCW/ref=sr_1_7?keywords=High+Performance+Green+Masking+Tape+401+%2C+48+mm+x+55+m+6.7+mil&amp;qid=1695347929&amp;sr=8-7", "https://www.amazon.com/3M-High-Performance-Green-Masking/dp/B00EUI4UCW/ref=sr_1_7?keywords=High+Performance+Green+Masking+Tape+401+%2C+48+mm+x+55+m+6.7+mil&amp;qid=1695347929&amp;sr=8-7")</f>
        <v/>
      </c>
      <c r="F391" t="inlineStr">
        <is>
          <t>B00EUI4UCW</t>
        </is>
      </c>
      <c r="G391">
        <f>_xlfn.IMAGE("https://www.zoro.com/static/cms/product/full/AgoNow LLC_c2ee9b33aa50622473fe970289669d8e1595a158xx66a172.jpeg")</f>
        <v/>
      </c>
      <c r="H391">
        <f>_xlfn.IMAGE("https://m.media-amazon.com/images/I/51-ROCrusnL._AC_UL320_.jpg")</f>
        <v/>
      </c>
      <c r="K391" t="inlineStr">
        <is>
          <t>18.35</t>
        </is>
      </c>
      <c r="L391" t="n">
        <v>173.8</v>
      </c>
      <c r="M391" s="2" t="inlineStr">
        <is>
          <t>847.14%</t>
        </is>
      </c>
      <c r="N391" t="n">
        <v>4</v>
      </c>
      <c r="O391" t="n">
        <v>1</v>
      </c>
      <c r="Q391" t="inlineStr">
        <is>
          <t>InStock</t>
        </is>
      </c>
      <c r="R391" t="inlineStr">
        <is>
          <t>undefined</t>
        </is>
      </c>
      <c r="S391" t="inlineStr">
        <is>
          <t>G604422496</t>
        </is>
      </c>
    </row>
    <row r="392" ht="75" customHeight="1">
      <c r="A392" s="1">
        <f>HYPERLINK("https://www.zoro.com/3m-masking-tape-2-in-w-x-60-yd-l-260048a/i/G4072489/", "https://www.zoro.com/3m-masking-tape-2-in-w-x-60-yd-l-260048a/i/G4072489/")</f>
        <v/>
      </c>
      <c r="B392" s="1">
        <f>HYPERLINK("https://www.zoro.com/3m-masking-tape-2-in-w-x-60-yd-l-260048a/i/G4072489/", "https://www.zoro.com/3m-masking-tape-2-in-w-x-60-yd-l-260048a/i/G4072489/")</f>
        <v/>
      </c>
      <c r="C392" t="inlineStr">
        <is>
          <t>Masking Tape, 2 in. W x 60 yd. L</t>
        </is>
      </c>
      <c r="D392" t="inlineStr">
        <is>
          <t>3M Performance Yellow Masking Tape, 2 Inches x 60 Yards, Yellow - 1462003</t>
        </is>
      </c>
      <c r="E392" s="1">
        <f>HYPERLINK("https://www.amazon.com/3M-Yellow-Masking-Painters-Width/dp/B00BZ0KFPY/ref=sr_1_4?keywords=Masking+Tape%2C+2+in.+W+x+60+yd.+L&amp;qid=1695347936&amp;sr=8-4", "https://www.amazon.com/3M-Yellow-Masking-Painters-Width/dp/B00BZ0KFPY/ref=sr_1_4?keywords=Masking+Tape%2C+2+in.+W+x+60+yd.+L&amp;qid=1695347936&amp;sr=8-4")</f>
        <v/>
      </c>
      <c r="F392" t="inlineStr">
        <is>
          <t>B00BZ0KFPY</t>
        </is>
      </c>
      <c r="G392">
        <f>_xlfn.IMAGE("https://www.zoro.com/static/cms/product/full/Essendant Inc_MMM260048Axx01xx2594c7.jpeg")</f>
        <v/>
      </c>
      <c r="H392">
        <f>_xlfn.IMAGE("https://m.media-amazon.com/images/I/71Fi1sVdWaL._AC_UL320_.jpg")</f>
        <v/>
      </c>
      <c r="K392" t="inlineStr">
        <is>
          <t>5.49</t>
        </is>
      </c>
      <c r="L392" t="n">
        <v>17.99</v>
      </c>
      <c r="M392" s="2" t="inlineStr">
        <is>
          <t>227.69%</t>
        </is>
      </c>
      <c r="N392" t="n">
        <v>4.6</v>
      </c>
      <c r="O392" t="n">
        <v>212</v>
      </c>
      <c r="Q392" t="inlineStr">
        <is>
          <t>InStock</t>
        </is>
      </c>
      <c r="R392" t="inlineStr">
        <is>
          <t>undefined</t>
        </is>
      </c>
      <c r="S392" t="inlineStr">
        <is>
          <t>G4072489</t>
        </is>
      </c>
    </row>
    <row r="393" ht="75" customHeight="1">
      <c r="A393" s="1">
        <f>HYPERLINK("https://www.zoro.com/3m-masking-tape-blue-1-12-in-x-60-yd-2090/i/G5052406/", "https://www.zoro.com/3m-masking-tape-blue-1-12-in-x-60-yd-2090/i/G5052406/")</f>
        <v/>
      </c>
      <c r="B393" s="1">
        <f>HYPERLINK("https://www.zoro.com/3m-masking-tape-blue-1-12-in-x-60-yd-2090/i/G5052406/", "https://www.zoro.com/3m-masking-tape-blue-1-12-in-x-60-yd-2090/i/G5052406/")</f>
        <v/>
      </c>
      <c r="C393" t="inlineStr">
        <is>
          <t>Masking Tape, Blue, 1-1/2 In. x 60 Yd.</t>
        </is>
      </c>
      <c r="D393" t="inlineStr">
        <is>
          <t>Blue Painters Tape 1.5 inch x 60 Yards - Case of 32 Rolls, Made in America, Clean Removal Blue Tape, UV-Resistant Blue Painters Masking Tape in Bulk (1.5" x 180')</t>
        </is>
      </c>
      <c r="E393" s="1">
        <f>HYPERLINK("https://www.amazon.com/TapeManBlue-Blue-Painters-Tape-release/dp/B079M3LFZS/ref=sr_1_2?keywords=Masking+Tape%2C+Blue%2C+1-1%2F2+In.+x+60+Yd.&amp;qid=1695347891&amp;sr=8-2", "https://www.amazon.com/TapeManBlue-Blue-Painters-Tape-release/dp/B079M3LFZS/ref=sr_1_2?keywords=Masking+Tape%2C+Blue%2C+1-1%2F2+In.+x+60+Yd.&amp;qid=1695347891&amp;sr=8-2")</f>
        <v/>
      </c>
      <c r="F393" t="inlineStr">
        <is>
          <t>B079M3LFZS</t>
        </is>
      </c>
      <c r="G393">
        <f>_xlfn.IMAGE("https://www.zoro.com/static/cms/product/full/Z1p1w0jcpEx-.JPG")</f>
        <v/>
      </c>
      <c r="H393">
        <f>_xlfn.IMAGE("https://m.media-amazon.com/images/I/7182cZq9uuL._AC_UL320_.jpg")</f>
        <v/>
      </c>
      <c r="K393" t="inlineStr">
        <is>
          <t>7.09</t>
        </is>
      </c>
      <c r="L393" t="n">
        <v>99.95</v>
      </c>
      <c r="M393" s="2" t="inlineStr">
        <is>
          <t>1309.73%</t>
        </is>
      </c>
      <c r="N393" t="n">
        <v>3.9</v>
      </c>
      <c r="O393" t="n">
        <v>11</v>
      </c>
      <c r="Q393" t="inlineStr">
        <is>
          <t>InStock</t>
        </is>
      </c>
      <c r="R393" t="inlineStr">
        <is>
          <t>undefined</t>
        </is>
      </c>
      <c r="S393" t="inlineStr">
        <is>
          <t>G5052406</t>
        </is>
      </c>
    </row>
    <row r="394" ht="75" customHeight="1">
      <c r="A394" s="1">
        <f>HYPERLINK("https://www.zoro.com/3m-masking-tape-blue-1-12-in-x-60-yd-2090/i/G5052406/", "https://www.zoro.com/3m-masking-tape-blue-1-12-in-x-60-yd-2090/i/G5052406/")</f>
        <v/>
      </c>
      <c r="B394" s="1">
        <f>HYPERLINK("https://www.zoro.com/3m-masking-tape-blue-1-12-in-x-60-yd-2090/i/G5052406/", "https://www.zoro.com/3m-masking-tape-blue-1-12-in-x-60-yd-2090/i/G5052406/")</f>
        <v/>
      </c>
      <c r="C394" t="inlineStr">
        <is>
          <t>Masking Tape, Blue, 1-1/2 In. x 60 Yd.</t>
        </is>
      </c>
      <c r="D394" t="inlineStr">
        <is>
          <t>Blue Painters Tape, Masking Tape, 6 pcs, 1.5 inch (1.41 x 60 Yards) inch, Blue Tape Painting Tools, Painting Tools for Walls, Edger Tape Adhesive, Painting Supplies for House Painters</t>
        </is>
      </c>
      <c r="E394" s="1">
        <f>HYPERLINK("https://www.amazon.com/Painters-Masking-Painting-Adhesive-Supplies/dp/B0C1Y99KFV/ref=sr_1_5?keywords=Masking+Tape%2C+Blue%2C+1-1%2F2+In.+x+60+Yd.&amp;qid=1695347891&amp;sr=8-5", "https://www.amazon.com/Painters-Masking-Painting-Adhesive-Supplies/dp/B0C1Y99KFV/ref=sr_1_5?keywords=Masking+Tape%2C+Blue%2C+1-1%2F2+In.+x+60+Yd.&amp;qid=1695347891&amp;sr=8-5")</f>
        <v/>
      </c>
      <c r="F394" t="inlineStr">
        <is>
          <t>B0C1Y99KFV</t>
        </is>
      </c>
      <c r="G394">
        <f>_xlfn.IMAGE("https://www.zoro.com/static/cms/product/full/Z1p1w0jcpEx-.JPG")</f>
        <v/>
      </c>
      <c r="H394">
        <f>_xlfn.IMAGE("https://m.media-amazon.com/images/I/61iuajrC7HL._AC_UL320_.jpg")</f>
        <v/>
      </c>
      <c r="K394" t="inlineStr">
        <is>
          <t>7.09</t>
        </is>
      </c>
      <c r="L394" t="n">
        <v>23.99</v>
      </c>
      <c r="M394" s="2" t="inlineStr">
        <is>
          <t>238.36%</t>
        </is>
      </c>
      <c r="N394" t="n">
        <v>5</v>
      </c>
      <c r="O394" t="n">
        <v>2</v>
      </c>
      <c r="Q394" t="inlineStr">
        <is>
          <t>InStock</t>
        </is>
      </c>
      <c r="R394" t="inlineStr">
        <is>
          <t>undefined</t>
        </is>
      </c>
      <c r="S394" t="inlineStr">
        <is>
          <t>G5052406</t>
        </is>
      </c>
    </row>
    <row r="395" ht="75" customHeight="1">
      <c r="A395" s="1">
        <f>HYPERLINK("https://www.zoro.com/3m-masking-tape-blue-1-12-in-x-60-yd-2090/i/G5052406/", "https://www.zoro.com/3m-masking-tape-blue-1-12-in-x-60-yd-2090/i/G5052406/")</f>
        <v/>
      </c>
      <c r="B395" s="1">
        <f>HYPERLINK("https://www.zoro.com/3m-masking-tape-blue-1-12-in-x-60-yd-2090/i/G5052406/", "https://www.zoro.com/3m-masking-tape-blue-1-12-in-x-60-yd-2090/i/G5052406/")</f>
        <v/>
      </c>
      <c r="C395" t="inlineStr">
        <is>
          <t>Masking Tape, Blue, 1-1/2 In. x 60 Yd.</t>
        </is>
      </c>
      <c r="D395" t="inlineStr">
        <is>
          <t>3M 401+ 1.5" x 60yd High Performance Masking Tape - 1.5" x 60 Yards Roll, Crepe Paper, Green</t>
        </is>
      </c>
      <c r="E395" s="1">
        <f>HYPERLINK("https://www.amazon.com/3M-401-1-5-60yd-Performance/dp/B00JESXRXG/ref=sr_1_6?keywords=Masking+Tape%2C+Blue%2C+1-1%2F2+In.+x+60+Yd.&amp;qid=1695347891&amp;sr=8-6", "https://www.amazon.com/3M-401-1-5-60yd-Performance/dp/B00JESXRXG/ref=sr_1_6?keywords=Masking+Tape%2C+Blue%2C+1-1%2F2+In.+x+60+Yd.&amp;qid=1695347891&amp;sr=8-6")</f>
        <v/>
      </c>
      <c r="F395" t="inlineStr">
        <is>
          <t>B00JESXRXG</t>
        </is>
      </c>
      <c r="G395">
        <f>_xlfn.IMAGE("https://www.zoro.com/static/cms/product/full/Z1p1w0jcpEx-.JPG")</f>
        <v/>
      </c>
      <c r="H395">
        <f>_xlfn.IMAGE("https://m.media-amazon.com/images/I/614VVaDS8jL._AC_UL320_.jpg")</f>
        <v/>
      </c>
      <c r="K395" t="inlineStr">
        <is>
          <t>7.09</t>
        </is>
      </c>
      <c r="L395" t="n">
        <v>19.63</v>
      </c>
      <c r="M395" s="2" t="inlineStr">
        <is>
          <t>176.87%</t>
        </is>
      </c>
      <c r="N395" t="n">
        <v>4.5</v>
      </c>
      <c r="O395" t="n">
        <v>54</v>
      </c>
      <c r="Q395" t="inlineStr">
        <is>
          <t>InStock</t>
        </is>
      </c>
      <c r="R395" t="inlineStr">
        <is>
          <t>undefined</t>
        </is>
      </c>
      <c r="S395" t="inlineStr">
        <is>
          <t>G5052406</t>
        </is>
      </c>
    </row>
    <row r="396" ht="75" customHeight="1">
      <c r="A396" s="1">
        <f>HYPERLINK("https://www.zoro.com/3m-masking-tape-blue-1-12-in-x-60-yd-2090/i/G5052406/", "https://www.zoro.com/3m-masking-tape-blue-1-12-in-x-60-yd-2090/i/G5052406/")</f>
        <v/>
      </c>
      <c r="B396" s="1">
        <f>HYPERLINK("https://www.zoro.com/3m-masking-tape-blue-1-12-in-x-60-yd-2090/i/G5052406/", "https://www.zoro.com/3m-masking-tape-blue-1-12-in-x-60-yd-2090/i/G5052406/")</f>
        <v/>
      </c>
      <c r="C396" t="inlineStr">
        <is>
          <t>Masking Tape, Blue, 1-1/2 In. x 60 Yd.</t>
        </is>
      </c>
      <c r="D396" t="inlineStr">
        <is>
          <t>3M 301+ 1.5" x 60yd Performance Masking Tape 3M 301+, 1.5" Width x 60 yd. Length Roll, Yellow</t>
        </is>
      </c>
      <c r="E396" s="1">
        <f>HYPERLINK("https://www.amazon.com/3M-301-1-5-60yd-Performance/dp/B00V2WER86/ref=sr_1_9?keywords=Masking+Tape%2C+Blue%2C+1-1%2F2+In.+x+60+Yd.&amp;qid=1695347891&amp;sr=8-9", "https://www.amazon.com/3M-301-1-5-60yd-Performance/dp/B00V2WER86/ref=sr_1_9?keywords=Masking+Tape%2C+Blue%2C+1-1%2F2+In.+x+60+Yd.&amp;qid=1695347891&amp;sr=8-9")</f>
        <v/>
      </c>
      <c r="F396" t="inlineStr">
        <is>
          <t>B00V2WER86</t>
        </is>
      </c>
      <c r="G396">
        <f>_xlfn.IMAGE("https://www.zoro.com/static/cms/product/full/Z1p1w0jcpEx-.JPG")</f>
        <v/>
      </c>
      <c r="H396">
        <f>_xlfn.IMAGE("https://m.media-amazon.com/images/I/61ZAAB+eLgL._AC_UL320_.jpg")</f>
        <v/>
      </c>
      <c r="K396" t="inlineStr">
        <is>
          <t>7.09</t>
        </is>
      </c>
      <c r="L396" t="n">
        <v>15.18</v>
      </c>
      <c r="M396" s="2" t="inlineStr">
        <is>
          <t>114.10%</t>
        </is>
      </c>
      <c r="N396" t="n">
        <v>4.3</v>
      </c>
      <c r="O396" t="n">
        <v>45</v>
      </c>
      <c r="Q396" t="inlineStr">
        <is>
          <t>InStock</t>
        </is>
      </c>
      <c r="R396" t="inlineStr">
        <is>
          <t>undefined</t>
        </is>
      </c>
      <c r="S396" t="inlineStr">
        <is>
          <t>G5052406</t>
        </is>
      </c>
    </row>
    <row r="397" ht="75" customHeight="1">
      <c r="A397" s="1">
        <f>HYPERLINK("https://www.zoro.com/3m-oil-gas-35-blue-34-x-66-vinyl-color-coding-tape-80610833925/i/G104218490/", "https://www.zoro.com/3m-oil-gas-35-blue-34-x-66-vinyl-color-coding-tape-80610833925/i/G104218490/")</f>
        <v/>
      </c>
      <c r="B397" s="1">
        <f>HYPERLINK("https://www.zoro.com/3m-oil-gas-35-blue-34-x-66-vinyl-color-coding-tape-80610833925/i/G104218490/", "https://www.zoro.com/3m-oil-gas-35-blue-34-x-66-vinyl-color-coding-tape-80610833925/i/G104218490/")</f>
        <v/>
      </c>
      <c r="C397" t="inlineStr">
        <is>
          <t>35 Blue 3/4" X 66' Vinyl Color Coding Tape</t>
        </is>
      </c>
      <c r="D397" t="inlineStr">
        <is>
          <t>Scotch(R) Vinyl Electrical Color Coding Tape 35-Blue-1/2, 1/2 in x 20 ft (13 mm x 6,1 m)</t>
        </is>
      </c>
      <c r="E397" s="1">
        <f>HYPERLINK("https://www.amazon.com/Scotch-Vinyl-Electrical-Coding-35-Blue-1/dp/B00NK3ZTFU/ref=sr_1_6?keywords=35+Blue+3%2F4%22+X+66%27+Vinyl+Color+Coding+Tape&amp;qid=1695348144&amp;sr=8-6", "https://www.amazon.com/Scotch-Vinyl-Electrical-Coding-35-Blue-1/dp/B00NK3ZTFU/ref=sr_1_6?keywords=35+Blue+3%2F4%22+X+66%27+Vinyl+Color+Coding+Tape&amp;qid=1695348144&amp;sr=8-6")</f>
        <v/>
      </c>
      <c r="F397" t="inlineStr">
        <is>
          <t>B00NK3ZTFU</t>
        </is>
      </c>
      <c r="G397">
        <f>_xlfn.IMAGE("https://www.zoro.com/static/cms/product/full/AgoNow LLC_scotchxx35xxvinylxxelectricalxxcolourxxcodingxxtapexxbluexx7xxmilxxad4fc2.jpeg")</f>
        <v/>
      </c>
      <c r="H397">
        <f>_xlfn.IMAGE("https://m.media-amazon.com/images/I/61FA2PUJyeL._AC_UL320_.jpg")</f>
        <v/>
      </c>
      <c r="K397" t="inlineStr">
        <is>
          <t>8.39</t>
        </is>
      </c>
      <c r="L397" t="n">
        <v>46.36</v>
      </c>
      <c r="M397" s="2" t="inlineStr">
        <is>
          <t>452.56%</t>
        </is>
      </c>
      <c r="N397" t="n">
        <v>5</v>
      </c>
      <c r="O397" t="n">
        <v>1</v>
      </c>
      <c r="Q397" t="inlineStr">
        <is>
          <t>InStock</t>
        </is>
      </c>
      <c r="R397" t="inlineStr">
        <is>
          <t>undefined</t>
        </is>
      </c>
      <c r="S397" t="inlineStr">
        <is>
          <t>G104218490</t>
        </is>
      </c>
    </row>
    <row r="398" ht="75" customHeight="1">
      <c r="A398" s="1">
        <f>HYPERLINK("https://www.zoro.com/3m-oil-gas-35-yellow-34-vinyl-color-coding-tape-34-x-66-80610833966/i/G704218500/", "https://www.zoro.com/3m-oil-gas-35-yellow-34-vinyl-color-coding-tape-34-x-66-80610833966/i/G704218500/")</f>
        <v/>
      </c>
      <c r="B398" s="1">
        <f>HYPERLINK("https://www.zoro.com/3m-oil-gas-35-yellow-34-vinyl-color-coding-tape-34-x-66-80610833966/i/G704218500/", "https://www.zoro.com/3m-oil-gas-35-yellow-34-vinyl-color-coding-tape-34-x-66-80610833966/i/G704218500/")</f>
        <v/>
      </c>
      <c r="C398" t="inlineStr">
        <is>
          <t>35-Yellow-3/4 Vinyl Color Coding Tape 3/4" X 66'</t>
        </is>
      </c>
      <c r="D398" t="inlineStr">
        <is>
          <t>3M Vinyl Tape 471, 1/2 in x 36 yd, Yellow, 1 Roll, Yellow Floor Tape, Paint Alternative for Floor Marking, Social Distancing, Color Coding, Safety Marking</t>
        </is>
      </c>
      <c r="E398" s="1">
        <f>HYPERLINK("https://www.amazon.com/3M-07180-Individually-Conveniently-Packaged/dp/B071KQ44WM/ref=sr_1_9?keywords=35-Yellow-3%2F4+Vinyl+Color+Coding+Tape+3%2F4%22+X+66%27&amp;qid=1695348119&amp;sr=8-9", "https://www.amazon.com/3M-07180-Individually-Conveniently-Packaged/dp/B071KQ44WM/ref=sr_1_9?keywords=35-Yellow-3%2F4+Vinyl+Color+Coding+Tape+3%2F4%22+X+66%27&amp;qid=1695348119&amp;sr=8-9")</f>
        <v/>
      </c>
      <c r="F398" t="inlineStr">
        <is>
          <t>B071KQ44WM</t>
        </is>
      </c>
      <c r="G398">
        <f>_xlfn.IMAGE("https://www.zoro.com/static/cms/product/full/AgoNow LLC_scotchxx35xxvinylxxelectricalxxcolourxxcodingxxtapexxyellowxx7xxmilxxf32ccc.jpeg")</f>
        <v/>
      </c>
      <c r="H398">
        <f>_xlfn.IMAGE("https://m.media-amazon.com/images/I/51tNa9u+j0L._AC_UL320_.jpg")</f>
        <v/>
      </c>
      <c r="K398" t="inlineStr">
        <is>
          <t>9.19</t>
        </is>
      </c>
      <c r="L398" t="n">
        <v>18.79</v>
      </c>
      <c r="M398" s="2" t="inlineStr">
        <is>
          <t>104.46%</t>
        </is>
      </c>
      <c r="N398" t="n">
        <v>3.9</v>
      </c>
      <c r="O398" t="n">
        <v>14</v>
      </c>
      <c r="Q398" t="inlineStr">
        <is>
          <t>InStock</t>
        </is>
      </c>
      <c r="R398" t="inlineStr">
        <is>
          <t>undefined</t>
        </is>
      </c>
      <c r="S398" t="inlineStr">
        <is>
          <t>G704218500</t>
        </is>
      </c>
    </row>
    <row r="399" ht="75" customHeight="1">
      <c r="A399" s="1">
        <f>HYPERLINK("https://www.zoro.com/3m-oil-gas-35-yellow-34-vinyl-color-coding-tape-34-x-66-80610833966/i/G704218500/", "https://www.zoro.com/3m-oil-gas-35-yellow-34-vinyl-color-coding-tape-34-x-66-80610833966/i/G704218500/")</f>
        <v/>
      </c>
      <c r="B399" s="1">
        <f>HYPERLINK("https://www.zoro.com/3m-oil-gas-35-yellow-34-vinyl-color-coding-tape-34-x-66-80610833966/i/G704218500/", "https://www.zoro.com/3m-oil-gas-35-yellow-34-vinyl-color-coding-tape-34-x-66-80610833966/i/G704218500/")</f>
        <v/>
      </c>
      <c r="C399" t="inlineStr">
        <is>
          <t>35-Yellow-3/4 Vinyl Color Coding Tape 3/4" X 66'</t>
        </is>
      </c>
      <c r="D399" t="inlineStr">
        <is>
          <t>3M Vinyl Tape 471, 1/2 in x 36 yd, Yellow, 1 Roll, Yellow Floor Tape, Paint Alternative for Floor Marking, Social Distancing, Color Coding, Safety Marking</t>
        </is>
      </c>
      <c r="E399" s="1">
        <f>HYPERLINK("https://www.amazon.com/3M-07180-Individually-Conveniently-Packaged/dp/B071KQ44WM/ref=sr_1_9?keywords=35-Yellow-3%2F4+Vinyl+Color+Coding+Tape+3%2F4%22+X+66%27&amp;qid=1695348119&amp;sr=8-9", "https://www.amazon.com/3M-07180-Individually-Conveniently-Packaged/dp/B071KQ44WM/ref=sr_1_9?keywords=35-Yellow-3%2F4+Vinyl+Color+Coding+Tape+3%2F4%22+X+66%27&amp;qid=1695348119&amp;sr=8-9")</f>
        <v/>
      </c>
      <c r="F399" t="inlineStr">
        <is>
          <t>B071KQ44WM</t>
        </is>
      </c>
      <c r="G399">
        <f>_xlfn.IMAGE("https://www.zoro.com/static/cms/product/full/AgoNow LLC_scotchxx35xxvinylxxelectricalxxcolourxxcodingxxtapexxyellowxx7xxmilxxf32ccc.jpeg")</f>
        <v/>
      </c>
      <c r="H399">
        <f>_xlfn.IMAGE("https://m.media-amazon.com/images/I/51tNa9u+j0L._AC_UL320_.jpg")</f>
        <v/>
      </c>
      <c r="K399" t="inlineStr">
        <is>
          <t>9.19</t>
        </is>
      </c>
      <c r="L399" t="n">
        <v>18.79</v>
      </c>
      <c r="M399" s="2" t="inlineStr">
        <is>
          <t>104.46%</t>
        </is>
      </c>
      <c r="N399" t="n">
        <v>3.9</v>
      </c>
      <c r="O399" t="n">
        <v>14</v>
      </c>
      <c r="Q399" t="inlineStr">
        <is>
          <t>InStock</t>
        </is>
      </c>
      <c r="R399" t="inlineStr">
        <is>
          <t>undefined</t>
        </is>
      </c>
      <c r="S399" t="inlineStr">
        <is>
          <t>G704218500</t>
        </is>
      </c>
    </row>
    <row r="400" ht="75" customHeight="1">
      <c r="A400" s="1">
        <f>HYPERLINK("https://www.zoro.com/3m-oil-gas-general-purpose-masking-tape-234-tan-48-mm-x-55-m-59-mil-70006319308/i/G304421942/", "https://www.zoro.com/3m-oil-gas-general-purpose-masking-tape-234-tan-48-mm-x-55-m-59-mil-70006319308/i/G304421942/")</f>
        <v/>
      </c>
      <c r="B400" s="1">
        <f>HYPERLINK("https://www.zoro.com/3m-oil-gas-general-purpose-masking-tape-234-tan-48-mm-x-55-m-59-mil-70006319308/i/G304421942/", "https://www.zoro.com/3m-oil-gas-general-purpose-masking-tape-234-tan-48-mm-x-55-m-59-mil-70006319308/i/G304421942/")</f>
        <v/>
      </c>
      <c r="C400" t="inlineStr">
        <is>
          <t>General Purpose Masking Tape 234 Tan, 48 mm x 55 m 5.9 mil</t>
        </is>
      </c>
      <c r="D400" t="inlineStr">
        <is>
          <t>3M General Purpose Masking Tape 234, Tan, 48 mm x 55 m, 5.9 mil, 24 per case</t>
        </is>
      </c>
      <c r="E400" s="1">
        <f>HYPERLINK("https://www.amazon.com/Scotch-T937234-Masking-Tape-Pack/dp/B00IK31NY6/ref=sr_1_1?keywords=General+Purpose+Masking+Tape+234+Tan%2C+48+mm+x+55+m+5.9+mil&amp;qid=1695348083&amp;sr=8-1", "https://www.amazon.com/Scotch-T937234-Masking-Tape-Pack/dp/B00IK31NY6/ref=sr_1_1?keywords=General+Purpose+Masking+Tape+234+Tan%2C+48+mm+x+55+m+5.9+mil&amp;qid=1695348083&amp;sr=8-1")</f>
        <v/>
      </c>
      <c r="F400" t="inlineStr">
        <is>
          <t>B00IK31NY6</t>
        </is>
      </c>
      <c r="G400">
        <f>_xlfn.IMAGE("https://www.zoro.com/static/cms/product/full/AgoNow LLC_3mtmxxmaskingxxtapexx234xxff966e.jpeg")</f>
        <v/>
      </c>
      <c r="H400">
        <f>_xlfn.IMAGE("https://m.media-amazon.com/images/I/61wG9rntS3L._AC_UL320_.jpg")</f>
        <v/>
      </c>
      <c r="K400" t="inlineStr">
        <is>
          <t>25.29</t>
        </is>
      </c>
      <c r="L400" t="n">
        <v>662.4</v>
      </c>
      <c r="M400" s="2" t="inlineStr">
        <is>
          <t>2519.22%</t>
        </is>
      </c>
      <c r="N400" t="n">
        <v>4</v>
      </c>
      <c r="O400" t="n">
        <v>1</v>
      </c>
      <c r="Q400" t="inlineStr">
        <is>
          <t>InStock</t>
        </is>
      </c>
      <c r="R400" t="inlineStr">
        <is>
          <t>undefined</t>
        </is>
      </c>
      <c r="S400" t="inlineStr">
        <is>
          <t>G304421942</t>
        </is>
      </c>
    </row>
    <row r="401" ht="75" customHeight="1">
      <c r="A401" s="1">
        <f>HYPERLINK("https://www.zoro.com/3m-oil-gas-scotch-vinyl-electrical-color-coding-tape-35-blue-12-12-in-x-20-ft-13-mm-x-6-1-m-5pk-80610833917/i/G009930213/", "https://www.zoro.com/3m-oil-gas-scotch-vinyl-electrical-color-coding-tape-35-blue-12-12-in-x-20-ft-13-mm-x-6-1-m-5pk-80610833917/i/G009930213/")</f>
        <v/>
      </c>
      <c r="B401" s="1">
        <f>HYPERLINK("https://www.zoro.com/3m-oil-gas-scotch-vinyl-electrical-color-coding-tape-35-blue-12-12-in-x-20-ft-13-mm-x-6-1-m-5pk-80610833917/i/G009930213/", "https://www.zoro.com/3m-oil-gas-scotch-vinyl-electrical-color-coding-tape-35-blue-12-12-in-x-20-ft-13-mm-x-6-1-m-5pk-80610833917/i/G009930213/")</f>
        <v/>
      </c>
      <c r="C401" t="inlineStr">
        <is>
          <t>Scotch Vinyl Electrical Color Coding Tape 35-Blue-1/2, 1/2 In X 20 Ft 13 Mm X 6, 1 M, 5PK</t>
        </is>
      </c>
      <c r="D401" t="inlineStr">
        <is>
          <t>Scotch(R) Vinyl Electrical Color Coding Tape 35-Blue-1/2, 1/2 in x 20 ft (13 mm x 6,1 m)</t>
        </is>
      </c>
      <c r="E401" s="1">
        <f>HYPERLINK("https://www.amazon.com/Scotch-Vinyl-Electrical-Coding-35-Blue-1/dp/B00NK3ZTFU/ref=sr_1_1?keywords=Scotch+Vinyl+Electrical+Color+Coding+Tape+35-Blue-1%2F2%2C+1%2F2+In+X+20+Ft+13+Mm+X+6%2C+1+M%2C+5PK&amp;qid=1695348167&amp;sr=8-1", "https://www.amazon.com/Scotch-Vinyl-Electrical-Coding-35-Blue-1/dp/B00NK3ZTFU/ref=sr_1_1?keywords=Scotch+Vinyl+Electrical+Color+Coding+Tape+35-Blue-1%2F2%2C+1%2F2+In+X+20+Ft+13+Mm+X+6%2C+1+M%2C+5PK&amp;qid=1695348167&amp;sr=8-1")</f>
        <v/>
      </c>
      <c r="F401" t="inlineStr">
        <is>
          <t>B00NK3ZTFU</t>
        </is>
      </c>
      <c r="G401">
        <f>_xlfn.IMAGE("https://www.zoro.com/static/cms/product/full/AgoNow LLC_35xxvinylxxtapexxbluexx19mmxxxxx20mxxclopxx484174.jpeg")</f>
        <v/>
      </c>
      <c r="H401">
        <f>_xlfn.IMAGE("https://m.media-amazon.com/images/I/61FA2PUJyeL._AC_UY218_.jpg")</f>
        <v/>
      </c>
      <c r="K401" t="inlineStr">
        <is>
          <t>2.59</t>
        </is>
      </c>
      <c r="L401" t="n">
        <v>46.36</v>
      </c>
      <c r="M401" s="2" t="inlineStr">
        <is>
          <t>1689.96%</t>
        </is>
      </c>
      <c r="N401" t="n">
        <v>5</v>
      </c>
      <c r="O401" t="n">
        <v>1</v>
      </c>
      <c r="Q401" t="inlineStr">
        <is>
          <t>undefined</t>
        </is>
      </c>
      <c r="R401" t="inlineStr">
        <is>
          <t>undefined</t>
        </is>
      </c>
      <c r="S401" t="inlineStr">
        <is>
          <t>G009930213</t>
        </is>
      </c>
    </row>
    <row r="402" ht="75" customHeight="1">
      <c r="A402" s="1">
        <f>HYPERLINK("https://www.zoro.com/3m-oil-gas-scotch-vinyl-electrical-color-coding-tape-35-blue-12-12-in-x-20-ft-13-mm-x-6-1-m-5pk-80610833917/i/G009930213/", "https://www.zoro.com/3m-oil-gas-scotch-vinyl-electrical-color-coding-tape-35-blue-12-12-in-x-20-ft-13-mm-x-6-1-m-5pk-80610833917/i/G009930213/")</f>
        <v/>
      </c>
      <c r="B402" s="1">
        <f>HYPERLINK("https://www.zoro.com/3m-oil-gas-scotch-vinyl-electrical-color-coding-tape-35-blue-12-12-in-x-20-ft-13-mm-x-6-1-m-5pk-80610833917/i/G009930213/", "https://www.zoro.com/3m-oil-gas-scotch-vinyl-electrical-color-coding-tape-35-blue-12-12-in-x-20-ft-13-mm-x-6-1-m-5pk-80610833917/i/G009930213/")</f>
        <v/>
      </c>
      <c r="C402" t="inlineStr">
        <is>
          <t>Scotch Vinyl Electrical Color Coding Tape 35-Blue-1/2, 1/2 In X 20 Ft 13 Mm X 6, 1 M, 5PK</t>
        </is>
      </c>
      <c r="D402" t="inlineStr">
        <is>
          <t>Scotch Safety Vinyl Color Coding Electrical Tape 35, 1/2 in x 20 ft, 10 rolls/carton, Blue</t>
        </is>
      </c>
      <c r="E402" s="1">
        <f>HYPERLINK("https://www.amazon.com/Scotch-Vinyl-Color-Coding-Electrical/dp/B000FKBYYQ/ref=sr_1_4?keywords=Scotch+Vinyl+Electrical+Color+Coding+Tape+35-Blue-1%2F2%2C+1%2F2+In+X+20+Ft+13+Mm+X+6%2C+1+M%2C+5PK&amp;qid=1695348167&amp;sr=8-4", "https://www.amazon.com/Scotch-Vinyl-Color-Coding-Electrical/dp/B000FKBYYQ/ref=sr_1_4?keywords=Scotch+Vinyl+Electrical+Color+Coding+Tape+35-Blue-1%2F2%2C+1%2F2+In+X+20+Ft+13+Mm+X+6%2C+1+M%2C+5PK&amp;qid=1695348167&amp;sr=8-4")</f>
        <v/>
      </c>
      <c r="F402" t="inlineStr">
        <is>
          <t>B000FKBYYQ</t>
        </is>
      </c>
      <c r="G402">
        <f>_xlfn.IMAGE("https://www.zoro.com/static/cms/product/full/AgoNow LLC_35xxvinylxxtapexxbluexx19mmxxxxx20mxxclopxx484174.jpeg")</f>
        <v/>
      </c>
      <c r="H402">
        <f>_xlfn.IMAGE("https://m.media-amazon.com/images/I/61KQh6a+bZL._AC_UY218_.jpg")</f>
        <v/>
      </c>
      <c r="K402" t="inlineStr">
        <is>
          <t>2.59</t>
        </is>
      </c>
      <c r="L402" t="n">
        <v>22.78</v>
      </c>
      <c r="M402" s="2" t="inlineStr">
        <is>
          <t>779.54%</t>
        </is>
      </c>
      <c r="N402" t="n">
        <v>4.6</v>
      </c>
      <c r="O402" t="n">
        <v>3578</v>
      </c>
      <c r="Q402" t="inlineStr">
        <is>
          <t>undefined</t>
        </is>
      </c>
      <c r="R402" t="inlineStr">
        <is>
          <t>undefined</t>
        </is>
      </c>
      <c r="S402" t="inlineStr">
        <is>
          <t>G009930213</t>
        </is>
      </c>
    </row>
    <row r="403" ht="75" customHeight="1">
      <c r="A403" s="1">
        <f>HYPERLINK("https://www.zoro.com/3m-oil-gas-scotch-vinyl-electrical-color-coding-tape-35-gray-34-34-in-x-66-ft-19-mm-x-20-1-m-80610834063/i/G504218496/", "https://www.zoro.com/3m-oil-gas-scotch-vinyl-electrical-color-coding-tape-35-gray-34-34-in-x-66-ft-19-mm-x-20-1-m-80610834063/i/G504218496/")</f>
        <v/>
      </c>
      <c r="B403" s="1">
        <f>HYPERLINK("https://www.zoro.com/3m-oil-gas-scotch-vinyl-electrical-color-coding-tape-35-gray-34-34-in-x-66-ft-19-mm-x-20-1-m-80610834063/i/G504218496/", "https://www.zoro.com/3m-oil-gas-scotch-vinyl-electrical-color-coding-tape-35-gray-34-34-in-x-66-ft-19-mm-x-20-1-m-80610834063/i/G504218496/")</f>
        <v/>
      </c>
      <c r="C403" t="inlineStr">
        <is>
          <t>Scotch Vinyl Electrical Color Coding Tape 35-Gray-3/4, 3/4 In X 66 Ft (19 Mm X 20, 1 M)</t>
        </is>
      </c>
      <c r="D403" t="inlineStr">
        <is>
          <t>Scotch Vinyl Color Coding Electrical Tape 35, 3/4 in x 66 ft, Violet, 10 Rolls/Carton, 100 Rolls/Case</t>
        </is>
      </c>
      <c r="E403" s="1">
        <f>HYPERLINK("https://www.amazon.com/Scotch-Coding-Electrical-Violet-Carton/dp/B01MS4PYIA/ref=sr_1_8?keywords=Scotch+Vinyl+Electrical+Color+Coding+Tape+35-Gray-3%2F4%2C+3%2F4+In+X+66+Ft+%2819+Mm+X+20%2C+1+M%29&amp;qid=1695348120&amp;sr=8-8", "https://www.amazon.com/Scotch-Coding-Electrical-Violet-Carton/dp/B01MS4PYIA/ref=sr_1_8?keywords=Scotch+Vinyl+Electrical+Color+Coding+Tape+35-Gray-3%2F4%2C+3%2F4+In+X+66+Ft+%2819+Mm+X+20%2C+1+M%29&amp;qid=1695348120&amp;sr=8-8")</f>
        <v/>
      </c>
      <c r="F403" t="inlineStr">
        <is>
          <t>B01MS4PYIA</t>
        </is>
      </c>
      <c r="G403">
        <f>_xlfn.IMAGE("https://www.zoro.com/static/cms/product/full/AgoNow LLC_scotchxx35xxvinylxxelectricalxxcolourxxcodingxxtapexxgrayxx7xxmilxx8718b9.jpeg")</f>
        <v/>
      </c>
      <c r="H403">
        <f>_xlfn.IMAGE("https://m.media-amazon.com/images/I/71VrVJ4SdnL._AC_UY218_.jpg")</f>
        <v/>
      </c>
      <c r="K403" t="inlineStr">
        <is>
          <t>8.59</t>
        </is>
      </c>
      <c r="L403" t="n">
        <v>94.38</v>
      </c>
      <c r="M403" s="2" t="inlineStr">
        <is>
          <t>998.72%</t>
        </is>
      </c>
      <c r="N403" t="n">
        <v>5</v>
      </c>
      <c r="O403" t="n">
        <v>1</v>
      </c>
      <c r="Q403" t="inlineStr">
        <is>
          <t>InStock</t>
        </is>
      </c>
      <c r="R403" t="inlineStr">
        <is>
          <t>undefined</t>
        </is>
      </c>
      <c r="S403" t="inlineStr">
        <is>
          <t>G504218496</t>
        </is>
      </c>
    </row>
    <row r="404" ht="75" customHeight="1">
      <c r="A404" s="1">
        <f>HYPERLINK("https://www.zoro.com/3m-oil-gas-scotch-vinyl-electrical-color-coding-tape-35-orange-34-34-in-x-66-ft-19-mm-x-20-1-m-80610834022/i/G804218493/", "https://www.zoro.com/3m-oil-gas-scotch-vinyl-electrical-color-coding-tape-35-orange-34-34-in-x-66-ft-19-mm-x-20-1-m-80610834022/i/G804218493/")</f>
        <v/>
      </c>
      <c r="B404" s="1">
        <f>HYPERLINK("https://www.zoro.com/3m-oil-gas-scotch-vinyl-electrical-color-coding-tape-35-orange-34-34-in-x-66-ft-19-mm-x-20-1-m-80610834022/i/G804218493/", "https://www.zoro.com/3m-oil-gas-scotch-vinyl-electrical-color-coding-tape-35-orange-34-34-in-x-66-ft-19-mm-x-20-1-m-80610834022/i/G804218493/")</f>
        <v/>
      </c>
      <c r="C404" t="inlineStr">
        <is>
          <t>Scotch Vinyl Electrical Color Coding Tape 35-Orange-3/4, 3/4 In X 66 Ft (19 Mm X 20, 1 M)</t>
        </is>
      </c>
      <c r="D404" t="inlineStr">
        <is>
          <t>Scotch Vinyl Color Coding Electrical Tape 35, 3/4 in x 66 ft, Violet, 10 Rolls/Carton, 100 Rolls/Case</t>
        </is>
      </c>
      <c r="E404" s="1">
        <f>HYPERLINK("https://www.amazon.com/Scotch-Coding-Electrical-Violet-Carton/dp/B01MS4PYIA/ref=sr_1_5?keywords=Scotch+Vinyl+Electrical+Color+Coding+Tape+35-Orange-3%2F4%2C+3%2F4+In+X+66+Ft+%2819+Mm+X+20%2C+1+M%29&amp;qid=1695348148&amp;sr=8-5", "https://www.amazon.com/Scotch-Coding-Electrical-Violet-Carton/dp/B01MS4PYIA/ref=sr_1_5?keywords=Scotch+Vinyl+Electrical+Color+Coding+Tape+35-Orange-3%2F4%2C+3%2F4+In+X+66+Ft+%2819+Mm+X+20%2C+1+M%29&amp;qid=1695348148&amp;sr=8-5")</f>
        <v/>
      </c>
      <c r="F404" t="inlineStr">
        <is>
          <t>B01MS4PYIA</t>
        </is>
      </c>
      <c r="G404">
        <f>_xlfn.IMAGE("https://www.zoro.com/static/cms/product/full/AgoNow LLC_scotchxx35xxproxxgradexxvinylxxelectricalxxcolourxxcodingxxtapexxorangexx8ef79a.jpeg")</f>
        <v/>
      </c>
      <c r="H404">
        <f>_xlfn.IMAGE("https://m.media-amazon.com/images/I/71VrVJ4SdnL._AC_UY218_.jpg")</f>
        <v/>
      </c>
      <c r="K404" t="inlineStr">
        <is>
          <t>8.39</t>
        </is>
      </c>
      <c r="L404" t="n">
        <v>94.38</v>
      </c>
      <c r="M404" s="2" t="inlineStr">
        <is>
          <t>1024.91%</t>
        </is>
      </c>
      <c r="N404" t="n">
        <v>5</v>
      </c>
      <c r="O404" t="n">
        <v>1</v>
      </c>
      <c r="Q404" t="inlineStr">
        <is>
          <t>InStock</t>
        </is>
      </c>
      <c r="R404" t="inlineStr">
        <is>
          <t>undefined</t>
        </is>
      </c>
      <c r="S404" t="inlineStr">
        <is>
          <t>G804218493</t>
        </is>
      </c>
    </row>
    <row r="405" ht="75" customHeight="1">
      <c r="A405" s="1">
        <f>HYPERLINK("https://www.zoro.com/3m-oil-gas-scotch-vinyl-electrical-color-coding-tape-35-red-34-34-in-x-66-ft-19-mm-x-20-1-m-80610833909/i/G604218488/", "https://www.zoro.com/3m-oil-gas-scotch-vinyl-electrical-color-coding-tape-35-red-34-34-in-x-66-ft-19-mm-x-20-1-m-80610833909/i/G604218488/")</f>
        <v/>
      </c>
      <c r="B405" s="1">
        <f>HYPERLINK("https://www.zoro.com/3m-oil-gas-scotch-vinyl-electrical-color-coding-tape-35-red-34-34-in-x-66-ft-19-mm-x-20-1-m-80610833909/i/G604218488/", "https://www.zoro.com/3m-oil-gas-scotch-vinyl-electrical-color-coding-tape-35-red-34-34-in-x-66-ft-19-mm-x-20-1-m-80610833909/i/G604218488/")</f>
        <v/>
      </c>
      <c r="C405" t="inlineStr">
        <is>
          <t>Scotch Vinyl Electrical Color Coding Tape 35-Red-3/4, 3/4 In X 66 Ft (19 Mm X 20, 1 M)</t>
        </is>
      </c>
      <c r="D405" t="inlineStr">
        <is>
          <t>Scotch Vinyl Color Coding Electrical Tape 35, 3/4 in x 66 ft, Violet, 10 Rolls/Carton, 100 Rolls/Case</t>
        </is>
      </c>
      <c r="E405" s="1">
        <f>HYPERLINK("https://www.amazon.com/Scotch-Coding-Electrical-Violet-Carton/dp/B01MS4PYIA/ref=sr_1_8?keywords=Scotch+Vinyl+Electrical+Color+Coding+Tape+35-Red-3%2F4%2C+3%2F4+In+X+66+Ft+%2819+Mm+X+20%2C+1+M%29&amp;qid=1695348142&amp;sr=8-8", "https://www.amazon.com/Scotch-Coding-Electrical-Violet-Carton/dp/B01MS4PYIA/ref=sr_1_8?keywords=Scotch+Vinyl+Electrical+Color+Coding+Tape+35-Red-3%2F4%2C+3%2F4+In+X+66+Ft+%2819+Mm+X+20%2C+1+M%29&amp;qid=1695348142&amp;sr=8-8")</f>
        <v/>
      </c>
      <c r="F405" t="inlineStr">
        <is>
          <t>B01MS4PYIA</t>
        </is>
      </c>
      <c r="G405">
        <f>_xlfn.IMAGE("https://www.zoro.com/static/cms/product/full/AgoNow LLC_scotchxx35xxproxxgradexxvinylxxelectricalxxcolourxxcodingxxtapexxredxx4528ad.jpeg")</f>
        <v/>
      </c>
      <c r="H405">
        <f>_xlfn.IMAGE("https://m.media-amazon.com/images/I/71VrVJ4SdnL._AC_UY218_.jpg")</f>
        <v/>
      </c>
      <c r="K405" t="inlineStr">
        <is>
          <t>7.55</t>
        </is>
      </c>
      <c r="L405" t="n">
        <v>94.38</v>
      </c>
      <c r="M405" s="2" t="inlineStr">
        <is>
          <t>1150.07%</t>
        </is>
      </c>
      <c r="N405" t="n">
        <v>5</v>
      </c>
      <c r="O405" t="n">
        <v>1</v>
      </c>
      <c r="Q405" t="inlineStr">
        <is>
          <t>InStock</t>
        </is>
      </c>
      <c r="R405" t="inlineStr">
        <is>
          <t>undefined</t>
        </is>
      </c>
      <c r="S405" t="inlineStr">
        <is>
          <t>G604218488</t>
        </is>
      </c>
    </row>
    <row r="406" ht="75" customHeight="1">
      <c r="A406" s="1">
        <f>HYPERLINK("https://www.zoro.com/3m-oil-gas-scotch-vinyl-electrical-color-coding-tape-35-violet-34-34-in-x-66-ft-19-mm-x-20-1-m-80610834006/i/G604218471/", "https://www.zoro.com/3m-oil-gas-scotch-vinyl-electrical-color-coding-tape-35-violet-34-34-in-x-66-ft-19-mm-x-20-1-m-80610834006/i/G604218471/")</f>
        <v/>
      </c>
      <c r="B406" s="1">
        <f>HYPERLINK("https://www.zoro.com/3m-oil-gas-scotch-vinyl-electrical-color-coding-tape-35-violet-34-34-in-x-66-ft-19-mm-x-20-1-m-80610834006/i/G604218471/", "https://www.zoro.com/3m-oil-gas-scotch-vinyl-electrical-color-coding-tape-35-violet-34-34-in-x-66-ft-19-mm-x-20-1-m-80610834006/i/G604218471/")</f>
        <v/>
      </c>
      <c r="C406" t="inlineStr">
        <is>
          <t>Scotch Vinyl Electrical Color Coding Tape 35-Violet-3/4, 3/4 In X 66 Ft (19 Mm X 20, 1 M)</t>
        </is>
      </c>
      <c r="D406" t="inlineStr">
        <is>
          <t>Scotch Vinyl Color Coding Electrical Tape 35, 3/4 in x 66 ft, Violet, 10 Rolls/Carton, 100 Rolls/Case</t>
        </is>
      </c>
      <c r="E406" s="1">
        <f>HYPERLINK("https://www.amazon.com/Scotch-Coding-Electrical-Violet-Carton/dp/B01MS4PYIA/ref=sr_1_1?keywords=Scotch+Vinyl+Electrical+Color+Coding+Tape+35-Violet-3%2F4%2C+3%2F4+In+X+66+Ft+%2819+Mm+X+20%2C+1+M%29&amp;qid=1695348173&amp;sr=8-1", "https://www.amazon.com/Scotch-Coding-Electrical-Violet-Carton/dp/B01MS4PYIA/ref=sr_1_1?keywords=Scotch+Vinyl+Electrical+Color+Coding+Tape+35-Violet-3%2F4%2C+3%2F4+In+X+66+Ft+%2819+Mm+X+20%2C+1+M%29&amp;qid=1695348173&amp;sr=8-1")</f>
        <v/>
      </c>
      <c r="F406" t="inlineStr">
        <is>
          <t>B01MS4PYIA</t>
        </is>
      </c>
      <c r="G406">
        <f>_xlfn.IMAGE("https://www.zoro.com/static/cms/product/full/AgoNow LLC_scotchxx35xxvinylxxelectricalxxcolourxxcodingxxtapexxvioletxx7xxmilxxc2c825.jpeg")</f>
        <v/>
      </c>
      <c r="H406">
        <f>_xlfn.IMAGE("https://m.media-amazon.com/images/I/71VrVJ4SdnL._AC_UY218_.jpg")</f>
        <v/>
      </c>
      <c r="K406" t="inlineStr">
        <is>
          <t>7.59</t>
        </is>
      </c>
      <c r="L406" t="n">
        <v>94.38</v>
      </c>
      <c r="M406" s="2" t="inlineStr">
        <is>
          <t>1143.48%</t>
        </is>
      </c>
      <c r="N406" t="n">
        <v>5</v>
      </c>
      <c r="O406" t="n">
        <v>1</v>
      </c>
      <c r="Q406" t="inlineStr">
        <is>
          <t>InStock</t>
        </is>
      </c>
      <c r="R406" t="inlineStr">
        <is>
          <t>undefined</t>
        </is>
      </c>
      <c r="S406" t="inlineStr">
        <is>
          <t>G604218471</t>
        </is>
      </c>
    </row>
    <row r="407" ht="75" customHeight="1">
      <c r="A407" s="1">
        <f>HYPERLINK("https://www.zoro.com/3m-oil-gas-scotch-vinyl-electrical-color-coding-tape-35-white-12-12-in-x-20-ft-13-mm-x-6-1-m-80610833974/i/G304218580/", "https://www.zoro.com/3m-oil-gas-scotch-vinyl-electrical-color-coding-tape-35-white-12-12-in-x-20-ft-13-mm-x-6-1-m-80610833974/i/G304218580/")</f>
        <v/>
      </c>
      <c r="B407" s="1">
        <f>HYPERLINK("https://www.zoro.com/3m-oil-gas-scotch-vinyl-electrical-color-coding-tape-35-white-12-12-in-x-20-ft-13-mm-x-6-1-m-80610833974/i/G304218580/", "https://www.zoro.com/3m-oil-gas-scotch-vinyl-electrical-color-coding-tape-35-white-12-12-in-x-20-ft-13-mm-x-6-1-m-80610833974/i/G304218580/")</f>
        <v/>
      </c>
      <c r="C407" t="inlineStr">
        <is>
          <t>Scotch Vinyl Electrical Color Coding Tape 35-White-1/2, 1/2 In X 20 Ft (13 Mm X 6, 1 M)</t>
        </is>
      </c>
      <c r="D407" t="inlineStr">
        <is>
          <t>Scotch(R) Vinyl Electrical Color Coding Tape 35-Blue-1/2, 1/2 in x 20 ft (13 mm x 6,1 m)</t>
        </is>
      </c>
      <c r="E407" s="1">
        <f>HYPERLINK("https://www.amazon.com/Scotch-Vinyl-Electrical-Coding-35-Blue-1/dp/B00NK3ZTFU/ref=sr_1_1?keywords=Scotch+Vinyl+Electrical+Color+Coding+Tape+35-White-1%2F2%2C+1%2F2+In+X+20+Ft+%2813+Mm+X+6%2C+1+M%29&amp;qid=1695348230&amp;sr=8-1", "https://www.amazon.com/Scotch-Vinyl-Electrical-Coding-35-Blue-1/dp/B00NK3ZTFU/ref=sr_1_1?keywords=Scotch+Vinyl+Electrical+Color+Coding+Tape+35-White-1%2F2%2C+1%2F2+In+X+20+Ft+%2813+Mm+X+6%2C+1+M%29&amp;qid=1695348230&amp;sr=8-1")</f>
        <v/>
      </c>
      <c r="F407" t="inlineStr">
        <is>
          <t>B00NK3ZTFU</t>
        </is>
      </c>
      <c r="G407">
        <f>_xlfn.IMAGE("https://www.zoro.com/static/cms/product/full/AgoNow LLC_35xxvinylxxtapexxwhitexx19mmxxxxx20mxxclopxx31e069.jpeg")</f>
        <v/>
      </c>
      <c r="H407">
        <f>_xlfn.IMAGE("https://m.media-amazon.com/images/I/61FA2PUJyeL._AC_UY218_.jpg")</f>
        <v/>
      </c>
      <c r="K407" t="inlineStr">
        <is>
          <t>2.55</t>
        </is>
      </c>
      <c r="L407" t="n">
        <v>46.36</v>
      </c>
      <c r="M407" s="2" t="inlineStr">
        <is>
          <t>1718.04%</t>
        </is>
      </c>
      <c r="N407" t="n">
        <v>5</v>
      </c>
      <c r="O407" t="n">
        <v>1</v>
      </c>
      <c r="Q407" t="inlineStr">
        <is>
          <t>InStock</t>
        </is>
      </c>
      <c r="R407" t="inlineStr">
        <is>
          <t>undefined</t>
        </is>
      </c>
      <c r="S407" t="inlineStr">
        <is>
          <t>G304218580</t>
        </is>
      </c>
    </row>
    <row r="408" ht="75" customHeight="1">
      <c r="A408" s="1">
        <f>HYPERLINK("https://www.zoro.com/3m-oil-gas-scotch-vinyl-electrical-color-coding-tape-35-white-34-34-in-x-66-ft-19-mm-x-20-1-m-80610833982/i/G604218495/", "https://www.zoro.com/3m-oil-gas-scotch-vinyl-electrical-color-coding-tape-35-white-34-34-in-x-66-ft-19-mm-x-20-1-m-80610833982/i/G604218495/")</f>
        <v/>
      </c>
      <c r="B408" s="1">
        <f>HYPERLINK("https://www.zoro.com/3m-oil-gas-scotch-vinyl-electrical-color-coding-tape-35-white-34-34-in-x-66-ft-19-mm-x-20-1-m-80610833982/i/G604218495/", "https://www.zoro.com/3m-oil-gas-scotch-vinyl-electrical-color-coding-tape-35-white-34-34-in-x-66-ft-19-mm-x-20-1-m-80610833982/i/G604218495/")</f>
        <v/>
      </c>
      <c r="C408" t="inlineStr">
        <is>
          <t>Scotch Vinyl Electrical Color Coding Tape 35-White-3/4, 3/4 In X 66 Ft (19 Mm X 20, 1 M)</t>
        </is>
      </c>
      <c r="D408" t="inlineStr">
        <is>
          <t>Scotch Vinyl Color Coding Electrical Tape 35, 3/4 in x 66 ft, Violet, 10 Rolls/Carton, 100 Rolls/Case</t>
        </is>
      </c>
      <c r="E408" s="1">
        <f>HYPERLINK("https://www.amazon.com/Scotch-Coding-Electrical-Violet-Carton/dp/B01MS4PYIA/ref=sr_1_7?keywords=Scotch+Vinyl+Electrical+Color+Coding+Tape+35-White-3%2F4%2C+3%2F4+In+X+66+Ft+%2819+Mm+X+20%2C+1+M%29&amp;qid=1695348130&amp;sr=8-7", "https://www.amazon.com/Scotch-Coding-Electrical-Violet-Carton/dp/B01MS4PYIA/ref=sr_1_7?keywords=Scotch+Vinyl+Electrical+Color+Coding+Tape+35-White-3%2F4%2C+3%2F4+In+X+66+Ft+%2819+Mm+X+20%2C+1+M%29&amp;qid=1695348130&amp;sr=8-7")</f>
        <v/>
      </c>
      <c r="F408" t="inlineStr">
        <is>
          <t>B01MS4PYIA</t>
        </is>
      </c>
      <c r="G408">
        <f>_xlfn.IMAGE("https://www.zoro.com/static/cms/product/full/AgoNow LLC_scotchxx35xxproxxgradexxvinylxxelectricalxxcolourxxcodingxxtapexxwhitexx91aac1.jpeg")</f>
        <v/>
      </c>
      <c r="H408">
        <f>_xlfn.IMAGE("https://m.media-amazon.com/images/I/71VrVJ4SdnL._AC_UY218_.jpg")</f>
        <v/>
      </c>
      <c r="K408" t="inlineStr">
        <is>
          <t>9.39</t>
        </is>
      </c>
      <c r="L408" t="n">
        <v>94.38</v>
      </c>
      <c r="M408" s="2" t="inlineStr">
        <is>
          <t>905.11%</t>
        </is>
      </c>
      <c r="N408" t="n">
        <v>5</v>
      </c>
      <c r="O408" t="n">
        <v>1</v>
      </c>
      <c r="Q408" t="inlineStr">
        <is>
          <t>InStock</t>
        </is>
      </c>
      <c r="R408" t="inlineStr">
        <is>
          <t>undefined</t>
        </is>
      </c>
      <c r="S408" t="inlineStr">
        <is>
          <t>G604218495</t>
        </is>
      </c>
    </row>
    <row r="409" ht="75" customHeight="1">
      <c r="A409" s="1">
        <f>HYPERLINK("https://www.zoro.com/3m-scotch-blue-painters-tape-for-multi-surfaces-2090-2x60yds-blue-51115-03683/i/G9271449/", "https://www.zoro.com/3m-scotch-blue-painters-tape-for-multi-surfaces-2090-2x60yds-blue-51115-03683/i/G9271449/")</f>
        <v/>
      </c>
      <c r="B409" s="1">
        <f>HYPERLINK("https://www.zoro.com/3m-scotch-blue-painters-tape-for-multi-surfaces-2090-2x60yds-blue-51115-03683/i/G9271449/", "https://www.zoro.com/3m-scotch-blue-painters-tape-for-multi-surfaces-2090-2x60yds-blue-51115-03683/i/G9271449/")</f>
        <v/>
      </c>
      <c r="C409" t="inlineStr">
        <is>
          <t>Scotch-Blue Painters Tape For Multi-Surfaces #2090, 2"X60Yds, Blue</t>
        </is>
      </c>
      <c r="D409" t="inlineStr">
        <is>
          <t>3M Scotch-Blue 2090 Safe-Release Crepe Paper Multi-Surfaces Painters Masking Tape, 27 lbs/in Tensile Strength, 60 yds Length x 2" Width, Blue</t>
        </is>
      </c>
      <c r="E409" s="1">
        <f>HYPERLINK("https://www.amazon.com/3M-Scotch-Blue-Safe-Release-Multi-Surfaces-Painters/dp/B01M0QNRBW/ref=sr_1_2?keywords=Scotch-Blue+Painters+Tape+For+Multi-Surfaces+%232090%2C+2%22X60Yds%2C+Blue&amp;qid=1695347917&amp;sr=8-2", "https://www.amazon.com/3M-Scotch-Blue-Safe-Release-Multi-Surfaces-Painters/dp/B01M0QNRBW/ref=sr_1_2?keywords=Scotch-Blue+Painters+Tape+For+Multi-Surfaces+%232090%2C+2%22X60Yds%2C+Blue&amp;qid=1695347917&amp;sr=8-2")</f>
        <v/>
      </c>
      <c r="F409" t="inlineStr">
        <is>
          <t>B01M0QNRBW</t>
        </is>
      </c>
      <c r="G409">
        <f>_xlfn.IMAGE("https://www.zoro.com/static/cms/product/full/Alliance Distribution Partners LLC_MMM5111503683media01.jpeg")</f>
        <v/>
      </c>
      <c r="H409">
        <f>_xlfn.IMAGE("https://m.media-amazon.com/images/I/71slXRtLEHL._AC_UL320_.jpg")</f>
        <v/>
      </c>
      <c r="K409" t="inlineStr">
        <is>
          <t>10.95</t>
        </is>
      </c>
      <c r="L409" t="n">
        <v>199.99</v>
      </c>
      <c r="M409" s="2" t="inlineStr">
        <is>
          <t>1726.39%</t>
        </is>
      </c>
      <c r="N409" t="n">
        <v>5</v>
      </c>
      <c r="O409" t="n">
        <v>5</v>
      </c>
      <c r="Q409" t="inlineStr">
        <is>
          <t>InStock</t>
        </is>
      </c>
      <c r="R409" t="inlineStr">
        <is>
          <t>19.69</t>
        </is>
      </c>
      <c r="S409" t="inlineStr">
        <is>
          <t>G9271449</t>
        </is>
      </c>
    </row>
    <row r="410" ht="75" customHeight="1">
      <c r="A410" s="1">
        <f>HYPERLINK("https://www.zoro.com/3m-scotch-blue-painters-tape-for-multi-surfaces-2090-2x60yds-blue-51115-03683/i/G9271449/", "https://www.zoro.com/3m-scotch-blue-painters-tape-for-multi-surfaces-2090-2x60yds-blue-51115-03683/i/G9271449/")</f>
        <v/>
      </c>
      <c r="B410" s="1">
        <f>HYPERLINK("https://www.zoro.com/3m-scotch-blue-painters-tape-for-multi-surfaces-2090-2x60yds-blue-51115-03683/i/G9271449/", "https://www.zoro.com/3m-scotch-blue-painters-tape-for-multi-surfaces-2090-2x60yds-blue-51115-03683/i/G9271449/")</f>
        <v/>
      </c>
      <c r="C410" t="inlineStr">
        <is>
          <t>Scotch-Blue Painters Tape For Multi-Surfaces #2090, 2"X60Yds, Blue</t>
        </is>
      </c>
      <c r="D410" t="inlineStr">
        <is>
          <t>ScotchBlue Original Multi-Surface Painter's Tape, 1.88 Inches x 60 Yards, 12 Rolls, Blue, Paint Tape Protects Surfaces and Removes Easily, Multi-Surface Painting Tape for Indoor and Outdoor Use</t>
        </is>
      </c>
      <c r="E410" s="1">
        <f>HYPERLINK("https://www.amazon.com/Scotch-Painters-Tape-2090-48EC-Width/dp/B01IOQVTQA/ref=sr_1_10?keywords=Scotch-Blue+Painters+Tape+For+Multi-Surfaces+%232090%2C+2%22X60Yds%2C+Blue&amp;qid=1695347917&amp;sr=8-10", "https://www.amazon.com/Scotch-Painters-Tape-2090-48EC-Width/dp/B01IOQVTQA/ref=sr_1_10?keywords=Scotch-Blue+Painters+Tape+For+Multi-Surfaces+%232090%2C+2%22X60Yds%2C+Blue&amp;qid=1695347917&amp;sr=8-10")</f>
        <v/>
      </c>
      <c r="F410" t="inlineStr">
        <is>
          <t>B01IOQVTQA</t>
        </is>
      </c>
      <c r="G410">
        <f>_xlfn.IMAGE("https://www.zoro.com/static/cms/product/full/Alliance Distribution Partners LLC_MMM5111503683media01.jpeg")</f>
        <v/>
      </c>
      <c r="H410">
        <f>_xlfn.IMAGE("https://m.media-amazon.com/images/I/81oDj9XylrL._AC_UL320_.jpg")</f>
        <v/>
      </c>
      <c r="K410" t="inlineStr">
        <is>
          <t>10.95</t>
        </is>
      </c>
      <c r="L410" t="n">
        <v>67.97</v>
      </c>
      <c r="M410" s="2" t="inlineStr">
        <is>
          <t>520.73%</t>
        </is>
      </c>
      <c r="N410" t="n">
        <v>4.7</v>
      </c>
      <c r="O410" t="n">
        <v>144</v>
      </c>
      <c r="Q410" t="inlineStr">
        <is>
          <t>InStock</t>
        </is>
      </c>
      <c r="R410" t="inlineStr">
        <is>
          <t>19.69</t>
        </is>
      </c>
      <c r="S410" t="inlineStr">
        <is>
          <t>G9271449</t>
        </is>
      </c>
    </row>
    <row r="411" ht="75" customHeight="1">
      <c r="A411" s="1">
        <f>HYPERLINK("https://www.zoro.com/3m-scotch-blue-painters-tape-for-multi-surfaces-2090-2x60yds-blue-51115-03683/i/G9271449/", "https://www.zoro.com/3m-scotch-blue-painters-tape-for-multi-surfaces-2090-2x60yds-blue-51115-03683/i/G9271449/")</f>
        <v/>
      </c>
      <c r="B411" s="1">
        <f>HYPERLINK("https://www.zoro.com/3m-scotch-blue-painters-tape-for-multi-surfaces-2090-2x60yds-blue-51115-03683/i/G9271449/", "https://www.zoro.com/3m-scotch-blue-painters-tape-for-multi-surfaces-2090-2x60yds-blue-51115-03683/i/G9271449/")</f>
        <v/>
      </c>
      <c r="C411" t="inlineStr">
        <is>
          <t>Scotch-Blue Painters Tape For Multi-Surfaces #2090, 2"X60Yds, Blue</t>
        </is>
      </c>
      <c r="D411" t="inlineStr">
        <is>
          <t>Scotch Painter's Tape Original Multi-Surface Painter's Tape, 1.88 Inches x 60 Yards, 3 Rolls, Blue, Paint Tape Protects Surfaces and Removes Easily, Multi-Surface Painting Tape for Indoor and Outdoor Use</t>
        </is>
      </c>
      <c r="E411" s="1">
        <f>HYPERLINK("https://www.amazon.com/ScotchBlue-Painters-Multi-Use-1-88-Inch-60-Yard/dp/B008WZZ11S/ref=sr_1_6?keywords=Scotch-Blue+Painters+Tape+For+Multi-Surfaces+%232090%2C+2%22X60Yds%2C+Blue&amp;qid=1695347917&amp;sr=8-6", "https://www.amazon.com/ScotchBlue-Painters-Multi-Use-1-88-Inch-60-Yard/dp/B008WZZ11S/ref=sr_1_6?keywords=Scotch-Blue+Painters+Tape+For+Multi-Surfaces+%232090%2C+2%22X60Yds%2C+Blue&amp;qid=1695347917&amp;sr=8-6")</f>
        <v/>
      </c>
      <c r="F411" t="inlineStr">
        <is>
          <t>B008WZZ11S</t>
        </is>
      </c>
      <c r="G411">
        <f>_xlfn.IMAGE("https://www.zoro.com/static/cms/product/full/Alliance Distribution Partners LLC_MMM5111503683media01.jpeg")</f>
        <v/>
      </c>
      <c r="H411">
        <f>_xlfn.IMAGE("https://m.media-amazon.com/images/I/81tgF6kGlaL._AC_UL320_.jpg")</f>
        <v/>
      </c>
      <c r="K411" t="inlineStr">
        <is>
          <t>10.95</t>
        </is>
      </c>
      <c r="L411" t="n">
        <v>18.77</v>
      </c>
      <c r="M411" s="2" t="inlineStr">
        <is>
          <t>71.42%</t>
        </is>
      </c>
      <c r="N411" t="n">
        <v>4.8</v>
      </c>
      <c r="O411" t="n">
        <v>1193</v>
      </c>
      <c r="Q411" t="inlineStr">
        <is>
          <t>InStock</t>
        </is>
      </c>
      <c r="R411" t="inlineStr">
        <is>
          <t>19.69</t>
        </is>
      </c>
      <c r="S411" t="inlineStr">
        <is>
          <t>G9271449</t>
        </is>
      </c>
    </row>
    <row r="412" ht="75" customHeight="1">
      <c r="A412" s="1">
        <f>HYPERLINK("https://www.zoro.com/3m-scotch-fine-line-tape-218-green-2-in-x-60-yd-50-mil-7000028860/i/G104219909/", "https://www.zoro.com/3m-scotch-fine-line-tape-218-green-2-in-x-60-yd-50-mil-7000028860/i/G104219909/")</f>
        <v/>
      </c>
      <c r="B412" s="1">
        <f>HYPERLINK("https://www.zoro.com/3m-scotch-fine-line-tape-218-green-2-in-x-60-yd-50-mil-7000028860/i/G104219909/", "https://www.zoro.com/3m-scotch-fine-line-tape-218-green-2-in-x-60-yd-50-mil-7000028860/i/G104219909/")</f>
        <v/>
      </c>
      <c r="C412" t="inlineStr">
        <is>
          <t>Scotch Fine Line Tape 218, Green, 2 In X 60 Yd, 5.0 Mil</t>
        </is>
      </c>
      <c r="D412" t="inlineStr">
        <is>
          <t>3M TALC Scotch Fine Line Tape 218, High-Performance, Polypropylene Plastic, Instant Adhesion, Moisture and Solvent Resistant, Green Color, 1 in x 60 yd, 5.0 mil, 36/Case</t>
        </is>
      </c>
      <c r="E412" s="1">
        <f>HYPERLINK("https://www.amazon.com/Scotch-High-Performance-Polypropylene-Adhesion-Resistant/dp/B01GJ68J42/ref=sr_1_5?keywords=Scotch+Fine+Line+Tape+218%2C+Green%2C+2+In+X+60+Yd%2C+5.0+Mil&amp;qid=1695348054&amp;sr=8-5", "https://www.amazon.com/Scotch-High-Performance-Polypropylene-Adhesion-Resistant/dp/B01GJ68J42/ref=sr_1_5?keywords=Scotch+Fine+Line+Tape+218%2C+Green%2C+2+In+X+60+Yd%2C+5.0+Mil&amp;qid=1695348054&amp;sr=8-5")</f>
        <v/>
      </c>
      <c r="F412" t="inlineStr">
        <is>
          <t>B01GJ68J42</t>
        </is>
      </c>
      <c r="G412">
        <f>_xlfn.IMAGE("https://www.zoro.com/static/cms/product/full/AgoNow LLC_c874865f90c10d03f130e558817959a61350cc71xxc94479.jpeg")</f>
        <v/>
      </c>
      <c r="H412">
        <f>_xlfn.IMAGE("https://m.media-amazon.com/images/I/61QmDzvckCL._AC_UL320_.jpg")</f>
        <v/>
      </c>
      <c r="K412" t="inlineStr">
        <is>
          <t>59.69</t>
        </is>
      </c>
      <c r="L412" t="n">
        <v>907.2</v>
      </c>
      <c r="M412" s="2" t="inlineStr">
        <is>
          <t>1419.85%</t>
        </is>
      </c>
      <c r="N412" t="n">
        <v>5</v>
      </c>
      <c r="O412" t="n">
        <v>1</v>
      </c>
      <c r="Q412" t="inlineStr">
        <is>
          <t>OutOfStock</t>
        </is>
      </c>
      <c r="R412" t="inlineStr">
        <is>
          <t>undefined</t>
        </is>
      </c>
      <c r="S412" t="inlineStr">
        <is>
          <t>G104219909</t>
        </is>
      </c>
    </row>
    <row r="413" ht="75" customHeight="1">
      <c r="A413" s="1">
        <f>HYPERLINK("https://www.zoro.com/3m-scotch-general-purpose-masking-tape-34-4502/i/G4748925/", "https://www.zoro.com/3m-scotch-general-purpose-masking-tape-34-4502/i/G4748925/")</f>
        <v/>
      </c>
      <c r="B413" s="1">
        <f>HYPERLINK("https://www.zoro.com/3m-scotch-general-purpose-masking-tape-34-4502/i/G4748925/", "https://www.zoro.com/3m-scotch-general-purpose-masking-tape-34-4502/i/G4748925/")</f>
        <v/>
      </c>
      <c r="C413" t="inlineStr">
        <is>
          <t>Scotch General Purpose Masking Tape 3/4"</t>
        </is>
      </c>
      <c r="D413" t="inlineStr">
        <is>
          <t>Scotch General-Purpose Masking Tape, 2 Inches x 60 Yards, 3-Inch Core, Natural (234-2)</t>
        </is>
      </c>
      <c r="E413" s="1">
        <f>HYPERLINK("https://www.amazon.com/Scotch-General-Purpose-Masking-Natural-234-2/dp/B00006IF6Q/ref=sr_1_9?keywords=Scotch+General+Purpose+Masking+Tape+3%2F4%22&amp;qid=1695348023&amp;sr=8-9", "https://www.amazon.com/Scotch-General-Purpose-Masking-Natural-234-2/dp/B00006IF6Q/ref=sr_1_9?keywords=Scotch+General+Purpose+Masking+Tape+3%2F4%22&amp;qid=1695348023&amp;sr=8-9")</f>
        <v/>
      </c>
      <c r="F413" t="inlineStr">
        <is>
          <t>B00006IF6Q</t>
        </is>
      </c>
      <c r="G413">
        <f>_xlfn.IMAGE("https://www.zoro.com/static/cms/product/full/Jacks Inc_4502L26500fe9.jpg")</f>
        <v/>
      </c>
      <c r="H413">
        <f>_xlfn.IMAGE("https://m.media-amazon.com/images/I/51i3vXLNTkL._AC_UL320_.jpg")</f>
        <v/>
      </c>
      <c r="K413" t="inlineStr">
        <is>
          <t>3.89</t>
        </is>
      </c>
      <c r="L413" t="n">
        <v>19.87</v>
      </c>
      <c r="M413" s="2" t="inlineStr">
        <is>
          <t>410.80%</t>
        </is>
      </c>
      <c r="N413" t="n">
        <v>4.2</v>
      </c>
      <c r="O413" t="n">
        <v>28</v>
      </c>
      <c r="Q413" t="inlineStr">
        <is>
          <t>InStock</t>
        </is>
      </c>
      <c r="R413" t="inlineStr">
        <is>
          <t>undefined</t>
        </is>
      </c>
      <c r="S413" t="inlineStr">
        <is>
          <t>G4748925</t>
        </is>
      </c>
    </row>
    <row r="414" ht="75" customHeight="1">
      <c r="A414" s="1">
        <f>HYPERLINK("https://www.zoro.com/3m-scotch-high-performance-green-masking-tape-401-233-36-mmx55-m-51115-64762/i/G9273174/", "https://www.zoro.com/3m-scotch-high-performance-green-masking-tape-401-233-36-mmx55-m-51115-64762/i/G9273174/")</f>
        <v/>
      </c>
      <c r="B414" s="1">
        <f>HYPERLINK("https://www.zoro.com/3m-scotch-high-performance-green-masking-tape-401-233-36-mmx55-m-51115-64762/i/G9273174/", "https://www.zoro.com/3m-scotch-high-performance-green-masking-tape-401-233-36-mmx55-m-51115-64762/i/G9273174/")</f>
        <v/>
      </c>
      <c r="C414" t="inlineStr">
        <is>
          <t>Scotch High Performance Green Masking Tape 401+ 233+, 36 Mmx55 M</t>
        </is>
      </c>
      <c r="D414" t="inlineStr">
        <is>
          <t>3M 401+ Scotch High Performance Green Masking Tape: 2 in. (48mm actual) x 60 yds. (Green)</t>
        </is>
      </c>
      <c r="E414" s="1">
        <f>HYPERLINK("https://www.amazon.com/3M-Scotch-401-Performance-Masking/dp/B079325SZX/ref=sr_1_5?keywords=Scotch+High+Performance+Green+Masking+Tape+401%2B+233%2B%2C+36+Mmx55+M&amp;qid=1695347960&amp;sr=8-5", "https://www.amazon.com/3M-Scotch-401-Performance-Masking/dp/B079325SZX/ref=sr_1_5?keywords=Scotch+High+Performance+Green+Masking+Tape+401%2B+233%2B%2C+36+Mmx55+M&amp;qid=1695347960&amp;sr=8-5")</f>
        <v/>
      </c>
      <c r="F414" t="inlineStr">
        <is>
          <t>B079325SZX</t>
        </is>
      </c>
      <c r="G414">
        <f>_xlfn.IMAGE("https://www.zoro.com/static/cms/product/full/Alliance Distribution Partners LLC_MMM5111564762media01.jpeg")</f>
        <v/>
      </c>
      <c r="H414">
        <f>_xlfn.IMAGE("https://m.media-amazon.com/images/I/61jdKbc1lxL._AC_UL320_.jpg")</f>
        <v/>
      </c>
      <c r="K414" t="inlineStr">
        <is>
          <t>16.19</t>
        </is>
      </c>
      <c r="L414" t="n">
        <v>27.78</v>
      </c>
      <c r="M414" s="2" t="inlineStr">
        <is>
          <t>71.59%</t>
        </is>
      </c>
      <c r="N414" t="n">
        <v>5</v>
      </c>
      <c r="O414" t="n">
        <v>4</v>
      </c>
      <c r="Q414" t="inlineStr">
        <is>
          <t>InStock</t>
        </is>
      </c>
      <c r="R414" t="inlineStr">
        <is>
          <t>undefined</t>
        </is>
      </c>
      <c r="S414" t="inlineStr">
        <is>
          <t>G9273174</t>
        </is>
      </c>
    </row>
    <row r="415" ht="75" customHeight="1">
      <c r="A415" s="1">
        <f>HYPERLINK("https://www.zoro.com/3m-scotch-linerless-rubber-splicing-tape-130c-34-in-x-30-ft-black-7000006085/i/G503444896/", "https://www.zoro.com/3m-scotch-linerless-rubber-splicing-tape-130c-34-in-x-30-ft-black-7000006085/i/G503444896/")</f>
        <v/>
      </c>
      <c r="B415" s="1">
        <f>HYPERLINK("https://www.zoro.com/3m-scotch-linerless-rubber-splicing-tape-130c-34-in-x-30-ft-black-7000006085/i/G503444896/", "https://www.zoro.com/3m-scotch-linerless-rubber-splicing-tape-130c-34-in-x-30-ft-black-7000006085/i/G503444896/")</f>
        <v/>
      </c>
      <c r="C415" t="inlineStr">
        <is>
          <t>Scotch Linerless Rubber Splicing Tape 130C, 3/4 in x 30 ft, Black</t>
        </is>
      </c>
      <c r="D415" t="inlineStr">
        <is>
          <t>3M Scotch Rubber Splicing Tape 23, 1-1/2 in x 30 ft, Black, Self-Fusing (EPR based) Rubber Electrical Insulating Tape, 1 roll</t>
        </is>
      </c>
      <c r="E415" s="1">
        <f>HYPERLINK("https://www.amazon.com/Scotch-Electrical-Tape-23-30/dp/B000V4OS3A/ref=sr_1_4?keywords=Scotch+Linerless+Rubber+Splicing+Tape+130C%2C+3%2F4+in+x+30+ft%2C+Black&amp;qid=1695348121&amp;sr=8-4", "https://www.amazon.com/Scotch-Electrical-Tape-23-30/dp/B000V4OS3A/ref=sr_1_4?keywords=Scotch+Linerless+Rubber+Splicing+Tape+130C%2C+3%2F4+in+x+30+ft%2C+Black&amp;qid=1695348121&amp;sr=8-4")</f>
        <v/>
      </c>
      <c r="F415" t="inlineStr">
        <is>
          <t>B000V4OS3A</t>
        </is>
      </c>
      <c r="G415">
        <f>_xlfn.IMAGE("https://www.zoro.com/static/cms/product/full/AgoNow LLC_b4f160b6e441d8ca61262ebc19cee442ad62c8edxxcb092f.jpeg")</f>
        <v/>
      </c>
      <c r="H415">
        <f>_xlfn.IMAGE("https://m.media-amazon.com/images/I/71+JRbg+tUL._AC_UY218_.jpg")</f>
        <v/>
      </c>
      <c r="K415" t="inlineStr">
        <is>
          <t>23.15</t>
        </is>
      </c>
      <c r="L415" t="n">
        <v>46.79</v>
      </c>
      <c r="M415" s="2" t="inlineStr">
        <is>
          <t>102.12%</t>
        </is>
      </c>
      <c r="N415" t="n">
        <v>4.2</v>
      </c>
      <c r="O415" t="n">
        <v>40</v>
      </c>
      <c r="Q415" t="inlineStr">
        <is>
          <t>InStock</t>
        </is>
      </c>
      <c r="R415" t="inlineStr">
        <is>
          <t>undefined</t>
        </is>
      </c>
      <c r="S415" t="inlineStr">
        <is>
          <t>G503444896</t>
        </is>
      </c>
    </row>
    <row r="416" ht="75" customHeight="1">
      <c r="A416" s="1">
        <f>HYPERLINK("https://www.zoro.com/3m-scotch-linerless-rubber-splicing-tape-130c-34-in-x-30-ft-black-7000006085/i/G503444896/", "https://www.zoro.com/3m-scotch-linerless-rubber-splicing-tape-130c-34-in-x-30-ft-black-7000006085/i/G503444896/")</f>
        <v/>
      </c>
      <c r="B416" s="1">
        <f>HYPERLINK("https://www.zoro.com/3m-scotch-linerless-rubber-splicing-tape-130c-34-in-x-30-ft-black-7000006085/i/G503444896/", "https://www.zoro.com/3m-scotch-linerless-rubber-splicing-tape-130c-34-in-x-30-ft-black-7000006085/i/G503444896/")</f>
        <v/>
      </c>
      <c r="C416" t="inlineStr">
        <is>
          <t>Scotch Linerless Rubber Splicing Tape 130C, 3/4 in x 30 ft, Black</t>
        </is>
      </c>
      <c r="D416" t="inlineStr">
        <is>
          <t>3M Scotch Rubber Splicing Tape 23, 1-1/2 in x 30 ft, Black, Self-Fusing (EPR based) Rubber Electrical Insulating Tape, 1 roll</t>
        </is>
      </c>
      <c r="E416" s="1">
        <f>HYPERLINK("https://www.amazon.com/Scotch-Electrical-Tape-23-30/dp/B000V4OS3A/ref=sr_1_4?keywords=Scotch+Linerless+Rubber+Splicing+Tape+130C%2C+3%2F4+in+x+30+ft%2C+Black&amp;qid=1695348121&amp;sr=8-4", "https://www.amazon.com/Scotch-Electrical-Tape-23-30/dp/B000V4OS3A/ref=sr_1_4?keywords=Scotch+Linerless+Rubber+Splicing+Tape+130C%2C+3%2F4+in+x+30+ft%2C+Black&amp;qid=1695348121&amp;sr=8-4")</f>
        <v/>
      </c>
      <c r="F416" t="inlineStr">
        <is>
          <t>B000V4OS3A</t>
        </is>
      </c>
      <c r="G416">
        <f>_xlfn.IMAGE("https://www.zoro.com/static/cms/product/full/AgoNow LLC_b4f160b6e441d8ca61262ebc19cee442ad62c8edxxcb092f.jpeg")</f>
        <v/>
      </c>
      <c r="H416">
        <f>_xlfn.IMAGE("https://m.media-amazon.com/images/I/71+JRbg+tUL._AC_UY218_.jpg")</f>
        <v/>
      </c>
      <c r="K416" t="inlineStr">
        <is>
          <t>23.15</t>
        </is>
      </c>
      <c r="L416" t="n">
        <v>46.79</v>
      </c>
      <c r="M416" s="2" t="inlineStr">
        <is>
          <t>102.12%</t>
        </is>
      </c>
      <c r="N416" t="n">
        <v>4.2</v>
      </c>
      <c r="O416" t="n">
        <v>40</v>
      </c>
      <c r="Q416" t="inlineStr">
        <is>
          <t>InStock</t>
        </is>
      </c>
      <c r="R416" t="inlineStr">
        <is>
          <t>undefined</t>
        </is>
      </c>
      <c r="S416" t="inlineStr">
        <is>
          <t>G503444896</t>
        </is>
      </c>
    </row>
    <row r="417" ht="75" customHeight="1">
      <c r="A417" s="1">
        <f>HYPERLINK("https://www.zoro.com/3m-scotch-ultimate-paint-edge-masking-tape-2460-gold-1-in-x-60-yd-33-mil-7100141030/i/G004219832/", "https://www.zoro.com/3m-scotch-ultimate-paint-edge-masking-tape-2460-gold-1-in-x-60-yd-33-mil-7100141030/i/G004219832/")</f>
        <v/>
      </c>
      <c r="B417" s="1">
        <f>HYPERLINK("https://www.zoro.com/3m-scotch-ultimate-paint-edge-masking-tape-2460-gold-1-in-x-60-yd-33-mil-7100141030/i/G004219832/", "https://www.zoro.com/3m-scotch-ultimate-paint-edge-masking-tape-2460-gold-1-in-x-60-yd-33-mil-7100141030/i/G004219832/")</f>
        <v/>
      </c>
      <c r="C417" t="inlineStr">
        <is>
          <t>Scotch Ultimate Paint Edge Masking Tape 2460, Gold, 1 In X 60 Yd, 3.3 Mil</t>
        </is>
      </c>
      <c r="D417" t="inlineStr">
        <is>
          <t>Scotch Ultimate Paint Edge Masking Tape 2460, Gold, 1/2 in x 60 yd, 3.3 mil, 72 per case</t>
        </is>
      </c>
      <c r="E417" s="1">
        <f>HYPERLINK("https://www.amazon.com/Scotch-91672-case-Ultimate-Paint-Masking/dp/B071FR31XB/ref=sr_1_3?keywords=Scotch+Ultimate+Paint+Edge+Masking+Tape+2460%2C+Gold%2C+1+In+X+60+Yd%2C+3.3+Mil&amp;qid=1695347937&amp;sr=8-3", "https://www.amazon.com/Scotch-91672-case-Ultimate-Paint-Masking/dp/B071FR31XB/ref=sr_1_3?keywords=Scotch+Ultimate+Paint+Edge+Masking+Tape+2460%2C+Gold%2C+1+In+X+60+Yd%2C+3.3+Mil&amp;qid=1695347937&amp;sr=8-3")</f>
        <v/>
      </c>
      <c r="F417" t="inlineStr">
        <is>
          <t>B071FR31XB</t>
        </is>
      </c>
      <c r="G417">
        <f>_xlfn.IMAGE("https://www.zoro.com/static/cms/product/full/AgoNow LLC_3MIxx05111191928xx1xx9da40b.jpeg")</f>
        <v/>
      </c>
      <c r="H417">
        <f>_xlfn.IMAGE("https://m.media-amazon.com/images/I/81FJn8F8qTL._AC_UL320_.jpg")</f>
        <v/>
      </c>
      <c r="K417" t="inlineStr">
        <is>
          <t>12.05</t>
        </is>
      </c>
      <c r="L417" t="n">
        <v>456.18</v>
      </c>
      <c r="M417" s="2" t="inlineStr">
        <is>
          <t>3685.73%</t>
        </is>
      </c>
      <c r="N417" t="n">
        <v>5</v>
      </c>
      <c r="O417" t="n">
        <v>1</v>
      </c>
      <c r="Q417" t="inlineStr">
        <is>
          <t>InStock</t>
        </is>
      </c>
      <c r="R417" t="inlineStr">
        <is>
          <t>undefined</t>
        </is>
      </c>
      <c r="S417" t="inlineStr">
        <is>
          <t>G004219832</t>
        </is>
      </c>
    </row>
    <row r="418" ht="75" customHeight="1">
      <c r="A418" s="1">
        <f>HYPERLINK("https://www.zoro.com/3m-scotch-ultimate-paint-edge-masking-tape-2460-gold-1-in-x-60-yd-33-mil-7100141030/i/G004219832/", "https://www.zoro.com/3m-scotch-ultimate-paint-edge-masking-tape-2460-gold-1-in-x-60-yd-33-mil-7100141030/i/G004219832/")</f>
        <v/>
      </c>
      <c r="B418" s="1">
        <f>HYPERLINK("https://www.zoro.com/3m-scotch-ultimate-paint-edge-masking-tape-2460-gold-1-in-x-60-yd-33-mil-7100141030/i/G004219832/", "https://www.zoro.com/3m-scotch-ultimate-paint-edge-masking-tape-2460-gold-1-in-x-60-yd-33-mil-7100141030/i/G004219832/")</f>
        <v/>
      </c>
      <c r="C418" t="inlineStr">
        <is>
          <t>Scotch Ultimate Paint Edge Masking Tape 2460, Gold, 1 In X 60 Yd, 3.3 Mil</t>
        </is>
      </c>
      <c r="D418" t="inlineStr">
        <is>
          <t>Scotch Ultimate Paint Edge Masking Tape 2460, Gold, 2 in x 60 yd, 3.3 mil</t>
        </is>
      </c>
      <c r="E418" s="1">
        <f>HYPERLINK("https://www.amazon.com/Scotch-Ultimate-Paint-Edge-Masking/dp/B071FRJ7NS/ref=sr_1_2?keywords=Scotch+Ultimate+Paint+Edge+Masking+Tape+2460%2C+Gold%2C+1+In+X+60+Yd%2C+3.3+Mil&amp;qid=1695347937&amp;sr=8-2", "https://www.amazon.com/Scotch-Ultimate-Paint-Edge-Masking/dp/B071FRJ7NS/ref=sr_1_2?keywords=Scotch+Ultimate+Paint+Edge+Masking+Tape+2460%2C+Gold%2C+1+In+X+60+Yd%2C+3.3+Mil&amp;qid=1695347937&amp;sr=8-2")</f>
        <v/>
      </c>
      <c r="F418" t="inlineStr">
        <is>
          <t>B071FRJ7NS</t>
        </is>
      </c>
      <c r="G418">
        <f>_xlfn.IMAGE("https://www.zoro.com/static/cms/product/full/AgoNow LLC_3MIxx05111191928xx1xx9da40b.jpeg")</f>
        <v/>
      </c>
      <c r="H418">
        <f>_xlfn.IMAGE("https://m.media-amazon.com/images/I/71CAyHiHEzL._AC_UL320_.jpg")</f>
        <v/>
      </c>
      <c r="K418" t="inlineStr">
        <is>
          <t>12.05</t>
        </is>
      </c>
      <c r="L418" t="n">
        <v>32.28</v>
      </c>
      <c r="M418" s="2" t="inlineStr">
        <is>
          <t>167.88%</t>
        </is>
      </c>
      <c r="N418" t="n">
        <v>5</v>
      </c>
      <c r="O418" t="n">
        <v>2</v>
      </c>
      <c r="Q418" t="inlineStr">
        <is>
          <t>InStock</t>
        </is>
      </c>
      <c r="R418" t="inlineStr">
        <is>
          <t>undefined</t>
        </is>
      </c>
      <c r="S418" t="inlineStr">
        <is>
          <t>G004219832</t>
        </is>
      </c>
    </row>
    <row r="419" ht="75" customHeight="1">
      <c r="A419" s="1">
        <f>HYPERLINK("https://www.zoro.com/3m-tape-applicatortape-ta3-sb-esf/i/G007050043/", "https://www.zoro.com/3m-tape-applicatortape-ta3-sb-esf/i/G007050043/")</f>
        <v/>
      </c>
      <c r="B419" s="1">
        <f>HYPERLINK("https://www.zoro.com/3m-tape-applicatortape-ta3-sb-esf/i/G007050043/", "https://www.zoro.com/3m-tape-applicatortape-ta3-sb-esf/i/G007050043/")</f>
        <v/>
      </c>
      <c r="C419" t="inlineStr">
        <is>
          <t>Tape Applicator/Tape</t>
        </is>
      </c>
      <c r="D419" t="inlineStr">
        <is>
          <t>Vestil TPA-10 Steel Economy Floor Tape Applicator, 6"-1/2" Maximum Roll Diameter, 1"- 4" Tape Width</t>
        </is>
      </c>
      <c r="E419" s="1">
        <f>HYPERLINK("https://www.amazon.com/Vestil-TPA-10-Economy-Applicator-Diameter/dp/B0027Y94FE/ref=sr_1_6?keywords=Tape+Applicator%2FTape&amp;qid=1695347997&amp;sr=8-6", "https://www.amazon.com/Vestil-TPA-10-Economy-Applicator-Diameter/dp/B0027Y94FE/ref=sr_1_6?keywords=Tape+Applicator%2FTape&amp;qid=1695347997&amp;sr=8-6")</f>
        <v/>
      </c>
      <c r="F419" t="inlineStr">
        <is>
          <t>B0027Y94FE</t>
        </is>
      </c>
      <c r="G419">
        <f>_xlfn.IMAGE("https://www.zoro.com/static/cms/product/full/Promax Supply dba Acktify_ACK204831xxad1c4c.jpeg")</f>
        <v/>
      </c>
      <c r="H419">
        <f>_xlfn.IMAGE("https://m.media-amazon.com/images/I/61VJAv4Y2YL._AC_UL320_.jpg")</f>
        <v/>
      </c>
      <c r="K419" t="inlineStr">
        <is>
          <t>17.85</t>
        </is>
      </c>
      <c r="L419" t="n">
        <v>108.98</v>
      </c>
      <c r="M419" s="2" t="inlineStr">
        <is>
          <t>510.53%</t>
        </is>
      </c>
      <c r="N419" t="n">
        <v>4</v>
      </c>
      <c r="O419" t="n">
        <v>20</v>
      </c>
      <c r="Q419" t="inlineStr">
        <is>
          <t>InStock</t>
        </is>
      </c>
      <c r="R419" t="inlineStr">
        <is>
          <t>undefined</t>
        </is>
      </c>
      <c r="S419" t="inlineStr">
        <is>
          <t>G007050043</t>
        </is>
      </c>
    </row>
    <row r="420" ht="75" customHeight="1">
      <c r="A420" s="1">
        <f>HYPERLINK("https://www.zoro.com/3m-vinyl-tape-2-x-36-yd-yellow-764/i/G1961659/", "https://www.zoro.com/3m-vinyl-tape-2-x-36-yd-yellow-764/i/G1961659/")</f>
        <v/>
      </c>
      <c r="B420" s="1">
        <f>HYPERLINK("https://www.zoro.com/3m-vinyl-tape-2-x-36-yd-yellow-764/i/G1961659/", "https://www.zoro.com/3m-vinyl-tape-2-x-36-yd-yellow-764/i/G1961659/")</f>
        <v/>
      </c>
      <c r="C420" t="inlineStr">
        <is>
          <t>Vinyl Tape, 2" x 36 yd., Yellow</t>
        </is>
      </c>
      <c r="D420" t="inlineStr">
        <is>
          <t>3M TALC Vinyl Tape 471, 2 in x 36 yd, Yellow, 1 Roll, Yellow Floor Tape, Paint Alternative for Floor Marking, Social Distancing, Color Coding, Safety Marking</t>
        </is>
      </c>
      <c r="E420" s="1">
        <f>HYPERLINK("https://www.amazon.com/3M-Vinyl-Yellow-Conveniently-Packaged/dp/B00AQ2AB4W/ref=sr_1_8?keywords=Vinyl+Tape%2C+2%22+x+36+yd.%2C+Yellow&amp;qid=1695348118&amp;sr=8-8", "https://www.amazon.com/3M-Vinyl-Yellow-Conveniently-Packaged/dp/B00AQ2AB4W/ref=sr_1_8?keywords=Vinyl+Tape%2C+2%22+x+36+yd.%2C+Yellow&amp;qid=1695348118&amp;sr=8-8")</f>
        <v/>
      </c>
      <c r="F420" t="inlineStr">
        <is>
          <t>B00AQ2AB4W</t>
        </is>
      </c>
      <c r="G420">
        <f>_xlfn.IMAGE("https://www.zoro.com/static/cms/product/full/Z2wNF_mcpIx_.JPG")</f>
        <v/>
      </c>
      <c r="H420">
        <f>_xlfn.IMAGE("https://m.media-amazon.com/images/I/617xClhrStL._AC_UY218_.jpg")</f>
        <v/>
      </c>
      <c r="K420" t="inlineStr">
        <is>
          <t>8.35</t>
        </is>
      </c>
      <c r="L420" t="n">
        <v>46.71</v>
      </c>
      <c r="M420" s="2" t="inlineStr">
        <is>
          <t>459.40%</t>
        </is>
      </c>
      <c r="N420" t="n">
        <v>3.8</v>
      </c>
      <c r="O420" t="n">
        <v>30</v>
      </c>
      <c r="Q420" t="inlineStr">
        <is>
          <t>InStock</t>
        </is>
      </c>
      <c r="R420" t="inlineStr">
        <is>
          <t>undefined</t>
        </is>
      </c>
      <c r="S420" t="inlineStr">
        <is>
          <t>G1961659</t>
        </is>
      </c>
    </row>
    <row r="421" ht="75" customHeight="1">
      <c r="A421" s="1">
        <f>HYPERLINK("https://www.zoro.com/3m-vinyl-tape-2-x-36-yd-yellow-764/i/G1961659/", "https://www.zoro.com/3m-vinyl-tape-2-x-36-yd-yellow-764/i/G1961659/")</f>
        <v/>
      </c>
      <c r="B421" s="1">
        <f>HYPERLINK("https://www.zoro.com/3m-vinyl-tape-2-x-36-yd-yellow-764/i/G1961659/", "https://www.zoro.com/3m-vinyl-tape-2-x-36-yd-yellow-764/i/G1961659/")</f>
        <v/>
      </c>
      <c r="C421" t="inlineStr">
        <is>
          <t>Vinyl Tape, 2" x 36 yd., Yellow</t>
        </is>
      </c>
      <c r="D421" t="inlineStr">
        <is>
          <t>3M Vinyl Tape 471, 2 in x 36 yd, Yellow, 1 Roll, Yellow Floor Tape, Paint Alternative for Floor Marking, Social Distancing, Color Coding, Safety Marking</t>
        </is>
      </c>
      <c r="E421" s="1">
        <f>HYPERLINK("https://www.amazon.com/3M-Vinyl-Tape-Yellow-Pack/dp/B009KWGR1U/ref=sr_1_1?keywords=Vinyl+Tape%2C+2%22+x+36+yd.%2C+Yellow&amp;qid=1695348118&amp;sr=8-1", "https://www.amazon.com/3M-Vinyl-Tape-Yellow-Pack/dp/B009KWGR1U/ref=sr_1_1?keywords=Vinyl+Tape%2C+2%22+x+36+yd.%2C+Yellow&amp;qid=1695348118&amp;sr=8-1")</f>
        <v/>
      </c>
      <c r="F421" t="inlineStr">
        <is>
          <t>B009KWGR1U</t>
        </is>
      </c>
      <c r="G421">
        <f>_xlfn.IMAGE("https://www.zoro.com/static/cms/product/full/Z2wNF_mcpIx_.JPG")</f>
        <v/>
      </c>
      <c r="H421">
        <f>_xlfn.IMAGE("https://m.media-amazon.com/images/I/71E3MrLLcxL._AC_UY218_.jpg")</f>
        <v/>
      </c>
      <c r="K421" t="inlineStr">
        <is>
          <t>8.35</t>
        </is>
      </c>
      <c r="L421" t="n">
        <v>26.99</v>
      </c>
      <c r="M421" s="2" t="inlineStr">
        <is>
          <t>223.23%</t>
        </is>
      </c>
      <c r="N421" t="n">
        <v>4.3</v>
      </c>
      <c r="O421" t="n">
        <v>42</v>
      </c>
      <c r="Q421" t="inlineStr">
        <is>
          <t>InStock</t>
        </is>
      </c>
      <c r="R421" t="inlineStr">
        <is>
          <t>undefined</t>
        </is>
      </c>
      <c r="S421" t="inlineStr">
        <is>
          <t>G1961659</t>
        </is>
      </c>
    </row>
    <row r="422" ht="75" customHeight="1">
      <c r="A422" s="1">
        <f>HYPERLINK("https://www.zoro.com/3m-vinyl-tape-2-x-36-yd-yellow-764/i/G1961659/", "https://www.zoro.com/3m-vinyl-tape-2-x-36-yd-yellow-764/i/G1961659/")</f>
        <v/>
      </c>
      <c r="B422" s="1">
        <f>HYPERLINK("https://www.zoro.com/3m-vinyl-tape-2-x-36-yd-yellow-764/i/G1961659/", "https://www.zoro.com/3m-vinyl-tape-2-x-36-yd-yellow-764/i/G1961659/")</f>
        <v/>
      </c>
      <c r="C422" t="inlineStr">
        <is>
          <t>Vinyl Tape, 2" x 36 yd., Yellow</t>
        </is>
      </c>
      <c r="D422" t="inlineStr">
        <is>
          <t>3M Vinyl Tape 764, General Purpose, 3 in x 36 yd, Yellow, 1 Roll, Light Traffic Floor Marking Tape, Social Distancing, Color Coding, Safety, Bundling</t>
        </is>
      </c>
      <c r="E422" s="1">
        <f>HYPERLINK("https://www.amazon.com/3M-General-Purpose-764-Yellow/dp/B000SPSEV4/ref=sr_1_4?keywords=Vinyl+Tape%2C+2%22+x+36+yd.%2C+Yellow&amp;qid=1695348118&amp;sr=8-4", "https://www.amazon.com/3M-General-Purpose-764-Yellow/dp/B000SPSEV4/ref=sr_1_4?keywords=Vinyl+Tape%2C+2%22+x+36+yd.%2C+Yellow&amp;qid=1695348118&amp;sr=8-4")</f>
        <v/>
      </c>
      <c r="F422" t="inlineStr">
        <is>
          <t>B000SPSEV4</t>
        </is>
      </c>
      <c r="G422">
        <f>_xlfn.IMAGE("https://www.zoro.com/static/cms/product/full/Z2wNF_mcpIx_.JPG")</f>
        <v/>
      </c>
      <c r="H422">
        <f>_xlfn.IMAGE("https://m.media-amazon.com/images/I/81psoApEFaL._AC_UY218_.jpg")</f>
        <v/>
      </c>
      <c r="K422" t="inlineStr">
        <is>
          <t>8.35</t>
        </is>
      </c>
      <c r="L422" t="n">
        <v>20.54</v>
      </c>
      <c r="M422" s="2" t="inlineStr">
        <is>
          <t>145.99%</t>
        </is>
      </c>
      <c r="N422" t="n">
        <v>4.3</v>
      </c>
      <c r="O422" t="n">
        <v>152</v>
      </c>
      <c r="Q422" t="inlineStr">
        <is>
          <t>InStock</t>
        </is>
      </c>
      <c r="R422" t="inlineStr">
        <is>
          <t>undefined</t>
        </is>
      </c>
      <c r="S422" t="inlineStr">
        <is>
          <t>G1961659</t>
        </is>
      </c>
    </row>
    <row r="423" ht="75" customHeight="1">
      <c r="A423" s="1">
        <f>HYPERLINK("https://www.zoro.com/3m-vinyl-tape-2-x-36-yd-yellow-764/i/G1961659/", "https://www.zoro.com/3m-vinyl-tape-2-x-36-yd-yellow-764/i/G1961659/")</f>
        <v/>
      </c>
      <c r="B423" s="1">
        <f>HYPERLINK("https://www.zoro.com/3m-vinyl-tape-2-x-36-yd-yellow-764/i/G1961659/", "https://www.zoro.com/3m-vinyl-tape-2-x-36-yd-yellow-764/i/G1961659/")</f>
        <v/>
      </c>
      <c r="C423" t="inlineStr">
        <is>
          <t>Vinyl Tape, 2" x 36 yd., Yellow</t>
        </is>
      </c>
      <c r="D423" t="inlineStr">
        <is>
          <t>3M Vinyl Tape 764, General Purpose, 3 in x 36 yd, Yellow, 1 Roll, Light Traffic Floor Marking Tape, Social Distancing, Color Coding, Safety, Bundling</t>
        </is>
      </c>
      <c r="E423" s="1">
        <f>HYPERLINK("https://www.amazon.com/3M-General-Purpose-764-Yellow/dp/B000SPSEV4/ref=sr_1_4?keywords=Vinyl+Tape%2C+2%22+x+36+yd.%2C+Yellow&amp;qid=1695348118&amp;sr=8-4", "https://www.amazon.com/3M-General-Purpose-764-Yellow/dp/B000SPSEV4/ref=sr_1_4?keywords=Vinyl+Tape%2C+2%22+x+36+yd.%2C+Yellow&amp;qid=1695348118&amp;sr=8-4")</f>
        <v/>
      </c>
      <c r="F423" t="inlineStr">
        <is>
          <t>B000SPSEV4</t>
        </is>
      </c>
      <c r="G423">
        <f>_xlfn.IMAGE("https://www.zoro.com/static/cms/product/full/Z2wNF_mcpIx_.JPG")</f>
        <v/>
      </c>
      <c r="H423">
        <f>_xlfn.IMAGE("https://m.media-amazon.com/images/I/81psoApEFaL._AC_UY218_.jpg")</f>
        <v/>
      </c>
      <c r="K423" t="inlineStr">
        <is>
          <t>8.35</t>
        </is>
      </c>
      <c r="L423" t="n">
        <v>20.54</v>
      </c>
      <c r="M423" s="2" t="inlineStr">
        <is>
          <t>145.99%</t>
        </is>
      </c>
      <c r="N423" t="n">
        <v>4.3</v>
      </c>
      <c r="O423" t="n">
        <v>152</v>
      </c>
      <c r="Q423" t="inlineStr">
        <is>
          <t>InStock</t>
        </is>
      </c>
      <c r="R423" t="inlineStr">
        <is>
          <t>undefined</t>
        </is>
      </c>
      <c r="S423" t="inlineStr">
        <is>
          <t>G1961659</t>
        </is>
      </c>
    </row>
    <row r="424" ht="75" customHeight="1">
      <c r="A424" s="1">
        <f>HYPERLINK("https://www.zoro.com/bertech-conductive-grid-tape-19-mil-thick-4-in-x-36-yards-long-brown-wcgt-4/i/G809845762/", "https://www.zoro.com/bertech-conductive-grid-tape-19-mil-thick-4-in-x-36-yards-long-brown-wcgt-4/i/G809845762/")</f>
        <v/>
      </c>
      <c r="B424" s="1">
        <f>HYPERLINK("https://www.zoro.com/bertech-conductive-grid-tape-19-mil-thick-4-in-x-36-yards-long-brown-wcgt-4/i/G809845762/", "https://www.zoro.com/bertech-conductive-grid-tape-19-mil-thick-4-in-x-36-yards-long-brown-wcgt-4/i/G809845762/")</f>
        <v/>
      </c>
      <c r="C424" t="inlineStr">
        <is>
          <t>Conductive Grid Tape, 1.9 Mil Thick, 4 In. x 36 Yards Long, Brown</t>
        </is>
      </c>
      <c r="D424" t="inlineStr">
        <is>
          <t>Bertech Conductive Grid Tape, 1.9 Mil Thick, 4 Inch x 36 Yards</t>
        </is>
      </c>
      <c r="E424" s="1">
        <f>HYPERLINK("https://www.amazon.com/Bertech-Conductive-Grid-Thick-Yards/dp/B08XLQ6YK7/ref=sr_1_1?keywords=Conductive+Grid+Tape%2C+1.9+Mil+Thick%2C+4+In.+x+36+Yards+Long%2C+Brown&amp;qid=1695348218&amp;sr=8-1", "https://www.amazon.com/Bertech-Conductive-Grid-Thick-Yards/dp/B08XLQ6YK7/ref=sr_1_1?keywords=Conductive+Grid+Tape%2C+1.9+Mil+Thick%2C+4+In.+x+36+Yards+Long%2C+Brown&amp;qid=1695348218&amp;sr=8-1")</f>
        <v/>
      </c>
      <c r="F424" t="inlineStr">
        <is>
          <t>B08XLQ6YK7</t>
        </is>
      </c>
      <c r="G424">
        <f>_xlfn.IMAGE("https://www.zoro.com/static/cms/product/full/Interstate Group Inc dba Bertech_ConductivexxGridxxTapexxBrownxx28c57f.jpeg")</f>
        <v/>
      </c>
      <c r="H424">
        <f>_xlfn.IMAGE("https://m.media-amazon.com/images/I/61Xd+Wwb2gS._AC_UY218_.jpg")</f>
        <v/>
      </c>
      <c r="K424" t="inlineStr">
        <is>
          <t>40.59</t>
        </is>
      </c>
      <c r="L424" t="n">
        <v>68.92</v>
      </c>
      <c r="M424" s="2" t="inlineStr">
        <is>
          <t>69.80%</t>
        </is>
      </c>
      <c r="N424" t="n">
        <v>4.5</v>
      </c>
      <c r="O424" t="n">
        <v>13</v>
      </c>
      <c r="Q424" t="inlineStr">
        <is>
          <t>InStock</t>
        </is>
      </c>
      <c r="R424" t="inlineStr">
        <is>
          <t>undefined</t>
        </is>
      </c>
      <c r="S424" t="inlineStr">
        <is>
          <t>G809845762</t>
        </is>
      </c>
    </row>
    <row r="425" ht="75" customHeight="1">
      <c r="A425" s="1">
        <f>HYPERLINK("https://www.zoro.com/bertech-conductive-grid-tape-19-mil-thick-4-in-x-36-yards-long-brown-wcgt-4/i/G809845762/", "https://www.zoro.com/bertech-conductive-grid-tape-19-mil-thick-4-in-x-36-yards-long-brown-wcgt-4/i/G809845762/")</f>
        <v/>
      </c>
      <c r="B425" s="1">
        <f>HYPERLINK("https://www.zoro.com/bertech-conductive-grid-tape-19-mil-thick-4-in-x-36-yards-long-brown-wcgt-4/i/G809845762/", "https://www.zoro.com/bertech-conductive-grid-tape-19-mil-thick-4-in-x-36-yards-long-brown-wcgt-4/i/G809845762/")</f>
        <v/>
      </c>
      <c r="C425" t="inlineStr">
        <is>
          <t>Conductive Grid Tape, 1.9 Mil Thick, 4 In. x 36 Yards Long, Brown</t>
        </is>
      </c>
      <c r="D425" t="inlineStr">
        <is>
          <t>Bertech Conductive Grid Tape, 1.9 Mil Thick, 4 Inch x 36 Yards</t>
        </is>
      </c>
      <c r="E425" s="1">
        <f>HYPERLINK("https://www.amazon.com/Bertech-Conductive-Grid-Thick-Yards/dp/B08XLQ6YK7/ref=sr_1_1?keywords=Conductive+Grid+Tape%2C+1.9+Mil+Thick%2C+4+In.+x+36+Yards+Long%2C+Brown&amp;qid=1695348218&amp;sr=8-1", "https://www.amazon.com/Bertech-Conductive-Grid-Thick-Yards/dp/B08XLQ6YK7/ref=sr_1_1?keywords=Conductive+Grid+Tape%2C+1.9+Mil+Thick%2C+4+In.+x+36+Yards+Long%2C+Brown&amp;qid=1695348218&amp;sr=8-1")</f>
        <v/>
      </c>
      <c r="F425" t="inlineStr">
        <is>
          <t>B08XLQ6YK7</t>
        </is>
      </c>
      <c r="G425">
        <f>_xlfn.IMAGE("https://www.zoro.com/static/cms/product/full/Interstate Group Inc dba Bertech_ConductivexxGridxxTapexxBrownxx28c57f.jpeg")</f>
        <v/>
      </c>
      <c r="H425">
        <f>_xlfn.IMAGE("https://m.media-amazon.com/images/I/61Xd+Wwb2gS._AC_UY218_.jpg")</f>
        <v/>
      </c>
      <c r="K425" t="inlineStr">
        <is>
          <t>40.59</t>
        </is>
      </c>
      <c r="L425" t="n">
        <v>68.92</v>
      </c>
      <c r="M425" s="2" t="inlineStr">
        <is>
          <t>69.80%</t>
        </is>
      </c>
      <c r="N425" t="n">
        <v>4.5</v>
      </c>
      <c r="O425" t="n">
        <v>13</v>
      </c>
      <c r="Q425" t="inlineStr">
        <is>
          <t>InStock</t>
        </is>
      </c>
      <c r="R425" t="inlineStr">
        <is>
          <t>undefined</t>
        </is>
      </c>
      <c r="S425" t="inlineStr">
        <is>
          <t>G809845762</t>
        </is>
      </c>
    </row>
    <row r="426" ht="75" customHeight="1">
      <c r="A426" s="1">
        <f>HYPERLINK("https://www.zoro.com/bertech-high-temperatue-polyimide-tape-2-mil-thick-14-in-wide-x-36-yards-long-black-ppt2b-14/i/G309844784/", "https://www.zoro.com/bertech-high-temperatue-polyimide-tape-2-mil-thick-14-in-wide-x-36-yards-long-black-ppt2b-14/i/G309844784/")</f>
        <v/>
      </c>
      <c r="B426" s="1">
        <f>HYPERLINK("https://www.zoro.com/bertech-high-temperatue-polyimide-tape-2-mil-thick-14-in-wide-x-36-yards-long-black-ppt2b-14/i/G309844784/", "https://www.zoro.com/bertech-high-temperatue-polyimide-tape-2-mil-thick-14-in-wide-x-36-yards-long-black-ppt2b-14/i/G309844784/")</f>
        <v/>
      </c>
      <c r="C426" t="inlineStr">
        <is>
          <t>High-Temperatue Polyimide Tape, 2 Mil Thick, 1/4 In. Wide x 36 Yards Long, Black</t>
        </is>
      </c>
      <c r="D426" t="inlineStr">
        <is>
          <t>Bertech Black High-Temperature Polyimide Masking Tape, 1 Mil Thick, 2 1/4 Inch x 36 Yards</t>
        </is>
      </c>
      <c r="E426" s="1">
        <f>HYPERLINK("https://www.amazon.com/Bertech-Black-High-Temperature-Polyimide-Masking/dp/B08XMJ7YWH/ref=sr_1_1?keywords=High-Temperatue+Polyimide+Tape%2C+2+Mil+Thick%2C+1%2F4+In.+Wide+x+36+Yards+Long%2C+Black&amp;qid=1695348253&amp;sr=8-1", "https://www.amazon.com/Bertech-Black-High-Temperature-Polyimide-Masking/dp/B08XMJ7YWH/ref=sr_1_1?keywords=High-Temperatue+Polyimide+Tape%2C+2+Mil+Thick%2C+1%2F4+In.+Wide+x+36+Yards+Long%2C+Black&amp;qid=1695348253&amp;sr=8-1")</f>
        <v/>
      </c>
      <c r="F426" t="inlineStr">
        <is>
          <t>B08XMJ7YWH</t>
        </is>
      </c>
      <c r="G426">
        <f>_xlfn.IMAGE("https://www.zoro.com/static/cms/product/full/Interstate Group Inc dba Bertech_BlackxxPolyimidexxMaskingxxTapexxSmallxx37f09d.jpeg")</f>
        <v/>
      </c>
      <c r="H426">
        <f>_xlfn.IMAGE("https://m.media-amazon.com/images/I/81gJCdyBOkS._AC_UY218_.jpg")</f>
        <v/>
      </c>
      <c r="K426" t="inlineStr">
        <is>
          <t>15.69</t>
        </is>
      </c>
      <c r="L426" t="n">
        <v>132.17</v>
      </c>
      <c r="M426" s="2" t="inlineStr">
        <is>
          <t>742.38%</t>
        </is>
      </c>
      <c r="N426" t="n">
        <v>3.9</v>
      </c>
      <c r="O426" t="n">
        <v>9</v>
      </c>
      <c r="Q426" t="inlineStr">
        <is>
          <t>InStock</t>
        </is>
      </c>
      <c r="R426" t="inlineStr">
        <is>
          <t>undefined</t>
        </is>
      </c>
      <c r="S426" t="inlineStr">
        <is>
          <t>G309844784</t>
        </is>
      </c>
    </row>
    <row r="427" ht="75" customHeight="1">
      <c r="A427" s="1">
        <f>HYPERLINK("https://www.zoro.com/blue-dolphin-tape-poly-seam-236inx90ft-tp-poly-seam-0236/i/G507115532/", "https://www.zoro.com/blue-dolphin-tape-poly-seam-236inx90ft-tp-poly-seam-0236/i/G507115532/")</f>
        <v/>
      </c>
      <c r="B427" s="1">
        <f>HYPERLINK("https://www.zoro.com/blue-dolphin-tape-poly-seam-236inx90ft-tp-poly-seam-0236/i/G507115532/", "https://www.zoro.com/blue-dolphin-tape-poly-seam-236inx90ft-tp-poly-seam-0236/i/G507115532/")</f>
        <v/>
      </c>
      <c r="C427" t="inlineStr">
        <is>
          <t>Tape Poly Seam 2.36Inx90Ft</t>
        </is>
      </c>
      <c r="D427" t="inlineStr">
        <is>
          <t>Black Seal Tape, 4" x 100' Vapor Barrier Tape Polyethylene Tape Sealing Moisture Barrier Seam, Black Vinyl Tape for Crawlspaces, Repair, Underlayment Seams, Metal Building Seams</t>
        </is>
      </c>
      <c r="E427" s="1">
        <f>HYPERLINK("https://www.amazon.com/Autrends-Polyethylene-Moisture-Crawlspaces-Underlayment/dp/B0C1KRXCVW/ref=sr_1_2?keywords=Tape+Poly+Seam+2.36Inx90Ft&amp;qid=1695347933&amp;sr=8-2", "https://www.amazon.com/Autrends-Polyethylene-Moisture-Crawlspaces-Underlayment/dp/B0C1KRXCVW/ref=sr_1_2?keywords=Tape+Poly+Seam+2.36Inx90Ft&amp;qid=1695347933&amp;sr=8-2")</f>
        <v/>
      </c>
      <c r="F427" t="inlineStr">
        <is>
          <t>B0C1KRXCVW</t>
        </is>
      </c>
      <c r="G427">
        <f>_xlfn.IMAGE("https://www.zoro.com/static/cms/product/full/Promax Supply dba Acktify_ACK310780xxa50985.jpeg")</f>
        <v/>
      </c>
      <c r="H427">
        <f>_xlfn.IMAGE("https://m.media-amazon.com/images/I/6136sUzpelL._AC_UY218_.jpg")</f>
        <v/>
      </c>
      <c r="K427" t="inlineStr">
        <is>
          <t>8.85</t>
        </is>
      </c>
      <c r="L427" t="n">
        <v>16.99</v>
      </c>
      <c r="M427" s="2" t="inlineStr">
        <is>
          <t>91.98%</t>
        </is>
      </c>
      <c r="N427" t="n">
        <v>4.1</v>
      </c>
      <c r="O427" t="n">
        <v>6</v>
      </c>
      <c r="Q427" t="inlineStr">
        <is>
          <t>InStock</t>
        </is>
      </c>
      <c r="R427" t="inlineStr">
        <is>
          <t>undefined</t>
        </is>
      </c>
      <c r="S427" t="inlineStr">
        <is>
          <t>G507115532</t>
        </is>
      </c>
    </row>
    <row r="428" ht="75" customHeight="1">
      <c r="A428" s="1">
        <f>HYPERLINK("https://www.zoro.com/calterm-black-electrical-tape-30ft-49305/i/G006881754/", "https://www.zoro.com/calterm-black-electrical-tape-30ft-49305/i/G006881754/")</f>
        <v/>
      </c>
      <c r="B428" s="1">
        <f>HYPERLINK("https://www.zoro.com/calterm-black-electrical-tape-30ft-49305/i/G006881754/", "https://www.zoro.com/calterm-black-electrical-tape-30ft-49305/i/G006881754/")</f>
        <v/>
      </c>
      <c r="C428" t="inlineStr">
        <is>
          <t>Black Electrical Tape 30Ft</t>
        </is>
      </c>
      <c r="D428" t="inlineStr">
        <is>
          <t>3M Rubber Splicing Tape 23, 2 in x 30 ft, Black, Self-Fusing (EPR based) Rubber Electrical Insulating Tape, 1 roll</t>
        </is>
      </c>
      <c r="E428" s="1">
        <f>HYPERLINK("https://www.amazon.com/3M-Splicing-Self-Fusing-Electrical-Insulating/dp/B0018MKA2M/ref=sr_1_7?keywords=Black+Electrical+Tape+30Ft&amp;qid=1695348242&amp;sr=8-7", "https://www.amazon.com/3M-Splicing-Self-Fusing-Electrical-Insulating/dp/B0018MKA2M/ref=sr_1_7?keywords=Black+Electrical+Tape+30Ft&amp;qid=1695348242&amp;sr=8-7")</f>
        <v/>
      </c>
      <c r="F428" t="inlineStr">
        <is>
          <t>B0018MKA2M</t>
        </is>
      </c>
      <c r="G428">
        <f>_xlfn.IMAGE("https://www.zoro.com/static/cms/product/full/Promax Supply dba Acktify_ACK267895xxbe4101.jpeg")</f>
        <v/>
      </c>
      <c r="H428">
        <f>_xlfn.IMAGE("https://m.media-amazon.com/images/I/61Y-Uqmj5TL._AC_UY218_.jpg")</f>
        <v/>
      </c>
      <c r="K428" t="inlineStr">
        <is>
          <t>3.15</t>
        </is>
      </c>
      <c r="L428" t="n">
        <v>25.19</v>
      </c>
      <c r="M428" s="2" t="inlineStr">
        <is>
          <t>699.68%</t>
        </is>
      </c>
      <c r="N428" t="n">
        <v>4.6</v>
      </c>
      <c r="O428" t="n">
        <v>71</v>
      </c>
      <c r="Q428" t="inlineStr">
        <is>
          <t>InStock</t>
        </is>
      </c>
      <c r="R428" t="inlineStr">
        <is>
          <t>undefined</t>
        </is>
      </c>
      <c r="S428" t="inlineStr">
        <is>
          <t>G006881754</t>
        </is>
      </c>
    </row>
    <row r="429" ht="75" customHeight="1">
      <c r="A429" s="1">
        <f>HYPERLINK("https://www.zoro.com/calterm-black-electrical-tape-30ft-49305/i/G006881754/", "https://www.zoro.com/calterm-black-electrical-tape-30ft-49305/i/G006881754/")</f>
        <v/>
      </c>
      <c r="B429" s="1">
        <f>HYPERLINK("https://www.zoro.com/calterm-black-electrical-tape-30ft-49305/i/G006881754/", "https://www.zoro.com/calterm-black-electrical-tape-30ft-49305/i/G006881754/")</f>
        <v/>
      </c>
      <c r="C429" t="inlineStr">
        <is>
          <t>Black Electrical Tape 30Ft</t>
        </is>
      </c>
      <c r="D429" t="inlineStr">
        <is>
          <t>3M Electrical Markets Division Brand Linerless Electrical Splicing Tape 130C for Wires and Cables, 2 in x 30 ft, Rubber Backing, UV Resistance, Highly Conformable, Moisture Seal, Black, 1 Roll</t>
        </is>
      </c>
      <c r="E429" s="1">
        <f>HYPERLINK("https://www.amazon.com/3M-Electrical-Markets-Division-Conformable/dp/B000V4P5BO/ref=sr_1_4?keywords=Black+Electrical+Tape+30Ft&amp;qid=1695348242&amp;sr=8-4", "https://www.amazon.com/3M-Electrical-Markets-Division-Conformable/dp/B000V4P5BO/ref=sr_1_4?keywords=Black+Electrical+Tape+30Ft&amp;qid=1695348242&amp;sr=8-4")</f>
        <v/>
      </c>
      <c r="F429" t="inlineStr">
        <is>
          <t>B000V4P5BO</t>
        </is>
      </c>
      <c r="G429">
        <f>_xlfn.IMAGE("https://www.zoro.com/static/cms/product/full/Promax Supply dba Acktify_ACK267895xxbe4101.jpeg")</f>
        <v/>
      </c>
      <c r="H429">
        <f>_xlfn.IMAGE("https://m.media-amazon.com/images/I/51O10p9pQkL._AC_UY218_.jpg")</f>
        <v/>
      </c>
      <c r="K429" t="inlineStr">
        <is>
          <t>3.15</t>
        </is>
      </c>
      <c r="L429" t="n">
        <v>17.35</v>
      </c>
      <c r="M429" s="2" t="inlineStr">
        <is>
          <t>450.79%</t>
        </is>
      </c>
      <c r="N429" t="n">
        <v>4.7</v>
      </c>
      <c r="O429" t="n">
        <v>392</v>
      </c>
      <c r="Q429" t="inlineStr">
        <is>
          <t>InStock</t>
        </is>
      </c>
      <c r="R429" t="inlineStr">
        <is>
          <t>undefined</t>
        </is>
      </c>
      <c r="S429" t="inlineStr">
        <is>
          <t>G006881754</t>
        </is>
      </c>
    </row>
    <row r="430" ht="75" customHeight="1">
      <c r="A430" s="1">
        <f>HYPERLINK("https://www.zoro.com/cantech-fire-retardant-tape-2022148110/i/G607713966/", "https://www.zoro.com/cantech-fire-retardant-tape-2022148110/i/G607713966/")</f>
        <v/>
      </c>
      <c r="B430" s="1">
        <f>HYPERLINK("https://www.zoro.com/cantech-fire-retardant-tape-2022148110/i/G607713966/", "https://www.zoro.com/cantech-fire-retardant-tape-2022148110/i/G607713966/")</f>
        <v/>
      </c>
      <c r="C430" t="inlineStr">
        <is>
          <t>Fire retardant Tape</t>
        </is>
      </c>
      <c r="D430" t="inlineStr">
        <is>
          <t>3M Electrical Markets Division Fire-Retardant Electric Arc Proofing Tape 77 Black, 3 in x 20 ft</t>
        </is>
      </c>
      <c r="E430" s="1">
        <f>HYPERLINK("https://www.amazon.com/Scotch-Fire-Retardant-Electric-Proofing-Black/dp/B00OI6REEM/ref=sr_1_9?keywords=Fire+retardant+Tape&amp;qid=1695348188&amp;sr=8-9", "https://www.amazon.com/Scotch-Fire-Retardant-Electric-Proofing-Black/dp/B00OI6REEM/ref=sr_1_9?keywords=Fire+retardant+Tape&amp;qid=1695348188&amp;sr=8-9")</f>
        <v/>
      </c>
      <c r="F430" t="inlineStr">
        <is>
          <t>B00OI6REEM</t>
        </is>
      </c>
      <c r="G430">
        <f>_xlfn.IMAGE("https://www.zoro.com/static/cms/product/full/Z-otnticdsTGHpHu.JPG")</f>
        <v/>
      </c>
      <c r="H430">
        <f>_xlfn.IMAGE("https://m.media-amazon.com/images/I/71uO4M8K0FL._AC_UY218_.jpg")</f>
        <v/>
      </c>
      <c r="K430" t="inlineStr">
        <is>
          <t>9.49</t>
        </is>
      </c>
      <c r="L430" t="n">
        <v>28</v>
      </c>
      <c r="M430" s="2" t="inlineStr">
        <is>
          <t>195.05%</t>
        </is>
      </c>
      <c r="N430" t="n">
        <v>4.1</v>
      </c>
      <c r="O430" t="n">
        <v>9</v>
      </c>
      <c r="Q430" t="inlineStr">
        <is>
          <t>undefined</t>
        </is>
      </c>
      <c r="R430" t="inlineStr">
        <is>
          <t>undefined</t>
        </is>
      </c>
      <c r="S430" t="inlineStr">
        <is>
          <t>G607713966</t>
        </is>
      </c>
    </row>
    <row r="431" ht="75" customHeight="1">
      <c r="A431" s="1">
        <f>HYPERLINK("https://www.zoro.com/desco-wescorp-antistatic-masking-tap-81260/i/G6283691/", "https://www.zoro.com/desco-wescorp-antistatic-masking-tap-81260/i/G6283691/")</f>
        <v/>
      </c>
      <c r="B431" s="1">
        <f>HYPERLINK("https://www.zoro.com/desco-wescorp-antistatic-masking-tap-81260/i/G6283691/", "https://www.zoro.com/desco-wescorp-antistatic-masking-tap-81260/i/G6283691/")</f>
        <v/>
      </c>
      <c r="C431" t="inlineStr">
        <is>
          <t>Wescorp Antistatic Masking Tap</t>
        </is>
      </c>
      <c r="D431" t="inlineStr">
        <is>
          <t>Desco 81261 Antistatic High Temp Masking Tape, 3/4" X 60 Yards With 3" Core</t>
        </is>
      </c>
      <c r="E431" s="1">
        <f>HYPERLINK("https://www.amazon.com/Desco-81261-Antistatic-Masking-Yards/dp/B00DUR0NXE/ref=sr_1_3?keywords=wescorp+antistatic+masking+tape&amp;qid=1695347935&amp;sr=8-3", "https://www.amazon.com/Desco-81261-Antistatic-Masking-Yards/dp/B00DUR0NXE/ref=sr_1_3?keywords=wescorp+antistatic+masking+tape&amp;qid=1695347935&amp;sr=8-3")</f>
        <v/>
      </c>
      <c r="F431" t="inlineStr">
        <is>
          <t>B00DUR0NXE</t>
        </is>
      </c>
      <c r="G431">
        <f>_xlfn.IMAGE("https://www.zoro.com/static/cms/product/full/Z2uNLtncpEx_.JPG")</f>
        <v/>
      </c>
      <c r="H431">
        <f>_xlfn.IMAGE("https://m.media-amazon.com/images/I/4130wmgN-7L._AC_UL320_.jpg")</f>
        <v/>
      </c>
      <c r="K431" t="inlineStr">
        <is>
          <t>5.79</t>
        </is>
      </c>
      <c r="L431" t="n">
        <v>16.15</v>
      </c>
      <c r="M431" s="2" t="inlineStr">
        <is>
          <t>178.93%</t>
        </is>
      </c>
      <c r="N431" t="n">
        <v>5</v>
      </c>
      <c r="O431" t="n">
        <v>1</v>
      </c>
      <c r="Q431" t="inlineStr">
        <is>
          <t>undefined</t>
        </is>
      </c>
      <c r="R431" t="inlineStr">
        <is>
          <t>undefined</t>
        </is>
      </c>
      <c r="S431" t="inlineStr">
        <is>
          <t>G6283691</t>
        </is>
      </c>
    </row>
    <row r="432" ht="75" customHeight="1">
      <c r="A432" s="1">
        <f>HYPERLINK("https://www.zoro.com/duck-141-in-w-x-60-yd-l-beige-regular-strength-masking-tape-286503/i/G905267079/", "https://www.zoro.com/duck-141-in-w-x-60-yd-l-beige-regular-strength-masking-tape-286503/i/G905267079/")</f>
        <v/>
      </c>
      <c r="B432" s="1">
        <f>HYPERLINK("https://www.zoro.com/duck-141-in-w-x-60-yd-l-beige-regular-strength-masking-tape-286503/i/G905267079/", "https://www.zoro.com/duck-141-in-w-x-60-yd-l-beige-regular-strength-masking-tape-286503/i/G905267079/")</f>
        <v/>
      </c>
      <c r="C432" t="inlineStr">
        <is>
          <t>1.41 in. W X 60 yd L Beige Regular Strength Masking Tape</t>
        </is>
      </c>
      <c r="D432" t="inlineStr">
        <is>
          <t>TIANBO FIRST Masking Tape 6 Rolls, General Purpose Wide Masking Tape for Home and Office, 1.41 Inches x 60 Yards, Beige</t>
        </is>
      </c>
      <c r="E432" s="1">
        <f>HYPERLINK("https://www.amazon.com/TIANBO-FIRST-Masking-Office-Labeling/dp/B06WWG2L5P/ref=sr_1_9?keywords=1.41+in.+W+X+60+yd+L+Beige+Regular+Strength+Masking+Tape&amp;qid=1695347966&amp;sr=8-9", "https://www.amazon.com/TIANBO-FIRST-Masking-Office-Labeling/dp/B06WWG2L5P/ref=sr_1_9?keywords=1.41+in.+W+X+60+yd+L+Beige+Regular+Strength+Masking+Tape&amp;qid=1695347966&amp;sr=8-9")</f>
        <v/>
      </c>
      <c r="F432" t="inlineStr">
        <is>
          <t>B06WWG2L5P</t>
        </is>
      </c>
      <c r="G432">
        <f>_xlfn.IMAGE("https://www.zoro.com/static/cms/product/full/Emery Jensen Distribution LLC_12705xxAxxv1.epsxxMaxxx5100c5.jpeg")</f>
        <v/>
      </c>
      <c r="H432">
        <f>_xlfn.IMAGE("https://m.media-amazon.com/images/I/61PiY6+jTsL._AC_UL320_.jpg")</f>
        <v/>
      </c>
      <c r="K432" t="inlineStr">
        <is>
          <t>2.95</t>
        </is>
      </c>
      <c r="L432" t="n">
        <v>19.99</v>
      </c>
      <c r="M432" s="2" t="inlineStr">
        <is>
          <t>577.63%</t>
        </is>
      </c>
      <c r="N432" t="n">
        <v>4.1</v>
      </c>
      <c r="O432" t="n">
        <v>980</v>
      </c>
      <c r="Q432" t="inlineStr">
        <is>
          <t>InStock</t>
        </is>
      </c>
      <c r="R432" t="inlineStr">
        <is>
          <t>undefined</t>
        </is>
      </c>
      <c r="S432" t="inlineStr">
        <is>
          <t>G905267079</t>
        </is>
      </c>
    </row>
    <row r="433" ht="75" customHeight="1">
      <c r="A433" s="1">
        <f>HYPERLINK("https://www.zoro.com/duck-paint-tape-141x60yd-blu-240194/i/G9447360/", "https://www.zoro.com/duck-paint-tape-141x60yd-blu-240194/i/G9447360/")</f>
        <v/>
      </c>
      <c r="B433" s="1">
        <f>HYPERLINK("https://www.zoro.com/duck-paint-tape-141x60yd-blu-240194/i/G9447360/", "https://www.zoro.com/duck-paint-tape-141x60yd-blu-240194/i/G9447360/")</f>
        <v/>
      </c>
      <c r="C433" t="inlineStr">
        <is>
          <t>Paint Tape 1.41X60Yd Blu</t>
        </is>
      </c>
      <c r="D433" t="inlineStr">
        <is>
          <t>Scotch Painter's Tape Original Multi-Surface Painter's Tape, 1.88 Inches x 60 Yards, 6 Rolls, Blue, Paint Tape Protects Surfaces and Removes Easily, Multi-Surface Painting Tape for Indoor and Outdoor Use</t>
        </is>
      </c>
      <c r="E433" s="1">
        <f>HYPERLINK("https://www.amazon.com/Scotch-Painters-Original-Multi-Surface-inches/dp/B000A3DQGW/ref=sr_1_10?keywords=Paint+Tape+1.41X60Yd+Blu&amp;qid=1695347966&amp;sr=8-10", "https://www.amazon.com/Scotch-Painters-Original-Multi-Surface-inches/dp/B000A3DQGW/ref=sr_1_10?keywords=Paint+Tape+1.41X60Yd+Blu&amp;qid=1695347966&amp;sr=8-10")</f>
        <v/>
      </c>
      <c r="F433" t="inlineStr">
        <is>
          <t>B000A3DQGW</t>
        </is>
      </c>
      <c r="G433">
        <f>_xlfn.IMAGE("https://www.zoro.com/static/cms/product/full/Emery Jensen Distribution LLC_1796671xxA.epsxxHigh.jpg")</f>
        <v/>
      </c>
      <c r="H433">
        <f>_xlfn.IMAGE("https://m.media-amazon.com/images/I/71UV3vx5lsL._AC_UL320_.jpg")</f>
        <v/>
      </c>
      <c r="K433" t="inlineStr">
        <is>
          <t>9.79</t>
        </is>
      </c>
      <c r="L433" t="n">
        <v>39.39</v>
      </c>
      <c r="M433" s="2" t="inlineStr">
        <is>
          <t>302.35%</t>
        </is>
      </c>
      <c r="N433" t="n">
        <v>4.8</v>
      </c>
      <c r="O433" t="n">
        <v>2480</v>
      </c>
      <c r="Q433" t="inlineStr">
        <is>
          <t>InStock</t>
        </is>
      </c>
      <c r="R433" t="inlineStr">
        <is>
          <t>undefined</t>
        </is>
      </c>
      <c r="S433" t="inlineStr">
        <is>
          <t>G9447360</t>
        </is>
      </c>
    </row>
    <row r="434" ht="75" customHeight="1">
      <c r="A434" s="1">
        <f>HYPERLINK("https://www.zoro.com/duck-paint-tape-141x60yd-blu-240194/i/G9447360/", "https://www.zoro.com/duck-paint-tape-141x60yd-blu-240194/i/G9447360/")</f>
        <v/>
      </c>
      <c r="B434" s="1">
        <f>HYPERLINK("https://www.zoro.com/duck-paint-tape-141x60yd-blu-240194/i/G9447360/", "https://www.zoro.com/duck-paint-tape-141x60yd-blu-240194/i/G9447360/")</f>
        <v/>
      </c>
      <c r="C434" t="inlineStr">
        <is>
          <t>Paint Tape 1.41X60Yd Blu</t>
        </is>
      </c>
      <c r="D434" t="inlineStr">
        <is>
          <t>Scotch Painter's Tape 1.41 inches Original Multi-Surface Painter's Tape, x 60 yards (360 yards total), 2090, 6 Rolls, Blue, 6 Foot</t>
        </is>
      </c>
      <c r="E434" s="1">
        <f>HYPERLINK("https://www.amazon.com/Scotch-Painters-Tape-9000-6270-Multi-Surface/dp/B00125PS5Y/ref=sr_1_8?keywords=Paint+Tape+1.41X60Yd+Blu&amp;qid=1695347966&amp;sr=8-8", "https://www.amazon.com/Scotch-Painters-Tape-9000-6270-Multi-Surface/dp/B00125PS5Y/ref=sr_1_8?keywords=Paint+Tape+1.41X60Yd+Blu&amp;qid=1695347966&amp;sr=8-8")</f>
        <v/>
      </c>
      <c r="F434" t="inlineStr">
        <is>
          <t>B00125PS5Y</t>
        </is>
      </c>
      <c r="G434">
        <f>_xlfn.IMAGE("https://www.zoro.com/static/cms/product/full/Emery Jensen Distribution LLC_1796671xxA.epsxxHigh.jpg")</f>
        <v/>
      </c>
      <c r="H434">
        <f>_xlfn.IMAGE("https://m.media-amazon.com/images/I/71Mly86kcZL._AC_UL320_.jpg")</f>
        <v/>
      </c>
      <c r="K434" t="inlineStr">
        <is>
          <t>9.79</t>
        </is>
      </c>
      <c r="L434" t="n">
        <v>34.98</v>
      </c>
      <c r="M434" s="2" t="inlineStr">
        <is>
          <t>257.30%</t>
        </is>
      </c>
      <c r="N434" t="n">
        <v>4.7</v>
      </c>
      <c r="O434" t="n">
        <v>1903</v>
      </c>
      <c r="Q434" t="inlineStr">
        <is>
          <t>InStock</t>
        </is>
      </c>
      <c r="R434" t="inlineStr">
        <is>
          <t>undefined</t>
        </is>
      </c>
      <c r="S434" t="inlineStr">
        <is>
          <t>G9447360</t>
        </is>
      </c>
    </row>
    <row r="435" ht="75" customHeight="1">
      <c r="A435" s="1">
        <f>HYPERLINK("https://www.zoro.com/duck-paint-tape-141x60yd-blu-240194/i/G9447360/", "https://www.zoro.com/duck-paint-tape-141x60yd-blu-240194/i/G9447360/")</f>
        <v/>
      </c>
      <c r="B435" s="1">
        <f>HYPERLINK("https://www.zoro.com/duck-paint-tape-141x60yd-blu-240194/i/G9447360/", "https://www.zoro.com/duck-paint-tape-141x60yd-blu-240194/i/G9447360/")</f>
        <v/>
      </c>
      <c r="C435" t="inlineStr">
        <is>
          <t>Paint Tape 1.41X60Yd Blu</t>
        </is>
      </c>
      <c r="D435" t="inlineStr">
        <is>
          <t>ScotchBlue Original Multi-Surface Painter's Tape, 1.41 Inches x 60 Yards, 4 Rolls, Blue, Paint Tape Protects Surfaces and Removes Easily, Multi-Surface Painting Tape for Indoor and Outdoor Use</t>
        </is>
      </c>
      <c r="E435" s="1">
        <f>HYPERLINK("https://www.amazon.com/ScotchBlue-2090-36KR4-Original-Painters-Tape/dp/B09YMX6WXT/ref=sr_1_6?keywords=Paint+Tape+1.41X60Yd+Blu&amp;qid=1695347966&amp;sr=8-6", "https://www.amazon.com/ScotchBlue-2090-36KR4-Original-Painters-Tape/dp/B09YMX6WXT/ref=sr_1_6?keywords=Paint+Tape+1.41X60Yd+Blu&amp;qid=1695347966&amp;sr=8-6")</f>
        <v/>
      </c>
      <c r="F435" t="inlineStr">
        <is>
          <t>B09YMX6WXT</t>
        </is>
      </c>
      <c r="G435">
        <f>_xlfn.IMAGE("https://www.zoro.com/static/cms/product/full/Emery Jensen Distribution LLC_1796671xxA.epsxxHigh.jpg")</f>
        <v/>
      </c>
      <c r="H435">
        <f>_xlfn.IMAGE("https://m.media-amazon.com/images/I/615V56OhgxL._AC_UL320_.jpg")</f>
        <v/>
      </c>
      <c r="K435" t="inlineStr">
        <is>
          <t>9.79</t>
        </is>
      </c>
      <c r="L435" t="n">
        <v>24.65</v>
      </c>
      <c r="M435" s="2" t="inlineStr">
        <is>
          <t>151.79%</t>
        </is>
      </c>
      <c r="N435" t="n">
        <v>4.4</v>
      </c>
      <c r="O435" t="n">
        <v>22</v>
      </c>
      <c r="Q435" t="inlineStr">
        <is>
          <t>InStock</t>
        </is>
      </c>
      <c r="R435" t="inlineStr">
        <is>
          <t>undefined</t>
        </is>
      </c>
      <c r="S435" t="inlineStr">
        <is>
          <t>G9447360</t>
        </is>
      </c>
    </row>
    <row r="436" ht="75" customHeight="1">
      <c r="A436" s="1">
        <f>HYPERLINK("https://www.zoro.com/duck-paint-tape-141x60yd-blu-240194/i/G9447360/", "https://www.zoro.com/duck-paint-tape-141x60yd-blu-240194/i/G9447360/")</f>
        <v/>
      </c>
      <c r="B436" s="1">
        <f>HYPERLINK("https://www.zoro.com/duck-paint-tape-141x60yd-blu-240194/i/G9447360/", "https://www.zoro.com/duck-paint-tape-141x60yd-blu-240194/i/G9447360/")</f>
        <v/>
      </c>
      <c r="C436" t="inlineStr">
        <is>
          <t>Paint Tape 1.41X60Yd Blu</t>
        </is>
      </c>
      <c r="D436" t="inlineStr">
        <is>
          <t>ScotchBlue Original Multi-Surface Painter's Tape, Blue, Paint Tape Protects Surfaces and Removes Easily, Multi-Surface Painting Tape for Indoor and Outdoor Use, 1.41 Inches x 60 Yards, 3 Rolls</t>
        </is>
      </c>
      <c r="E436" s="1">
        <f>HYPERLINK("https://www.amazon.com/ScotchBlue-Original-Multi-Surface-Painters-Tape/dp/B089NZGTYQ/ref=sr_1_2?keywords=Paint+Tape+1.41X60Yd+Blu&amp;qid=1695347966&amp;sr=8-2", "https://www.amazon.com/ScotchBlue-Original-Multi-Surface-Painters-Tape/dp/B089NZGTYQ/ref=sr_1_2?keywords=Paint+Tape+1.41X60Yd+Blu&amp;qid=1695347966&amp;sr=8-2")</f>
        <v/>
      </c>
      <c r="F436" t="inlineStr">
        <is>
          <t>B089NZGTYQ</t>
        </is>
      </c>
      <c r="G436">
        <f>_xlfn.IMAGE("https://www.zoro.com/static/cms/product/full/Emery Jensen Distribution LLC_1796671xxA.epsxxHigh.jpg")</f>
        <v/>
      </c>
      <c r="H436">
        <f>_xlfn.IMAGE("https://m.media-amazon.com/images/I/712IC2pW15L._AC_UL320_.jpg")</f>
        <v/>
      </c>
      <c r="K436" t="inlineStr">
        <is>
          <t>9.79</t>
        </is>
      </c>
      <c r="L436" t="n">
        <v>23.03</v>
      </c>
      <c r="M436" s="2" t="inlineStr">
        <is>
          <t>135.24%</t>
        </is>
      </c>
      <c r="N436" t="n">
        <v>4.7</v>
      </c>
      <c r="O436" t="n">
        <v>399</v>
      </c>
      <c r="Q436" t="inlineStr">
        <is>
          <t>InStock</t>
        </is>
      </c>
      <c r="R436" t="inlineStr">
        <is>
          <t>undefined</t>
        </is>
      </c>
      <c r="S436" t="inlineStr">
        <is>
          <t>G9447360</t>
        </is>
      </c>
    </row>
    <row r="437" ht="75" customHeight="1">
      <c r="A437" s="1">
        <f>HYPERLINK("https://www.zoro.com/duck-paint-tape-141x60yd-blu-240194/i/G9447360/", "https://www.zoro.com/duck-paint-tape-141x60yd-blu-240194/i/G9447360/")</f>
        <v/>
      </c>
      <c r="B437" s="1">
        <f>HYPERLINK("https://www.zoro.com/duck-paint-tape-141x60yd-blu-240194/i/G9447360/", "https://www.zoro.com/duck-paint-tape-141x60yd-blu-240194/i/G9447360/")</f>
        <v/>
      </c>
      <c r="C437" t="inlineStr">
        <is>
          <t>Paint Tape 1.41X60Yd Blu</t>
        </is>
      </c>
      <c r="D437" t="inlineStr">
        <is>
          <t>ScotchBlue Original Multi-Surface Painter's Tape, Blue, Paint Tape Protects Surfaces and Removes Easily, Multi-Surface Painting Tape for Indoor and Outdoor Use, 1.41 Inches x 60 Yards, 1 Roll</t>
        </is>
      </c>
      <c r="E437" s="1">
        <f>HYPERLINK("https://www.amazon.com/ScotchBlue-Painters-Multi-Use-1-41-Inch-60-Yard/dp/B00BRDKFDG/ref=sr_1_9?keywords=Paint+Tape+1.41X60Yd+Blu&amp;qid=1695347966&amp;sr=8-9", "https://www.amazon.com/ScotchBlue-Painters-Multi-Use-1-41-Inch-60-Yard/dp/B00BRDKFDG/ref=sr_1_9?keywords=Paint+Tape+1.41X60Yd+Blu&amp;qid=1695347966&amp;sr=8-9")</f>
        <v/>
      </c>
      <c r="F437" t="inlineStr">
        <is>
          <t>B00BRDKFDG</t>
        </is>
      </c>
      <c r="G437">
        <f>_xlfn.IMAGE("https://www.zoro.com/static/cms/product/full/Emery Jensen Distribution LLC_1796671xxA.epsxxHigh.jpg")</f>
        <v/>
      </c>
      <c r="H437">
        <f>_xlfn.IMAGE("https://m.media-amazon.com/images/I/811KIUixtnL._AC_UL320_.jpg")</f>
        <v/>
      </c>
      <c r="K437" t="inlineStr">
        <is>
          <t>9.79</t>
        </is>
      </c>
      <c r="L437" t="n">
        <v>19.98</v>
      </c>
      <c r="M437" s="2" t="inlineStr">
        <is>
          <t>104.09%</t>
        </is>
      </c>
      <c r="N437" t="n">
        <v>4.7</v>
      </c>
      <c r="O437" t="n">
        <v>372</v>
      </c>
      <c r="Q437" t="inlineStr">
        <is>
          <t>InStock</t>
        </is>
      </c>
      <c r="R437" t="inlineStr">
        <is>
          <t>undefined</t>
        </is>
      </c>
      <c r="S437" t="inlineStr">
        <is>
          <t>G9447360</t>
        </is>
      </c>
    </row>
    <row r="438" ht="75" customHeight="1">
      <c r="A438" s="1">
        <f>HYPERLINK("https://www.zoro.com/duck-paint-tape-188x60yd-blu-240195/i/G9447780/", "https://www.zoro.com/duck-paint-tape-188x60yd-blu-240195/i/G9447780/")</f>
        <v/>
      </c>
      <c r="B438" s="1">
        <f>HYPERLINK("https://www.zoro.com/duck-paint-tape-188x60yd-blu-240195/i/G9447780/", "https://www.zoro.com/duck-paint-tape-188x60yd-blu-240195/i/G9447780/")</f>
        <v/>
      </c>
      <c r="C438" t="inlineStr">
        <is>
          <t>Paint Tape 1.88X60Yd Blu</t>
        </is>
      </c>
      <c r="D438" t="inlineStr">
        <is>
          <t>ScotchBlue Original Multi-Surface Painter's Tape, 1.88 Inches x 60 Yards, 12 Rolls, Blue, Paint Tape Protects Surfaces and Removes Easily, Multi-Surface Painting Tape for Indoor and Outdoor Use</t>
        </is>
      </c>
      <c r="E438" s="1">
        <f>HYPERLINK("https://www.amazon.com/Scotch-Painters-Tape-2090-48EC-Width/dp/B01IOQVTQA/ref=sr_1_8?keywords=Paint+Tape+1.88X60Yd+Blu&amp;qid=1695348013&amp;sr=8-8", "https://www.amazon.com/Scotch-Painters-Tape-2090-48EC-Width/dp/B01IOQVTQA/ref=sr_1_8?keywords=Paint+Tape+1.88X60Yd+Blu&amp;qid=1695348013&amp;sr=8-8")</f>
        <v/>
      </c>
      <c r="F438" t="inlineStr">
        <is>
          <t>B01IOQVTQA</t>
        </is>
      </c>
      <c r="G438">
        <f>_xlfn.IMAGE("https://www.zoro.com/static/cms/product/full/Emery Jensen Distribution LLC_1796713xxA.epsxxHigh.jpg")</f>
        <v/>
      </c>
      <c r="H438">
        <f>_xlfn.IMAGE("https://m.media-amazon.com/images/I/81oDj9XylrL._AC_UL320_.jpg")</f>
        <v/>
      </c>
      <c r="K438" t="inlineStr">
        <is>
          <t>12.55</t>
        </is>
      </c>
      <c r="L438" t="n">
        <v>67.97</v>
      </c>
      <c r="M438" s="2" t="inlineStr">
        <is>
          <t>441.59%</t>
        </is>
      </c>
      <c r="N438" t="n">
        <v>4.7</v>
      </c>
      <c r="O438" t="n">
        <v>144</v>
      </c>
      <c r="Q438" t="inlineStr">
        <is>
          <t>InStock</t>
        </is>
      </c>
      <c r="R438" t="inlineStr">
        <is>
          <t>undefined</t>
        </is>
      </c>
      <c r="S438" t="inlineStr">
        <is>
          <t>G9447780</t>
        </is>
      </c>
    </row>
    <row r="439" ht="75" customHeight="1">
      <c r="A439" s="1">
        <f>HYPERLINK("https://www.zoro.com/duck-paint-tape-188x60yd-blu-240195/i/G9447780/", "https://www.zoro.com/duck-paint-tape-188x60yd-blu-240195/i/G9447780/")</f>
        <v/>
      </c>
      <c r="B439" s="1">
        <f>HYPERLINK("https://www.zoro.com/duck-paint-tape-188x60yd-blu-240195/i/G9447780/", "https://www.zoro.com/duck-paint-tape-188x60yd-blu-240195/i/G9447780/")</f>
        <v/>
      </c>
      <c r="C439" t="inlineStr">
        <is>
          <t>Paint Tape 1.88X60Yd Blu</t>
        </is>
      </c>
      <c r="D439" t="inlineStr">
        <is>
          <t>Scotch Painter's Tape Original Multi-Surface Painter's Tape, 1.88 Inches x 60 Yards, 6 Rolls, Blue, Paint Tape Protects Surfaces and Removes Easily, Multi-Surface Painting Tape for Indoor and Outdoor Use</t>
        </is>
      </c>
      <c r="E439" s="1">
        <f>HYPERLINK("https://www.amazon.com/Scotch-Painters-Original-Multi-Surface-inches/dp/B000A3DQGW/ref=sr_1_5?keywords=Paint+Tape+1.88X60Yd+Blu&amp;qid=1695348013&amp;sr=8-5", "https://www.amazon.com/Scotch-Painters-Original-Multi-Surface-inches/dp/B000A3DQGW/ref=sr_1_5?keywords=Paint+Tape+1.88X60Yd+Blu&amp;qid=1695348013&amp;sr=8-5")</f>
        <v/>
      </c>
      <c r="F439" t="inlineStr">
        <is>
          <t>B000A3DQGW</t>
        </is>
      </c>
      <c r="G439">
        <f>_xlfn.IMAGE("https://www.zoro.com/static/cms/product/full/Emery Jensen Distribution LLC_1796713xxA.epsxxHigh.jpg")</f>
        <v/>
      </c>
      <c r="H439">
        <f>_xlfn.IMAGE("https://m.media-amazon.com/images/I/71UV3vx5lsL._AC_UL320_.jpg")</f>
        <v/>
      </c>
      <c r="K439" t="inlineStr">
        <is>
          <t>12.55</t>
        </is>
      </c>
      <c r="L439" t="n">
        <v>39.39</v>
      </c>
      <c r="M439" s="2" t="inlineStr">
        <is>
          <t>213.86%</t>
        </is>
      </c>
      <c r="N439" t="n">
        <v>4.8</v>
      </c>
      <c r="O439" t="n">
        <v>2480</v>
      </c>
      <c r="Q439" t="inlineStr">
        <is>
          <t>InStock</t>
        </is>
      </c>
      <c r="R439" t="inlineStr">
        <is>
          <t>undefined</t>
        </is>
      </c>
      <c r="S439" t="inlineStr">
        <is>
          <t>G9447780</t>
        </is>
      </c>
    </row>
    <row r="440" ht="75" customHeight="1">
      <c r="A440" s="1">
        <f>HYPERLINK("https://www.zoro.com/duck-paint-tape-188x60yd-blu-240195/i/G9447780/", "https://www.zoro.com/duck-paint-tape-188x60yd-blu-240195/i/G9447780/")</f>
        <v/>
      </c>
      <c r="B440" s="1">
        <f>HYPERLINK("https://www.zoro.com/duck-paint-tape-188x60yd-blu-240195/i/G9447780/", "https://www.zoro.com/duck-paint-tape-188x60yd-blu-240195/i/G9447780/")</f>
        <v/>
      </c>
      <c r="C440" t="inlineStr">
        <is>
          <t>Paint Tape 1.88X60Yd Blu</t>
        </is>
      </c>
      <c r="D440" t="inlineStr">
        <is>
          <t>ScotchBlue Original Multi-Surface Painter's Tape, 1.88 Inches x 60 Yards, 4 Rolls, Blue, Paint Tape Protects Surfaces and Removes Easily, Multi-Surface Painting Tape for Indoor and Outdoor Use</t>
        </is>
      </c>
      <c r="E440" s="1">
        <f>HYPERLINK("https://www.amazon.com/ScotchBlue-Original-Painters-2090-48UR4-Masking/dp/B09YS4PTD5/ref=sr_1_9?keywords=Paint+Tape+1.88X60Yd+Blu&amp;qid=1695348013&amp;sr=8-9", "https://www.amazon.com/ScotchBlue-Original-Painters-2090-48UR4-Masking/dp/B09YS4PTD5/ref=sr_1_9?keywords=Paint+Tape+1.88X60Yd+Blu&amp;qid=1695348013&amp;sr=8-9")</f>
        <v/>
      </c>
      <c r="F440" t="inlineStr">
        <is>
          <t>B09YS4PTD5</t>
        </is>
      </c>
      <c r="G440">
        <f>_xlfn.IMAGE("https://www.zoro.com/static/cms/product/full/Emery Jensen Distribution LLC_1796713xxA.epsxxHigh.jpg")</f>
        <v/>
      </c>
      <c r="H440">
        <f>_xlfn.IMAGE("https://m.media-amazon.com/images/I/71dvh2L3XfL._AC_UL320_.jpg")</f>
        <v/>
      </c>
      <c r="K440" t="inlineStr">
        <is>
          <t>12.55</t>
        </is>
      </c>
      <c r="L440" t="n">
        <v>34.89</v>
      </c>
      <c r="M440" s="2" t="inlineStr">
        <is>
          <t>178.01%</t>
        </is>
      </c>
      <c r="N440" t="n">
        <v>4.2</v>
      </c>
      <c r="O440" t="n">
        <v>22</v>
      </c>
      <c r="Q440" t="inlineStr">
        <is>
          <t>InStock</t>
        </is>
      </c>
      <c r="R440" t="inlineStr">
        <is>
          <t>undefined</t>
        </is>
      </c>
      <c r="S440" t="inlineStr">
        <is>
          <t>G9447780</t>
        </is>
      </c>
    </row>
    <row r="441" ht="75" customHeight="1">
      <c r="A441" s="1">
        <f>HYPERLINK("https://www.zoro.com/duck-paint-tape-188x60yd-blu-240195/i/G9447780/", "https://www.zoro.com/duck-paint-tape-188x60yd-blu-240195/i/G9447780/")</f>
        <v/>
      </c>
      <c r="B441" s="1">
        <f>HYPERLINK("https://www.zoro.com/duck-paint-tape-188x60yd-blu-240195/i/G9447780/", "https://www.zoro.com/duck-paint-tape-188x60yd-blu-240195/i/G9447780/")</f>
        <v/>
      </c>
      <c r="C441" t="inlineStr">
        <is>
          <t>Paint Tape 1.88X60Yd Blu</t>
        </is>
      </c>
      <c r="D441" t="inlineStr">
        <is>
          <t>ScotchBlue Sharp Lines Multi-Surface Painter's Tape, 1.88 Inches x 60 Yards, 3 Rolls, Blue, Paint Tape Protects Surfaces and Removes Easily, Edge-Lock Painting Tape for Indoor and Outdoor Use</t>
        </is>
      </c>
      <c r="E441" s="1">
        <f>HYPERLINK("https://www.amazon.com/ScotchBlue-Sharp-Lines-Painters-Tape/dp/B089N5FDTT/ref=sr_1_1?keywords=Paint+Tape+1.88X60Yd+Blu&amp;qid=1695348013&amp;sr=8-1", "https://www.amazon.com/ScotchBlue-Sharp-Lines-Painters-Tape/dp/B089N5FDTT/ref=sr_1_1?keywords=Paint+Tape+1.88X60Yd+Blu&amp;qid=1695348013&amp;sr=8-1")</f>
        <v/>
      </c>
      <c r="F441" t="inlineStr">
        <is>
          <t>B089N5FDTT</t>
        </is>
      </c>
      <c r="G441">
        <f>_xlfn.IMAGE("https://www.zoro.com/static/cms/product/full/Emery Jensen Distribution LLC_1796713xxA.epsxxHigh.jpg")</f>
        <v/>
      </c>
      <c r="H441">
        <f>_xlfn.IMAGE("https://m.media-amazon.com/images/I/81VlSSyjw7L._AC_UL320_.jpg")</f>
        <v/>
      </c>
      <c r="K441" t="inlineStr">
        <is>
          <t>12.55</t>
        </is>
      </c>
      <c r="L441" t="n">
        <v>25.45</v>
      </c>
      <c r="M441" s="2" t="inlineStr">
        <is>
          <t>102.79%</t>
        </is>
      </c>
      <c r="N441" t="n">
        <v>4.6</v>
      </c>
      <c r="O441" t="n">
        <v>705</v>
      </c>
      <c r="Q441" t="inlineStr">
        <is>
          <t>InStock</t>
        </is>
      </c>
      <c r="R441" t="inlineStr">
        <is>
          <t>undefined</t>
        </is>
      </c>
      <c r="S441" t="inlineStr">
        <is>
          <t>G9447780</t>
        </is>
      </c>
    </row>
    <row r="442" ht="75" customHeight="1">
      <c r="A442" s="1">
        <f>HYPERLINK("https://www.zoro.com/ecm-industries-1x10-clr-repair-tape-htp-1010clr/i/G607022303/", "https://www.zoro.com/ecm-industries-1x10-clr-repair-tape-htp-1010clr/i/G607022303/")</f>
        <v/>
      </c>
      <c r="B442" s="1">
        <f>HYPERLINK("https://www.zoro.com/ecm-industries-1x10-clr-repair-tape-htp-1010clr/i/G607022303/", "https://www.zoro.com/ecm-industries-1x10-clr-repair-tape-htp-1010clr/i/G607022303/")</f>
        <v/>
      </c>
      <c r="C442" t="inlineStr">
        <is>
          <t>1X10 Clr Repair Tape</t>
        </is>
      </c>
      <c r="D442" t="inlineStr">
        <is>
          <t>Rust-Oleum 1x3.3YD CLR Repair Tape</t>
        </is>
      </c>
      <c r="E442" s="1">
        <f>HYPERLINK("https://www.amazon.com/Rust-Oleum-275796-Rustoleum-1/dp/B00LMMG13K/ref=sr_1_2?keywords=1X10+Clr+Repair+Tape&amp;qid=1695348232&amp;sr=8-2", "https://www.amazon.com/Rust-Oleum-275796-Rustoleum-1/dp/B00LMMG13K/ref=sr_1_2?keywords=1X10+Clr+Repair+Tape&amp;qid=1695348232&amp;sr=8-2")</f>
        <v/>
      </c>
      <c r="F442" t="inlineStr">
        <is>
          <t>B00LMMG13K</t>
        </is>
      </c>
      <c r="G442">
        <f>_xlfn.IMAGE("https://www.zoro.com/static/cms/product/full/Promax Supply dba Acktify_ACK195767xx42f8a3xx2c3e85.jpeg")</f>
        <v/>
      </c>
      <c r="H442">
        <f>_xlfn.IMAGE("https://m.media-amazon.com/images/I/61QKTv2b-cL._AC_UY218_.jpg")</f>
        <v/>
      </c>
      <c r="K442" t="inlineStr">
        <is>
          <t>10.99</t>
        </is>
      </c>
      <c r="L442" t="n">
        <v>20.47</v>
      </c>
      <c r="M442" s="2" t="inlineStr">
        <is>
          <t>86.26%</t>
        </is>
      </c>
      <c r="N442" t="n">
        <v>3.8</v>
      </c>
      <c r="O442" t="n">
        <v>126</v>
      </c>
      <c r="Q442" t="inlineStr">
        <is>
          <t>InStock</t>
        </is>
      </c>
      <c r="R442" t="inlineStr">
        <is>
          <t>undefined</t>
        </is>
      </c>
      <c r="S442" t="inlineStr">
        <is>
          <t>G607022303</t>
        </is>
      </c>
    </row>
    <row r="443" ht="75" customHeight="1">
      <c r="A443" s="1">
        <f>HYPERLINK("https://www.zoro.com/ecm-industries-1x10-clr-repair-tape-htp-1010clr/i/G607022303/", "https://www.zoro.com/ecm-industries-1x10-clr-repair-tape-htp-1010clr/i/G607022303/")</f>
        <v/>
      </c>
      <c r="B443" s="1">
        <f>HYPERLINK("https://www.zoro.com/ecm-industries-1x10-clr-repair-tape-htp-1010clr/i/G607022303/", "https://www.zoro.com/ecm-industries-1x10-clr-repair-tape-htp-1010clr/i/G607022303/")</f>
        <v/>
      </c>
      <c r="C443" t="inlineStr">
        <is>
          <t>1X10 Clr Repair Tape</t>
        </is>
      </c>
      <c r="D443" t="inlineStr">
        <is>
          <t>Rust-Oleum 1x3.3YD CLR Repair Tape</t>
        </is>
      </c>
      <c r="E443" s="1">
        <f>HYPERLINK("https://www.amazon.com/Rust-Oleum-275796-Rustoleum-1/dp/B00LMMG13K/ref=sr_1_2?keywords=1X10+Clr+Repair+Tape&amp;qid=1695348232&amp;sr=8-2", "https://www.amazon.com/Rust-Oleum-275796-Rustoleum-1/dp/B00LMMG13K/ref=sr_1_2?keywords=1X10+Clr+Repair+Tape&amp;qid=1695348232&amp;sr=8-2")</f>
        <v/>
      </c>
      <c r="F443" t="inlineStr">
        <is>
          <t>B00LMMG13K</t>
        </is>
      </c>
      <c r="G443">
        <f>_xlfn.IMAGE("https://www.zoro.com/static/cms/product/full/Promax Supply dba Acktify_ACK195767xx42f8a3xx2c3e85.jpeg")</f>
        <v/>
      </c>
      <c r="H443">
        <f>_xlfn.IMAGE("https://m.media-amazon.com/images/I/61QKTv2b-cL._AC_UY218_.jpg")</f>
        <v/>
      </c>
      <c r="K443" t="inlineStr">
        <is>
          <t>10.99</t>
        </is>
      </c>
      <c r="L443" t="n">
        <v>20.47</v>
      </c>
      <c r="M443" s="2" t="inlineStr">
        <is>
          <t>86.26%</t>
        </is>
      </c>
      <c r="N443" t="n">
        <v>3.8</v>
      </c>
      <c r="O443" t="n">
        <v>126</v>
      </c>
      <c r="Q443" t="inlineStr">
        <is>
          <t>InStock</t>
        </is>
      </c>
      <c r="R443" t="inlineStr">
        <is>
          <t>undefined</t>
        </is>
      </c>
      <c r="S443" t="inlineStr">
        <is>
          <t>G607022303</t>
        </is>
      </c>
    </row>
    <row r="444" ht="75" customHeight="1">
      <c r="A444" s="1">
        <f>HYPERLINK("https://www.zoro.com/electriduct-floor-channel-tape-4-x-25ft-roll-blackyellow-tape-ct-4-25-by/i/G9888381/", "https://www.zoro.com/electriduct-floor-channel-tape-4-x-25ft-roll-blackyellow-tape-ct-4-25-by/i/G9888381/")</f>
        <v/>
      </c>
      <c r="B444" s="1">
        <f>HYPERLINK("https://www.zoro.com/electriduct-floor-channel-tape-4-x-25ft-roll-blackyellow-tape-ct-4-25-by/i/G9888381/", "https://www.zoro.com/electriduct-floor-channel-tape-4-x-25ft-roll-blackyellow-tape-ct-4-25-by/i/G9888381/")</f>
        <v/>
      </c>
      <c r="C444" t="inlineStr">
        <is>
          <t>Floor Channel Tape 4" x 25ft Roll- Black/Yellow</t>
        </is>
      </c>
      <c r="D444" t="inlineStr">
        <is>
          <t>Electriduct Tunnel Tape with Non-Adhesive Center Channel Path for Cable Management Gaffer's Tape 4" x 25 Feet x 4 Rolls = 100 Feet - Black/Yellow High Visibility Safety Stripe</t>
        </is>
      </c>
      <c r="E444" s="1">
        <f>HYPERLINK("https://www.amazon.com/Electriduct-Non-Adhesive-Channel-Management-Gaffers/dp/B08M831KCJ/ref=sr_1_1?keywords=Floor+Channel+Tape+4%22+x+25ft+Roll-+Black%2FYellow&amp;qid=1695348239&amp;sr=8-1", "https://www.amazon.com/Electriduct-Non-Adhesive-Channel-Management-Gaffers/dp/B08M831KCJ/ref=sr_1_1?keywords=Floor+Channel+Tape+4%22+x+25ft+Roll-+Black%2FYellow&amp;qid=1695348239&amp;sr=8-1")</f>
        <v/>
      </c>
      <c r="F444" t="inlineStr">
        <is>
          <t>B08M831KCJ</t>
        </is>
      </c>
      <c r="G444">
        <f>_xlfn.IMAGE("https://www.zoro.com/static/cms/product/full/Electriduct Inc_cablexxpathxxtape.jpg")</f>
        <v/>
      </c>
      <c r="H444">
        <f>_xlfn.IMAGE("https://m.media-amazon.com/images/I/712OSDsw4LL._AC_UY218_.jpg")</f>
        <v/>
      </c>
      <c r="K444" t="inlineStr">
        <is>
          <t>16.99</t>
        </is>
      </c>
      <c r="L444" t="n">
        <v>36.78</v>
      </c>
      <c r="M444" s="2" t="inlineStr">
        <is>
          <t>116.48%</t>
        </is>
      </c>
      <c r="N444" t="n">
        <v>4.3</v>
      </c>
      <c r="O444" t="n">
        <v>23</v>
      </c>
      <c r="Q444" t="inlineStr">
        <is>
          <t>InStock</t>
        </is>
      </c>
      <c r="R444" t="inlineStr">
        <is>
          <t>undefined</t>
        </is>
      </c>
      <c r="S444" t="inlineStr">
        <is>
          <t>G9888381</t>
        </is>
      </c>
    </row>
    <row r="445" ht="75" customHeight="1">
      <c r="A445" s="1">
        <f>HYPERLINK("https://www.zoro.com/electriduct-floor-channel-tape-4-x-25ft-roll-blackyellow-tape-ct-4-25-by/i/G9888381/", "https://www.zoro.com/electriduct-floor-channel-tape-4-x-25ft-roll-blackyellow-tape-ct-4-25-by/i/G9888381/")</f>
        <v/>
      </c>
      <c r="B445" s="1">
        <f>HYPERLINK("https://www.zoro.com/electriduct-floor-channel-tape-4-x-25ft-roll-blackyellow-tape-ct-4-25-by/i/G9888381/", "https://www.zoro.com/electriduct-floor-channel-tape-4-x-25ft-roll-blackyellow-tape-ct-4-25-by/i/G9888381/")</f>
        <v/>
      </c>
      <c r="C445" t="inlineStr">
        <is>
          <t>Floor Channel Tape 4" x 25ft Roll- Black/Yellow</t>
        </is>
      </c>
      <c r="D445" t="inlineStr">
        <is>
          <t>Electriduct Tunnel Tape with Non-Adhesive Center Channel Path for Cable Management Gaffer's Tape 4" x 25 Feet x 4 Rolls = 100 Feet - Black/Yellow High Visibility Safety Stripe</t>
        </is>
      </c>
      <c r="E445" s="1">
        <f>HYPERLINK("https://www.amazon.com/Electriduct-Non-Adhesive-Channel-Management-Gaffers/dp/B08M831KCJ/ref=sr_1_1?keywords=Floor+Channel+Tape+4%22+x+25ft+Roll-+Black%2FYellow&amp;qid=1695348239&amp;sr=8-1", "https://www.amazon.com/Electriduct-Non-Adhesive-Channel-Management-Gaffers/dp/B08M831KCJ/ref=sr_1_1?keywords=Floor+Channel+Tape+4%22+x+25ft+Roll-+Black%2FYellow&amp;qid=1695348239&amp;sr=8-1")</f>
        <v/>
      </c>
      <c r="F445" t="inlineStr">
        <is>
          <t>B08M831KCJ</t>
        </is>
      </c>
      <c r="G445">
        <f>_xlfn.IMAGE("https://www.zoro.com/static/cms/product/full/Electriduct Inc_cablexxpathxxtape.jpg")</f>
        <v/>
      </c>
      <c r="H445">
        <f>_xlfn.IMAGE("https://m.media-amazon.com/images/I/712OSDsw4LL._AC_UY218_.jpg")</f>
        <v/>
      </c>
      <c r="K445" t="inlineStr">
        <is>
          <t>16.99</t>
        </is>
      </c>
      <c r="L445" t="n">
        <v>36.78</v>
      </c>
      <c r="M445" s="2" t="inlineStr">
        <is>
          <t>116.48%</t>
        </is>
      </c>
      <c r="N445" t="n">
        <v>4.3</v>
      </c>
      <c r="O445" t="n">
        <v>23</v>
      </c>
      <c r="Q445" t="inlineStr">
        <is>
          <t>InStock</t>
        </is>
      </c>
      <c r="R445" t="inlineStr">
        <is>
          <t>undefined</t>
        </is>
      </c>
      <c r="S445" t="inlineStr">
        <is>
          <t>G9888381</t>
        </is>
      </c>
    </row>
    <row r="446" ht="75" customHeight="1">
      <c r="A446" s="1">
        <f>HYPERLINK("https://www.zoro.com/electriduct-floor-channel-tape-6-x-25ft-roll-black-tape-ct-6-25-bk/i/G9888969/", "https://www.zoro.com/electriduct-floor-channel-tape-6-x-25ft-roll-black-tape-ct-6-25-bk/i/G9888969/")</f>
        <v/>
      </c>
      <c r="B446" s="1">
        <f>HYPERLINK("https://www.zoro.com/electriduct-floor-channel-tape-6-x-25ft-roll-black-tape-ct-6-25-bk/i/G9888969/", "https://www.zoro.com/electriduct-floor-channel-tape-6-x-25ft-roll-black-tape-ct-6-25-bk/i/G9888969/")</f>
        <v/>
      </c>
      <c r="C446" t="inlineStr">
        <is>
          <t>Floor Channel Tape 6" x 25ft Roll- Black</t>
        </is>
      </c>
      <c r="D446" t="inlineStr">
        <is>
          <t>Electriduct Tunnel Tape with Non-Adhesive Center Channel Path for Cable Management Gaffer's Tape 6" x 25 Feet x 4 Rolls = 100 Feet - Black</t>
        </is>
      </c>
      <c r="E446" s="1">
        <f>HYPERLINK("https://www.amazon.com/Electriduct-Non-Adhesive-Channel-Management-Gaffers/dp/B08M6LGH2J/ref=sr_1_1?keywords=Floor+Channel+Tape+6%22+x+25ft+Roll-+Black&amp;qid=1695348223&amp;sr=8-1", "https://www.amazon.com/Electriduct-Non-Adhesive-Channel-Management-Gaffers/dp/B08M6LGH2J/ref=sr_1_1?keywords=Floor+Channel+Tape+6%22+x+25ft+Roll-+Black&amp;qid=1695348223&amp;sr=8-1")</f>
        <v/>
      </c>
      <c r="F446" t="inlineStr">
        <is>
          <t>B08M6LGH2J</t>
        </is>
      </c>
      <c r="G446">
        <f>_xlfn.IMAGE("https://www.zoro.com/static/cms/product/full/Electriduct Inc_cablexxpathxxtape.jpg")</f>
        <v/>
      </c>
      <c r="H446">
        <f>_xlfn.IMAGE("https://m.media-amazon.com/images/I/71mWwx6JHDL._AC_UY218_.jpg")</f>
        <v/>
      </c>
      <c r="K446" t="inlineStr">
        <is>
          <t>25.95</t>
        </is>
      </c>
      <c r="L446" t="n">
        <v>45.49</v>
      </c>
      <c r="M446" s="2" t="inlineStr">
        <is>
          <t>75.30%</t>
        </is>
      </c>
      <c r="N446" t="n">
        <v>4.3</v>
      </c>
      <c r="O446" t="n">
        <v>23</v>
      </c>
      <c r="Q446" t="inlineStr">
        <is>
          <t>InStock</t>
        </is>
      </c>
      <c r="R446" t="inlineStr">
        <is>
          <t>undefined</t>
        </is>
      </c>
      <c r="S446" t="inlineStr">
        <is>
          <t>G9888969</t>
        </is>
      </c>
    </row>
    <row r="447" ht="75" customHeight="1">
      <c r="A447" s="1">
        <f>HYPERLINK("https://www.zoro.com/electriduct-floor-channel-tape-6-x-25ft-roll-black-tape-ct-6-25-bk/i/G9888969/", "https://www.zoro.com/electriduct-floor-channel-tape-6-x-25ft-roll-black-tape-ct-6-25-bk/i/G9888969/")</f>
        <v/>
      </c>
      <c r="B447" s="1">
        <f>HYPERLINK("https://www.zoro.com/electriduct-floor-channel-tape-6-x-25ft-roll-black-tape-ct-6-25-bk/i/G9888969/", "https://www.zoro.com/electriduct-floor-channel-tape-6-x-25ft-roll-black-tape-ct-6-25-bk/i/G9888969/")</f>
        <v/>
      </c>
      <c r="C447" t="inlineStr">
        <is>
          <t>Floor Channel Tape 6" x 25ft Roll- Black</t>
        </is>
      </c>
      <c r="D447" t="inlineStr">
        <is>
          <t>Electriduct Tunnel Tape with Non-Adhesive Center Channel Path for Cable Management Gaffer's Tape 6" x 25 Feet x 4 Rolls = 100 Feet - Black</t>
        </is>
      </c>
      <c r="E447" s="1">
        <f>HYPERLINK("https://www.amazon.com/Electriduct-Non-Adhesive-Channel-Management-Gaffers/dp/B08M6LGH2J/ref=sr_1_1?keywords=Floor+Channel+Tape+6%22+x+25ft+Roll-+Black&amp;qid=1695348223&amp;sr=8-1", "https://www.amazon.com/Electriduct-Non-Adhesive-Channel-Management-Gaffers/dp/B08M6LGH2J/ref=sr_1_1?keywords=Floor+Channel+Tape+6%22+x+25ft+Roll-+Black&amp;qid=1695348223&amp;sr=8-1")</f>
        <v/>
      </c>
      <c r="F447" t="inlineStr">
        <is>
          <t>B08M6LGH2J</t>
        </is>
      </c>
      <c r="G447">
        <f>_xlfn.IMAGE("https://www.zoro.com/static/cms/product/full/Electriduct Inc_cablexxpathxxtape.jpg")</f>
        <v/>
      </c>
      <c r="H447">
        <f>_xlfn.IMAGE("https://m.media-amazon.com/images/I/71mWwx6JHDL._AC_UY218_.jpg")</f>
        <v/>
      </c>
      <c r="K447" t="inlineStr">
        <is>
          <t>25.95</t>
        </is>
      </c>
      <c r="L447" t="n">
        <v>45.49</v>
      </c>
      <c r="M447" s="2" t="inlineStr">
        <is>
          <t>75.30%</t>
        </is>
      </c>
      <c r="N447" t="n">
        <v>4.3</v>
      </c>
      <c r="O447" t="n">
        <v>23</v>
      </c>
      <c r="Q447" t="inlineStr">
        <is>
          <t>InStock</t>
        </is>
      </c>
      <c r="R447" t="inlineStr">
        <is>
          <t>undefined</t>
        </is>
      </c>
      <c r="S447" t="inlineStr">
        <is>
          <t>G9888969</t>
        </is>
      </c>
    </row>
    <row r="448" ht="75" customHeight="1">
      <c r="A448" s="1">
        <f>HYPERLINK("https://www.zoro.com/electriduct-general-purpose-vinyl-electrical-tape-34-x-60ft-black-etape-75-bk-1/i/G9850265/", "https://www.zoro.com/electriduct-general-purpose-vinyl-electrical-tape-34-x-60ft-black-etape-75-bk-1/i/G9850265/")</f>
        <v/>
      </c>
      <c r="B448" s="1">
        <f>HYPERLINK("https://www.zoro.com/electriduct-general-purpose-vinyl-electrical-tape-34-x-60ft-black-etape-75-bk-1/i/G9850265/", "https://www.zoro.com/electriduct-general-purpose-vinyl-electrical-tape-34-x-60ft-black-etape-75-bk-1/i/G9850265/")</f>
        <v/>
      </c>
      <c r="C448" t="inlineStr">
        <is>
          <t>General Purpose Vinyl Electrical Tape- 3/4" x 60ft- Black</t>
        </is>
      </c>
      <c r="D448" t="inlineStr">
        <is>
          <t>Merco Tape Electrical Tape M801 General Purpose - 3/4in x 60ft - U/L - Black - Full Factory case of 100 Rolls</t>
        </is>
      </c>
      <c r="E448" s="1">
        <f>HYPERLINK("https://www.amazon.com/Electrical-Tape-General-Purpose-Factory/dp/B09PH7DBDM/ref=sr_1_6?keywords=General+Purpose+Vinyl+Electrical+Tape-+3%2F4%22+x+60ft-+Black&amp;qid=1695348207&amp;sr=8-6", "https://www.amazon.com/Electrical-Tape-General-Purpose-Factory/dp/B09PH7DBDM/ref=sr_1_6?keywords=General+Purpose+Vinyl+Electrical+Tape-+3%2F4%22+x+60ft-+Black&amp;qid=1695348207&amp;sr=8-6")</f>
        <v/>
      </c>
      <c r="F448" t="inlineStr">
        <is>
          <t>B09PH7DBDM</t>
        </is>
      </c>
      <c r="G448">
        <f>_xlfn.IMAGE("https://www.zoro.com/static/cms/product/full/Electriduct Inc_electricaalxxtapexxcolors.jpg")</f>
        <v/>
      </c>
      <c r="H448">
        <f>_xlfn.IMAGE("https://m.media-amazon.com/images/I/71Tk3ZJ9MXL._AC_UY218_.jpg")</f>
        <v/>
      </c>
      <c r="K448" t="inlineStr">
        <is>
          <t>11.45</t>
        </is>
      </c>
      <c r="L448" t="n">
        <v>134.4</v>
      </c>
      <c r="M448" s="2" t="inlineStr">
        <is>
          <t>1073.80%</t>
        </is>
      </c>
      <c r="N448" t="n">
        <v>5</v>
      </c>
      <c r="O448" t="n">
        <v>1</v>
      </c>
      <c r="Q448" t="inlineStr">
        <is>
          <t>InStock</t>
        </is>
      </c>
      <c r="R448" t="inlineStr">
        <is>
          <t>undefined</t>
        </is>
      </c>
      <c r="S448" t="inlineStr">
        <is>
          <t>G9850265</t>
        </is>
      </c>
    </row>
    <row r="449" ht="75" customHeight="1">
      <c r="A449" s="1">
        <f>HYPERLINK("https://www.zoro.com/frogtape-188-x-60-yds-frog-tape-multi-surface-painters-masking-tape-143177/i/G3281007/", "https://www.zoro.com/frogtape-188-x-60-yds-frog-tape-multi-surface-painters-masking-tape-143177/i/G3281007/")</f>
        <v/>
      </c>
      <c r="B449" s="1">
        <f>HYPERLINK("https://www.zoro.com/frogtape-188-x-60-yds-frog-tape-multi-surface-painters-masking-tape-143177/i/G3281007/", "https://www.zoro.com/frogtape-188-x-60-yds-frog-tape-multi-surface-painters-masking-tape-143177/i/G3281007/")</f>
        <v/>
      </c>
      <c r="C449" t="inlineStr">
        <is>
          <t>1.88" x 60 Yds Frog Tape Multi-Surface Painter's Masking Tape</t>
        </is>
      </c>
      <c r="D449" t="inlineStr">
        <is>
          <t>FROGTAPE 240661 Multi-Surface Painter's Tape with PAINTBLOCK, Medium Adhesion, 1.88 Inches x 60 Yards, Green, 3 Rolls</t>
        </is>
      </c>
      <c r="E449" s="1">
        <f>HYPERLINK("https://www.amazon.com/FrogTape-Multi-Surface-Painters-Inches-240661/dp/B00NE5BGRY/ref=sr_1_1?keywords=1.88%22+x+60+Yds+Frog+Tape+Multi-Surface+Painter%27s+Masking+Tape&amp;qid=1695347918&amp;sr=8-1", "https://www.amazon.com/FrogTape-Multi-Surface-Painters-Inches-240661/dp/B00NE5BGRY/ref=sr_1_1?keywords=1.88%22+x+60+Yds+Frog+Tape+Multi-Surface+Painter%27s+Masking+Tape&amp;qid=1695347918&amp;sr=8-1")</f>
        <v/>
      </c>
      <c r="F449" t="inlineStr">
        <is>
          <t>B00NE5BGRY</t>
        </is>
      </c>
      <c r="G449">
        <f>_xlfn.IMAGE("https://www.zoro.com/static/cms/product/full/Paint Sundries Solutions Inc_682994820316.JPG")</f>
        <v/>
      </c>
      <c r="H449">
        <f>_xlfn.IMAGE("https://m.media-amazon.com/images/I/81jRNkADJeL._AC_UL320_.jpg")</f>
        <v/>
      </c>
      <c r="K449" t="inlineStr">
        <is>
          <t>15.79</t>
        </is>
      </c>
      <c r="L449" t="n">
        <v>28.68</v>
      </c>
      <c r="M449" s="2" t="inlineStr">
        <is>
          <t>81.63%</t>
        </is>
      </c>
      <c r="N449" t="n">
        <v>4.7</v>
      </c>
      <c r="O449" t="n">
        <v>16887</v>
      </c>
      <c r="Q449" t="inlineStr">
        <is>
          <t>InStock</t>
        </is>
      </c>
      <c r="R449" t="inlineStr">
        <is>
          <t>undefined</t>
        </is>
      </c>
      <c r="S449" t="inlineStr">
        <is>
          <t>G3281007</t>
        </is>
      </c>
    </row>
    <row r="450" ht="75" customHeight="1">
      <c r="A450" s="1">
        <f>HYPERLINK("https://www.zoro.com/frogtape-94-x-60-yds-frog-tape-delicate-surface-painters-masking-tape-240482/i/G3282118/", "https://www.zoro.com/frogtape-94-x-60-yds-frog-tape-delicate-surface-painters-masking-tape-240482/i/G3282118/")</f>
        <v/>
      </c>
      <c r="B450" s="1">
        <f>HYPERLINK("https://www.zoro.com/frogtape-94-x-60-yds-frog-tape-delicate-surface-painters-masking-tape-240482/i/G3282118/", "https://www.zoro.com/frogtape-94-x-60-yds-frog-tape-delicate-surface-painters-masking-tape-240482/i/G3282118/")</f>
        <v/>
      </c>
      <c r="C450" t="inlineStr">
        <is>
          <t>.94" x 60 Yds Frog Tape Delicate Surface Painter's Masking Tape</t>
        </is>
      </c>
      <c r="D450" t="inlineStr">
        <is>
          <t>FROGTAPE 240661 Multi-Surface Painter's Tape, 1.88 Inches x 60 Yards, Green, 3 Rolls w/ 1358463 Multi-Surface Painter's Tape, 0.94" Wide x 60 Yards Long, Green with PAINTBLOCK, Medium Adhesion</t>
        </is>
      </c>
      <c r="E450" s="1">
        <f>HYPERLINK("https://www.amazon.com/FROGTAPE-Multi-Surface-Painters-PAINTBLOCK-Adhesion/dp/B0B7VFM4ZJ/ref=sr_1_8?keywords=.94%22+x+60+Yds+Frog+Tape+Delicate+Surface+Painter%27s+Masking+Tape&amp;qid=1695347923&amp;sr=8-8", "https://www.amazon.com/FROGTAPE-Multi-Surface-Painters-PAINTBLOCK-Adhesion/dp/B0B7VFM4ZJ/ref=sr_1_8?keywords=.94%22+x+60+Yds+Frog+Tape+Delicate+Surface+Painter%27s+Masking+Tape&amp;qid=1695347923&amp;sr=8-8")</f>
        <v/>
      </c>
      <c r="F450" t="inlineStr">
        <is>
          <t>B0B7VFM4ZJ</t>
        </is>
      </c>
      <c r="G450">
        <f>_xlfn.IMAGE("https://www.zoro.com/static/cms/product/full/Paint Sundries Solutions Inc_040074022065.JPG")</f>
        <v/>
      </c>
      <c r="H450">
        <f>_xlfn.IMAGE("https://m.media-amazon.com/images/I/51IyHyxZRyL._AC_UL320_.jpg")</f>
        <v/>
      </c>
      <c r="K450" t="inlineStr">
        <is>
          <t>7.15</t>
        </is>
      </c>
      <c r="L450" t="n">
        <v>35.17</v>
      </c>
      <c r="M450" s="2" t="inlineStr">
        <is>
          <t>391.89%</t>
        </is>
      </c>
      <c r="N450" t="n">
        <v>4.7</v>
      </c>
      <c r="O450" t="n">
        <v>16887</v>
      </c>
      <c r="Q450" t="inlineStr">
        <is>
          <t>InStock</t>
        </is>
      </c>
      <c r="R450" t="inlineStr">
        <is>
          <t>undefined</t>
        </is>
      </c>
      <c r="S450" t="inlineStr">
        <is>
          <t>G3282118</t>
        </is>
      </c>
    </row>
    <row r="451" ht="75" customHeight="1">
      <c r="A451" s="1">
        <f>HYPERLINK("https://www.zoro.com/frogtape-frog-tape-141-x-60-yds-1358465/i/G9444472/", "https://www.zoro.com/frogtape-frog-tape-141-x-60-yds-1358465/i/G9444472/")</f>
        <v/>
      </c>
      <c r="B451" s="1">
        <f>HYPERLINK("https://www.zoro.com/frogtape-frog-tape-141-x-60-yds-1358465/i/G9444472/", "https://www.zoro.com/frogtape-frog-tape-141-x-60-yds-1358465/i/G9444472/")</f>
        <v/>
      </c>
      <c r="C451" t="inlineStr">
        <is>
          <t>Frog Tape 1.41 X 60 Yds.</t>
        </is>
      </c>
      <c r="D451" t="inlineStr">
        <is>
          <t>FROGTAPE 240660 Multi-Surface Painter's Tape with PAINTBLOCK, Medium Adhesion, 1.41 Inches x 60 Yards, Green, 4 Rolls</t>
        </is>
      </c>
      <c r="E451" s="1">
        <f>HYPERLINK("https://www.amazon.com/FrogTape-Multi-Surface-Painters-Inches-240660/dp/B00OOLM9AA/ref=sr_1_1?keywords=Frog+Tape+1.41+X+60+Yds.&amp;qid=1695347919&amp;sr=8-1", "https://www.amazon.com/FrogTape-Multi-Surface-Painters-Inches-240660/dp/B00OOLM9AA/ref=sr_1_1?keywords=Frog+Tape+1.41+X+60+Yds.&amp;qid=1695347919&amp;sr=8-1")</f>
        <v/>
      </c>
      <c r="F451" t="inlineStr">
        <is>
          <t>B00OOLM9AA</t>
        </is>
      </c>
      <c r="G451">
        <f>_xlfn.IMAGE("https://www.zoro.com/static/cms/product/full/Emery Jensen Distribution LLC_1068429508xx704378.jpeg")</f>
        <v/>
      </c>
      <c r="H451">
        <f>_xlfn.IMAGE("https://m.media-amazon.com/images/I/71fOKiUio5L._AC_UL320_.jpg")</f>
        <v/>
      </c>
      <c r="K451" t="inlineStr">
        <is>
          <t>13.05</t>
        </is>
      </c>
      <c r="L451" t="n">
        <v>24.99</v>
      </c>
      <c r="M451" s="2" t="inlineStr">
        <is>
          <t>91.49%</t>
        </is>
      </c>
      <c r="N451" t="n">
        <v>4.7</v>
      </c>
      <c r="O451" t="n">
        <v>16887</v>
      </c>
      <c r="Q451" t="inlineStr">
        <is>
          <t>InStock</t>
        </is>
      </c>
      <c r="R451" t="inlineStr">
        <is>
          <t>undefined</t>
        </is>
      </c>
      <c r="S451" t="inlineStr">
        <is>
          <t>G9444472</t>
        </is>
      </c>
    </row>
    <row r="452" ht="75" customHeight="1">
      <c r="A452" s="1">
        <f>HYPERLINK("https://www.zoro.com/frogtape-frog-tape-188-x-60-yds-1358464/i/G9449302/", "https://www.zoro.com/frogtape-frog-tape-188-x-60-yds-1358464/i/G9449302/")</f>
        <v/>
      </c>
      <c r="B452" s="1">
        <f>HYPERLINK("https://www.zoro.com/frogtape-frog-tape-188-x-60-yds-1358464/i/G9449302/", "https://www.zoro.com/frogtape-frog-tape-188-x-60-yds-1358464/i/G9449302/")</f>
        <v/>
      </c>
      <c r="C452" t="inlineStr">
        <is>
          <t>Frog Tape 1.88 X 60 Yds.</t>
        </is>
      </c>
      <c r="D452" t="inlineStr">
        <is>
          <t>FROGTAPE 242835 Multi-Surface Painter's Tape, Green, 1.88 in. x 60 yd, 8 Rolls</t>
        </is>
      </c>
      <c r="E452" s="1">
        <f>HYPERLINK("https://www.amazon.com/FROGTAPE-242835-Multi-Surface-Painters-Green/dp/B09HYVL9HT/ref=sr_1_8?keywords=Frog+Tape+1.88+X+60+Yds.&amp;qid=1695347967&amp;sr=8-8", "https://www.amazon.com/FROGTAPE-242835-Multi-Surface-Painters-Green/dp/B09HYVL9HT/ref=sr_1_8?keywords=Frog+Tape+1.88+X+60+Yds.&amp;qid=1695347967&amp;sr=8-8")</f>
        <v/>
      </c>
      <c r="F452" t="inlineStr">
        <is>
          <t>B09HYVL9HT</t>
        </is>
      </c>
      <c r="G452">
        <f>_xlfn.IMAGE("https://www.zoro.com/static/cms/product/full/Emery Jensen Distribution LLC_1392232xxA.epsxxHigh.jpg")</f>
        <v/>
      </c>
      <c r="H452">
        <f>_xlfn.IMAGE("https://m.media-amazon.com/images/I/61KPMpTs4fL._AC_UY218_.jpg")</f>
        <v/>
      </c>
      <c r="K452" t="inlineStr">
        <is>
          <t>15.65</t>
        </is>
      </c>
      <c r="L452" t="n">
        <v>94.98999999999999</v>
      </c>
      <c r="M452" s="2" t="inlineStr">
        <is>
          <t>506.96%</t>
        </is>
      </c>
      <c r="N452" t="n">
        <v>5</v>
      </c>
      <c r="O452" t="n">
        <v>1</v>
      </c>
      <c r="Q452" t="inlineStr">
        <is>
          <t>InStock</t>
        </is>
      </c>
      <c r="R452" t="inlineStr">
        <is>
          <t>undefined</t>
        </is>
      </c>
      <c r="S452" t="inlineStr">
        <is>
          <t>G9449302</t>
        </is>
      </c>
    </row>
    <row r="453" ht="75" customHeight="1">
      <c r="A453" s="1">
        <f>HYPERLINK("https://www.zoro.com/frogtape-frog-tape-188-x-60-yds-1358464/i/G9449302/", "https://www.zoro.com/frogtape-frog-tape-188-x-60-yds-1358464/i/G9449302/")</f>
        <v/>
      </c>
      <c r="B453" s="1">
        <f>HYPERLINK("https://www.zoro.com/frogtape-frog-tape-188-x-60-yds-1358464/i/G9449302/", "https://www.zoro.com/frogtape-frog-tape-188-x-60-yds-1358464/i/G9449302/")</f>
        <v/>
      </c>
      <c r="C453" t="inlineStr">
        <is>
          <t>Frog Tape 1.88 X 60 Yds.</t>
        </is>
      </c>
      <c r="D453" t="inlineStr">
        <is>
          <t>FROGTAPE 240661 Multi-Surface Painter's Tape with PAINTBLOCK, Medium Adhesion, 1.88 Inches x 60 Yards, Green, 3 Rolls</t>
        </is>
      </c>
      <c r="E453" s="1">
        <f>HYPERLINK("https://www.amazon.com/FrogTape-Multi-Surface-Painters-Inches-240661/dp/B00NE5BGRY/ref=sr_1_1?keywords=Frog+Tape+1.88+X+60+Yds.&amp;qid=1695347967&amp;sr=8-1", "https://www.amazon.com/FrogTape-Multi-Surface-Painters-Inches-240661/dp/B00NE5BGRY/ref=sr_1_1?keywords=Frog+Tape+1.88+X+60+Yds.&amp;qid=1695347967&amp;sr=8-1")</f>
        <v/>
      </c>
      <c r="F453" t="inlineStr">
        <is>
          <t>B00NE5BGRY</t>
        </is>
      </c>
      <c r="G453">
        <f>_xlfn.IMAGE("https://www.zoro.com/static/cms/product/full/Emery Jensen Distribution LLC_1392232xxA.epsxxHigh.jpg")</f>
        <v/>
      </c>
      <c r="H453">
        <f>_xlfn.IMAGE("https://m.media-amazon.com/images/I/81jRNkADJeL._AC_UY218_.jpg")</f>
        <v/>
      </c>
      <c r="K453" t="inlineStr">
        <is>
          <t>15.65</t>
        </is>
      </c>
      <c r="L453" t="n">
        <v>28.68</v>
      </c>
      <c r="M453" s="2" t="inlineStr">
        <is>
          <t>83.26%</t>
        </is>
      </c>
      <c r="N453" t="n">
        <v>4.7</v>
      </c>
      <c r="O453" t="n">
        <v>16887</v>
      </c>
      <c r="Q453" t="inlineStr">
        <is>
          <t>InStock</t>
        </is>
      </c>
      <c r="R453" t="inlineStr">
        <is>
          <t>undefined</t>
        </is>
      </c>
      <c r="S453" t="inlineStr">
        <is>
          <t>G9449302</t>
        </is>
      </c>
    </row>
    <row r="454" ht="75" customHeight="1">
      <c r="A454" s="1">
        <f>HYPERLINK("https://www.zoro.com/gardner-bender-liquid-electrical-tape-black-ltb-400/i/G5245016/", "https://www.zoro.com/gardner-bender-liquid-electrical-tape-black-ltb-400/i/G5245016/")</f>
        <v/>
      </c>
      <c r="B454" s="1">
        <f>HYPERLINK("https://www.zoro.com/gardner-bender-liquid-electrical-tape-black-ltb-400/i/G5245016/", "https://www.zoro.com/gardner-bender-liquid-electrical-tape-black-ltb-400/i/G5245016/")</f>
        <v/>
      </c>
      <c r="C454" t="inlineStr">
        <is>
          <t>Liquid Electrical Tape, Black</t>
        </is>
      </c>
      <c r="D454" t="inlineStr">
        <is>
          <t>Liquid Electrical Tape | 4FL Oz. | Black</t>
        </is>
      </c>
      <c r="E454" s="1">
        <f>HYPERLINK("https://www.amazon.com/Liquid-Electrical-Tape-4FL-Black/dp/B0BD62KM2B/ref=sr_1_10?keywords=Liquid+Electrical+Tape%2C+Black&amp;qid=1695348109&amp;sr=8-10", "https://www.amazon.com/Liquid-Electrical-Tape-4FL-Black/dp/B0BD62KM2B/ref=sr_1_10?keywords=Liquid+Electrical+Tape%2C+Black&amp;qid=1695348109&amp;sr=8-10")</f>
        <v/>
      </c>
      <c r="F454" t="inlineStr">
        <is>
          <t>B0BD62KM2B</t>
        </is>
      </c>
      <c r="G454">
        <f>_xlfn.IMAGE("https://www.zoro.com/static/cms/product/full/Z2o6KzhcpIx_.JPG")</f>
        <v/>
      </c>
      <c r="H454">
        <f>_xlfn.IMAGE("https://m.media-amazon.com/images/I/61Le4eN50KL._AC_UY218_.jpg")</f>
        <v/>
      </c>
      <c r="K454" t="inlineStr">
        <is>
          <t>11.39</t>
        </is>
      </c>
      <c r="L454" t="n">
        <v>31.37</v>
      </c>
      <c r="M454" s="2" t="inlineStr">
        <is>
          <t>175.42%</t>
        </is>
      </c>
      <c r="N454" t="n">
        <v>5</v>
      </c>
      <c r="O454" t="n">
        <v>1</v>
      </c>
      <c r="Q454" t="inlineStr">
        <is>
          <t>InStock</t>
        </is>
      </c>
      <c r="R454" t="inlineStr">
        <is>
          <t>undefined</t>
        </is>
      </c>
      <c r="S454" t="inlineStr">
        <is>
          <t>G5245016</t>
        </is>
      </c>
    </row>
    <row r="455" ht="75" customHeight="1">
      <c r="A455" s="1">
        <f>HYPERLINK("https://www.zoro.com/gardner-bender-liquid-electrical-tape-black-ltb-400/i/G5245016/", "https://www.zoro.com/gardner-bender-liquid-electrical-tape-black-ltb-400/i/G5245016/")</f>
        <v/>
      </c>
      <c r="B455" s="1">
        <f>HYPERLINK("https://www.zoro.com/gardner-bender-liquid-electrical-tape-black-ltb-400/i/G5245016/", "https://www.zoro.com/gardner-bender-liquid-electrical-tape-black-ltb-400/i/G5245016/")</f>
        <v/>
      </c>
      <c r="C455" t="inlineStr">
        <is>
          <t>Liquid Electrical Tape, Black</t>
        </is>
      </c>
      <c r="D455" t="inlineStr">
        <is>
          <t>Plastic Dip Intl. 16003-6 Liquid Electrical Tape Spray, Black</t>
        </is>
      </c>
      <c r="E455" s="1">
        <f>HYPERLINK("https://www.amazon.com/Plastic-Dip-Intl-16003-6-Electrical/dp/B0010OF8ZM/ref=sr_1_9?keywords=Liquid+Electrical+Tape%2C+Black&amp;qid=1695348109&amp;sr=8-9", "https://www.amazon.com/Plastic-Dip-Intl-16003-6-Electrical/dp/B0010OF8ZM/ref=sr_1_9?keywords=Liquid+Electrical+Tape%2C+Black&amp;qid=1695348109&amp;sr=8-9")</f>
        <v/>
      </c>
      <c r="F455" t="inlineStr">
        <is>
          <t>B0010OF8ZM</t>
        </is>
      </c>
      <c r="G455">
        <f>_xlfn.IMAGE("https://www.zoro.com/static/cms/product/full/Z2o6KzhcpIx_.JPG")</f>
        <v/>
      </c>
      <c r="H455">
        <f>_xlfn.IMAGE("https://m.media-amazon.com/images/I/81NEmCqtuaL._AC_UY218_.jpg")</f>
        <v/>
      </c>
      <c r="K455" t="inlineStr">
        <is>
          <t>11.39</t>
        </is>
      </c>
      <c r="L455" t="n">
        <v>22.73</v>
      </c>
      <c r="M455" s="2" t="inlineStr">
        <is>
          <t>99.56%</t>
        </is>
      </c>
      <c r="N455" t="n">
        <v>3.9</v>
      </c>
      <c r="O455" t="n">
        <v>18</v>
      </c>
      <c r="Q455" t="inlineStr">
        <is>
          <t>InStock</t>
        </is>
      </c>
      <c r="R455" t="inlineStr">
        <is>
          <t>undefined</t>
        </is>
      </c>
      <c r="S455" t="inlineStr">
        <is>
          <t>G5245016</t>
        </is>
      </c>
    </row>
    <row r="456" ht="75" customHeight="1">
      <c r="A456" s="1">
        <f>HYPERLINK("https://www.zoro.com/gardner-bender-liquid-electrical-tape-black-ltb-400/i/G5245016/", "https://www.zoro.com/gardner-bender-liquid-electrical-tape-black-ltb-400/i/G5245016/")</f>
        <v/>
      </c>
      <c r="B456" s="1">
        <f>HYPERLINK("https://www.zoro.com/gardner-bender-liquid-electrical-tape-black-ltb-400/i/G5245016/", "https://www.zoro.com/gardner-bender-liquid-electrical-tape-black-ltb-400/i/G5245016/")</f>
        <v/>
      </c>
      <c r="C456" t="inlineStr">
        <is>
          <t>Liquid Electrical Tape, Black</t>
        </is>
      </c>
      <c r="D456" t="inlineStr">
        <is>
          <t>Plastic Dip Intl. 16003-6 Liquid Electrical Tape Spray, Black</t>
        </is>
      </c>
      <c r="E456" s="1">
        <f>HYPERLINK("https://www.amazon.com/Plastic-Dip-Intl-16003-6-Electrical/dp/B0010OF8ZM/ref=sr_1_9?keywords=Liquid+Electrical+Tape%2C+Black&amp;qid=1695348109&amp;sr=8-9", "https://www.amazon.com/Plastic-Dip-Intl-16003-6-Electrical/dp/B0010OF8ZM/ref=sr_1_9?keywords=Liquid+Electrical+Tape%2C+Black&amp;qid=1695348109&amp;sr=8-9")</f>
        <v/>
      </c>
      <c r="F456" t="inlineStr">
        <is>
          <t>B0010OF8ZM</t>
        </is>
      </c>
      <c r="G456">
        <f>_xlfn.IMAGE("https://www.zoro.com/static/cms/product/full/Z2o6KzhcpIx_.JPG")</f>
        <v/>
      </c>
      <c r="H456">
        <f>_xlfn.IMAGE("https://m.media-amazon.com/images/I/81NEmCqtuaL._AC_UY218_.jpg")</f>
        <v/>
      </c>
      <c r="K456" t="inlineStr">
        <is>
          <t>11.39</t>
        </is>
      </c>
      <c r="L456" t="n">
        <v>22.73</v>
      </c>
      <c r="M456" s="2" t="inlineStr">
        <is>
          <t>99.56%</t>
        </is>
      </c>
      <c r="N456" t="n">
        <v>3.9</v>
      </c>
      <c r="O456" t="n">
        <v>18</v>
      </c>
      <c r="Q456" t="inlineStr">
        <is>
          <t>InStock</t>
        </is>
      </c>
      <c r="R456" t="inlineStr">
        <is>
          <t>undefined</t>
        </is>
      </c>
      <c r="S456" t="inlineStr">
        <is>
          <t>G5245016</t>
        </is>
      </c>
    </row>
    <row r="457" ht="75" customHeight="1">
      <c r="A457" s="1">
        <f>HYPERLINK("https://www.zoro.com/gardner-bender-repair-tape-gray-1-x-10-ft-htp-1010gry/i/G4880499/", "https://www.zoro.com/gardner-bender-repair-tape-gray-1-x-10-ft-htp-1010gry/i/G4880499/")</f>
        <v/>
      </c>
      <c r="B457" s="1">
        <f>HYPERLINK("https://www.zoro.com/gardner-bender-repair-tape-gray-1-x-10-ft-htp-1010gry/i/G4880499/", "https://www.zoro.com/gardner-bender-repair-tape-gray-1-x-10-ft-htp-1010gry/i/G4880499/")</f>
        <v/>
      </c>
      <c r="C457" t="inlineStr">
        <is>
          <t>Repair Tape, Gray, 1" x 10 ft.</t>
        </is>
      </c>
      <c r="D457" t="inlineStr">
        <is>
          <t>Flex Tape, 12 in x 10 ft, Gray, Original Thick Flexible Rubberized Waterproof Tape - Seal and Patch Leaks, Works Underwater, Indoor Outdoor Projects - Home RV Roof Plumbing and Pool Repairs</t>
        </is>
      </c>
      <c r="E457" s="1">
        <f>HYPERLINK("https://www.amazon.com/Flex-Tape-Rubberized-Waterproof-inches/dp/B07D2J8BWF/ref=sr_1_7?keywords=Repair+Tape%2C+Gray%2C+1%22+x+10+ft.&amp;qid=1695348142&amp;sr=8-7", "https://www.amazon.com/Flex-Tape-Rubberized-Waterproof-inches/dp/B07D2J8BWF/ref=sr_1_7?keywords=Repair+Tape%2C+Gray%2C+1%22+x+10+ft.&amp;qid=1695348142&amp;sr=8-7")</f>
        <v/>
      </c>
      <c r="F457" t="inlineStr">
        <is>
          <t>B07D2J8BWF</t>
        </is>
      </c>
      <c r="G457">
        <f>_xlfn.IMAGE("https://www.zoro.com/static/cms/product/full/Z2o6K_icpEx_.JPG")</f>
        <v/>
      </c>
      <c r="H457">
        <f>_xlfn.IMAGE("https://m.media-amazon.com/images/I/51PLMRPEnbL._AC_UY218_.jpg")</f>
        <v/>
      </c>
      <c r="K457" t="inlineStr">
        <is>
          <t>9.05</t>
        </is>
      </c>
      <c r="L457" t="n">
        <v>57.99</v>
      </c>
      <c r="M457" s="2" t="inlineStr">
        <is>
          <t>540.77%</t>
        </is>
      </c>
      <c r="N457" t="n">
        <v>4.3</v>
      </c>
      <c r="O457" t="n">
        <v>81</v>
      </c>
      <c r="Q457" t="inlineStr">
        <is>
          <t>undefined</t>
        </is>
      </c>
      <c r="R457" t="inlineStr">
        <is>
          <t>undefined</t>
        </is>
      </c>
      <c r="S457" t="inlineStr">
        <is>
          <t>G4880499</t>
        </is>
      </c>
    </row>
    <row r="458" ht="75" customHeight="1">
      <c r="A458" s="1">
        <f>HYPERLINK("https://www.zoro.com/gardner-bender-spray-liquid-tape-black-lts-400/i/G5244989/", "https://www.zoro.com/gardner-bender-spray-liquid-tape-black-lts-400/i/G5244989/")</f>
        <v/>
      </c>
      <c r="B458" s="1">
        <f>HYPERLINK("https://www.zoro.com/gardner-bender-spray-liquid-tape-black-lts-400/i/G5244989/", "https://www.zoro.com/gardner-bender-spray-liquid-tape-black-lts-400/i/G5244989/")</f>
        <v/>
      </c>
      <c r="C458" t="inlineStr">
        <is>
          <t>Spray Liquid Tape, Black</t>
        </is>
      </c>
      <c r="D458" t="inlineStr">
        <is>
          <t>Plastic Dip Intl. 16003-6 Liquid Electrical Tape Spray, Black</t>
        </is>
      </c>
      <c r="E458" s="1">
        <f>HYPERLINK("https://www.amazon.com/Plastic-Dip-Intl-16003-6-Electrical/dp/B0010OF8ZM/ref=sr_1_2?keywords=Spray+Liquid+Tape%2C+Black&amp;qid=1695348233&amp;sr=8-2", "https://www.amazon.com/Plastic-Dip-Intl-16003-6-Electrical/dp/B0010OF8ZM/ref=sr_1_2?keywords=Spray+Liquid+Tape%2C+Black&amp;qid=1695348233&amp;sr=8-2")</f>
        <v/>
      </c>
      <c r="F458" t="inlineStr">
        <is>
          <t>B0010OF8ZM</t>
        </is>
      </c>
      <c r="G458">
        <f>_xlfn.IMAGE("https://www.zoro.com/static/cms/product/full/Z2o6KzkcpEx_.JPG")</f>
        <v/>
      </c>
      <c r="H458">
        <f>_xlfn.IMAGE("https://m.media-amazon.com/images/I/81NEmCqtuaL._AC_UY218_.jpg")</f>
        <v/>
      </c>
      <c r="K458" t="inlineStr">
        <is>
          <t>13.19</t>
        </is>
      </c>
      <c r="L458" t="n">
        <v>22.73</v>
      </c>
      <c r="M458" s="2" t="inlineStr">
        <is>
          <t>72.33%</t>
        </is>
      </c>
      <c r="N458" t="n">
        <v>3.9</v>
      </c>
      <c r="O458" t="n">
        <v>18</v>
      </c>
      <c r="Q458" t="inlineStr">
        <is>
          <t>InStock</t>
        </is>
      </c>
      <c r="R458" t="inlineStr">
        <is>
          <t>undefined</t>
        </is>
      </c>
      <c r="S458" t="inlineStr">
        <is>
          <t>G5244989</t>
        </is>
      </c>
    </row>
    <row r="459" ht="75" customHeight="1">
      <c r="A459" s="1">
        <f>HYPERLINK("https://www.zoro.com/gardner-bender-spray-liquid-tape-black-lts-400/i/G5244989/", "https://www.zoro.com/gardner-bender-spray-liquid-tape-black-lts-400/i/G5244989/")</f>
        <v/>
      </c>
      <c r="B459" s="1">
        <f>HYPERLINK("https://www.zoro.com/gardner-bender-spray-liquid-tape-black-lts-400/i/G5244989/", "https://www.zoro.com/gardner-bender-spray-liquid-tape-black-lts-400/i/G5244989/")</f>
        <v/>
      </c>
      <c r="C459" t="inlineStr">
        <is>
          <t>Spray Liquid Tape, Black</t>
        </is>
      </c>
      <c r="D459" t="inlineStr">
        <is>
          <t>Plastic Dip Intl. 16003-6 Liquid Electrical Tape Spray, Black</t>
        </is>
      </c>
      <c r="E459" s="1">
        <f>HYPERLINK("https://www.amazon.com/Plastic-Dip-Intl-16003-6-Electrical/dp/B0010OF8ZM/ref=sr_1_2?keywords=Spray+Liquid+Tape%2C+Black&amp;qid=1695348233&amp;sr=8-2", "https://www.amazon.com/Plastic-Dip-Intl-16003-6-Electrical/dp/B0010OF8ZM/ref=sr_1_2?keywords=Spray+Liquid+Tape%2C+Black&amp;qid=1695348233&amp;sr=8-2")</f>
        <v/>
      </c>
      <c r="F459" t="inlineStr">
        <is>
          <t>B0010OF8ZM</t>
        </is>
      </c>
      <c r="G459">
        <f>_xlfn.IMAGE("https://www.zoro.com/static/cms/product/full/Z2o6KzkcpEx_.JPG")</f>
        <v/>
      </c>
      <c r="H459">
        <f>_xlfn.IMAGE("https://m.media-amazon.com/images/I/81NEmCqtuaL._AC_UY218_.jpg")</f>
        <v/>
      </c>
      <c r="K459" t="inlineStr">
        <is>
          <t>13.19</t>
        </is>
      </c>
      <c r="L459" t="n">
        <v>22.73</v>
      </c>
      <c r="M459" s="2" t="inlineStr">
        <is>
          <t>72.33%</t>
        </is>
      </c>
      <c r="N459" t="n">
        <v>3.9</v>
      </c>
      <c r="O459" t="n">
        <v>18</v>
      </c>
      <c r="Q459" t="inlineStr">
        <is>
          <t>InStock</t>
        </is>
      </c>
      <c r="R459" t="inlineStr">
        <is>
          <t>undefined</t>
        </is>
      </c>
      <c r="S459" t="inlineStr">
        <is>
          <t>G5244989</t>
        </is>
      </c>
    </row>
    <row r="460" ht="75" customHeight="1">
      <c r="A460" s="1">
        <f>HYPERLINK("https://www.zoro.com/metra-electronics-super-33-premium-electrical-tape-34inx52ft-each-super33/i/G3872459/", "https://www.zoro.com/metra-electronics-super-33-premium-electrical-tape-34inx52ft-each-super33/i/G3872459/")</f>
        <v/>
      </c>
      <c r="B460" s="1">
        <f>HYPERLINK("https://www.zoro.com/metra-electronics-super-33-premium-electrical-tape-34inx52ft-each-super33/i/G3872459/", "https://www.zoro.com/metra-electronics-super-33-premium-electrical-tape-34inx52ft-each-super33/i/G3872459/")</f>
        <v/>
      </c>
      <c r="C460" t="inlineStr">
        <is>
          <t>SUPER 33+ PREMIUM ELECTRICAL TAPE 3/4INX52FT- EACH</t>
        </is>
      </c>
      <c r="D460" t="inlineStr">
        <is>
          <t>3M Scotch Super 33+ Premium Grade All-Weather Vinyl Electrical Tape, 2 in x 36 yd (108 ft), Long Roll, 1 in Core, Black, 1 Roll</t>
        </is>
      </c>
      <c r="E460" s="1">
        <f>HYPERLINK("https://www.amazon.com/3M-33-Super-2x36YD-Scotch-Electrical/dp/B0758GZ847/ref=sr_1_10?keywords=SUPER+33+PREMIUM+ELECTRICAL+TAPE+3%2F4INX52FT-+EACH&amp;qid=1695348165&amp;sr=8-10", "https://www.amazon.com/3M-33-Super-2x36YD-Scotch-Electrical/dp/B0758GZ847/ref=sr_1_10?keywords=SUPER+33+PREMIUM+ELECTRICAL+TAPE+3%2F4INX52FT-+EACH&amp;qid=1695348165&amp;sr=8-10")</f>
        <v/>
      </c>
      <c r="F460" t="inlineStr">
        <is>
          <t>B0758GZ847</t>
        </is>
      </c>
      <c r="G460">
        <f>_xlfn.IMAGE("https://www.zoro.com/static/cms/product/full/Meyer Distributing Inc_METSUPER33xx1xx6aa092.JPEG")</f>
        <v/>
      </c>
      <c r="H460">
        <f>_xlfn.IMAGE("https://m.media-amazon.com/images/I/71mqWb0TVxL._AC_UY218_.jpg")</f>
        <v/>
      </c>
      <c r="K460" t="inlineStr">
        <is>
          <t>15.49</t>
        </is>
      </c>
      <c r="L460" t="n">
        <v>41.98</v>
      </c>
      <c r="M460" s="2" t="inlineStr">
        <is>
          <t>171.01%</t>
        </is>
      </c>
      <c r="N460" t="n">
        <v>4.1</v>
      </c>
      <c r="O460" t="n">
        <v>10</v>
      </c>
      <c r="Q460" t="inlineStr">
        <is>
          <t>InStock</t>
        </is>
      </c>
      <c r="R460" t="inlineStr">
        <is>
          <t>undefined</t>
        </is>
      </c>
      <c r="S460" t="inlineStr">
        <is>
          <t>G3872459</t>
        </is>
      </c>
    </row>
    <row r="461" ht="75" customHeight="1">
      <c r="A461" s="1">
        <f>HYPERLINK("https://www.zoro.com/motormite-4fl-oz-black-liquid-electrical-tape-electric-tape-85296-85296/i/G3951872/", "https://www.zoro.com/motormite-4fl-oz-black-liquid-electrical-tape-electric-tape-85296-85296/i/G3951872/")</f>
        <v/>
      </c>
      <c r="B461" s="1">
        <f>HYPERLINK("https://www.zoro.com/motormite-4fl-oz-black-liquid-electrical-tape-electric-tape-85296-85296/i/G3951872/", "https://www.zoro.com/motormite-4fl-oz-black-liquid-electrical-tape-electric-tape-85296-85296/i/G3951872/")</f>
        <v/>
      </c>
      <c r="C461" t="inlineStr">
        <is>
          <t>4Fl Oz. Black Liquid Electrical Tape Electric Tape, 85296</t>
        </is>
      </c>
      <c r="D461" t="inlineStr">
        <is>
          <t>Liquid Electrical Tape | 4FL Oz. | Black</t>
        </is>
      </c>
      <c r="E461" s="1">
        <f>HYPERLINK("https://www.amazon.com/Liquid-Electrical-Tape-4FL-Black/dp/B0BD62KM2B/ref=sr_1_1?keywords=4Fl+Oz.+Black+Liquid+Electrical+Tape+Electric+Tape%2C+85296&amp;qid=1695348187&amp;sr=8-1", "https://www.amazon.com/Liquid-Electrical-Tape-4FL-Black/dp/B0BD62KM2B/ref=sr_1_1?keywords=4Fl+Oz.+Black+Liquid+Electrical+Tape+Electric+Tape%2C+85296&amp;qid=1695348187&amp;sr=8-1")</f>
        <v/>
      </c>
      <c r="F461" t="inlineStr">
        <is>
          <t>B0BD62KM2B</t>
        </is>
      </c>
      <c r="G461">
        <f>_xlfn.IMAGE("https://www.zoro.com/static/cms/product/full/Parts Authority LLC_85296xx001.JPG")</f>
        <v/>
      </c>
      <c r="H461">
        <f>_xlfn.IMAGE("https://m.media-amazon.com/images/I/61Le4eN50KL._AC_UY218_.jpg")</f>
        <v/>
      </c>
      <c r="K461" t="inlineStr">
        <is>
          <t>16.45</t>
        </is>
      </c>
      <c r="L461" t="n">
        <v>31.37</v>
      </c>
      <c r="M461" s="2" t="inlineStr">
        <is>
          <t>90.70%</t>
        </is>
      </c>
      <c r="N461" t="n">
        <v>5</v>
      </c>
      <c r="O461" t="n">
        <v>1</v>
      </c>
      <c r="Q461" t="inlineStr">
        <is>
          <t>InStock</t>
        </is>
      </c>
      <c r="R461" t="inlineStr">
        <is>
          <t>undefined</t>
        </is>
      </c>
      <c r="S461" t="inlineStr">
        <is>
          <t>G3951872</t>
        </is>
      </c>
    </row>
    <row r="462" ht="75" customHeight="1">
      <c r="A462" s="1">
        <f>HYPERLINK("https://www.zoro.com/motormite-4fl-oz-black-liquid-electrical-tape-electric-tape-85296-85296/i/G3951872/", "https://www.zoro.com/motormite-4fl-oz-black-liquid-electrical-tape-electric-tape-85296-85296/i/G3951872/")</f>
        <v/>
      </c>
      <c r="B462" s="1">
        <f>HYPERLINK("https://www.zoro.com/motormite-4fl-oz-black-liquid-electrical-tape-electric-tape-85296-85296/i/G3951872/", "https://www.zoro.com/motormite-4fl-oz-black-liquid-electrical-tape-electric-tape-85296-85296/i/G3951872/")</f>
        <v/>
      </c>
      <c r="C462" t="inlineStr">
        <is>
          <t>4Fl Oz. Black Liquid Electrical Tape Electric Tape, 85296</t>
        </is>
      </c>
      <c r="D462" t="inlineStr">
        <is>
          <t>Liquid Electrical Tape | 4FL Oz. | Black</t>
        </is>
      </c>
      <c r="E462" s="1">
        <f>HYPERLINK("https://www.amazon.com/Liquid-Electrical-Tape-4FL-Black/dp/B0BD62KM2B/ref=sr_1_1?keywords=4Fl+Oz.+Black+Liquid+Electrical+Tape+Electric+Tape%2C+85296&amp;qid=1695348187&amp;sr=8-1", "https://www.amazon.com/Liquid-Electrical-Tape-4FL-Black/dp/B0BD62KM2B/ref=sr_1_1?keywords=4Fl+Oz.+Black+Liquid+Electrical+Tape+Electric+Tape%2C+85296&amp;qid=1695348187&amp;sr=8-1")</f>
        <v/>
      </c>
      <c r="F462" t="inlineStr">
        <is>
          <t>B0BD62KM2B</t>
        </is>
      </c>
      <c r="G462">
        <f>_xlfn.IMAGE("https://www.zoro.com/static/cms/product/full/Parts Authority LLC_85296xx001.JPG")</f>
        <v/>
      </c>
      <c r="H462">
        <f>_xlfn.IMAGE("https://m.media-amazon.com/images/I/61Le4eN50KL._AC_UY218_.jpg")</f>
        <v/>
      </c>
      <c r="K462" t="inlineStr">
        <is>
          <t>16.45</t>
        </is>
      </c>
      <c r="L462" t="n">
        <v>31.37</v>
      </c>
      <c r="M462" s="2" t="inlineStr">
        <is>
          <t>90.70%</t>
        </is>
      </c>
      <c r="N462" t="n">
        <v>5</v>
      </c>
      <c r="O462" t="n">
        <v>1</v>
      </c>
      <c r="Q462" t="inlineStr">
        <is>
          <t>InStock</t>
        </is>
      </c>
      <c r="R462" t="inlineStr">
        <is>
          <t>undefined</t>
        </is>
      </c>
      <c r="S462" t="inlineStr">
        <is>
          <t>G3951872</t>
        </is>
      </c>
    </row>
    <row r="463" ht="75" customHeight="1">
      <c r="A463" s="1">
        <f>HYPERLINK("https://www.zoro.com/nashua-self-fusing-tape-blue-24-mil-thick-stretch-seal/i/G4702017/", "https://www.zoro.com/nashua-self-fusing-tape-blue-24-mil-thick-stretch-seal/i/G4702017/")</f>
        <v/>
      </c>
      <c r="B463" s="1">
        <f>HYPERLINK("https://www.zoro.com/nashua-self-fusing-tape-blue-24-mil-thick-stretch-seal/i/G4702017/", "https://www.zoro.com/nashua-self-fusing-tape-blue-24-mil-thick-stretch-seal/i/G4702017/")</f>
        <v/>
      </c>
      <c r="C463" t="inlineStr">
        <is>
          <t>Self-Fusing Tape, Blue, 24 mil Thick</t>
        </is>
      </c>
      <c r="D463" t="inlineStr">
        <is>
          <t>3M Self-Fusing Silicone Rubber Electrical Tape, High-Temperature Arc, Track-Resistant, Easy-Strip Liner, 7 mil, 1 in x 30 ft, Sky Blue/Gray Color, 1 Roll/Carton, 24 Rolls/Case</t>
        </is>
      </c>
      <c r="E463" s="1">
        <f>HYPERLINK("https://www.amazon.com/Scotch-70-Self-Fusing-Silicone-Electrical/dp/B0029Z5RSY/ref=sr_1_1?keywords=Self-Fusing+Tape%2C+Blue%2C+24+mil+Thick&amp;qid=1695348155&amp;sr=8-1", "https://www.amazon.com/Scotch-70-Self-Fusing-Silicone-Electrical/dp/B0029Z5RSY/ref=sr_1_1?keywords=Self-Fusing+Tape%2C+Blue%2C+24+mil+Thick&amp;qid=1695348155&amp;sr=8-1")</f>
        <v/>
      </c>
      <c r="F463" t="inlineStr">
        <is>
          <t>B0029Z5RSY</t>
        </is>
      </c>
      <c r="G463">
        <f>_xlfn.IMAGE("https://www.zoro.com/static/cms/product/full/Z1x-3-qcpEx_.JPG")</f>
        <v/>
      </c>
      <c r="H463">
        <f>_xlfn.IMAGE("https://m.media-amazon.com/images/I/81jkhxr5yDL._AC_UY218_.jpg")</f>
        <v/>
      </c>
      <c r="K463" t="inlineStr">
        <is>
          <t>15.15</t>
        </is>
      </c>
      <c r="L463" t="n">
        <v>60.63</v>
      </c>
      <c r="M463" s="2" t="inlineStr">
        <is>
          <t>300.20%</t>
        </is>
      </c>
      <c r="N463" t="n">
        <v>4.1</v>
      </c>
      <c r="O463" t="n">
        <v>47</v>
      </c>
      <c r="Q463" t="inlineStr">
        <is>
          <t>InStock</t>
        </is>
      </c>
      <c r="R463" t="inlineStr">
        <is>
          <t>undefined</t>
        </is>
      </c>
      <c r="S463" t="inlineStr">
        <is>
          <t>G4702017</t>
        </is>
      </c>
    </row>
    <row r="464" ht="75" customHeight="1">
      <c r="A464" s="1">
        <f>HYPERLINK("https://www.zoro.com/scotch-141-x-60-yds-blue-scotchblue-original-multi-surface-painters-tape-2090-36nc/i/G3274670/", "https://www.zoro.com/scotch-141-x-60-yds-blue-scotchblue-original-multi-surface-painters-tape-2090-36nc/i/G3274670/")</f>
        <v/>
      </c>
      <c r="B464" s="1">
        <f>HYPERLINK("https://www.zoro.com/scotch-141-x-60-yds-blue-scotchblue-original-multi-surface-painters-tape-2090-36nc/i/G3274670/", "https://www.zoro.com/scotch-141-x-60-yds-blue-scotchblue-original-multi-surface-painters-tape-2090-36nc/i/G3274670/")</f>
        <v/>
      </c>
      <c r="C464" t="inlineStr">
        <is>
          <t>1.41" x 60 Yds Blue ScotchBlue Original Multi-Surface Painter's Tape</t>
        </is>
      </c>
      <c r="D464" t="inlineStr">
        <is>
          <t>ScotchBlue Sharp Lines Multi-Surface Painter's Tape, 1.41 Inches x 60 Yards, 6 Rolls, Blue, Paint Tape Protects Surfaces and Removes Easily, Edge-Lock Painting Tape for Indoor and Outdoor Use</t>
        </is>
      </c>
      <c r="E464" s="1">
        <f>HYPERLINK("https://www.amazon.com/ScotchBlue-2093-36AC6-Painters-Tape-6-Rolls/dp/B092MWBDG6/ref=sr_1_9?keywords=1.41%22+x+60+Yds+Blue+ScotchBlue+Original+Multi-Surface+Painter%27s+Tape&amp;qid=1695347936&amp;sr=8-9", "https://www.amazon.com/ScotchBlue-2093-36AC6-Painters-Tape-6-Rolls/dp/B092MWBDG6/ref=sr_1_9?keywords=1.41%22+x+60+Yds+Blue+ScotchBlue+Original+Multi-Surface+Painter%27s+Tape&amp;qid=1695347936&amp;sr=8-9")</f>
        <v/>
      </c>
      <c r="F464" t="inlineStr">
        <is>
          <t>B092MWBDG6</t>
        </is>
      </c>
      <c r="G464">
        <f>_xlfn.IMAGE("https://www.zoro.com/static/cms/product/full/Paint Sundries Solutions Inc_051115036828.JPG")</f>
        <v/>
      </c>
      <c r="H464">
        <f>_xlfn.IMAGE("https://m.media-amazon.com/images/I/71hgIdVmAnL._AC_UY218_.jpg")</f>
        <v/>
      </c>
      <c r="K464" t="inlineStr">
        <is>
          <t>7.29</t>
        </is>
      </c>
      <c r="L464" t="n">
        <v>41.04</v>
      </c>
      <c r="M464" s="2" t="inlineStr">
        <is>
          <t>462.96%</t>
        </is>
      </c>
      <c r="N464" t="n">
        <v>4.6</v>
      </c>
      <c r="O464" t="n">
        <v>705</v>
      </c>
      <c r="Q464" t="inlineStr">
        <is>
          <t>InStock</t>
        </is>
      </c>
      <c r="R464" t="inlineStr">
        <is>
          <t>undefined</t>
        </is>
      </c>
      <c r="S464" t="inlineStr">
        <is>
          <t>G3274670</t>
        </is>
      </c>
    </row>
    <row r="465" ht="75" customHeight="1">
      <c r="A465" s="1">
        <f>HYPERLINK("https://www.zoro.com/scotch-141-x-60-yds-blue-scotchblue-original-multi-surface-painters-tape-2090-36nc/i/G3274670/", "https://www.zoro.com/scotch-141-x-60-yds-blue-scotchblue-original-multi-surface-painters-tape-2090-36nc/i/G3274670/")</f>
        <v/>
      </c>
      <c r="B465" s="1">
        <f>HYPERLINK("https://www.zoro.com/scotch-141-x-60-yds-blue-scotchblue-original-multi-surface-painters-tape-2090-36nc/i/G3274670/", "https://www.zoro.com/scotch-141-x-60-yds-blue-scotchblue-original-multi-surface-painters-tape-2090-36nc/i/G3274670/")</f>
        <v/>
      </c>
      <c r="C465" t="inlineStr">
        <is>
          <t>1.41" x 60 Yds Blue ScotchBlue Original Multi-Surface Painter's Tape</t>
        </is>
      </c>
      <c r="D465" t="inlineStr">
        <is>
          <t>Scotch Painter's Tape 1.41 inches Original Multi-Surface Painter's Tape, x 60 yards (360 yards total), 2090, 6 Rolls, Blue, 6 Foot</t>
        </is>
      </c>
      <c r="E465" s="1">
        <f>HYPERLINK("https://www.amazon.com/Scotch-Painters-Tape-9000-6270-Multi-Surface/dp/B00125PS5Y/ref=sr_1_2?keywords=1.41%22+x+60+Yds+Blue+ScotchBlue+Original+Multi-Surface+Painter%27s+Tape&amp;qid=1695347936&amp;sr=8-2", "https://www.amazon.com/Scotch-Painters-Tape-9000-6270-Multi-Surface/dp/B00125PS5Y/ref=sr_1_2?keywords=1.41%22+x+60+Yds+Blue+ScotchBlue+Original+Multi-Surface+Painter%27s+Tape&amp;qid=1695347936&amp;sr=8-2")</f>
        <v/>
      </c>
      <c r="F465" t="inlineStr">
        <is>
          <t>B00125PS5Y</t>
        </is>
      </c>
      <c r="G465">
        <f>_xlfn.IMAGE("https://www.zoro.com/static/cms/product/full/Paint Sundries Solutions Inc_051115036828.JPG")</f>
        <v/>
      </c>
      <c r="H465">
        <f>_xlfn.IMAGE("https://m.media-amazon.com/images/I/71Mly86kcZL._AC_UY218_.jpg")</f>
        <v/>
      </c>
      <c r="K465" t="inlineStr">
        <is>
          <t>7.29</t>
        </is>
      </c>
      <c r="L465" t="n">
        <v>34.98</v>
      </c>
      <c r="M465" s="2" t="inlineStr">
        <is>
          <t>379.84%</t>
        </is>
      </c>
      <c r="N465" t="n">
        <v>4.7</v>
      </c>
      <c r="O465" t="n">
        <v>1903</v>
      </c>
      <c r="Q465" t="inlineStr">
        <is>
          <t>InStock</t>
        </is>
      </c>
      <c r="R465" t="inlineStr">
        <is>
          <t>undefined</t>
        </is>
      </c>
      <c r="S465" t="inlineStr">
        <is>
          <t>G3274670</t>
        </is>
      </c>
    </row>
    <row r="466" ht="75" customHeight="1">
      <c r="A466" s="1">
        <f>HYPERLINK("https://www.zoro.com/scotch-141-x-60-yds-blue-scotchblue-original-multi-surface-painters-tape-2090-36nc/i/G3274670/", "https://www.zoro.com/scotch-141-x-60-yds-blue-scotchblue-original-multi-surface-painters-tape-2090-36nc/i/G3274670/")</f>
        <v/>
      </c>
      <c r="B466" s="1">
        <f>HYPERLINK("https://www.zoro.com/scotch-141-x-60-yds-blue-scotchblue-original-multi-surface-painters-tape-2090-36nc/i/G3274670/", "https://www.zoro.com/scotch-141-x-60-yds-blue-scotchblue-original-multi-surface-painters-tape-2090-36nc/i/G3274670/")</f>
        <v/>
      </c>
      <c r="C466" t="inlineStr">
        <is>
          <t>1.41" x 60 Yds Blue ScotchBlue Original Multi-Surface Painter's Tape</t>
        </is>
      </c>
      <c r="D466" t="inlineStr">
        <is>
          <t>ScotchBlue Original Multi-Surface Painter's Tape, 1.41 Inches x 60 Yards, 4 Rolls, Blue, Paint Tape Protects Surfaces and Removes Easily, Multi-Surface Painting Tape for Indoor and Outdoor Use</t>
        </is>
      </c>
      <c r="E466" s="1">
        <f>HYPERLINK("https://www.amazon.com/ScotchBlue-2090-36KR4-Original-Painters-Tape/dp/B09YMX6WXT/ref=sr_1_1?keywords=1.41%22+x+60+Yds+Blue+ScotchBlue+Original+Multi-Surface+Painter%27s+Tape&amp;qid=1695347936&amp;sr=8-1", "https://www.amazon.com/ScotchBlue-2090-36KR4-Original-Painters-Tape/dp/B09YMX6WXT/ref=sr_1_1?keywords=1.41%22+x+60+Yds+Blue+ScotchBlue+Original+Multi-Surface+Painter%27s+Tape&amp;qid=1695347936&amp;sr=8-1")</f>
        <v/>
      </c>
      <c r="F466" t="inlineStr">
        <is>
          <t>B09YMX6WXT</t>
        </is>
      </c>
      <c r="G466">
        <f>_xlfn.IMAGE("https://www.zoro.com/static/cms/product/full/Paint Sundries Solutions Inc_051115036828.JPG")</f>
        <v/>
      </c>
      <c r="H466">
        <f>_xlfn.IMAGE("https://m.media-amazon.com/images/I/615V56OhgxL._AC_UY218_.jpg")</f>
        <v/>
      </c>
      <c r="K466" t="inlineStr">
        <is>
          <t>7.29</t>
        </is>
      </c>
      <c r="L466" t="n">
        <v>24.65</v>
      </c>
      <c r="M466" s="2" t="inlineStr">
        <is>
          <t>238.13%</t>
        </is>
      </c>
      <c r="N466" t="n">
        <v>4.4</v>
      </c>
      <c r="O466" t="n">
        <v>22</v>
      </c>
      <c r="Q466" t="inlineStr">
        <is>
          <t>InStock</t>
        </is>
      </c>
      <c r="R466" t="inlineStr">
        <is>
          <t>undefined</t>
        </is>
      </c>
      <c r="S466" t="inlineStr">
        <is>
          <t>G3274670</t>
        </is>
      </c>
    </row>
    <row r="467" ht="75" customHeight="1">
      <c r="A467" s="1">
        <f>HYPERLINK("https://www.zoro.com/scotch-141-x-60-yds-blue-scotchblue-original-multi-surface-painters-tape-2090-36nc/i/G3274670/", "https://www.zoro.com/scotch-141-x-60-yds-blue-scotchblue-original-multi-surface-painters-tape-2090-36nc/i/G3274670/")</f>
        <v/>
      </c>
      <c r="B467" s="1">
        <f>HYPERLINK("https://www.zoro.com/scotch-141-x-60-yds-blue-scotchblue-original-multi-surface-painters-tape-2090-36nc/i/G3274670/", "https://www.zoro.com/scotch-141-x-60-yds-blue-scotchblue-original-multi-surface-painters-tape-2090-36nc/i/G3274670/")</f>
        <v/>
      </c>
      <c r="C467" t="inlineStr">
        <is>
          <t>1.41" x 60 Yds Blue ScotchBlue Original Multi-Surface Painter's Tape</t>
        </is>
      </c>
      <c r="D467" t="inlineStr">
        <is>
          <t>ScotchBlue Original Multi-Surface Painter's Tape, Blue, Paint Tape Protects Surfaces and Removes Easily, Multi-Surface Painting Tape for Indoor and Outdoor Use, 1.41 Inches x 60 Yards, 3 Rolls</t>
        </is>
      </c>
      <c r="E467" s="1">
        <f>HYPERLINK("https://www.amazon.com/ScotchBlue-Original-Multi-Surface-Painters-Tape/dp/B089NZGTYQ/ref=sr_1_4?keywords=1.41%22+x+60+Yds+Blue+ScotchBlue+Original+Multi-Surface+Painter%27s+Tape&amp;qid=1695347936&amp;sr=8-4", "https://www.amazon.com/ScotchBlue-Original-Multi-Surface-Painters-Tape/dp/B089NZGTYQ/ref=sr_1_4?keywords=1.41%22+x+60+Yds+Blue+ScotchBlue+Original+Multi-Surface+Painter%27s+Tape&amp;qid=1695347936&amp;sr=8-4")</f>
        <v/>
      </c>
      <c r="F467" t="inlineStr">
        <is>
          <t>B089NZGTYQ</t>
        </is>
      </c>
      <c r="G467">
        <f>_xlfn.IMAGE("https://www.zoro.com/static/cms/product/full/Paint Sundries Solutions Inc_051115036828.JPG")</f>
        <v/>
      </c>
      <c r="H467">
        <f>_xlfn.IMAGE("https://m.media-amazon.com/images/I/712IC2pW15L._AC_UY218_.jpg")</f>
        <v/>
      </c>
      <c r="K467" t="inlineStr">
        <is>
          <t>7.29</t>
        </is>
      </c>
      <c r="L467" t="n">
        <v>23.03</v>
      </c>
      <c r="M467" s="2" t="inlineStr">
        <is>
          <t>215.91%</t>
        </is>
      </c>
      <c r="N467" t="n">
        <v>4.7</v>
      </c>
      <c r="O467" t="n">
        <v>399</v>
      </c>
      <c r="Q467" t="inlineStr">
        <is>
          <t>InStock</t>
        </is>
      </c>
      <c r="R467" t="inlineStr">
        <is>
          <t>undefined</t>
        </is>
      </c>
      <c r="S467" t="inlineStr">
        <is>
          <t>G3274670</t>
        </is>
      </c>
    </row>
    <row r="468" ht="75" customHeight="1">
      <c r="A468" s="1">
        <f>HYPERLINK("https://www.zoro.com/scotch-141-x-60-yds-blue-scotchblue-original-multi-surface-painters-tape-2090-36nc/i/G3274670/", "https://www.zoro.com/scotch-141-x-60-yds-blue-scotchblue-original-multi-surface-painters-tape-2090-36nc/i/G3274670/")</f>
        <v/>
      </c>
      <c r="B468" s="1">
        <f>HYPERLINK("https://www.zoro.com/scotch-141-x-60-yds-blue-scotchblue-original-multi-surface-painters-tape-2090-36nc/i/G3274670/", "https://www.zoro.com/scotch-141-x-60-yds-blue-scotchblue-original-multi-surface-painters-tape-2090-36nc/i/G3274670/")</f>
        <v/>
      </c>
      <c r="C468" t="inlineStr">
        <is>
          <t>1.41" x 60 Yds Blue ScotchBlue Original Multi-Surface Painter's Tape</t>
        </is>
      </c>
      <c r="D468" t="inlineStr">
        <is>
          <t>ScotchBlue Original Multi-Surface Painter's Tape, Blue, Paint Tape Protects Surfaces and Removes Easily, Multi-Surface Painting Tape for Indoor and Outdoor Use, 1.41 Inches x 60 Yards, 1 Roll</t>
        </is>
      </c>
      <c r="E468" s="1">
        <f>HYPERLINK("https://www.amazon.com/ScotchBlue-Painters-Multi-Use-1-41-Inch-60-Yard/dp/B00BRDKFDG/ref=sr_1_3?keywords=1.41%22+x+60+Yds+Blue+ScotchBlue+Original+Multi-Surface+Painter%27s+Tape&amp;qid=1695347936&amp;sr=8-3", "https://www.amazon.com/ScotchBlue-Painters-Multi-Use-1-41-Inch-60-Yard/dp/B00BRDKFDG/ref=sr_1_3?keywords=1.41%22+x+60+Yds+Blue+ScotchBlue+Original+Multi-Surface+Painter%27s+Tape&amp;qid=1695347936&amp;sr=8-3")</f>
        <v/>
      </c>
      <c r="F468" t="inlineStr">
        <is>
          <t>B00BRDKFDG</t>
        </is>
      </c>
      <c r="G468">
        <f>_xlfn.IMAGE("https://www.zoro.com/static/cms/product/full/Paint Sundries Solutions Inc_051115036828.JPG")</f>
        <v/>
      </c>
      <c r="H468">
        <f>_xlfn.IMAGE("https://m.media-amazon.com/images/I/811KIUixtnL._AC_UY218_.jpg")</f>
        <v/>
      </c>
      <c r="K468" t="inlineStr">
        <is>
          <t>7.29</t>
        </is>
      </c>
      <c r="L468" t="n">
        <v>19.98</v>
      </c>
      <c r="M468" s="2" t="inlineStr">
        <is>
          <t>174.07%</t>
        </is>
      </c>
      <c r="N468" t="n">
        <v>4.7</v>
      </c>
      <c r="O468" t="n">
        <v>372</v>
      </c>
      <c r="Q468" t="inlineStr">
        <is>
          <t>InStock</t>
        </is>
      </c>
      <c r="R468" t="inlineStr">
        <is>
          <t>undefined</t>
        </is>
      </c>
      <c r="S468" t="inlineStr">
        <is>
          <t>G3274670</t>
        </is>
      </c>
    </row>
    <row r="469" ht="75" customHeight="1">
      <c r="A469" s="1">
        <f>HYPERLINK("https://www.zoro.com/scotch-141-x-60-yds-blue-scotchblue-original-multi-surface-painters-tape-2090-36nc/i/G3274670/", "https://www.zoro.com/scotch-141-x-60-yds-blue-scotchblue-original-multi-surface-painters-tape-2090-36nc/i/G3274670/")</f>
        <v/>
      </c>
      <c r="B469" s="1">
        <f>HYPERLINK("https://www.zoro.com/scotch-141-x-60-yds-blue-scotchblue-original-multi-surface-painters-tape-2090-36nc/i/G3274670/", "https://www.zoro.com/scotch-141-x-60-yds-blue-scotchblue-original-multi-surface-painters-tape-2090-36nc/i/G3274670/")</f>
        <v/>
      </c>
      <c r="C469" t="inlineStr">
        <is>
          <t>1.41" x 60 Yds Blue ScotchBlue Original Multi-Surface Painter's Tape</t>
        </is>
      </c>
      <c r="D469" t="inlineStr">
        <is>
          <t>Scotch Painter's Tape Original Multi-Surface Painter's Tape, 1.88 Inches x 60 Yards, 3 Rolls, Blue, Paint Tape Protects Surfaces and Removes Easily, Multi-Surface Painting Tape for Indoor and Outdoor Use</t>
        </is>
      </c>
      <c r="E469" s="1">
        <f>HYPERLINK("https://www.amazon.com/ScotchBlue-Painters-Multi-Use-1-88-Inch-60-Yard/dp/B008WZZ11S/ref=sr_1_10?keywords=1.41%22+x+60+Yds+Blue+ScotchBlue+Original+Multi-Surface+Painter%27s+Tape&amp;qid=1695347936&amp;sr=8-10", "https://www.amazon.com/ScotchBlue-Painters-Multi-Use-1-88-Inch-60-Yard/dp/B008WZZ11S/ref=sr_1_10?keywords=1.41%22+x+60+Yds+Blue+ScotchBlue+Original+Multi-Surface+Painter%27s+Tape&amp;qid=1695347936&amp;sr=8-10")</f>
        <v/>
      </c>
      <c r="F469" t="inlineStr">
        <is>
          <t>B008WZZ11S</t>
        </is>
      </c>
      <c r="G469">
        <f>_xlfn.IMAGE("https://www.zoro.com/static/cms/product/full/Paint Sundries Solutions Inc_051115036828.JPG")</f>
        <v/>
      </c>
      <c r="H469">
        <f>_xlfn.IMAGE("https://m.media-amazon.com/images/I/81tgF6kGlaL._AC_UY218_.jpg")</f>
        <v/>
      </c>
      <c r="K469" t="inlineStr">
        <is>
          <t>7.29</t>
        </is>
      </c>
      <c r="L469" t="n">
        <v>18.77</v>
      </c>
      <c r="M469" s="2" t="inlineStr">
        <is>
          <t>157.48%</t>
        </is>
      </c>
      <c r="N469" t="n">
        <v>4.8</v>
      </c>
      <c r="O469" t="n">
        <v>1193</v>
      </c>
      <c r="Q469" t="inlineStr">
        <is>
          <t>InStock</t>
        </is>
      </c>
      <c r="R469" t="inlineStr">
        <is>
          <t>undefined</t>
        </is>
      </c>
      <c r="S469" t="inlineStr">
        <is>
          <t>G3274670</t>
        </is>
      </c>
    </row>
    <row r="470" ht="75" customHeight="1">
      <c r="A470" s="1">
        <f>HYPERLINK("https://www.zoro.com/scotch-141-x-60-yds-blue-scotchblue-sharp-lines-painters-tape-2093-36nc/i/G3277209/", "https://www.zoro.com/scotch-141-x-60-yds-blue-scotchblue-sharp-lines-painters-tape-2093-36nc/i/G3277209/")</f>
        <v/>
      </c>
      <c r="B470" s="1">
        <f>HYPERLINK("https://www.zoro.com/scotch-141-x-60-yds-blue-scotchblue-sharp-lines-painters-tape-2093-36nc/i/G3277209/", "https://www.zoro.com/scotch-141-x-60-yds-blue-scotchblue-sharp-lines-painters-tape-2093-36nc/i/G3277209/")</f>
        <v/>
      </c>
      <c r="C470" t="inlineStr">
        <is>
          <t>1.41" x 60 Yds Blue ScotchBlue Sharp Lines Painter’s Tape</t>
        </is>
      </c>
      <c r="D470" t="inlineStr">
        <is>
          <t>ScotchBlue Sharp Lines Multi-Surface Painter's Tape, 1.41 Inches x 60 Yards, 6 Rolls, Blue, Paint Tape Protects Surfaces and Removes Easily, Edge-Lock Painting Tape for Indoor and Outdoor Use</t>
        </is>
      </c>
      <c r="E470" s="1">
        <f>HYPERLINK("https://www.amazon.com/ScotchBlue-2093-36AC6-Painters-Tape-6-Rolls/dp/B092MWBDG6/ref=sr_1_1?keywords=1.41%22+x+60+Yds+Blue+ScotchBlue+Sharp+Lines+Painter%E2%80%99s+Tape&amp;qid=1695347971&amp;sr=8-1", "https://www.amazon.com/ScotchBlue-2093-36AC6-Painters-Tape-6-Rolls/dp/B092MWBDG6/ref=sr_1_1?keywords=1.41%22+x+60+Yds+Blue+ScotchBlue+Sharp+Lines+Painter%E2%80%99s+Tape&amp;qid=1695347971&amp;sr=8-1")</f>
        <v/>
      </c>
      <c r="F470" t="inlineStr">
        <is>
          <t>B092MWBDG6</t>
        </is>
      </c>
      <c r="G470">
        <f>_xlfn.IMAGE("https://www.zoro.com/static/cms/product/full/Paint Sundries Solutions Inc_051141320328.JPG")</f>
        <v/>
      </c>
      <c r="H470">
        <f>_xlfn.IMAGE("https://m.media-amazon.com/images/I/71hgIdVmAnL._AC_UL320_.jpg")</f>
        <v/>
      </c>
      <c r="K470" t="inlineStr">
        <is>
          <t>9.99</t>
        </is>
      </c>
      <c r="L470" t="n">
        <v>41.04</v>
      </c>
      <c r="M470" s="2" t="inlineStr">
        <is>
          <t>310.81%</t>
        </is>
      </c>
      <c r="N470" t="n">
        <v>4.6</v>
      </c>
      <c r="O470" t="n">
        <v>705</v>
      </c>
      <c r="Q470" t="inlineStr">
        <is>
          <t>InStock</t>
        </is>
      </c>
      <c r="R470" t="inlineStr">
        <is>
          <t>undefined</t>
        </is>
      </c>
      <c r="S470" t="inlineStr">
        <is>
          <t>G3277209</t>
        </is>
      </c>
    </row>
    <row r="471" ht="75" customHeight="1">
      <c r="A471" s="1">
        <f>HYPERLINK("https://www.zoro.com/scotch-141-x-60-yds-orange-scotch-heavy-duty-masking-tape-2020-36ap/i/G3273526/", "https://www.zoro.com/scotch-141-x-60-yds-orange-scotch-heavy-duty-masking-tape-2020-36ap/i/G3273526/")</f>
        <v/>
      </c>
      <c r="B471" s="1">
        <f>HYPERLINK("https://www.zoro.com/scotch-141-x-60-yds-orange-scotch-heavy-duty-masking-tape-2020-36ap/i/G3273526/", "https://www.zoro.com/scotch-141-x-60-yds-orange-scotch-heavy-duty-masking-tape-2020-36ap/i/G3273526/")</f>
        <v/>
      </c>
      <c r="C471" t="inlineStr">
        <is>
          <t>1.41" x 60 Yds Orange Scotch Heavy Duty Masking Tape</t>
        </is>
      </c>
      <c r="D471" t="inlineStr">
        <is>
          <t>Scotch 2020+-36EP4 Heavy Duty Masking Tape, 1.41" Width, Orange, 24 Rolls</t>
        </is>
      </c>
      <c r="E471" s="1">
        <f>HYPERLINK("https://www.amazon.com/Scotch-2020-OR36-Masking-Orange/dp/B07BQCN8W7/ref=sr_1_2?keywords=1.41%22+x+60+Yds+Orange+Scotch+Heavy+Duty+Masking+Tape&amp;qid=1695347931&amp;sr=8-2", "https://www.amazon.com/Scotch-2020-OR36-Masking-Orange/dp/B07BQCN8W7/ref=sr_1_2?keywords=1.41%22+x+60+Yds+Orange+Scotch+Heavy+Duty+Masking+Tape&amp;qid=1695347931&amp;sr=8-2")</f>
        <v/>
      </c>
      <c r="F471" t="inlineStr">
        <is>
          <t>B07BQCN8W7</t>
        </is>
      </c>
      <c r="G471">
        <f>_xlfn.IMAGE("https://www.zoro.com/static/cms/product/full/Paint Sundries Solutions Inc_051125005418.JPG")</f>
        <v/>
      </c>
      <c r="H471">
        <f>_xlfn.IMAGE("https://m.media-amazon.com/images/I/8173z0wh8eL._AC_UL320_.jpg")</f>
        <v/>
      </c>
      <c r="K471" t="inlineStr">
        <is>
          <t>4.49</t>
        </is>
      </c>
      <c r="L471" t="n">
        <v>106.02</v>
      </c>
      <c r="M471" s="2" t="inlineStr">
        <is>
          <t>2261.25%</t>
        </is>
      </c>
      <c r="N471" t="n">
        <v>4.6</v>
      </c>
      <c r="O471" t="n">
        <v>8</v>
      </c>
      <c r="Q471" t="inlineStr">
        <is>
          <t>InStock</t>
        </is>
      </c>
      <c r="R471" t="inlineStr">
        <is>
          <t>undefined</t>
        </is>
      </c>
      <c r="S471" t="inlineStr">
        <is>
          <t>G3273526</t>
        </is>
      </c>
    </row>
    <row r="472" ht="75" customHeight="1">
      <c r="A472" s="1">
        <f>HYPERLINK("https://www.zoro.com/scotch-141-x-60-yds-scotchblue-original-multi-surface-painters-tape-6pk-2090-36ap6/i/G3272634/", "https://www.zoro.com/scotch-141-x-60-yds-scotchblue-original-multi-surface-painters-tape-6pk-2090-36ap6/i/G3272634/")</f>
        <v/>
      </c>
      <c r="B472" s="1">
        <f>HYPERLINK("https://www.zoro.com/scotch-141-x-60-yds-scotchblue-original-multi-surface-painters-tape-6pk-2090-36ap6/i/G3272634/", "https://www.zoro.com/scotch-141-x-60-yds-scotchblue-original-multi-surface-painters-tape-6pk-2090-36ap6/i/G3272634/")</f>
        <v/>
      </c>
      <c r="C472" t="inlineStr">
        <is>
          <t>1.41" x 60 Yds ScotchBlue Original Multi-Surface Painter's Tape 6Pk</t>
        </is>
      </c>
      <c r="D472" t="inlineStr">
        <is>
          <t>ScotchBlue Original Multi-Surface Painter's Tape, 0.94 Inches x 60 Yards, 24 Rolls, Blue, Paint Tape Protects Surfaces and Removes Easily, Multi-Surface Painting Tape for Indoor and Outdoor Use</t>
        </is>
      </c>
      <c r="E472" s="1">
        <f>HYPERLINK("https://www.amazon.com/Scotch-Painters-Tape-Multi-Surface-2090-24EC/dp/B087KXVXMW/ref=sr_1_9?keywords=1.41%22+x+60+Yds+ScotchBlue+Original+Multi-Surface+Painter%27s+Tape+6Pk&amp;qid=1695347925&amp;sr=8-9", "https://www.amazon.com/Scotch-Painters-Tape-Multi-Surface-2090-24EC/dp/B087KXVXMW/ref=sr_1_9?keywords=1.41%22+x+60+Yds+ScotchBlue+Original+Multi-Surface+Painter%27s+Tape+6Pk&amp;qid=1695347925&amp;sr=8-9")</f>
        <v/>
      </c>
      <c r="F472" t="inlineStr">
        <is>
          <t>B087KXVXMW</t>
        </is>
      </c>
      <c r="G472">
        <f>_xlfn.IMAGE("https://www.zoro.com/static/cms/product/full/Paint Sundries Solutions Inc_051115092213.JPG")</f>
        <v/>
      </c>
      <c r="H472">
        <f>_xlfn.IMAGE("https://m.media-amazon.com/images/I/81zaxlJgcOL._AC_UL320_.jpg")</f>
        <v/>
      </c>
      <c r="K472" t="inlineStr">
        <is>
          <t>38.85</t>
        </is>
      </c>
      <c r="L472" t="n">
        <v>77.01000000000001</v>
      </c>
      <c r="M472" s="2" t="inlineStr">
        <is>
          <t>98.22%</t>
        </is>
      </c>
      <c r="N472" t="n">
        <v>4.6</v>
      </c>
      <c r="O472" t="n">
        <v>56</v>
      </c>
      <c r="Q472" t="inlineStr">
        <is>
          <t>InStock</t>
        </is>
      </c>
      <c r="R472" t="inlineStr">
        <is>
          <t>undefined</t>
        </is>
      </c>
      <c r="S472" t="inlineStr">
        <is>
          <t>G3272634</t>
        </is>
      </c>
    </row>
    <row r="473" ht="75" customHeight="1">
      <c r="A473" s="1">
        <f>HYPERLINK("https://www.zoro.com/scotch-141-x-60-yds-scotchblue-original-multi-surface-painters-tape-6pk-2090-36ap6/i/G3272634/", "https://www.zoro.com/scotch-141-x-60-yds-scotchblue-original-multi-surface-painters-tape-6pk-2090-36ap6/i/G3272634/")</f>
        <v/>
      </c>
      <c r="B473" s="1">
        <f>HYPERLINK("https://www.zoro.com/scotch-141-x-60-yds-scotchblue-original-multi-surface-painters-tape-6pk-2090-36ap6/i/G3272634/", "https://www.zoro.com/scotch-141-x-60-yds-scotchblue-original-multi-surface-painters-tape-6pk-2090-36ap6/i/G3272634/")</f>
        <v/>
      </c>
      <c r="C473" t="inlineStr">
        <is>
          <t>1.41" x 60 Yds ScotchBlue Original Multi-Surface Painter's Tape 6Pk</t>
        </is>
      </c>
      <c r="D473" t="inlineStr">
        <is>
          <t>ScotchBlue Original Multi-Surface Painter's Tape, 1.88 Inches x 60 Yards, 12 Rolls, Blue, Paint Tape Protects Surfaces and Removes Easily, Multi-Surface Painting Tape for Indoor and Outdoor Use</t>
        </is>
      </c>
      <c r="E473" s="1">
        <f>HYPERLINK("https://www.amazon.com/Scotch-Painters-Tape-2090-48EC-Width/dp/B01IOQVTQA/ref=sr_1_6?keywords=1.41%22+x+60+Yds+ScotchBlue+Original+Multi-Surface+Painter%27s+Tape+6Pk&amp;qid=1695347925&amp;sr=8-6", "https://www.amazon.com/Scotch-Painters-Tape-2090-48EC-Width/dp/B01IOQVTQA/ref=sr_1_6?keywords=1.41%22+x+60+Yds+ScotchBlue+Original+Multi-Surface+Painter%27s+Tape+6Pk&amp;qid=1695347925&amp;sr=8-6")</f>
        <v/>
      </c>
      <c r="F473" t="inlineStr">
        <is>
          <t>B01IOQVTQA</t>
        </is>
      </c>
      <c r="G473">
        <f>_xlfn.IMAGE("https://www.zoro.com/static/cms/product/full/Paint Sundries Solutions Inc_051115092213.JPG")</f>
        <v/>
      </c>
      <c r="H473">
        <f>_xlfn.IMAGE("https://m.media-amazon.com/images/I/81oDj9XylrL._AC_UL320_.jpg")</f>
        <v/>
      </c>
      <c r="K473" t="inlineStr">
        <is>
          <t>38.85</t>
        </is>
      </c>
      <c r="L473" t="n">
        <v>68.56999999999999</v>
      </c>
      <c r="M473" s="2" t="inlineStr">
        <is>
          <t>76.50%</t>
        </is>
      </c>
      <c r="N473" t="n">
        <v>4.7</v>
      </c>
      <c r="O473" t="n">
        <v>144</v>
      </c>
      <c r="Q473" t="inlineStr">
        <is>
          <t>InStock</t>
        </is>
      </c>
      <c r="R473" t="inlineStr">
        <is>
          <t>undefined</t>
        </is>
      </c>
      <c r="S473" t="inlineStr">
        <is>
          <t>G3272634</t>
        </is>
      </c>
    </row>
    <row r="474" ht="75" customHeight="1">
      <c r="A474" s="1">
        <f>HYPERLINK("https://www.zoro.com/scotch-141-x-60-yds-tan-scotch-contractor-grade-masking-tape-2020-36ap/i/G3273919/", "https://www.zoro.com/scotch-141-x-60-yds-tan-scotch-contractor-grade-masking-tape-2020-36ap/i/G3273919/")</f>
        <v/>
      </c>
      <c r="B474" s="1">
        <f>HYPERLINK("https://www.zoro.com/scotch-141-x-60-yds-tan-scotch-contractor-grade-masking-tape-2020-36ap/i/G3273919/", "https://www.zoro.com/scotch-141-x-60-yds-tan-scotch-contractor-grade-masking-tape-2020-36ap/i/G3273919/")</f>
        <v/>
      </c>
      <c r="C474" t="inlineStr">
        <is>
          <t>1.41" x 60 Yds Tan Scotch Contractor Grade Masking Tape</t>
        </is>
      </c>
      <c r="D474" t="inlineStr">
        <is>
          <t>Scotch 2020-36ECC Contractor Grade Masking Tape, 1.41" Width, Tan</t>
        </is>
      </c>
      <c r="E474" s="1">
        <f>HYPERLINK("https://www.amazon.com/Scotch-Contractor-Grade-Masking-Inches/dp/B008LAQYII/ref=sr_1_3?keywords=1.41%22+x+60+Yds+Tan+Scotch+Contractor+Grade+Masking+Tape&amp;qid=1695348009&amp;sr=8-3", "https://www.amazon.com/Scotch-Contractor-Grade-Masking-Inches/dp/B008LAQYII/ref=sr_1_3?keywords=1.41%22+x+60+Yds+Tan+Scotch+Contractor+Grade+Masking+Tape&amp;qid=1695348009&amp;sr=8-3")</f>
        <v/>
      </c>
      <c r="F474" t="inlineStr">
        <is>
          <t>B008LAQYII</t>
        </is>
      </c>
      <c r="G474">
        <f>_xlfn.IMAGE("https://www.zoro.com/static/cms/product/full/Paint Sundries Solutions Inc_021200711077.JPG")</f>
        <v/>
      </c>
      <c r="H474">
        <f>_xlfn.IMAGE("https://m.media-amazon.com/images/I/81lpc6Nu7jL._AC_UL320_.jpg")</f>
        <v/>
      </c>
      <c r="K474" t="inlineStr">
        <is>
          <t>3.85</t>
        </is>
      </c>
      <c r="L474" t="n">
        <v>82.43000000000001</v>
      </c>
      <c r="M474" s="2" t="inlineStr">
        <is>
          <t>2041.04%</t>
        </is>
      </c>
      <c r="N474" t="n">
        <v>4.6</v>
      </c>
      <c r="O474" t="n">
        <v>5</v>
      </c>
      <c r="Q474" t="inlineStr">
        <is>
          <t>InStock</t>
        </is>
      </c>
      <c r="R474" t="inlineStr">
        <is>
          <t>undefined</t>
        </is>
      </c>
      <c r="S474" t="inlineStr">
        <is>
          <t>G3273919</t>
        </is>
      </c>
    </row>
    <row r="475" ht="75" customHeight="1">
      <c r="A475" s="1">
        <f>HYPERLINK("https://www.zoro.com/scotch-141-x-60-yds-tan-scotch-contractor-grade-masking-tape-2020-36ap/i/G3273919/", "https://www.zoro.com/scotch-141-x-60-yds-tan-scotch-contractor-grade-masking-tape-2020-36ap/i/G3273919/")</f>
        <v/>
      </c>
      <c r="B475" s="1">
        <f>HYPERLINK("https://www.zoro.com/scotch-141-x-60-yds-tan-scotch-contractor-grade-masking-tape-2020-36ap/i/G3273919/", "https://www.zoro.com/scotch-141-x-60-yds-tan-scotch-contractor-grade-masking-tape-2020-36ap/i/G3273919/")</f>
        <v/>
      </c>
      <c r="C475" t="inlineStr">
        <is>
          <t>1.41" x 60 Yds Tan Scotch Contractor Grade Masking Tape</t>
        </is>
      </c>
      <c r="D475" t="inlineStr">
        <is>
          <t>Scotch Contractor Grade Masking Tape, Tan, Tape for General Use, Multi-Surface Adhesive Tape, 0.94 Inches x 60.1 Yards, 9 Rolls</t>
        </is>
      </c>
      <c r="E475" s="1">
        <f>HYPERLINK("https://www.amazon.com/Scotch-Contractor-Masking-Tape-inches/dp/B00125V10U/ref=sr_1_5?keywords=1.41%22+x+60+Yds+Tan+Scotch+Contractor+Grade+Masking+Tape&amp;qid=1695348009&amp;sr=8-5", "https://www.amazon.com/Scotch-Contractor-Masking-Tape-inches/dp/B00125V10U/ref=sr_1_5?keywords=1.41%22+x+60+Yds+Tan+Scotch+Contractor+Grade+Masking+Tape&amp;qid=1695348009&amp;sr=8-5")</f>
        <v/>
      </c>
      <c r="F475" t="inlineStr">
        <is>
          <t>B00125V10U</t>
        </is>
      </c>
      <c r="G475">
        <f>_xlfn.IMAGE("https://www.zoro.com/static/cms/product/full/Paint Sundries Solutions Inc_021200711077.JPG")</f>
        <v/>
      </c>
      <c r="H475">
        <f>_xlfn.IMAGE("https://m.media-amazon.com/images/I/71XpgseDv+L._AC_UL320_.jpg")</f>
        <v/>
      </c>
      <c r="K475" t="inlineStr">
        <is>
          <t>3.85</t>
        </is>
      </c>
      <c r="L475" t="n">
        <v>19.98</v>
      </c>
      <c r="M475" s="2" t="inlineStr">
        <is>
          <t>418.96%</t>
        </is>
      </c>
      <c r="N475" t="n">
        <v>4.7</v>
      </c>
      <c r="O475" t="n">
        <v>905</v>
      </c>
      <c r="Q475" t="inlineStr">
        <is>
          <t>InStock</t>
        </is>
      </c>
      <c r="R475" t="inlineStr">
        <is>
          <t>undefined</t>
        </is>
      </c>
      <c r="S475" t="inlineStr">
        <is>
          <t>G3273919</t>
        </is>
      </c>
    </row>
    <row r="476" ht="75" customHeight="1">
      <c r="A476" s="1">
        <f>HYPERLINK("https://www.zoro.com/scotch-141-x-60-yds-tan-scotch-contractor-grade-masking-tape-2020-36ap/i/G3273919/", "https://www.zoro.com/scotch-141-x-60-yds-tan-scotch-contractor-grade-masking-tape-2020-36ap/i/G3273919/")</f>
        <v/>
      </c>
      <c r="B476" s="1">
        <f>HYPERLINK("https://www.zoro.com/scotch-141-x-60-yds-tan-scotch-contractor-grade-masking-tape-2020-36ap/i/G3273919/", "https://www.zoro.com/scotch-141-x-60-yds-tan-scotch-contractor-grade-masking-tape-2020-36ap/i/G3273919/")</f>
        <v/>
      </c>
      <c r="C476" t="inlineStr">
        <is>
          <t>1.41" x 60 Yds Tan Scotch Contractor Grade Masking Tape</t>
        </is>
      </c>
      <c r="D476" t="inlineStr">
        <is>
          <t>Scotch Painter's Tape Contractor Grade Masking Tan, Tape for General Use, Multi-Surface Adhesive Tape, 1.41 Inches x 60.1 Yards, 6 Rolls</t>
        </is>
      </c>
      <c r="E476" s="1">
        <f>HYPERLINK("https://www.amazon.com/Scotch-Contractor-Grade-Masking-Tape/dp/B00125NR8E/ref=sr_1_4?keywords=1.41%22+x+60+Yds+Tan+Scotch+Contractor+Grade+Masking+Tape&amp;qid=1695348009&amp;sr=8-4", "https://www.amazon.com/Scotch-Contractor-Grade-Masking-Tape/dp/B00125NR8E/ref=sr_1_4?keywords=1.41%22+x+60+Yds+Tan+Scotch+Contractor+Grade+Masking+Tape&amp;qid=1695348009&amp;sr=8-4")</f>
        <v/>
      </c>
      <c r="F476" t="inlineStr">
        <is>
          <t>B00125NR8E</t>
        </is>
      </c>
      <c r="G476">
        <f>_xlfn.IMAGE("https://www.zoro.com/static/cms/product/full/Paint Sundries Solutions Inc_021200711077.JPG")</f>
        <v/>
      </c>
      <c r="H476">
        <f>_xlfn.IMAGE("https://m.media-amazon.com/images/I/71MYXD-OTpL._AC_UL320_.jpg")</f>
        <v/>
      </c>
      <c r="K476" t="inlineStr">
        <is>
          <t>3.85</t>
        </is>
      </c>
      <c r="L476" t="n">
        <v>17.75</v>
      </c>
      <c r="M476" s="2" t="inlineStr">
        <is>
          <t>361.04%</t>
        </is>
      </c>
      <c r="N476" t="n">
        <v>4.6</v>
      </c>
      <c r="O476" t="n">
        <v>366</v>
      </c>
      <c r="Q476" t="inlineStr">
        <is>
          <t>InStock</t>
        </is>
      </c>
      <c r="R476" t="inlineStr">
        <is>
          <t>undefined</t>
        </is>
      </c>
      <c r="S476" t="inlineStr">
        <is>
          <t>G3273919</t>
        </is>
      </c>
    </row>
    <row r="477" ht="75" customHeight="1">
      <c r="A477" s="1">
        <f>HYPERLINK("https://www.zoro.com/scotch-188-x-60-yds-blue-scotchblue-original-multi-surface-painters-tape-2090-48nc/i/G3275328/", "https://www.zoro.com/scotch-188-x-60-yds-blue-scotchblue-original-multi-surface-painters-tape-2090-48nc/i/G3275328/")</f>
        <v/>
      </c>
      <c r="B477" s="1">
        <f>HYPERLINK("https://www.zoro.com/scotch-188-x-60-yds-blue-scotchblue-original-multi-surface-painters-tape-2090-48nc/i/G3275328/", "https://www.zoro.com/scotch-188-x-60-yds-blue-scotchblue-original-multi-surface-painters-tape-2090-48nc/i/G3275328/")</f>
        <v/>
      </c>
      <c r="C477" t="inlineStr">
        <is>
          <t>1.88" x 60 Yds Blue ScotchBlue Original Multi-Surface Painter's Tape</t>
        </is>
      </c>
      <c r="D477" t="inlineStr">
        <is>
          <t>ScotchBlue Original Multi-Surface Painter's Tape, 1.88 Inches x 60 Yards, 12 Rolls, Blue, Paint Tape Protects Surfaces and Removes Easily, Multi-Surface Painting Tape for Indoor and Outdoor Use</t>
        </is>
      </c>
      <c r="E477" s="1">
        <f>HYPERLINK("https://www.amazon.com/Scotch-Painters-Tape-2090-48EC-Width/dp/B01IOQVTQA/ref=sr_1_3?keywords=1.88%22+x+60+Yds+Blue+ScotchBlue+Original+Multi-Surface+Painter%27s+Tape&amp;qid=1695347920&amp;sr=8-3", "https://www.amazon.com/Scotch-Painters-Tape-2090-48EC-Width/dp/B01IOQVTQA/ref=sr_1_3?keywords=1.88%22+x+60+Yds+Blue+ScotchBlue+Original+Multi-Surface+Painter%27s+Tape&amp;qid=1695347920&amp;sr=8-3")</f>
        <v/>
      </c>
      <c r="F477" t="inlineStr">
        <is>
          <t>B01IOQVTQA</t>
        </is>
      </c>
      <c r="G477">
        <f>_xlfn.IMAGE("https://www.zoro.com/static/cms/product/full/Paint Sundries Solutions Inc_051115036835.JPG")</f>
        <v/>
      </c>
      <c r="H477">
        <f>_xlfn.IMAGE("https://m.media-amazon.com/images/I/81oDj9XylrL._AC_UY218_.jpg")</f>
        <v/>
      </c>
      <c r="K477" t="inlineStr">
        <is>
          <t>10.99</t>
        </is>
      </c>
      <c r="L477" t="n">
        <v>68.56999999999999</v>
      </c>
      <c r="M477" s="2" t="inlineStr">
        <is>
          <t>523.93%</t>
        </is>
      </c>
      <c r="N477" t="n">
        <v>4.7</v>
      </c>
      <c r="O477" t="n">
        <v>144</v>
      </c>
      <c r="Q477" t="inlineStr">
        <is>
          <t>InStock</t>
        </is>
      </c>
      <c r="R477" t="inlineStr">
        <is>
          <t>undefined</t>
        </is>
      </c>
      <c r="S477" t="inlineStr">
        <is>
          <t>G3275328</t>
        </is>
      </c>
    </row>
    <row r="478" ht="75" customHeight="1">
      <c r="A478" s="1">
        <f>HYPERLINK("https://www.zoro.com/scotch-188-x-60-yds-blue-scotchblue-original-multi-surface-painters-tape-2090-48nc/i/G3275328/", "https://www.zoro.com/scotch-188-x-60-yds-blue-scotchblue-original-multi-surface-painters-tape-2090-48nc/i/G3275328/")</f>
        <v/>
      </c>
      <c r="B478" s="1">
        <f>HYPERLINK("https://www.zoro.com/scotch-188-x-60-yds-blue-scotchblue-original-multi-surface-painters-tape-2090-48nc/i/G3275328/", "https://www.zoro.com/scotch-188-x-60-yds-blue-scotchblue-original-multi-surface-painters-tape-2090-48nc/i/G3275328/")</f>
        <v/>
      </c>
      <c r="C478" t="inlineStr">
        <is>
          <t>1.88" x 60 Yds Blue ScotchBlue Original Multi-Surface Painter's Tape</t>
        </is>
      </c>
      <c r="D478" t="inlineStr">
        <is>
          <t>Scotch Painter's Tape Original Multi-Surface Painter's Tape, 1.88 Inches x 60 Yards, 6 Rolls, Blue, Paint Tape Protects Surfaces and Removes Easily, Multi-Surface Painting Tape for Indoor and Outdoor Use</t>
        </is>
      </c>
      <c r="E478" s="1">
        <f>HYPERLINK("https://www.amazon.com/Scotch-Painters-Original-Multi-Surface-inches/dp/B000A3DQGW/ref=sr_1_4?keywords=1.88%22+x+60+Yds+Blue+ScotchBlue+Original+Multi-Surface+Painter%27s+Tape&amp;qid=1695347920&amp;sr=8-4", "https://www.amazon.com/Scotch-Painters-Original-Multi-Surface-inches/dp/B000A3DQGW/ref=sr_1_4?keywords=1.88%22+x+60+Yds+Blue+ScotchBlue+Original+Multi-Surface+Painter%27s+Tape&amp;qid=1695347920&amp;sr=8-4")</f>
        <v/>
      </c>
      <c r="F478" t="inlineStr">
        <is>
          <t>B000A3DQGW</t>
        </is>
      </c>
      <c r="G478">
        <f>_xlfn.IMAGE("https://www.zoro.com/static/cms/product/full/Paint Sundries Solutions Inc_051115036835.JPG")</f>
        <v/>
      </c>
      <c r="H478">
        <f>_xlfn.IMAGE("https://m.media-amazon.com/images/I/71UV3vx5lsL._AC_UY218_.jpg")</f>
        <v/>
      </c>
      <c r="K478" t="inlineStr">
        <is>
          <t>10.99</t>
        </is>
      </c>
      <c r="L478" t="n">
        <v>39.39</v>
      </c>
      <c r="M478" s="2" t="inlineStr">
        <is>
          <t>258.42%</t>
        </is>
      </c>
      <c r="N478" t="n">
        <v>4.8</v>
      </c>
      <c r="O478" t="n">
        <v>2480</v>
      </c>
      <c r="Q478" t="inlineStr">
        <is>
          <t>InStock</t>
        </is>
      </c>
      <c r="R478" t="inlineStr">
        <is>
          <t>undefined</t>
        </is>
      </c>
      <c r="S478" t="inlineStr">
        <is>
          <t>G3275328</t>
        </is>
      </c>
    </row>
    <row r="479" ht="75" customHeight="1">
      <c r="A479" s="1">
        <f>HYPERLINK("https://www.zoro.com/scotch-188-x-60-yds-blue-scotchblue-original-multi-surface-painters-tape-2090-48nc/i/G3275328/", "https://www.zoro.com/scotch-188-x-60-yds-blue-scotchblue-original-multi-surface-painters-tape-2090-48nc/i/G3275328/")</f>
        <v/>
      </c>
      <c r="B479" s="1">
        <f>HYPERLINK("https://www.zoro.com/scotch-188-x-60-yds-blue-scotchblue-original-multi-surface-painters-tape-2090-48nc/i/G3275328/", "https://www.zoro.com/scotch-188-x-60-yds-blue-scotchblue-original-multi-surface-painters-tape-2090-48nc/i/G3275328/")</f>
        <v/>
      </c>
      <c r="C479" t="inlineStr">
        <is>
          <t>1.88" x 60 Yds Blue ScotchBlue Original Multi-Surface Painter's Tape</t>
        </is>
      </c>
      <c r="D479" t="inlineStr">
        <is>
          <t>ScotchBlue Sharp Lines Multi-Surface Painter's Tape, 1.88 Inches x 60 Yards, 3 Rolls, Blue, Paint Tape Protects Surfaces and Removes Easily, Edge-Lock Painting Tape for Indoor and Outdoor Use</t>
        </is>
      </c>
      <c r="E479" s="1">
        <f>HYPERLINK("https://www.amazon.com/ScotchBlue-Sharp-Lines-Painters-Tape/dp/B089N5FDTT/ref=sr_1_9?keywords=1.88%22+x+60+Yds+Blue+ScotchBlue+Original+Multi-Surface+Painter%27s+Tape&amp;qid=1695347920&amp;sr=8-9", "https://www.amazon.com/ScotchBlue-Sharp-Lines-Painters-Tape/dp/B089N5FDTT/ref=sr_1_9?keywords=1.88%22+x+60+Yds+Blue+ScotchBlue+Original+Multi-Surface+Painter%27s+Tape&amp;qid=1695347920&amp;sr=8-9")</f>
        <v/>
      </c>
      <c r="F479" t="inlineStr">
        <is>
          <t>B089N5FDTT</t>
        </is>
      </c>
      <c r="G479">
        <f>_xlfn.IMAGE("https://www.zoro.com/static/cms/product/full/Paint Sundries Solutions Inc_051115036835.JPG")</f>
        <v/>
      </c>
      <c r="H479">
        <f>_xlfn.IMAGE("https://m.media-amazon.com/images/I/81VlSSyjw7L._AC_UY218_.jpg")</f>
        <v/>
      </c>
      <c r="K479" t="inlineStr">
        <is>
          <t>10.99</t>
        </is>
      </c>
      <c r="L479" t="n">
        <v>22.88</v>
      </c>
      <c r="M479" s="2" t="inlineStr">
        <is>
          <t>108.19%</t>
        </is>
      </c>
      <c r="N479" t="n">
        <v>4.6</v>
      </c>
      <c r="O479" t="n">
        <v>705</v>
      </c>
      <c r="Q479" t="inlineStr">
        <is>
          <t>InStock</t>
        </is>
      </c>
      <c r="R479" t="inlineStr">
        <is>
          <t>undefined</t>
        </is>
      </c>
      <c r="S479" t="inlineStr">
        <is>
          <t>G3275328</t>
        </is>
      </c>
    </row>
    <row r="480" ht="75" customHeight="1">
      <c r="A480" s="1">
        <f>HYPERLINK("https://www.zoro.com/scotch-188-x-60-yds-blue-scotchblue-original-multi-surface-painters-tape-2090-48nc/i/G3275328/", "https://www.zoro.com/scotch-188-x-60-yds-blue-scotchblue-original-multi-surface-painters-tape-2090-48nc/i/G3275328/")</f>
        <v/>
      </c>
      <c r="B480" s="1">
        <f>HYPERLINK("https://www.zoro.com/scotch-188-x-60-yds-blue-scotchblue-original-multi-surface-painters-tape-2090-48nc/i/G3275328/", "https://www.zoro.com/scotch-188-x-60-yds-blue-scotchblue-original-multi-surface-painters-tape-2090-48nc/i/G3275328/")</f>
        <v/>
      </c>
      <c r="C480" t="inlineStr">
        <is>
          <t>1.88" x 60 Yds Blue ScotchBlue Original Multi-Surface Painter's Tape</t>
        </is>
      </c>
      <c r="D480" t="inlineStr">
        <is>
          <t>Scotch Painter's Tape Original Multi-Surface Painter's Tape, 1.88 Inches x 60 Yards, 3 Rolls, Blue, Paint Tape Protects Surfaces and Removes Easily, Multi-Surface Painting Tape for Indoor and Outdoor Use</t>
        </is>
      </c>
      <c r="E480" s="1">
        <f>HYPERLINK("https://www.amazon.com/ScotchBlue-Painters-Multi-Use-1-88-Inch-60-Yard/dp/B008WZZ11S/ref=sr_1_1?keywords=1.88%22+x+60+Yds+Blue+ScotchBlue+Original+Multi-Surface+Painter%27s+Tape&amp;qid=1695347920&amp;sr=8-1", "https://www.amazon.com/ScotchBlue-Painters-Multi-Use-1-88-Inch-60-Yard/dp/B008WZZ11S/ref=sr_1_1?keywords=1.88%22+x+60+Yds+Blue+ScotchBlue+Original+Multi-Surface+Painter%27s+Tape&amp;qid=1695347920&amp;sr=8-1")</f>
        <v/>
      </c>
      <c r="F480" t="inlineStr">
        <is>
          <t>B008WZZ11S</t>
        </is>
      </c>
      <c r="G480">
        <f>_xlfn.IMAGE("https://www.zoro.com/static/cms/product/full/Paint Sundries Solutions Inc_051115036835.JPG")</f>
        <v/>
      </c>
      <c r="H480">
        <f>_xlfn.IMAGE("https://m.media-amazon.com/images/I/81tgF6kGlaL._AC_UY218_.jpg")</f>
        <v/>
      </c>
      <c r="K480" t="inlineStr">
        <is>
          <t>10.99</t>
        </is>
      </c>
      <c r="L480" t="n">
        <v>18.77</v>
      </c>
      <c r="M480" s="2" t="inlineStr">
        <is>
          <t>70.79%</t>
        </is>
      </c>
      <c r="N480" t="n">
        <v>4.8</v>
      </c>
      <c r="O480" t="n">
        <v>1193</v>
      </c>
      <c r="Q480" t="inlineStr">
        <is>
          <t>InStock</t>
        </is>
      </c>
      <c r="R480" t="inlineStr">
        <is>
          <t>undefined</t>
        </is>
      </c>
      <c r="S480" t="inlineStr">
        <is>
          <t>G3275328</t>
        </is>
      </c>
    </row>
    <row r="481" ht="75" customHeight="1">
      <c r="A481" s="1">
        <f>HYPERLINK("https://www.zoro.com/scotch-188-x-60-yds-blue-scotchblue-sharp-lines-painters-tape-2093-48nc/i/G3272887/", "https://www.zoro.com/scotch-188-x-60-yds-blue-scotchblue-sharp-lines-painters-tape-2093-48nc/i/G3272887/")</f>
        <v/>
      </c>
      <c r="B481" s="1">
        <f>HYPERLINK("https://www.zoro.com/scotch-188-x-60-yds-blue-scotchblue-sharp-lines-painters-tape-2093-48nc/i/G3272887/", "https://www.zoro.com/scotch-188-x-60-yds-blue-scotchblue-sharp-lines-painters-tape-2093-48nc/i/G3272887/")</f>
        <v/>
      </c>
      <c r="C481" t="inlineStr">
        <is>
          <t>1.88" x 60 Yds Blue ScotchBlue Sharp Lines Painter’s Tape</t>
        </is>
      </c>
      <c r="D481" t="inlineStr">
        <is>
          <t>ScotchBlue Sharp Lines Multi-Surface Painter's Tape, 1.88 Inches x 60 Yards, 3 Rolls, Blue, Paint Tape Protects Surfaces and Removes Easily, Edge-Lock Painting Tape for Indoor and Outdoor Use</t>
        </is>
      </c>
      <c r="E481" s="1">
        <f>HYPERLINK("https://www.amazon.com/ScotchBlue-Sharp-Lines-Painters-Tape/dp/B089N5FDTT/ref=sr_1_1?keywords=1.88%22+x+60+Yds+Blue+ScotchBlue+Sharp+Lines+Painter%E2%80%99s+Tape&amp;qid=1695348011&amp;sr=8-1", "https://www.amazon.com/ScotchBlue-Sharp-Lines-Painters-Tape/dp/B089N5FDTT/ref=sr_1_1?keywords=1.88%22+x+60+Yds+Blue+ScotchBlue+Sharp+Lines+Painter%E2%80%99s+Tape&amp;qid=1695348011&amp;sr=8-1")</f>
        <v/>
      </c>
      <c r="F481" t="inlineStr">
        <is>
          <t>B089N5FDTT</t>
        </is>
      </c>
      <c r="G481">
        <f>_xlfn.IMAGE("https://www.zoro.com/static/cms/product/full/Paint Sundries Solutions Inc_051141320342.JPG")</f>
        <v/>
      </c>
      <c r="H481">
        <f>_xlfn.IMAGE("https://m.media-amazon.com/images/I/81VlSSyjw7L._AC_UL320_.jpg")</f>
        <v/>
      </c>
      <c r="K481" t="inlineStr">
        <is>
          <t>13.05</t>
        </is>
      </c>
      <c r="L481" t="n">
        <v>25.45</v>
      </c>
      <c r="M481" s="2" t="inlineStr">
        <is>
          <t>95.02%</t>
        </is>
      </c>
      <c r="N481" t="n">
        <v>4.6</v>
      </c>
      <c r="O481" t="n">
        <v>705</v>
      </c>
      <c r="Q481" t="inlineStr">
        <is>
          <t>InStock</t>
        </is>
      </c>
      <c r="R481" t="inlineStr">
        <is>
          <t>undefined</t>
        </is>
      </c>
      <c r="S481" t="inlineStr">
        <is>
          <t>G3272887</t>
        </is>
      </c>
    </row>
    <row r="482" ht="75" customHeight="1">
      <c r="A482" s="1">
        <f>HYPERLINK("https://www.zoro.com/scotch-188-x-60-yds-tan-scotch-contractor-grade-masking-tape-2020-48mp/i/G3275565/", "https://www.zoro.com/scotch-188-x-60-yds-tan-scotch-contractor-grade-masking-tape-2020-48mp/i/G3275565/")</f>
        <v/>
      </c>
      <c r="B482" s="1">
        <f>HYPERLINK("https://www.zoro.com/scotch-188-x-60-yds-tan-scotch-contractor-grade-masking-tape-2020-48mp/i/G3275565/", "https://www.zoro.com/scotch-188-x-60-yds-tan-scotch-contractor-grade-masking-tape-2020-48mp/i/G3275565/")</f>
        <v/>
      </c>
      <c r="C482" t="inlineStr">
        <is>
          <t>1.88" x 60 Yds Tan Scotch Contractor Grade Masking Tape</t>
        </is>
      </c>
      <c r="D482" t="inlineStr">
        <is>
          <t>Scotch Painter's Tape Contractor Grade Masking Tan, Tape for General Use, Multi-Surface Adhesive Tape, 1.41 Inches x 60.1 Yards, 6 Rolls</t>
        </is>
      </c>
      <c r="E482" s="1">
        <f>HYPERLINK("https://www.amazon.com/Scotch-Contractor-Grade-Masking-Tape/dp/B00125NR8E/ref=sr_1_6?keywords=1.88%22+x+60+Yds+Tan+Scotch+Contractor+Grade+Masking+Tape&amp;qid=1695347924&amp;sr=8-6", "https://www.amazon.com/Scotch-Contractor-Grade-Masking-Tape/dp/B00125NR8E/ref=sr_1_6?keywords=1.88%22+x+60+Yds+Tan+Scotch+Contractor+Grade+Masking+Tape&amp;qid=1695347924&amp;sr=8-6")</f>
        <v/>
      </c>
      <c r="F482" t="inlineStr">
        <is>
          <t>B00125NR8E</t>
        </is>
      </c>
      <c r="G482">
        <f>_xlfn.IMAGE("https://www.zoro.com/static/cms/product/full/Paint Sundries Solutions Inc_021200711084.JPG")</f>
        <v/>
      </c>
      <c r="H482">
        <f>_xlfn.IMAGE("https://m.media-amazon.com/images/I/71MYXD-OTpL._AC_UL320_.jpg")</f>
        <v/>
      </c>
      <c r="K482" t="inlineStr">
        <is>
          <t>6.19</t>
        </is>
      </c>
      <c r="L482" t="n">
        <v>17.75</v>
      </c>
      <c r="M482" s="2" t="inlineStr">
        <is>
          <t>186.75%</t>
        </is>
      </c>
      <c r="N482" t="n">
        <v>4.6</v>
      </c>
      <c r="O482" t="n">
        <v>366</v>
      </c>
      <c r="Q482" t="inlineStr">
        <is>
          <t>InStock</t>
        </is>
      </c>
      <c r="R482" t="inlineStr">
        <is>
          <t>undefined</t>
        </is>
      </c>
      <c r="S482" t="inlineStr">
        <is>
          <t>G3275565</t>
        </is>
      </c>
    </row>
    <row r="483" ht="75" customHeight="1">
      <c r="A483" s="1">
        <f>HYPERLINK("https://www.zoro.com/scotch-188-x-60-yds-tan-scotch-contractor-grade-masking-tape-2020-48mp/i/G3275565/", "https://www.zoro.com/scotch-188-x-60-yds-tan-scotch-contractor-grade-masking-tape-2020-48mp/i/G3275565/")</f>
        <v/>
      </c>
      <c r="B483" s="1">
        <f>HYPERLINK("https://www.zoro.com/scotch-188-x-60-yds-tan-scotch-contractor-grade-masking-tape-2020-48mp/i/G3275565/", "https://www.zoro.com/scotch-188-x-60-yds-tan-scotch-contractor-grade-masking-tape-2020-48mp/i/G3275565/")</f>
        <v/>
      </c>
      <c r="C483" t="inlineStr">
        <is>
          <t>1.88" x 60 Yds Tan Scotch Contractor Grade Masking Tape</t>
        </is>
      </c>
      <c r="D483" t="inlineStr">
        <is>
          <t>Scotch Contractor Grade Masking Tape, Tan, Tape for General Use, Multi-Surface Adhesive Tape, 1.88 Inches x 60.1 Yards, 3 Rolls</t>
        </is>
      </c>
      <c r="E483" s="1">
        <f>HYPERLINK("https://www.amazon.com/Scotch-Contractor-Grade-Masking-Tape/dp/B008LAQYLA/ref=sr_1_1?keywords=1.88%22+x+60+Yds+Tan+Scotch+Contractor+Grade+Masking+Tape&amp;qid=1695347924&amp;sr=8-1", "https://www.amazon.com/Scotch-Contractor-Grade-Masking-Tape/dp/B008LAQYLA/ref=sr_1_1?keywords=1.88%22+x+60+Yds+Tan+Scotch+Contractor+Grade+Masking+Tape&amp;qid=1695347924&amp;sr=8-1")</f>
        <v/>
      </c>
      <c r="F483" t="inlineStr">
        <is>
          <t>B008LAQYLA</t>
        </is>
      </c>
      <c r="G483">
        <f>_xlfn.IMAGE("https://www.zoro.com/static/cms/product/full/Paint Sundries Solutions Inc_021200711084.JPG")</f>
        <v/>
      </c>
      <c r="H483">
        <f>_xlfn.IMAGE("https://m.media-amazon.com/images/I/81OvgoIJMvL._AC_UL320_.jpg")</f>
        <v/>
      </c>
      <c r="K483" t="inlineStr">
        <is>
          <t>6.19</t>
        </is>
      </c>
      <c r="L483" t="n">
        <v>15.02</v>
      </c>
      <c r="M483" s="2" t="inlineStr">
        <is>
          <t>142.65%</t>
        </is>
      </c>
      <c r="N483" t="n">
        <v>4.7</v>
      </c>
      <c r="O483" t="n">
        <v>648</v>
      </c>
      <c r="Q483" t="inlineStr">
        <is>
          <t>InStock</t>
        </is>
      </c>
      <c r="R483" t="inlineStr">
        <is>
          <t>undefined</t>
        </is>
      </c>
      <c r="S483" t="inlineStr">
        <is>
          <t>G3275565</t>
        </is>
      </c>
    </row>
    <row r="484" ht="75" customHeight="1">
      <c r="A484" s="1">
        <f>HYPERLINK("https://www.zoro.com/scotch-34-in-w-x-66-ft-l-violet-vinyl-electrical-tape-11271-ba-5/i/G205266482/", "https://www.zoro.com/scotch-34-in-w-x-66-ft-l-violet-vinyl-electrical-tape-11271-ba-5/i/G205266482/")</f>
        <v/>
      </c>
      <c r="B484" s="1">
        <f>HYPERLINK("https://www.zoro.com/scotch-34-in-w-x-66-ft-l-violet-vinyl-electrical-tape-11271-ba-5/i/G205266482/", "https://www.zoro.com/scotch-34-in-w-x-66-ft-l-violet-vinyl-electrical-tape-11271-ba-5/i/G205266482/")</f>
        <v/>
      </c>
      <c r="C484" t="inlineStr">
        <is>
          <t>3/4 in. W X 66 ft. L Violet Vinyl Electrical Tape</t>
        </is>
      </c>
      <c r="D484" t="inlineStr">
        <is>
          <t>Scotch Vinyl Color Coding Electrical Tape 35, 3/4 in x 66 ft, Violet, 10 Rolls/Carton, 100 Rolls/Case</t>
        </is>
      </c>
      <c r="E484" s="1">
        <f>HYPERLINK("https://www.amazon.com/Scotch-Coding-Electrical-Violet-Carton/dp/B01MS4PYIA/ref=sr_1_5?keywords=3%2F4+in.+W+X+66+ft.+L+Violet+Vinyl+Electrical+Tape&amp;qid=1695348140&amp;sr=8-5", "https://www.amazon.com/Scotch-Coding-Electrical-Violet-Carton/dp/B01MS4PYIA/ref=sr_1_5?keywords=3%2F4+in.+W+X+66+ft.+L+Violet+Vinyl+Electrical+Tape&amp;qid=1695348140&amp;sr=8-5")</f>
        <v/>
      </c>
      <c r="F484" t="inlineStr">
        <is>
          <t>B01MS4PYIA</t>
        </is>
      </c>
      <c r="G484">
        <f>_xlfn.IMAGE("https://www.zoro.com/static/cms/product/full/Emery Jensen Distribution LLC_3311461xxpxx2eff80.jpeg")</f>
        <v/>
      </c>
      <c r="H484">
        <f>_xlfn.IMAGE("https://m.media-amazon.com/images/I/71VrVJ4SdnL._AC_UY218_.jpg")</f>
        <v/>
      </c>
      <c r="K484" t="inlineStr">
        <is>
          <t>7.99</t>
        </is>
      </c>
      <c r="L484" t="n">
        <v>94.38</v>
      </c>
      <c r="M484" s="2" t="inlineStr">
        <is>
          <t>1081.23%</t>
        </is>
      </c>
      <c r="N484" t="n">
        <v>5</v>
      </c>
      <c r="O484" t="n">
        <v>1</v>
      </c>
      <c r="Q484" t="inlineStr">
        <is>
          <t>InStock</t>
        </is>
      </c>
      <c r="R484" t="inlineStr">
        <is>
          <t>undefined</t>
        </is>
      </c>
      <c r="S484" t="inlineStr">
        <is>
          <t>G205266482</t>
        </is>
      </c>
    </row>
    <row r="485" ht="75" customHeight="1">
      <c r="A485" s="1">
        <f>HYPERLINK("https://www.zoro.com/scotch-70-x-60-yds-blue-scotchblue-original-multi-surface-painters-tape-2090-18nc/i/G3273404/", "https://www.zoro.com/scotch-70-x-60-yds-blue-scotchblue-original-multi-surface-painters-tape-2090-18nc/i/G3273404/")</f>
        <v/>
      </c>
      <c r="B485" s="1">
        <f>HYPERLINK("https://www.zoro.com/scotch-70-x-60-yds-blue-scotchblue-original-multi-surface-painters-tape-2090-18nc/i/G3273404/", "https://www.zoro.com/scotch-70-x-60-yds-blue-scotchblue-original-multi-surface-painters-tape-2090-18nc/i/G3273404/")</f>
        <v/>
      </c>
      <c r="C485" t="inlineStr">
        <is>
          <t>.70" x 60 Yds Blue ScotchBlue Original Multi-Surface Painter's Tape</t>
        </is>
      </c>
      <c r="D485" t="inlineStr">
        <is>
          <t>Scotch Painter's Tape 1.41 inches Original Multi-Surface Painter's Tape, x 60 yards (360 yards total), 2090, 6 Rolls, Blue, 6 Foot</t>
        </is>
      </c>
      <c r="E485" s="1">
        <f>HYPERLINK("https://www.amazon.com/Scotch-Painters-Tape-9000-6270-Multi-Surface/dp/B00125PS5Y/ref=sr_1_9?keywords=.70%22+x+60+Yds+Blue+ScotchBlue+Original+Multi-Surface+Painter%27s+Tape&amp;qid=1695348010&amp;sr=8-9", "https://www.amazon.com/Scotch-Painters-Tape-9000-6270-Multi-Surface/dp/B00125PS5Y/ref=sr_1_9?keywords=.70%22+x+60+Yds+Blue+ScotchBlue+Original+Multi-Surface+Painter%27s+Tape&amp;qid=1695348010&amp;sr=8-9")</f>
        <v/>
      </c>
      <c r="F485" t="inlineStr">
        <is>
          <t>B00125PS5Y</t>
        </is>
      </c>
      <c r="G485">
        <f>_xlfn.IMAGE("https://www.zoro.com/static/cms/product/full/Paint Sundries Solutions Inc_051115036804.JPG")</f>
        <v/>
      </c>
      <c r="H485">
        <f>_xlfn.IMAGE("https://m.media-amazon.com/images/I/71Mly86kcZL._AC_UL320_.jpg")</f>
        <v/>
      </c>
      <c r="K485" t="inlineStr">
        <is>
          <t>4.19</t>
        </is>
      </c>
      <c r="L485" t="n">
        <v>34.98</v>
      </c>
      <c r="M485" s="2" t="inlineStr">
        <is>
          <t>734.84%</t>
        </is>
      </c>
      <c r="N485" t="n">
        <v>4.7</v>
      </c>
      <c r="O485" t="n">
        <v>1903</v>
      </c>
      <c r="Q485" t="inlineStr">
        <is>
          <t>InStock</t>
        </is>
      </c>
      <c r="R485" t="inlineStr">
        <is>
          <t>4.49</t>
        </is>
      </c>
      <c r="S485" t="inlineStr">
        <is>
          <t>G3273404</t>
        </is>
      </c>
    </row>
    <row r="486" ht="75" customHeight="1">
      <c r="A486" s="1">
        <f>HYPERLINK("https://www.zoro.com/scotch-70-x-60-yds-blue-scotchblue-original-multi-surface-painters-tape-2090-18nc/i/G3273404/", "https://www.zoro.com/scotch-70-x-60-yds-blue-scotchblue-original-multi-surface-painters-tape-2090-18nc/i/G3273404/")</f>
        <v/>
      </c>
      <c r="B486" s="1">
        <f>HYPERLINK("https://www.zoro.com/scotch-70-x-60-yds-blue-scotchblue-original-multi-surface-painters-tape-2090-18nc/i/G3273404/", "https://www.zoro.com/scotch-70-x-60-yds-blue-scotchblue-original-multi-surface-painters-tape-2090-18nc/i/G3273404/")</f>
        <v/>
      </c>
      <c r="C486" t="inlineStr">
        <is>
          <t>.70" x 60 Yds Blue ScotchBlue Original Multi-Surface Painter's Tape</t>
        </is>
      </c>
      <c r="D486" t="inlineStr">
        <is>
          <t>Scotch Painter's Tape Original Multi-Surface Painter's Tape, 0.94 Inches x 60 Yards, 9 Rolls, Blue, Paint Tape Protects Surfaces and Removes Easily, Multi-Surface Painting Tape for Indoor and Outdoor Use</t>
        </is>
      </c>
      <c r="E486" s="1">
        <f>HYPERLINK("https://www.amazon.com/ScotchBlue-Painters-Multi-Use-94-Inch-60-Yards/dp/B00125RS9I/ref=sr_1_6?keywords=.70%22+x+60+Yds+Blue+ScotchBlue+Original+Multi-Surface+Painter%27s+Tape&amp;qid=1695348010&amp;sr=8-6", "https://www.amazon.com/ScotchBlue-Painters-Multi-Use-94-Inch-60-Yards/dp/B00125RS9I/ref=sr_1_6?keywords=.70%22+x+60+Yds+Blue+ScotchBlue+Original+Multi-Surface+Painter%27s+Tape&amp;qid=1695348010&amp;sr=8-6")</f>
        <v/>
      </c>
      <c r="F486" t="inlineStr">
        <is>
          <t>B00125RS9I</t>
        </is>
      </c>
      <c r="G486">
        <f>_xlfn.IMAGE("https://www.zoro.com/static/cms/product/full/Paint Sundries Solutions Inc_051115036804.JPG")</f>
        <v/>
      </c>
      <c r="H486">
        <f>_xlfn.IMAGE("https://m.media-amazon.com/images/I/71jG6lSxUML._AC_UL320_.jpg")</f>
        <v/>
      </c>
      <c r="K486" t="inlineStr">
        <is>
          <t>4.19</t>
        </is>
      </c>
      <c r="L486" t="n">
        <v>29.15</v>
      </c>
      <c r="M486" s="2" t="inlineStr">
        <is>
          <t>595.70%</t>
        </is>
      </c>
      <c r="N486" t="n">
        <v>4.8</v>
      </c>
      <c r="O486" t="n">
        <v>667</v>
      </c>
      <c r="Q486" t="inlineStr">
        <is>
          <t>InStock</t>
        </is>
      </c>
      <c r="R486" t="inlineStr">
        <is>
          <t>4.49</t>
        </is>
      </c>
      <c r="S486" t="inlineStr">
        <is>
          <t>G3273404</t>
        </is>
      </c>
    </row>
    <row r="487" ht="75" customHeight="1">
      <c r="A487" s="1">
        <f>HYPERLINK("https://www.zoro.com/scotch-70-x-60-yds-blue-scotchblue-original-multi-surface-painters-tape-2090-18nc/i/G3273404/", "https://www.zoro.com/scotch-70-x-60-yds-blue-scotchblue-original-multi-surface-painters-tape-2090-18nc/i/G3273404/")</f>
        <v/>
      </c>
      <c r="B487" s="1">
        <f>HYPERLINK("https://www.zoro.com/scotch-70-x-60-yds-blue-scotchblue-original-multi-surface-painters-tape-2090-18nc/i/G3273404/", "https://www.zoro.com/scotch-70-x-60-yds-blue-scotchblue-original-multi-surface-painters-tape-2090-18nc/i/G3273404/")</f>
        <v/>
      </c>
      <c r="C487" t="inlineStr">
        <is>
          <t>.70" x 60 Yds Blue ScotchBlue Original Multi-Surface Painter's Tape</t>
        </is>
      </c>
      <c r="D487" t="inlineStr">
        <is>
          <t>ScotchBlue Original Multi-Surface Painter's Tape, 1.41 Inches x 60 Yards, 4 Rolls, Blue, Paint Tape Protects Surfaces and Removes Easily, Multi-Surface Painting Tape for Indoor and Outdoor Use</t>
        </is>
      </c>
      <c r="E487" s="1">
        <f>HYPERLINK("https://www.amazon.com/ScotchBlue-2090-36KR4-Original-Painters-Tape/dp/B09YMX6WXT/ref=sr_1_5?keywords=.70%22+x+60+Yds+Blue+ScotchBlue+Original+Multi-Surface+Painter%27s+Tape&amp;qid=1695348010&amp;sr=8-5", "https://www.amazon.com/ScotchBlue-2090-36KR4-Original-Painters-Tape/dp/B09YMX6WXT/ref=sr_1_5?keywords=.70%22+x+60+Yds+Blue+ScotchBlue+Original+Multi-Surface+Painter%27s+Tape&amp;qid=1695348010&amp;sr=8-5")</f>
        <v/>
      </c>
      <c r="F487" t="inlineStr">
        <is>
          <t>B09YMX6WXT</t>
        </is>
      </c>
      <c r="G487">
        <f>_xlfn.IMAGE("https://www.zoro.com/static/cms/product/full/Paint Sundries Solutions Inc_051115036804.JPG")</f>
        <v/>
      </c>
      <c r="H487">
        <f>_xlfn.IMAGE("https://m.media-amazon.com/images/I/615V56OhgxL._AC_UL320_.jpg")</f>
        <v/>
      </c>
      <c r="K487" t="inlineStr">
        <is>
          <t>4.19</t>
        </is>
      </c>
      <c r="L487" t="n">
        <v>24.65</v>
      </c>
      <c r="M487" s="2" t="inlineStr">
        <is>
          <t>488.31%</t>
        </is>
      </c>
      <c r="N487" t="n">
        <v>4.4</v>
      </c>
      <c r="O487" t="n">
        <v>22</v>
      </c>
      <c r="Q487" t="inlineStr">
        <is>
          <t>InStock</t>
        </is>
      </c>
      <c r="R487" t="inlineStr">
        <is>
          <t>4.49</t>
        </is>
      </c>
      <c r="S487" t="inlineStr">
        <is>
          <t>G3273404</t>
        </is>
      </c>
    </row>
    <row r="488" ht="75" customHeight="1">
      <c r="A488" s="1">
        <f>HYPERLINK("https://www.zoro.com/scotch-70-x-60-yds-blue-scotchblue-original-multi-surface-painters-tape-2090-18nc/i/G3273404/", "https://www.zoro.com/scotch-70-x-60-yds-blue-scotchblue-original-multi-surface-painters-tape-2090-18nc/i/G3273404/")</f>
        <v/>
      </c>
      <c r="B488" s="1">
        <f>HYPERLINK("https://www.zoro.com/scotch-70-x-60-yds-blue-scotchblue-original-multi-surface-painters-tape-2090-18nc/i/G3273404/", "https://www.zoro.com/scotch-70-x-60-yds-blue-scotchblue-original-multi-surface-painters-tape-2090-18nc/i/G3273404/")</f>
        <v/>
      </c>
      <c r="C488" t="inlineStr">
        <is>
          <t>.70" x 60 Yds Blue ScotchBlue Original Multi-Surface Painter's Tape</t>
        </is>
      </c>
      <c r="D488" t="inlineStr">
        <is>
          <t>ScotchBlue Original Multi-Surface Painter's Tape, 0.94 Inches x 60 Yards, 4 Rolls, Blue, Paint Tape Protects Surfaces and Removes Easily, Multi-Surface Painting Tape for Indoor and Outdoor Use</t>
        </is>
      </c>
      <c r="E488" s="1">
        <f>HYPERLINK("https://www.amazon.com/ScotchBlue-2090-24VR4-ScoychBlue-Painters-Tape/dp/B09YMY1JD3/ref=sr_1_8?keywords=.70%22+x+60+Yds+Blue+ScotchBlue+Original+Multi-Surface+Painter%27s+Tape&amp;qid=1695348010&amp;sr=8-8", "https://www.amazon.com/ScotchBlue-2090-24VR4-ScoychBlue-Painters-Tape/dp/B09YMY1JD3/ref=sr_1_8?keywords=.70%22+x+60+Yds+Blue+ScotchBlue+Original+Multi-Surface+Painter%27s+Tape&amp;qid=1695348010&amp;sr=8-8")</f>
        <v/>
      </c>
      <c r="F488" t="inlineStr">
        <is>
          <t>B09YMY1JD3</t>
        </is>
      </c>
      <c r="G488">
        <f>_xlfn.IMAGE("https://www.zoro.com/static/cms/product/full/Paint Sundries Solutions Inc_051115036804.JPG")</f>
        <v/>
      </c>
      <c r="H488">
        <f>_xlfn.IMAGE("https://m.media-amazon.com/images/I/71d4FvTllXL._AC_UL320_.jpg")</f>
        <v/>
      </c>
      <c r="K488" t="inlineStr">
        <is>
          <t>4.19</t>
        </is>
      </c>
      <c r="L488" t="n">
        <v>24.44</v>
      </c>
      <c r="M488" s="2" t="inlineStr">
        <is>
          <t>483.29%</t>
        </is>
      </c>
      <c r="N488" t="n">
        <v>4.9</v>
      </c>
      <c r="O488" t="n">
        <v>20</v>
      </c>
      <c r="Q488" t="inlineStr">
        <is>
          <t>InStock</t>
        </is>
      </c>
      <c r="R488" t="inlineStr">
        <is>
          <t>4.49</t>
        </is>
      </c>
      <c r="S488" t="inlineStr">
        <is>
          <t>G3273404</t>
        </is>
      </c>
    </row>
    <row r="489" ht="75" customHeight="1">
      <c r="A489" s="1">
        <f>HYPERLINK("https://www.zoro.com/scotch-70-x-60-yds-blue-scotchblue-original-multi-surface-painters-tape-2090-18nc/i/G3273404/", "https://www.zoro.com/scotch-70-x-60-yds-blue-scotchblue-original-multi-surface-painters-tape-2090-18nc/i/G3273404/")</f>
        <v/>
      </c>
      <c r="B489" s="1">
        <f>HYPERLINK("https://www.zoro.com/scotch-70-x-60-yds-blue-scotchblue-original-multi-surface-painters-tape-2090-18nc/i/G3273404/", "https://www.zoro.com/scotch-70-x-60-yds-blue-scotchblue-original-multi-surface-painters-tape-2090-18nc/i/G3273404/")</f>
        <v/>
      </c>
      <c r="C489" t="inlineStr">
        <is>
          <t>.70" x 60 Yds Blue ScotchBlue Original Multi-Surface Painter's Tape</t>
        </is>
      </c>
      <c r="D489" t="inlineStr">
        <is>
          <t>Scotch Painter's Tape Original Multi-Surface Painter's Tape, 1.88 Inches x 60 Yards, 3 Rolls, Blue, Paint Tape Protects Surfaces and Removes Easily, Multi-Surface Painting Tape for Indoor and Outdoor Use</t>
        </is>
      </c>
      <c r="E489" s="1">
        <f>HYPERLINK("https://www.amazon.com/ScotchBlue-Painters-Multi-Use-1-88-Inch-60-Yard/dp/B008WZZ11S/ref=sr_1_7?keywords=.70%22+x+60+Yds+Blue+ScotchBlue+Original+Multi-Surface+Painter%27s+Tape&amp;qid=1695348010&amp;sr=8-7", "https://www.amazon.com/ScotchBlue-Painters-Multi-Use-1-88-Inch-60-Yard/dp/B008WZZ11S/ref=sr_1_7?keywords=.70%22+x+60+Yds+Blue+ScotchBlue+Original+Multi-Surface+Painter%27s+Tape&amp;qid=1695348010&amp;sr=8-7")</f>
        <v/>
      </c>
      <c r="F489" t="inlineStr">
        <is>
          <t>B008WZZ11S</t>
        </is>
      </c>
      <c r="G489">
        <f>_xlfn.IMAGE("https://www.zoro.com/static/cms/product/full/Paint Sundries Solutions Inc_051115036804.JPG")</f>
        <v/>
      </c>
      <c r="H489">
        <f>_xlfn.IMAGE("https://m.media-amazon.com/images/I/81tgF6kGlaL._AC_UL320_.jpg")</f>
        <v/>
      </c>
      <c r="K489" t="inlineStr">
        <is>
          <t>4.19</t>
        </is>
      </c>
      <c r="L489" t="n">
        <v>18.77</v>
      </c>
      <c r="M489" s="2" t="inlineStr">
        <is>
          <t>347.97%</t>
        </is>
      </c>
      <c r="N489" t="n">
        <v>4.8</v>
      </c>
      <c r="O489" t="n">
        <v>1193</v>
      </c>
      <c r="Q489" t="inlineStr">
        <is>
          <t>InStock</t>
        </is>
      </c>
      <c r="R489" t="inlineStr">
        <is>
          <t>4.49</t>
        </is>
      </c>
      <c r="S489" t="inlineStr">
        <is>
          <t>G3273404</t>
        </is>
      </c>
    </row>
    <row r="490" ht="75" customHeight="1">
      <c r="A490" s="1">
        <f>HYPERLINK("https://www.zoro.com/scotch-70-x-60-yds-tan-scotch-contractor-grade-masking-tape-2020-18ap/i/G3273718/", "https://www.zoro.com/scotch-70-x-60-yds-tan-scotch-contractor-grade-masking-tape-2020-18ap/i/G3273718/")</f>
        <v/>
      </c>
      <c r="B490" s="1">
        <f>HYPERLINK("https://www.zoro.com/scotch-70-x-60-yds-tan-scotch-contractor-grade-masking-tape-2020-18ap/i/G3273718/", "https://www.zoro.com/scotch-70-x-60-yds-tan-scotch-contractor-grade-masking-tape-2020-18ap/i/G3273718/")</f>
        <v/>
      </c>
      <c r="C490" t="inlineStr">
        <is>
          <t>.70" x 60 Yds Tan Scotch Contractor Grade Masking Tape</t>
        </is>
      </c>
      <c r="D490" t="inlineStr">
        <is>
          <t>Scotch Painter's Tape Contractor Grade Masking Tan, Tape for General Use, Multi-Surface Adhesive Tape, 1.41 Inches x 60.1 Yards, 6 Rolls</t>
        </is>
      </c>
      <c r="E490" s="1">
        <f>HYPERLINK("https://www.amazon.com/Scotch-Contractor-Grade-Masking-Tape/dp/B00125NR8E/ref=sr_1_5?keywords=.70%22+x+60+Yds+Tan+Scotch+Contractor+Grade+Masking+Tape&amp;qid=1695348077&amp;sr=8-5", "https://www.amazon.com/Scotch-Contractor-Grade-Masking-Tape/dp/B00125NR8E/ref=sr_1_5?keywords=.70%22+x+60+Yds+Tan+Scotch+Contractor+Grade+Masking+Tape&amp;qid=1695348077&amp;sr=8-5")</f>
        <v/>
      </c>
      <c r="F490" t="inlineStr">
        <is>
          <t>B00125NR8E</t>
        </is>
      </c>
      <c r="G490">
        <f>_xlfn.IMAGE("https://www.zoro.com/static/cms/product/full/Paint Sundries Solutions Inc_021200694769.JPG")</f>
        <v/>
      </c>
      <c r="H490">
        <f>_xlfn.IMAGE("https://m.media-amazon.com/images/I/71MYXD-OTpL._AC_UL320_.jpg")</f>
        <v/>
      </c>
      <c r="K490" t="inlineStr">
        <is>
          <t>2.55</t>
        </is>
      </c>
      <c r="L490" t="n">
        <v>17.75</v>
      </c>
      <c r="M490" s="2" t="inlineStr">
        <is>
          <t>596.08%</t>
        </is>
      </c>
      <c r="N490" t="n">
        <v>4.6</v>
      </c>
      <c r="O490" t="n">
        <v>366</v>
      </c>
      <c r="Q490" t="inlineStr">
        <is>
          <t>undefined</t>
        </is>
      </c>
      <c r="R490" t="inlineStr">
        <is>
          <t>undefined</t>
        </is>
      </c>
      <c r="S490" t="inlineStr">
        <is>
          <t>G3273718</t>
        </is>
      </c>
    </row>
    <row r="491" ht="75" customHeight="1">
      <c r="A491" s="1">
        <f>HYPERLINK("https://www.zoro.com/scotch-70-x-60-yds-tan-scotch-contractor-grade-masking-tape-2020-18ap/i/G3273718/", "https://www.zoro.com/scotch-70-x-60-yds-tan-scotch-contractor-grade-masking-tape-2020-18ap/i/G3273718/")</f>
        <v/>
      </c>
      <c r="B491" s="1">
        <f>HYPERLINK("https://www.zoro.com/scotch-70-x-60-yds-tan-scotch-contractor-grade-masking-tape-2020-18ap/i/G3273718/", "https://www.zoro.com/scotch-70-x-60-yds-tan-scotch-contractor-grade-masking-tape-2020-18ap/i/G3273718/")</f>
        <v/>
      </c>
      <c r="C491" t="inlineStr">
        <is>
          <t>.70" x 60 Yds Tan Scotch Contractor Grade Masking Tape</t>
        </is>
      </c>
      <c r="D491" t="inlineStr">
        <is>
          <t>Scotch Contractor Grade Masking Tape, Tan, Tape for General Use, Multi-Surface Adhesive Tape, 1.88 Inches x 60.1 Yards, 3 Rolls</t>
        </is>
      </c>
      <c r="E491" s="1">
        <f>HYPERLINK("https://www.amazon.com/Scotch-Contractor-Grade-Masking-Tape/dp/B008LAQYLA/ref=sr_1_6?keywords=.70%22+x+60+Yds+Tan+Scotch+Contractor+Grade+Masking+Tape&amp;qid=1695348077&amp;sr=8-6", "https://www.amazon.com/Scotch-Contractor-Grade-Masking-Tape/dp/B008LAQYLA/ref=sr_1_6?keywords=.70%22+x+60+Yds+Tan+Scotch+Contractor+Grade+Masking+Tape&amp;qid=1695348077&amp;sr=8-6")</f>
        <v/>
      </c>
      <c r="F491" t="inlineStr">
        <is>
          <t>B008LAQYLA</t>
        </is>
      </c>
      <c r="G491">
        <f>_xlfn.IMAGE("https://www.zoro.com/static/cms/product/full/Paint Sundries Solutions Inc_021200694769.JPG")</f>
        <v/>
      </c>
      <c r="H491">
        <f>_xlfn.IMAGE("https://m.media-amazon.com/images/I/81OvgoIJMvL._AC_UL320_.jpg")</f>
        <v/>
      </c>
      <c r="K491" t="inlineStr">
        <is>
          <t>2.55</t>
        </is>
      </c>
      <c r="L491" t="n">
        <v>15.02</v>
      </c>
      <c r="M491" s="2" t="inlineStr">
        <is>
          <t>489.02%</t>
        </is>
      </c>
      <c r="N491" t="n">
        <v>4.7</v>
      </c>
      <c r="O491" t="n">
        <v>648</v>
      </c>
      <c r="Q491" t="inlineStr">
        <is>
          <t>undefined</t>
        </is>
      </c>
      <c r="R491" t="inlineStr">
        <is>
          <t>undefined</t>
        </is>
      </c>
      <c r="S491" t="inlineStr">
        <is>
          <t>G3273718</t>
        </is>
      </c>
    </row>
    <row r="492" ht="75" customHeight="1">
      <c r="A492" s="1">
        <f>HYPERLINK("https://www.zoro.com/scotch-94-x-60-yds-scotchblue-original-multi-surface-painters-tape-9pk-2090-24ap9/i/G3272850/", "https://www.zoro.com/scotch-94-x-60-yds-scotchblue-original-multi-surface-painters-tape-9pk-2090-24ap9/i/G3272850/")</f>
        <v/>
      </c>
      <c r="B492" s="1">
        <f>HYPERLINK("https://www.zoro.com/scotch-94-x-60-yds-scotchblue-original-multi-surface-painters-tape-9pk-2090-24ap9/i/G3272850/", "https://www.zoro.com/scotch-94-x-60-yds-scotchblue-original-multi-surface-painters-tape-9pk-2090-24ap9/i/G3272850/")</f>
        <v/>
      </c>
      <c r="C492" t="inlineStr">
        <is>
          <t>.94" x 60 Yds ScotchBlue Original Multi-Surface Painter's Tape 9Pk</t>
        </is>
      </c>
      <c r="D492" t="inlineStr">
        <is>
          <t>ScotchBlue Original Multi-Surface Painter's Tape, 0.94 Inches x 60 Yards, 24 Rolls, Blue, Paint Tape Protects Surfaces and Removes Easily, Multi-Surface Painting Tape for Indoor and Outdoor Use</t>
        </is>
      </c>
      <c r="E492" s="1">
        <f>HYPERLINK("https://www.amazon.com/Scotch-Painters-Tape-Multi-Surface-2090-24EC/dp/B087KXVXMW/ref=sr_1_1?keywords=.94%22+x+60+Yds+ScotchBlue+Original+Multi-Surface+Painter%27s+Tape+9Pk&amp;qid=1695347913&amp;sr=8-1", "https://www.amazon.com/Scotch-Painters-Tape-Multi-Surface-2090-24EC/dp/B087KXVXMW/ref=sr_1_1?keywords=.94%22+x+60+Yds+ScotchBlue+Original+Multi-Surface+Painter%27s+Tape+9Pk&amp;qid=1695347913&amp;sr=8-1")</f>
        <v/>
      </c>
      <c r="F492" t="inlineStr">
        <is>
          <t>B087KXVXMW</t>
        </is>
      </c>
      <c r="G492">
        <f>_xlfn.IMAGE("https://www.zoro.com/static/cms/product/full/Paint Sundries Solutions Inc_051115091711.JPG")</f>
        <v/>
      </c>
      <c r="H492">
        <f>_xlfn.IMAGE("https://m.media-amazon.com/images/I/81zaxlJgcOL._AC_UL320_.jpg")</f>
        <v/>
      </c>
      <c r="K492" t="inlineStr">
        <is>
          <t>37.69</t>
        </is>
      </c>
      <c r="L492" t="n">
        <v>77.77</v>
      </c>
      <c r="M492" s="2" t="inlineStr">
        <is>
          <t>106.34%</t>
        </is>
      </c>
      <c r="N492" t="n">
        <v>4.6</v>
      </c>
      <c r="O492" t="n">
        <v>56</v>
      </c>
      <c r="Q492" t="inlineStr">
        <is>
          <t>InStock</t>
        </is>
      </c>
      <c r="R492" t="inlineStr">
        <is>
          <t>undefined</t>
        </is>
      </c>
      <c r="S492" t="inlineStr">
        <is>
          <t>G3272850</t>
        </is>
      </c>
    </row>
    <row r="493" ht="75" customHeight="1">
      <c r="A493" s="1">
        <f>HYPERLINK("https://www.zoro.com/scotch-94-x-60-yds-scotchblue-original-multi-surface-painters-tape-9pk-2090-24ap9/i/G3272850/", "https://www.zoro.com/scotch-94-x-60-yds-scotchblue-original-multi-surface-painters-tape-9pk-2090-24ap9/i/G3272850/")</f>
        <v/>
      </c>
      <c r="B493" s="1">
        <f>HYPERLINK("https://www.zoro.com/scotch-94-x-60-yds-scotchblue-original-multi-surface-painters-tape-9pk-2090-24ap9/i/G3272850/", "https://www.zoro.com/scotch-94-x-60-yds-scotchblue-original-multi-surface-painters-tape-9pk-2090-24ap9/i/G3272850/")</f>
        <v/>
      </c>
      <c r="C493" t="inlineStr">
        <is>
          <t>.94" x 60 Yds ScotchBlue Original Multi-Surface Painter's Tape 9Pk</t>
        </is>
      </c>
      <c r="D493" t="inlineStr">
        <is>
          <t>ScotchBlue Original Multi-Surface Painter's Tape, 1.88 Inches x 60 Yards, 12 Rolls, Blue, Paint Tape Protects Surfaces and Removes Easily, Multi-Surface Painting Tape for Indoor and Outdoor Use</t>
        </is>
      </c>
      <c r="E493" s="1">
        <f>HYPERLINK("https://www.amazon.com/Scotch-Painters-Tape-2090-48EC-Width/dp/B01IOQVTQA/ref=sr_1_6?keywords=.94%22+x+60+Yds+ScotchBlue+Original+Multi-Surface+Painter%27s+Tape+9Pk&amp;qid=1695347913&amp;sr=8-6", "https://www.amazon.com/Scotch-Painters-Tape-2090-48EC-Width/dp/B01IOQVTQA/ref=sr_1_6?keywords=.94%22+x+60+Yds+ScotchBlue+Original+Multi-Surface+Painter%27s+Tape+9Pk&amp;qid=1695347913&amp;sr=8-6")</f>
        <v/>
      </c>
      <c r="F493" t="inlineStr">
        <is>
          <t>B01IOQVTQA</t>
        </is>
      </c>
      <c r="G493">
        <f>_xlfn.IMAGE("https://www.zoro.com/static/cms/product/full/Paint Sundries Solutions Inc_051115091711.JPG")</f>
        <v/>
      </c>
      <c r="H493">
        <f>_xlfn.IMAGE("https://m.media-amazon.com/images/I/81oDj9XylrL._AC_UL320_.jpg")</f>
        <v/>
      </c>
      <c r="K493" t="inlineStr">
        <is>
          <t>37.69</t>
        </is>
      </c>
      <c r="L493" t="n">
        <v>67.97</v>
      </c>
      <c r="M493" s="2" t="inlineStr">
        <is>
          <t>80.34%</t>
        </is>
      </c>
      <c r="N493" t="n">
        <v>4.7</v>
      </c>
      <c r="O493" t="n">
        <v>144</v>
      </c>
      <c r="Q493" t="inlineStr">
        <is>
          <t>InStock</t>
        </is>
      </c>
      <c r="R493" t="inlineStr">
        <is>
          <t>undefined</t>
        </is>
      </c>
      <c r="S493" t="inlineStr">
        <is>
          <t>G3272850</t>
        </is>
      </c>
    </row>
    <row r="494" ht="75" customHeight="1">
      <c r="A494" s="1">
        <f>HYPERLINK("https://www.zoro.com/scotch-94-x-60-yds-tan-scotch-contractor-grade-masking-tape-2020-24ap/i/G3272835/", "https://www.zoro.com/scotch-94-x-60-yds-tan-scotch-contractor-grade-masking-tape-2020-24ap/i/G3272835/")</f>
        <v/>
      </c>
      <c r="B494" s="1">
        <f>HYPERLINK("https://www.zoro.com/scotch-94-x-60-yds-tan-scotch-contractor-grade-masking-tape-2020-24ap/i/G3272835/", "https://www.zoro.com/scotch-94-x-60-yds-tan-scotch-contractor-grade-masking-tape-2020-24ap/i/G3272835/")</f>
        <v/>
      </c>
      <c r="C494" t="inlineStr">
        <is>
          <t>.94" x 60 Yds Tan Scotch Contractor Grade Masking Tape</t>
        </is>
      </c>
      <c r="D494" t="inlineStr">
        <is>
          <t>Scotch Contractor Grade Masking Tape, Tan, Tape for General Use, Multi-Surface Adhesive Tape, 0.94 Inches x 60.1 Yards, 9 Rolls</t>
        </is>
      </c>
      <c r="E494" s="1">
        <f>HYPERLINK("https://www.amazon.com/Scotch-Contractor-Masking-Tape-inches/dp/B00125V10U/ref=sr_1_4?keywords=.94%22+x+60+Yds+Tan+Scotch+Contractor+Grade+Masking+Tape&amp;qid=1695347947&amp;sr=8-4", "https://www.amazon.com/Scotch-Contractor-Masking-Tape-inches/dp/B00125V10U/ref=sr_1_4?keywords=.94%22+x+60+Yds+Tan+Scotch+Contractor+Grade+Masking+Tape&amp;qid=1695347947&amp;sr=8-4")</f>
        <v/>
      </c>
      <c r="F494" t="inlineStr">
        <is>
          <t>B00125V10U</t>
        </is>
      </c>
      <c r="G494">
        <f>_xlfn.IMAGE("https://www.zoro.com/static/cms/product/full/Paint Sundries Solutions Inc_021200711060.JPG")</f>
        <v/>
      </c>
      <c r="H494">
        <f>_xlfn.IMAGE("https://m.media-amazon.com/images/I/71XpgseDv+L._AC_UL320_.jpg")</f>
        <v/>
      </c>
      <c r="K494" t="inlineStr">
        <is>
          <t>2.49</t>
        </is>
      </c>
      <c r="L494" t="n">
        <v>19.98</v>
      </c>
      <c r="M494" s="2" t="inlineStr">
        <is>
          <t>702.41%</t>
        </is>
      </c>
      <c r="N494" t="n">
        <v>4.7</v>
      </c>
      <c r="O494" t="n">
        <v>905</v>
      </c>
      <c r="Q494" t="inlineStr">
        <is>
          <t>InStock</t>
        </is>
      </c>
      <c r="R494" t="inlineStr">
        <is>
          <t>undefined</t>
        </is>
      </c>
      <c r="S494" t="inlineStr">
        <is>
          <t>G3272835</t>
        </is>
      </c>
    </row>
    <row r="495" ht="75" customHeight="1">
      <c r="A495" s="1">
        <f>HYPERLINK("https://www.zoro.com/scotch-94-x-60-yds-tan-scotch-contractor-grade-masking-tape-2020-24ap/i/G3272835/", "https://www.zoro.com/scotch-94-x-60-yds-tan-scotch-contractor-grade-masking-tape-2020-24ap/i/G3272835/")</f>
        <v/>
      </c>
      <c r="B495" s="1">
        <f>HYPERLINK("https://www.zoro.com/scotch-94-x-60-yds-tan-scotch-contractor-grade-masking-tape-2020-24ap/i/G3272835/", "https://www.zoro.com/scotch-94-x-60-yds-tan-scotch-contractor-grade-masking-tape-2020-24ap/i/G3272835/")</f>
        <v/>
      </c>
      <c r="C495" t="inlineStr">
        <is>
          <t>.94" x 60 Yds Tan Scotch Contractor Grade Masking Tape</t>
        </is>
      </c>
      <c r="D495" t="inlineStr">
        <is>
          <t>Scotch Painter's Tape Contractor Grade Masking Tan, Tape for General Use, Multi-Surface Adhesive Tape, 1.41 Inches x 60.1 Yards, 6 Rolls</t>
        </is>
      </c>
      <c r="E495" s="1">
        <f>HYPERLINK("https://www.amazon.com/Scotch-Contractor-Grade-Masking-Tape/dp/B00125NR8E/ref=sr_1_7?keywords=.94%22+x+60+Yds+Tan+Scotch+Contractor+Grade+Masking+Tape&amp;qid=1695347947&amp;sr=8-7", "https://www.amazon.com/Scotch-Contractor-Grade-Masking-Tape/dp/B00125NR8E/ref=sr_1_7?keywords=.94%22+x+60+Yds+Tan+Scotch+Contractor+Grade+Masking+Tape&amp;qid=1695347947&amp;sr=8-7")</f>
        <v/>
      </c>
      <c r="F495" t="inlineStr">
        <is>
          <t>B00125NR8E</t>
        </is>
      </c>
      <c r="G495">
        <f>_xlfn.IMAGE("https://www.zoro.com/static/cms/product/full/Paint Sundries Solutions Inc_021200711060.JPG")</f>
        <v/>
      </c>
      <c r="H495">
        <f>_xlfn.IMAGE("https://m.media-amazon.com/images/I/71MYXD-OTpL._AC_UL320_.jpg")</f>
        <v/>
      </c>
      <c r="K495" t="inlineStr">
        <is>
          <t>2.49</t>
        </is>
      </c>
      <c r="L495" t="n">
        <v>17.75</v>
      </c>
      <c r="M495" s="2" t="inlineStr">
        <is>
          <t>612.85%</t>
        </is>
      </c>
      <c r="N495" t="n">
        <v>4.6</v>
      </c>
      <c r="O495" t="n">
        <v>366</v>
      </c>
      <c r="Q495" t="inlineStr">
        <is>
          <t>InStock</t>
        </is>
      </c>
      <c r="R495" t="inlineStr">
        <is>
          <t>undefined</t>
        </is>
      </c>
      <c r="S495" t="inlineStr">
        <is>
          <t>G3272835</t>
        </is>
      </c>
    </row>
    <row r="496" ht="75" customHeight="1">
      <c r="A496" s="1">
        <f>HYPERLINK("https://www.zoro.com/scotch-94-x-60-yds-tan-scotch-contractor-grade-masking-tape-2020-24ap/i/G3272835/", "https://www.zoro.com/scotch-94-x-60-yds-tan-scotch-contractor-grade-masking-tape-2020-24ap/i/G3272835/")</f>
        <v/>
      </c>
      <c r="B496" s="1">
        <f>HYPERLINK("https://www.zoro.com/scotch-94-x-60-yds-tan-scotch-contractor-grade-masking-tape-2020-24ap/i/G3272835/", "https://www.zoro.com/scotch-94-x-60-yds-tan-scotch-contractor-grade-masking-tape-2020-24ap/i/G3272835/")</f>
        <v/>
      </c>
      <c r="C496" t="inlineStr">
        <is>
          <t>.94" x 60 Yds Tan Scotch Contractor Grade Masking Tape</t>
        </is>
      </c>
      <c r="D496" t="inlineStr">
        <is>
          <t>Scotch Contractor Grade Masking Tape, Tan, Tape for General Use, Multi-Surface Adhesive Tape, 1.88 Inches x 60.1 Yards, 3 Rolls</t>
        </is>
      </c>
      <c r="E496" s="1">
        <f>HYPERLINK("https://www.amazon.com/Scotch-Contractor-Grade-Masking-Tape/dp/B008LAQYLA/ref=sr_1_10?keywords=.94%22+x+60+Yds+Tan+Scotch+Contractor+Grade+Masking+Tape&amp;qid=1695347947&amp;sr=8-10", "https://www.amazon.com/Scotch-Contractor-Grade-Masking-Tape/dp/B008LAQYLA/ref=sr_1_10?keywords=.94%22+x+60+Yds+Tan+Scotch+Contractor+Grade+Masking+Tape&amp;qid=1695347947&amp;sr=8-10")</f>
        <v/>
      </c>
      <c r="F496" t="inlineStr">
        <is>
          <t>B008LAQYLA</t>
        </is>
      </c>
      <c r="G496">
        <f>_xlfn.IMAGE("https://www.zoro.com/static/cms/product/full/Paint Sundries Solutions Inc_021200711060.JPG")</f>
        <v/>
      </c>
      <c r="H496">
        <f>_xlfn.IMAGE("https://m.media-amazon.com/images/I/81OvgoIJMvL._AC_UL320_.jpg")</f>
        <v/>
      </c>
      <c r="K496" t="inlineStr">
        <is>
          <t>2.49</t>
        </is>
      </c>
      <c r="L496" t="n">
        <v>15.02</v>
      </c>
      <c r="M496" s="2" t="inlineStr">
        <is>
          <t>503.21%</t>
        </is>
      </c>
      <c r="N496" t="n">
        <v>4.7</v>
      </c>
      <c r="O496" t="n">
        <v>648</v>
      </c>
      <c r="Q496" t="inlineStr">
        <is>
          <t>InStock</t>
        </is>
      </c>
      <c r="R496" t="inlineStr">
        <is>
          <t>undefined</t>
        </is>
      </c>
      <c r="S496" t="inlineStr">
        <is>
          <t>G3272835</t>
        </is>
      </c>
    </row>
    <row r="497" ht="75" customHeight="1">
      <c r="A497" s="1">
        <f>HYPERLINK("https://www.zoro.com/scotch-general-purpose-masking-tape-234-12mm-x-234/i/G9752664/", "https://www.zoro.com/scotch-general-purpose-masking-tape-234-12mm-x-234/i/G9752664/")</f>
        <v/>
      </c>
      <c r="B497" s="1">
        <f>HYPERLINK("https://www.zoro.com/scotch-general-purpose-masking-tape-234-12mm-x-234/i/G9752664/", "https://www.zoro.com/scotch-general-purpose-masking-tape-234-12mm-x-234/i/G9752664/")</f>
        <v/>
      </c>
      <c r="C497" t="inlineStr">
        <is>
          <t>General Purpose Masking Tape 234, 12mm x</t>
        </is>
      </c>
      <c r="D497" t="inlineStr">
        <is>
          <t>Scotch General-Purpose Masking Tape, 2 Inches x 60 Yards, 3-Inch Core, Natural (234-2)</t>
        </is>
      </c>
      <c r="E497" s="1">
        <f>HYPERLINK("https://www.amazon.com/Scotch-General-Purpose-Masking-Natural-234-2/dp/B00006IF6Q/ref=sr_1_2?keywords=General+Purpose+Masking+Tape+234%2C+12mm+x&amp;qid=1695347967&amp;sr=8-2", "https://www.amazon.com/Scotch-General-Purpose-Masking-Natural-234-2/dp/B00006IF6Q/ref=sr_1_2?keywords=General+Purpose+Masking+Tape+234%2C+12mm+x&amp;qid=1695347967&amp;sr=8-2")</f>
        <v/>
      </c>
      <c r="F497" t="inlineStr">
        <is>
          <t>B00006IF6Q</t>
        </is>
      </c>
      <c r="G497">
        <f>_xlfn.IMAGE("https://www.zoro.com/static/cms/product/full/Essendant Inc_MMM23412xx01xxe2d4f4.jpeg")</f>
        <v/>
      </c>
      <c r="H497">
        <f>_xlfn.IMAGE("https://m.media-amazon.com/images/I/51i3vXLNTkL._AC_UL320_.jpg")</f>
        <v/>
      </c>
      <c r="K497" t="inlineStr">
        <is>
          <t>9.55</t>
        </is>
      </c>
      <c r="L497" t="n">
        <v>19.87</v>
      </c>
      <c r="M497" s="2" t="inlineStr">
        <is>
          <t>108.06%</t>
        </is>
      </c>
      <c r="N497" t="n">
        <v>4.2</v>
      </c>
      <c r="O497" t="n">
        <v>28</v>
      </c>
      <c r="Q497" t="inlineStr">
        <is>
          <t>InStock</t>
        </is>
      </c>
      <c r="R497" t="inlineStr">
        <is>
          <t>undefined</t>
        </is>
      </c>
      <c r="S497" t="inlineStr">
        <is>
          <t>G9752664</t>
        </is>
      </c>
    </row>
    <row r="498" ht="75" customHeight="1">
      <c r="A498" s="1">
        <f>HYPERLINK("https://www.zoro.com/scotch-painters-tape-blue-60yd-2093-36nc/i/G801250809/", "https://www.zoro.com/scotch-painters-tape-blue-60yd-2093-36nc/i/G801250809/")</f>
        <v/>
      </c>
      <c r="B498" s="1">
        <f>HYPERLINK("https://www.zoro.com/scotch-painters-tape-blue-60yd-2093-36nc/i/G801250809/", "https://www.zoro.com/scotch-painters-tape-blue-60yd-2093-36nc/i/G801250809/")</f>
        <v/>
      </c>
      <c r="C498" t="inlineStr">
        <is>
          <t>PAINTER'S TAPE BLUE 60YD</t>
        </is>
      </c>
      <c r="D498" t="inlineStr">
        <is>
          <t>ScotchBlue Original Multi-Surface Painter's Tape, 1.88 Inches x 60 Yards, 12 Rolls, Blue, Paint Tape Protects Surfaces and Removes Easily, Multi-Surface Painting Tape for Indoor and Outdoor Use</t>
        </is>
      </c>
      <c r="E498" s="1">
        <f>HYPERLINK("https://www.amazon.com/Scotch-Painters-Tape-2090-48EC-Width/dp/B01IOQVTQA/ref=sr_1_4?keywords=PAINTER%27S+TAPE+BLUE+60YD&amp;qid=1695348058&amp;sr=8-4", "https://www.amazon.com/Scotch-Painters-Tape-2090-48EC-Width/dp/B01IOQVTQA/ref=sr_1_4?keywords=PAINTER%27S+TAPE+BLUE+60YD&amp;qid=1695348058&amp;sr=8-4")</f>
        <v/>
      </c>
      <c r="F498" t="inlineStr">
        <is>
          <t>B01IOQVTQA</t>
        </is>
      </c>
      <c r="G498">
        <f>_xlfn.IMAGE("https://www.zoro.com/static/cms/product/full/Emery Jensen Distribution LLC_1425396xxA.epsxxHigh.jpg")</f>
        <v/>
      </c>
      <c r="H498">
        <f>_xlfn.IMAGE("https://m.media-amazon.com/images/I/81oDj9XylrL._AC_UL320_.jpg")</f>
        <v/>
      </c>
      <c r="K498" t="inlineStr">
        <is>
          <t>13.99</t>
        </is>
      </c>
      <c r="L498" t="n">
        <v>67.97</v>
      </c>
      <c r="M498" s="2" t="inlineStr">
        <is>
          <t>385.85%</t>
        </is>
      </c>
      <c r="N498" t="n">
        <v>4.7</v>
      </c>
      <c r="O498" t="n">
        <v>144</v>
      </c>
      <c r="Q498" t="inlineStr">
        <is>
          <t>InStock</t>
        </is>
      </c>
      <c r="R498" t="inlineStr">
        <is>
          <t>undefined</t>
        </is>
      </c>
      <c r="S498" t="inlineStr">
        <is>
          <t>G801250809</t>
        </is>
      </c>
    </row>
    <row r="499" ht="75" customHeight="1">
      <c r="A499" s="1">
        <f>HYPERLINK("https://www.zoro.com/scotch-painters-tape-blue-60yd-2093-36nc/i/G801250809/", "https://www.zoro.com/scotch-painters-tape-blue-60yd-2093-36nc/i/G801250809/")</f>
        <v/>
      </c>
      <c r="B499" s="1">
        <f>HYPERLINK("https://www.zoro.com/scotch-painters-tape-blue-60yd-2093-36nc/i/G801250809/", "https://www.zoro.com/scotch-painters-tape-blue-60yd-2093-36nc/i/G801250809/")</f>
        <v/>
      </c>
      <c r="C499" t="inlineStr">
        <is>
          <t>PAINTER'S TAPE BLUE 60YD</t>
        </is>
      </c>
      <c r="D499" t="inlineStr">
        <is>
          <t>ScotchBlue Original Multi-Surface Painter's Tape, 0.94 Inches x 60 Yards, 12 Rolls, Blue, Paint Tape Protects Surfaces and Removes Easily, Multi-Surface Painting Tape for Indoor and Outdoor Use</t>
        </is>
      </c>
      <c r="E499" s="1">
        <f>HYPERLINK("https://www.amazon.com/ScotchBlue-Original-MultiSurface-Painters-Tape/dp/B08WBYR3Z7/ref=sr_1_8?keywords=PAINTER%27S+TAPE+BLUE+60YD&amp;qid=1695348058&amp;sr=8-8", "https://www.amazon.com/ScotchBlue-Original-MultiSurface-Painters-Tape/dp/B08WBYR3Z7/ref=sr_1_8?keywords=PAINTER%27S+TAPE+BLUE+60YD&amp;qid=1695348058&amp;sr=8-8")</f>
        <v/>
      </c>
      <c r="F499" t="inlineStr">
        <is>
          <t>B08WBYR3Z7</t>
        </is>
      </c>
      <c r="G499">
        <f>_xlfn.IMAGE("https://www.zoro.com/static/cms/product/full/Emery Jensen Distribution LLC_1425396xxA.epsxxHigh.jpg")</f>
        <v/>
      </c>
      <c r="H499">
        <f>_xlfn.IMAGE("https://m.media-amazon.com/images/I/71e5ABZFoeL._AC_UL320_.jpg")</f>
        <v/>
      </c>
      <c r="K499" t="inlineStr">
        <is>
          <t>13.99</t>
        </is>
      </c>
      <c r="L499" t="n">
        <v>41.99</v>
      </c>
      <c r="M499" s="2" t="inlineStr">
        <is>
          <t>200.14%</t>
        </is>
      </c>
      <c r="N499" t="n">
        <v>4.7</v>
      </c>
      <c r="O499" t="n">
        <v>32</v>
      </c>
      <c r="Q499" t="inlineStr">
        <is>
          <t>InStock</t>
        </is>
      </c>
      <c r="R499" t="inlineStr">
        <is>
          <t>undefined</t>
        </is>
      </c>
      <c r="S499" t="inlineStr">
        <is>
          <t>G801250809</t>
        </is>
      </c>
    </row>
    <row r="500" ht="75" customHeight="1">
      <c r="A500" s="1">
        <f>HYPERLINK("https://www.zoro.com/scotch-painters-tape-blue-60yd-2093-36nc/i/G801250809/", "https://www.zoro.com/scotch-painters-tape-blue-60yd-2093-36nc/i/G801250809/")</f>
        <v/>
      </c>
      <c r="B500" s="1">
        <f>HYPERLINK("https://www.zoro.com/scotch-painters-tape-blue-60yd-2093-36nc/i/G801250809/", "https://www.zoro.com/scotch-painters-tape-blue-60yd-2093-36nc/i/G801250809/")</f>
        <v/>
      </c>
      <c r="C500" t="inlineStr">
        <is>
          <t>PAINTER'S TAPE BLUE 60YD</t>
        </is>
      </c>
      <c r="D500" t="inlineStr">
        <is>
          <t>Scotch Painter's Tape Original Multi-Surface Painter's Tape, 1.88 Inches x 60 Yards, 6 Rolls, Blue, Paint Tape Protects Surfaces and Removes Easily, Multi-Surface Painting Tape for Indoor and Outdoor Use</t>
        </is>
      </c>
      <c r="E500" s="1">
        <f>HYPERLINK("https://www.amazon.com/Scotch-Painters-Original-Multi-Surface-inches/dp/B000A3DQGW/ref=sr_1_1?keywords=PAINTER%27S+TAPE+BLUE+60YD&amp;qid=1695348058&amp;sr=8-1", "https://www.amazon.com/Scotch-Painters-Original-Multi-Surface-inches/dp/B000A3DQGW/ref=sr_1_1?keywords=PAINTER%27S+TAPE+BLUE+60YD&amp;qid=1695348058&amp;sr=8-1")</f>
        <v/>
      </c>
      <c r="F500" t="inlineStr">
        <is>
          <t>B000A3DQGW</t>
        </is>
      </c>
      <c r="G500">
        <f>_xlfn.IMAGE("https://www.zoro.com/static/cms/product/full/Emery Jensen Distribution LLC_1425396xxA.epsxxHigh.jpg")</f>
        <v/>
      </c>
      <c r="H500">
        <f>_xlfn.IMAGE("https://m.media-amazon.com/images/I/71UV3vx5lsL._AC_UL320_.jpg")</f>
        <v/>
      </c>
      <c r="K500" t="inlineStr">
        <is>
          <t>13.99</t>
        </is>
      </c>
      <c r="L500" t="n">
        <v>39.39</v>
      </c>
      <c r="M500" s="2" t="inlineStr">
        <is>
          <t>181.56%</t>
        </is>
      </c>
      <c r="N500" t="n">
        <v>4.8</v>
      </c>
      <c r="O500" t="n">
        <v>2480</v>
      </c>
      <c r="Q500" t="inlineStr">
        <is>
          <t>InStock</t>
        </is>
      </c>
      <c r="R500" t="inlineStr">
        <is>
          <t>undefined</t>
        </is>
      </c>
      <c r="S500" t="inlineStr">
        <is>
          <t>G801250809</t>
        </is>
      </c>
    </row>
    <row r="501" ht="75" customHeight="1">
      <c r="A501" s="1">
        <f>HYPERLINK("https://www.zoro.com/scotch-painters-tape-blue-60yd-2093-36nc/i/G801250809/", "https://www.zoro.com/scotch-painters-tape-blue-60yd-2093-36nc/i/G801250809/")</f>
        <v/>
      </c>
      <c r="B501" s="1">
        <f>HYPERLINK("https://www.zoro.com/scotch-painters-tape-blue-60yd-2093-36nc/i/G801250809/", "https://www.zoro.com/scotch-painters-tape-blue-60yd-2093-36nc/i/G801250809/")</f>
        <v/>
      </c>
      <c r="C501" t="inlineStr">
        <is>
          <t>PAINTER'S TAPE BLUE 60YD</t>
        </is>
      </c>
      <c r="D501" t="inlineStr">
        <is>
          <t>Scotch Painter's Tape 1.41 inches Original Multi-Surface Painter's Tape, x 60 yards (360 yards total), 2090, 6 Rolls, Blue, 6 Foot</t>
        </is>
      </c>
      <c r="E501" s="1">
        <f>HYPERLINK("https://www.amazon.com/Scotch-Painters-Tape-9000-6270-Multi-Surface/dp/B00125PS5Y/ref=sr_1_10?keywords=PAINTER%27S+TAPE+BLUE+60YD&amp;qid=1695348058&amp;sr=8-10", "https://www.amazon.com/Scotch-Painters-Tape-9000-6270-Multi-Surface/dp/B00125PS5Y/ref=sr_1_10?keywords=PAINTER%27S+TAPE+BLUE+60YD&amp;qid=1695348058&amp;sr=8-10")</f>
        <v/>
      </c>
      <c r="F501" t="inlineStr">
        <is>
          <t>B00125PS5Y</t>
        </is>
      </c>
      <c r="G501">
        <f>_xlfn.IMAGE("https://www.zoro.com/static/cms/product/full/Emery Jensen Distribution LLC_1425396xxA.epsxxHigh.jpg")</f>
        <v/>
      </c>
      <c r="H501">
        <f>_xlfn.IMAGE("https://m.media-amazon.com/images/I/71Mly86kcZL._AC_UL320_.jpg")</f>
        <v/>
      </c>
      <c r="K501" t="inlineStr">
        <is>
          <t>13.99</t>
        </is>
      </c>
      <c r="L501" t="n">
        <v>34.98</v>
      </c>
      <c r="M501" s="2" t="inlineStr">
        <is>
          <t>150.04%</t>
        </is>
      </c>
      <c r="N501" t="n">
        <v>4.7</v>
      </c>
      <c r="O501" t="n">
        <v>1903</v>
      </c>
      <c r="Q501" t="inlineStr">
        <is>
          <t>InStock</t>
        </is>
      </c>
      <c r="R501" t="inlineStr">
        <is>
          <t>undefined</t>
        </is>
      </c>
      <c r="S501" t="inlineStr">
        <is>
          <t>G801250809</t>
        </is>
      </c>
    </row>
    <row r="502" ht="75" customHeight="1">
      <c r="A502" s="1">
        <f>HYPERLINK("https://www.zoro.com/scotch-painters-tape-blue-60yd-2093-36nc/i/G801250809/", "https://www.zoro.com/scotch-painters-tape-blue-60yd-2093-36nc/i/G801250809/")</f>
        <v/>
      </c>
      <c r="B502" s="1">
        <f>HYPERLINK("https://www.zoro.com/scotch-painters-tape-blue-60yd-2093-36nc/i/G801250809/", "https://www.zoro.com/scotch-painters-tape-blue-60yd-2093-36nc/i/G801250809/")</f>
        <v/>
      </c>
      <c r="C502" t="inlineStr">
        <is>
          <t>PAINTER'S TAPE BLUE 60YD</t>
        </is>
      </c>
      <c r="D502" t="inlineStr">
        <is>
          <t>Scotch Painter's Tape Original Multi-Surface Painter's Tape, 0.94 Inches x 60 Yards, 9 Rolls, Blue, Paint Tape Protects Surfaces and Removes Easily, Multi-Surface Painting Tape for Indoor and Outdoor Use</t>
        </is>
      </c>
      <c r="E502" s="1">
        <f>HYPERLINK("https://www.amazon.com/ScotchBlue-Painters-Multi-Use-94-Inch-60-Yards/dp/B00125RS9I/ref=sr_1_3?keywords=PAINTER%27S+TAPE+BLUE+60YD&amp;qid=1695348058&amp;sr=8-3", "https://www.amazon.com/ScotchBlue-Painters-Multi-Use-94-Inch-60-Yards/dp/B00125RS9I/ref=sr_1_3?keywords=PAINTER%27S+TAPE+BLUE+60YD&amp;qid=1695348058&amp;sr=8-3")</f>
        <v/>
      </c>
      <c r="F502" t="inlineStr">
        <is>
          <t>B00125RS9I</t>
        </is>
      </c>
      <c r="G502">
        <f>_xlfn.IMAGE("https://www.zoro.com/static/cms/product/full/Emery Jensen Distribution LLC_1425396xxA.epsxxHigh.jpg")</f>
        <v/>
      </c>
      <c r="H502">
        <f>_xlfn.IMAGE("https://m.media-amazon.com/images/I/71jG6lSxUML._AC_UL320_.jpg")</f>
        <v/>
      </c>
      <c r="K502" t="inlineStr">
        <is>
          <t>13.99</t>
        </is>
      </c>
      <c r="L502" t="n">
        <v>29.15</v>
      </c>
      <c r="M502" s="2" t="inlineStr">
        <is>
          <t>108.36%</t>
        </is>
      </c>
      <c r="N502" t="n">
        <v>4.8</v>
      </c>
      <c r="O502" t="n">
        <v>667</v>
      </c>
      <c r="Q502" t="inlineStr">
        <is>
          <t>InStock</t>
        </is>
      </c>
      <c r="R502" t="inlineStr">
        <is>
          <t>undefined</t>
        </is>
      </c>
      <c r="S502" t="inlineStr">
        <is>
          <t>G801250809</t>
        </is>
      </c>
    </row>
    <row r="503" ht="75" customHeight="1">
      <c r="A503" s="1">
        <f>HYPERLINK("https://www.zoro.com/scotch-tape-applicator-141-in-max-tape-w-ta3-sb/i/G207819518/", "https://www.zoro.com/scotch-tape-applicator-141-in-max-tape-w-ta3-sb/i/G207819518/")</f>
        <v/>
      </c>
      <c r="B503" s="1">
        <f>HYPERLINK("https://www.zoro.com/scotch-tape-applicator-141-in-max-tape-w-ta3-sb/i/G207819518/", "https://www.zoro.com/scotch-tape-applicator-141-in-max-tape-w-ta3-sb/i/G207819518/")</f>
        <v/>
      </c>
      <c r="C503" t="inlineStr">
        <is>
          <t>Tape Applicator, 141 in Max Tape W</t>
        </is>
      </c>
      <c r="D503" t="inlineStr">
        <is>
          <t>Vestil TPA-10 Steel Economy Floor Tape Applicator, 6"-1/2" Maximum Roll Diameter, 1"- 4" Tape Width</t>
        </is>
      </c>
      <c r="E503" s="1">
        <f>HYPERLINK("https://www.amazon.com/Vestil-TPA-10-Economy-Applicator-Diameter/dp/B0027Y94FE/ref=sr_1_4?keywords=Tape+Applicator%2C+141+in+Max+Tape+W&amp;qid=1695348242&amp;sr=8-4", "https://www.amazon.com/Vestil-TPA-10-Economy-Applicator-Diameter/dp/B0027Y94FE/ref=sr_1_4?keywords=Tape+Applicator%2C+141+in+Max+Tape+W&amp;qid=1695348242&amp;sr=8-4")</f>
        <v/>
      </c>
      <c r="F503" t="inlineStr">
        <is>
          <t>B0027Y94FE</t>
        </is>
      </c>
      <c r="G503">
        <f>_xlfn.IMAGE("https://www.zoro.com/static/cms/product/full/Wrigglesworth Enterprises Inc_1672591xxOGxxa5d86d.jpeg")</f>
        <v/>
      </c>
      <c r="H503">
        <f>_xlfn.IMAGE("https://m.media-amazon.com/images/I/61VJAv4Y2YL._AC_UL320_.jpg")</f>
        <v/>
      </c>
      <c r="K503" t="inlineStr">
        <is>
          <t>17.19</t>
        </is>
      </c>
      <c r="L503" t="n">
        <v>108.98</v>
      </c>
      <c r="M503" s="2" t="inlineStr">
        <is>
          <t>533.97%</t>
        </is>
      </c>
      <c r="N503" t="n">
        <v>4</v>
      </c>
      <c r="O503" t="n">
        <v>20</v>
      </c>
      <c r="Q503" t="inlineStr">
        <is>
          <t>InStock</t>
        </is>
      </c>
      <c r="R503" t="inlineStr">
        <is>
          <t>undefined</t>
        </is>
      </c>
      <c r="S503" t="inlineStr">
        <is>
          <t>G207819518</t>
        </is>
      </c>
    </row>
    <row r="504" ht="75" customHeight="1">
      <c r="A504" s="1">
        <f>HYPERLINK("https://www.zoro.com/shurtape-masking-tape-18mm-w-x-55m-l-blue-cp-027/i/G4014160/", "https://www.zoro.com/shurtape-masking-tape-18mm-w-x-55m-l-blue-cp-027/i/G4014160/")</f>
        <v/>
      </c>
      <c r="B504" s="1">
        <f>HYPERLINK("https://www.zoro.com/shurtape-masking-tape-18mm-w-x-55m-l-blue-cp-027/i/G4014160/", "https://www.zoro.com/shurtape-masking-tape-18mm-w-x-55m-l-blue-cp-027/i/G4014160/")</f>
        <v/>
      </c>
      <c r="C504" t="inlineStr">
        <is>
          <t>Masking Tape, 18mm W x 55m L, Blue</t>
        </is>
      </c>
      <c r="D504" t="inlineStr">
        <is>
          <t>Long Mask Blue Masking Tape, 18mm x 55m</t>
        </is>
      </c>
      <c r="E504" s="1">
        <f>HYPERLINK("https://www.amazon.com/Scotch-Blue-Painters-Masking-2090-75A-MMM209075A/dp/B01JBGN8Q6/ref=sr_1_1?keywords=Masking+Tape%2C+18mm+W+x+55m+L%2C+Blue&amp;qid=1695348006&amp;sr=8-1", "https://www.amazon.com/Scotch-Blue-Painters-Masking-2090-75A-MMM209075A/dp/B01JBGN8Q6/ref=sr_1_1?keywords=Masking+Tape%2C+18mm+W+x+55m+L%2C+Blue&amp;qid=1695348006&amp;sr=8-1")</f>
        <v/>
      </c>
      <c r="F504" t="inlineStr">
        <is>
          <t>B01JBGN8Q6</t>
        </is>
      </c>
      <c r="G504">
        <f>_xlfn.IMAGE("https://www.zoro.com/static/cms/product/full/Z1wOF-ncpEx1.JPG")</f>
        <v/>
      </c>
      <c r="H504">
        <f>_xlfn.IMAGE("https://m.media-amazon.com/images/I/71n1HiVhOUL._AC_UL320_.jpg")</f>
        <v/>
      </c>
      <c r="K504" t="inlineStr">
        <is>
          <t>4.95</t>
        </is>
      </c>
      <c r="L504" t="n">
        <v>49.22</v>
      </c>
      <c r="M504" s="2" t="inlineStr">
        <is>
          <t>894.34%</t>
        </is>
      </c>
      <c r="N504" t="n">
        <v>5</v>
      </c>
      <c r="O504" t="n">
        <v>4</v>
      </c>
      <c r="Q504" t="inlineStr">
        <is>
          <t>InStock</t>
        </is>
      </c>
      <c r="R504" t="inlineStr">
        <is>
          <t>5.49</t>
        </is>
      </c>
      <c r="S504" t="inlineStr">
        <is>
          <t>G4014160</t>
        </is>
      </c>
    </row>
    <row r="505" ht="75" customHeight="1">
      <c r="A505" s="1">
        <f>HYPERLINK("https://www.zoro.com/shurtape-masking-tape-201988-2-in-x-60-yards-cp101x200/i/G307040959/", "https://www.zoro.com/shurtape-masking-tape-201988-2-in-x-60-yards-cp101x200/i/G307040959/")</f>
        <v/>
      </c>
      <c r="B505" s="1">
        <f>HYPERLINK("https://www.zoro.com/shurtape-masking-tape-201988-2-in-x-60-yards-cp101x200/i/G307040959/", "https://www.zoro.com/shurtape-masking-tape-201988-2-in-x-60-yards-cp101x200/i/G307040959/")</f>
        <v/>
      </c>
      <c r="C505" t="inlineStr">
        <is>
          <t>Masking Tape 201988 2 in x 60 yards</t>
        </is>
      </c>
      <c r="D505" t="inlineStr">
        <is>
          <t>JAK Industrial 6 Rolls - 2 Inch Masking Tape for General Purpose/Painting - 60 Yards per roll</t>
        </is>
      </c>
      <c r="E505" s="1">
        <f>HYPERLINK("https://www.amazon.com/ROLLS-Masking-General-Purpose-Painting/dp/B075FTTQ8X/ref=sr_1_7?keywords=Masking+Tape+201988+2+in+x+60+yards&amp;qid=1695348038&amp;sr=8-7", "https://www.amazon.com/ROLLS-Masking-General-Purpose-Painting/dp/B075FTTQ8X/ref=sr_1_7?keywords=Masking+Tape+201988+2+in+x+60+yards&amp;qid=1695348038&amp;sr=8-7")</f>
        <v/>
      </c>
      <c r="F505" t="inlineStr">
        <is>
          <t>B075FTTQ8X</t>
        </is>
      </c>
      <c r="G505">
        <f>_xlfn.IMAGE("https://www.zoro.com/static/cms/product/full/Unbeatablesale Inc_WLLCH3022xx1200xxb74469.jpeg")</f>
        <v/>
      </c>
      <c r="H505">
        <f>_xlfn.IMAGE("https://m.media-amazon.com/images/I/41u3rPecMyL._AC_UL320_.jpg")</f>
        <v/>
      </c>
      <c r="K505" t="inlineStr">
        <is>
          <t>15.49</t>
        </is>
      </c>
      <c r="L505" t="n">
        <v>27.97</v>
      </c>
      <c r="M505" s="2" t="inlineStr">
        <is>
          <t>80.57%</t>
        </is>
      </c>
      <c r="N505" t="n">
        <v>4.3</v>
      </c>
      <c r="O505" t="n">
        <v>461</v>
      </c>
      <c r="Q505" t="inlineStr">
        <is>
          <t>InStock</t>
        </is>
      </c>
      <c r="R505" t="inlineStr">
        <is>
          <t>undefined</t>
        </is>
      </c>
      <c r="S505" t="inlineStr">
        <is>
          <t>G307040959</t>
        </is>
      </c>
    </row>
    <row r="506" ht="75" customHeight="1">
      <c r="A506" s="1">
        <f>HYPERLINK("https://www.zoro.com/shurtape-masking-tape-green-24mm-x-55m-cp-150/i/G3446222/", "https://www.zoro.com/shurtape-masking-tape-green-24mm-x-55m-cp-150/i/G3446222/")</f>
        <v/>
      </c>
      <c r="B506" s="1">
        <f>HYPERLINK("https://www.zoro.com/shurtape-masking-tape-green-24mm-x-55m-cp-150/i/G3446222/", "https://www.zoro.com/shurtape-masking-tape-green-24mm-x-55m-cp-150/i/G3446222/")</f>
        <v/>
      </c>
      <c r="C506" t="inlineStr">
        <is>
          <t>Masking Tape, Green, 24mm x 55m</t>
        </is>
      </c>
      <c r="D506" t="inlineStr">
        <is>
          <t>Shurtape CP 631 General Purpose Grade, Medium-High Adhesion Colored Masking Tape, Social Distancing Marking, 24mm x 55m, Green, Case of 36 Rolls (158828)</t>
        </is>
      </c>
      <c r="E506" s="1">
        <f>HYPERLINK("https://www.amazon.com/Shurtape-General-Medium-High-Adhesion-158828/dp/B01LZ2G1HA/ref=sr_1_6?keywords=Masking+Tape%2C+Green%2C+24mm+x+55m&amp;qid=1695347906&amp;sr=8-6", "https://www.amazon.com/Shurtape-General-Medium-High-Adhesion-158828/dp/B01LZ2G1HA/ref=sr_1_6?keywords=Masking+Tape%2C+Green%2C+24mm+x+55m&amp;qid=1695347906&amp;sr=8-6")</f>
        <v/>
      </c>
      <c r="F506" t="inlineStr">
        <is>
          <t>B01LZ2G1HA</t>
        </is>
      </c>
      <c r="G506">
        <f>_xlfn.IMAGE("https://www.zoro.com/static/cms/product/full/Z3139ufo5oz.JPG")</f>
        <v/>
      </c>
      <c r="H506">
        <f>_xlfn.IMAGE("https://m.media-amazon.com/images/I/61AyTiwtCBL._AC_UL320_.jpg")</f>
        <v/>
      </c>
      <c r="K506" t="inlineStr">
        <is>
          <t>5.05</t>
        </is>
      </c>
      <c r="L506" t="n">
        <v>176.79</v>
      </c>
      <c r="M506" s="2" t="inlineStr">
        <is>
          <t>3400.79%</t>
        </is>
      </c>
      <c r="N506" t="n">
        <v>4.9</v>
      </c>
      <c r="O506" t="n">
        <v>14</v>
      </c>
      <c r="Q506" t="inlineStr">
        <is>
          <t>InStock</t>
        </is>
      </c>
      <c r="R506" t="inlineStr">
        <is>
          <t>undefined</t>
        </is>
      </c>
      <c r="S506" t="inlineStr">
        <is>
          <t>G3446222</t>
        </is>
      </c>
    </row>
    <row r="507" ht="75" customHeight="1">
      <c r="A507" s="1">
        <f>HYPERLINK("https://www.zoro.com/shurtape-shurtape-general-purpose-medium-high-adhesion-masking-tape-natural-24mm-x-55m-case-of-36-140431/i/G108453606/", "https://www.zoro.com/shurtape-shurtape-general-purpose-medium-high-adhesion-masking-tape-natural-24mm-x-55m-case-of-36-140431/i/G108453606/")</f>
        <v/>
      </c>
      <c r="B507" s="1">
        <f>HYPERLINK("https://www.zoro.com/shurtape-shurtape-general-purpose-medium-high-adhesion-masking-tape-natural-24mm-x-55m-case-of-36-140431/i/G108453606/", "https://www.zoro.com/shurtape-shurtape-general-purpose-medium-high-adhesion-masking-tape-natural-24mm-x-55m-case-of-36-140431/i/G108453606/")</f>
        <v/>
      </c>
      <c r="C507" t="inlineStr">
        <is>
          <t>Shurtape General Purpose, Medium-High Adhesion Masking Tape, Natural, 24mm x 55m - Case of 36</t>
        </is>
      </c>
      <c r="D507" t="inlineStr">
        <is>
          <t>Shurtape CP 631 General Purpose Grade, Medium-High Adhesion Colored Masking Tape, Social Distancing Marking, 24mm x 55m, Green, Case of 36 Rolls (158828)</t>
        </is>
      </c>
      <c r="E507" s="1">
        <f>HYPERLINK("https://www.amazon.com/Shurtape-General-Medium-High-Adhesion-158828/dp/B01LZ2G1HA/ref=sr_1_1?keywords=Shurtape+General+Purpose%2C+Medium-High+Adhesion+Masking+Tape%2C+Natural%2C+24mm+x+55m+-+Case+of+36&amp;qid=1695348025&amp;sr=8-1", "https://www.amazon.com/Shurtape-General-Medium-High-Adhesion-158828/dp/B01LZ2G1HA/ref=sr_1_1?keywords=Shurtape+General+Purpose%2C+Medium-High+Adhesion+Masking+Tape%2C+Natural%2C+24mm+x+55m+-+Case+of+36&amp;qid=1695348025&amp;sr=8-1")</f>
        <v/>
      </c>
      <c r="F507" t="inlineStr">
        <is>
          <t>B01LZ2G1HA</t>
        </is>
      </c>
      <c r="G507">
        <f>_xlfn.IMAGE("https://www.zoro.com/static/cms/product/full/Buy Supply Corp_SHTxx140431xxPrimaryxx7ea31b.jpeg")</f>
        <v/>
      </c>
      <c r="H507">
        <f>_xlfn.IMAGE("https://m.media-amazon.com/images/I/61AyTiwtCBL._AC_UL320_.jpg")</f>
        <v/>
      </c>
      <c r="K507" t="inlineStr">
        <is>
          <t>83.15</t>
        </is>
      </c>
      <c r="L507" t="n">
        <v>176.79</v>
      </c>
      <c r="M507" s="2" t="inlineStr">
        <is>
          <t>112.62%</t>
        </is>
      </c>
      <c r="N507" t="n">
        <v>4.9</v>
      </c>
      <c r="O507" t="n">
        <v>14</v>
      </c>
      <c r="Q507" t="inlineStr">
        <is>
          <t>InStock</t>
        </is>
      </c>
      <c r="R507" t="inlineStr">
        <is>
          <t>undefined</t>
        </is>
      </c>
      <c r="S507" t="inlineStr">
        <is>
          <t>G108453606</t>
        </is>
      </c>
    </row>
    <row r="508" ht="75" customHeight="1">
      <c r="A508" s="1">
        <f>HYPERLINK("https://www.zoro.com/shurtech-brands-34x22-rubb-elec-tape-393154/i/G207905259/", "https://www.zoro.com/shurtech-brands-34x22-rubb-elec-tape-393154/i/G207905259/")</f>
        <v/>
      </c>
      <c r="B508" s="1">
        <f>HYPERLINK("https://www.zoro.com/shurtech-brands-34x22-rubb-elec-tape-393154/i/G207905259/", "https://www.zoro.com/shurtech-brands-34x22-rubb-elec-tape-393154/i/G207905259/")</f>
        <v/>
      </c>
      <c r="C508" t="inlineStr">
        <is>
          <t>34x22' Rubb Elec Tape</t>
        </is>
      </c>
      <c r="D508" t="inlineStr">
        <is>
          <t>3M Electrical Markets Division Rubber Mastic Tape 2228, Conformable, Self–Fusing, Electrical Insulating, Moisture Sealing, Indoor and Outdoor Applications, Black Color, 65 mil, 2 in x 10 ft, 1 Roll</t>
        </is>
      </c>
      <c r="E508" s="1">
        <f>HYPERLINK("https://www.amazon.com/Electrical-Markets-Division-Conformable-Applications/dp/B001AO9IRG/ref=sr_1_7?keywords=34x22%27+rubber+electrical+tape&amp;qid=1695348259&amp;sr=8-7", "https://www.amazon.com/Electrical-Markets-Division-Conformable-Applications/dp/B001AO9IRG/ref=sr_1_7?keywords=34x22%27+rubber+electrical+tape&amp;qid=1695348259&amp;sr=8-7")</f>
        <v/>
      </c>
      <c r="F508" t="inlineStr">
        <is>
          <t>B001AO9IRG</t>
        </is>
      </c>
      <c r="G508">
        <f>_xlfn.IMAGE("https://www.zoro.com/static/cms/product/full/Buy Supply Inc dba Linq USA Corp_bus468231trvxx666f60.jpeg")</f>
        <v/>
      </c>
      <c r="H508">
        <f>_xlfn.IMAGE("https://m.media-amazon.com/images/I/81vBeKRpbhL._AC_UY218_.jpg")</f>
        <v/>
      </c>
      <c r="K508" t="inlineStr">
        <is>
          <t>7.99</t>
        </is>
      </c>
      <c r="L508" t="n">
        <v>27</v>
      </c>
      <c r="M508" s="2" t="inlineStr">
        <is>
          <t>237.92%</t>
        </is>
      </c>
      <c r="N508" t="n">
        <v>4.8</v>
      </c>
      <c r="O508" t="n">
        <v>274</v>
      </c>
      <c r="Q508" t="inlineStr">
        <is>
          <t>InStock</t>
        </is>
      </c>
      <c r="R508" t="inlineStr">
        <is>
          <t>undefined</t>
        </is>
      </c>
      <c r="S508" t="inlineStr">
        <is>
          <t>G207905259</t>
        </is>
      </c>
    </row>
    <row r="509" ht="75" customHeight="1">
      <c r="A509" s="1">
        <f>HYPERLINK("https://www.zoro.com/shurtech-brands-34x22-rubb-elec-tape-393154/i/G207905259/", "https://www.zoro.com/shurtech-brands-34x22-rubb-elec-tape-393154/i/G207905259/")</f>
        <v/>
      </c>
      <c r="B509" s="1">
        <f>HYPERLINK("https://www.zoro.com/shurtech-brands-34x22-rubb-elec-tape-393154/i/G207905259/", "https://www.zoro.com/shurtech-brands-34x22-rubb-elec-tape-393154/i/G207905259/")</f>
        <v/>
      </c>
      <c r="C509" t="inlineStr">
        <is>
          <t>34x22' Rubb Elec Tape</t>
        </is>
      </c>
      <c r="D509" t="inlineStr">
        <is>
          <t>3M Electrical Markets Division 23-3/4"X30FT Scotch 33+ Self-Fusing Rubber Electrical Insulating Splicing Tape, Black, 3/4" x 30'</t>
        </is>
      </c>
      <c r="E509" s="1">
        <f>HYPERLINK("https://www.amazon.com/Electrical-Markets-Division-23-3-X30FT/dp/B000V4P58M/ref=sr_1_3?keywords=34x22%27+rubber+electrical+tape&amp;qid=1695348259&amp;sr=8-3", "https://www.amazon.com/Electrical-Markets-Division-23-3-X30FT/dp/B000V4P58M/ref=sr_1_3?keywords=34x22%27+rubber+electrical+tape&amp;qid=1695348259&amp;sr=8-3")</f>
        <v/>
      </c>
      <c r="F509" t="inlineStr">
        <is>
          <t>B000V4P58M</t>
        </is>
      </c>
      <c r="G509">
        <f>_xlfn.IMAGE("https://www.zoro.com/static/cms/product/full/Buy Supply Inc dba Linq USA Corp_bus468231trvxx666f60.jpeg")</f>
        <v/>
      </c>
      <c r="H509">
        <f>_xlfn.IMAGE("https://m.media-amazon.com/images/I/81LJUh-iupL._AC_UY218_.jpg")</f>
        <v/>
      </c>
      <c r="K509" t="inlineStr">
        <is>
          <t>7.99</t>
        </is>
      </c>
      <c r="L509" t="n">
        <v>25.19</v>
      </c>
      <c r="M509" s="2" t="inlineStr">
        <is>
          <t>215.27%</t>
        </is>
      </c>
      <c r="N509" t="n">
        <v>4.6</v>
      </c>
      <c r="O509" t="n">
        <v>71</v>
      </c>
      <c r="Q509" t="inlineStr">
        <is>
          <t>InStock</t>
        </is>
      </c>
      <c r="R509" t="inlineStr">
        <is>
          <t>undefined</t>
        </is>
      </c>
      <c r="S509" t="inlineStr">
        <is>
          <t>G207905259</t>
        </is>
      </c>
    </row>
    <row r="510" ht="75" customHeight="1">
      <c r="A510" s="1">
        <f>HYPERLINK("https://www.zoro.com/shurtech-brands-34x22-rubb-elec-tape-393154/i/G207905259/", "https://www.zoro.com/shurtech-brands-34x22-rubb-elec-tape-393154/i/G207905259/")</f>
        <v/>
      </c>
      <c r="B510" s="1">
        <f>HYPERLINK("https://www.zoro.com/shurtech-brands-34x22-rubb-elec-tape-393154/i/G207905259/", "https://www.zoro.com/shurtech-brands-34x22-rubb-elec-tape-393154/i/G207905259/")</f>
        <v/>
      </c>
      <c r="C510" t="inlineStr">
        <is>
          <t>34x22' Rubb Elec Tape</t>
        </is>
      </c>
      <c r="D510" t="inlineStr">
        <is>
          <t>3M Electrical Markets Division Brand Linerless Electrical Splicing Tape 130C for Wires and Cables, 2 in x 30 ft, Rubber Backing, UV Resistance, Highly Conformable, Moisture Seal, Black, 1 Roll</t>
        </is>
      </c>
      <c r="E510" s="1">
        <f>HYPERLINK("https://www.amazon.com/3M-Electrical-Markets-Division-Conformable/dp/B000V4P5BO/ref=sr_1_5?keywords=34x22%27+rubber+electrical+tape&amp;qid=1695348259&amp;sr=8-5", "https://www.amazon.com/3M-Electrical-Markets-Division-Conformable/dp/B000V4P5BO/ref=sr_1_5?keywords=34x22%27+rubber+electrical+tape&amp;qid=1695348259&amp;sr=8-5")</f>
        <v/>
      </c>
      <c r="F510" t="inlineStr">
        <is>
          <t>B000V4P5BO</t>
        </is>
      </c>
      <c r="G510">
        <f>_xlfn.IMAGE("https://www.zoro.com/static/cms/product/full/Buy Supply Inc dba Linq USA Corp_bus468231trvxx666f60.jpeg")</f>
        <v/>
      </c>
      <c r="H510">
        <f>_xlfn.IMAGE("https://m.media-amazon.com/images/I/51O10p9pQkL._AC_UY218_.jpg")</f>
        <v/>
      </c>
      <c r="K510" t="inlineStr">
        <is>
          <t>7.99</t>
        </is>
      </c>
      <c r="L510" t="n">
        <v>17.35</v>
      </c>
      <c r="M510" s="2" t="inlineStr">
        <is>
          <t>117.15%</t>
        </is>
      </c>
      <c r="N510" t="n">
        <v>4.7</v>
      </c>
      <c r="O510" t="n">
        <v>392</v>
      </c>
      <c r="Q510" t="inlineStr">
        <is>
          <t>InStock</t>
        </is>
      </c>
      <c r="R510" t="inlineStr">
        <is>
          <t>undefined</t>
        </is>
      </c>
      <c r="S510" t="inlineStr">
        <is>
          <t>G207905259</t>
        </is>
      </c>
    </row>
    <row r="511" ht="75" customHeight="1">
      <c r="A511" s="1">
        <f>HYPERLINK("https://www.zoro.com/shurtech-brands-34x22-rubb-elec-tape-393154/i/G207905259/", "https://www.zoro.com/shurtech-brands-34x22-rubb-elec-tape-393154/i/G207905259/")</f>
        <v/>
      </c>
      <c r="B511" s="1">
        <f>HYPERLINK("https://www.zoro.com/shurtech-brands-34x22-rubb-elec-tape-393154/i/G207905259/", "https://www.zoro.com/shurtech-brands-34x22-rubb-elec-tape-393154/i/G207905259/")</f>
        <v/>
      </c>
      <c r="C511" t="inlineStr">
        <is>
          <t>34x22' Rubb Elec Tape</t>
        </is>
      </c>
      <c r="D511" t="inlineStr">
        <is>
          <t>3M Electrical Markets Division Brand Linerless Electrical Splicing Tape 130C for Wires and Cables, 2 in x 30 ft, Rubber Backing, UV Resistance, Highly Conformable, Moisture Seal, Black, 1 Roll</t>
        </is>
      </c>
      <c r="E511" s="1">
        <f>HYPERLINK("https://www.amazon.com/3M-Electrical-Markets-Division-Conformable/dp/B000V4P5BO/ref=sr_1_5?keywords=34x22%27+rubber+electrical+tape&amp;qid=1695348259&amp;sr=8-5", "https://www.amazon.com/3M-Electrical-Markets-Division-Conformable/dp/B000V4P5BO/ref=sr_1_5?keywords=34x22%27+rubber+electrical+tape&amp;qid=1695348259&amp;sr=8-5")</f>
        <v/>
      </c>
      <c r="F511" t="inlineStr">
        <is>
          <t>B000V4P5BO</t>
        </is>
      </c>
      <c r="G511">
        <f>_xlfn.IMAGE("https://www.zoro.com/static/cms/product/full/Buy Supply Inc dba Linq USA Corp_bus468231trvxx666f60.jpeg")</f>
        <v/>
      </c>
      <c r="H511">
        <f>_xlfn.IMAGE("https://m.media-amazon.com/images/I/51O10p9pQkL._AC_UY218_.jpg")</f>
        <v/>
      </c>
      <c r="K511" t="inlineStr">
        <is>
          <t>7.99</t>
        </is>
      </c>
      <c r="L511" t="n">
        <v>17.35</v>
      </c>
      <c r="M511" s="2" t="inlineStr">
        <is>
          <t>117.15%</t>
        </is>
      </c>
      <c r="N511" t="n">
        <v>4.7</v>
      </c>
      <c r="O511" t="n">
        <v>392</v>
      </c>
      <c r="Q511" t="inlineStr">
        <is>
          <t>InStock</t>
        </is>
      </c>
      <c r="R511" t="inlineStr">
        <is>
          <t>undefined</t>
        </is>
      </c>
      <c r="S511" t="inlineStr">
        <is>
          <t>G207905259</t>
        </is>
      </c>
    </row>
    <row r="512" ht="75" customHeight="1">
      <c r="A512" s="1">
        <f>HYPERLINK("https://www.zoro.com/shurtech-brands-34x22-rubb-elec-tape-393154/i/G207905273/", "https://www.zoro.com/shurtech-brands-34x22-rubb-elec-tape-393154/i/G207905273/")</f>
        <v/>
      </c>
      <c r="B512" s="1">
        <f>HYPERLINK("https://www.zoro.com/shurtech-brands-34x22-rubb-elec-tape-393154/i/G207905273/", "https://www.zoro.com/shurtech-brands-34x22-rubb-elec-tape-393154/i/G207905273/")</f>
        <v/>
      </c>
      <c r="C512" t="inlineStr">
        <is>
          <t>34x22' Rubb Elec Tape</t>
        </is>
      </c>
      <c r="D512" t="inlineStr">
        <is>
          <t>3M Electrical Markets Division Rubber Mastic Tape 2228, Conformable, Self–Fusing, Electrical Insulating, Moisture Sealing, Indoor and Outdoor Applications, Black Color, 65 mil, 2 in x 10 ft, 1 Roll</t>
        </is>
      </c>
      <c r="E512" s="1">
        <f>HYPERLINK("https://www.amazon.com/Electrical-Markets-Division-Conformable-Applications/dp/B001AO9IRG/ref=sr_1_6?keywords=34x22%27+rubber+electrical+tape&amp;qid=1695348252&amp;sr=8-6", "https://www.amazon.com/Electrical-Markets-Division-Conformable-Applications/dp/B001AO9IRG/ref=sr_1_6?keywords=34x22%27+rubber+electrical+tape&amp;qid=1695348252&amp;sr=8-6")</f>
        <v/>
      </c>
      <c r="F512" t="inlineStr">
        <is>
          <t>B001AO9IRG</t>
        </is>
      </c>
      <c r="G512">
        <f>_xlfn.IMAGE("https://www.zoro.com/static/cms/product/full/Buy Supply Inc dba Linq USA Corp_bus468231trvxx666f60.jpeg")</f>
        <v/>
      </c>
      <c r="H512">
        <f>_xlfn.IMAGE("https://m.media-amazon.com/images/I/81vBeKRpbhL._AC_UY218_.jpg")</f>
        <v/>
      </c>
      <c r="K512" t="inlineStr">
        <is>
          <t>8.59</t>
        </is>
      </c>
      <c r="L512" t="n">
        <v>27</v>
      </c>
      <c r="M512" s="2" t="inlineStr">
        <is>
          <t>214.32%</t>
        </is>
      </c>
      <c r="N512" t="n">
        <v>4.8</v>
      </c>
      <c r="O512" t="n">
        <v>274</v>
      </c>
      <c r="Q512" t="inlineStr">
        <is>
          <t>InStock</t>
        </is>
      </c>
      <c r="R512" t="inlineStr">
        <is>
          <t>undefined</t>
        </is>
      </c>
      <c r="S512" t="inlineStr">
        <is>
          <t>G207905273</t>
        </is>
      </c>
    </row>
    <row r="513" ht="75" customHeight="1">
      <c r="A513" s="1">
        <f>HYPERLINK("https://www.zoro.com/shurtech-brands-34x22-rubb-elec-tape-393154/i/G207905273/", "https://www.zoro.com/shurtech-brands-34x22-rubb-elec-tape-393154/i/G207905273/")</f>
        <v/>
      </c>
      <c r="B513" s="1">
        <f>HYPERLINK("https://www.zoro.com/shurtech-brands-34x22-rubb-elec-tape-393154/i/G207905273/", "https://www.zoro.com/shurtech-brands-34x22-rubb-elec-tape-393154/i/G207905273/")</f>
        <v/>
      </c>
      <c r="C513" t="inlineStr">
        <is>
          <t>34x22' Rubb Elec Tape</t>
        </is>
      </c>
      <c r="D513" t="inlineStr">
        <is>
          <t>3M Electrical Markets Division 23-3/4"X30FT Scotch 33+ Self-Fusing Rubber Electrical Insulating Splicing Tape, Black, 3/4" x 30'</t>
        </is>
      </c>
      <c r="E513" s="1">
        <f>HYPERLINK("https://www.amazon.com/Electrical-Markets-Division-23-3-X30FT/dp/B000V4P58M/ref=sr_1_3?keywords=34x22%27+rubber+electrical+tape&amp;qid=1695348252&amp;sr=8-3", "https://www.amazon.com/Electrical-Markets-Division-23-3-X30FT/dp/B000V4P58M/ref=sr_1_3?keywords=34x22%27+rubber+electrical+tape&amp;qid=1695348252&amp;sr=8-3")</f>
        <v/>
      </c>
      <c r="F513" t="inlineStr">
        <is>
          <t>B000V4P58M</t>
        </is>
      </c>
      <c r="G513">
        <f>_xlfn.IMAGE("https://www.zoro.com/static/cms/product/full/Buy Supply Inc dba Linq USA Corp_bus468231trvxx666f60.jpeg")</f>
        <v/>
      </c>
      <c r="H513">
        <f>_xlfn.IMAGE("https://m.media-amazon.com/images/I/81LJUh-iupL._AC_UY218_.jpg")</f>
        <v/>
      </c>
      <c r="K513" t="inlineStr">
        <is>
          <t>8.59</t>
        </is>
      </c>
      <c r="L513" t="n">
        <v>25.19</v>
      </c>
      <c r="M513" s="2" t="inlineStr">
        <is>
          <t>193.25%</t>
        </is>
      </c>
      <c r="N513" t="n">
        <v>4.6</v>
      </c>
      <c r="O513" t="n">
        <v>71</v>
      </c>
      <c r="Q513" t="inlineStr">
        <is>
          <t>InStock</t>
        </is>
      </c>
      <c r="R513" t="inlineStr">
        <is>
          <t>undefined</t>
        </is>
      </c>
      <c r="S513" t="inlineStr">
        <is>
          <t>G207905273</t>
        </is>
      </c>
    </row>
    <row r="514" ht="75" customHeight="1">
      <c r="A514" s="1">
        <f>HYPERLINK("https://www.zoro.com/shurtech-brands-34x22-rubb-elec-tape-393154/i/G207905273/", "https://www.zoro.com/shurtech-brands-34x22-rubb-elec-tape-393154/i/G207905273/")</f>
        <v/>
      </c>
      <c r="B514" s="1">
        <f>HYPERLINK("https://www.zoro.com/shurtech-brands-34x22-rubb-elec-tape-393154/i/G207905273/", "https://www.zoro.com/shurtech-brands-34x22-rubb-elec-tape-393154/i/G207905273/")</f>
        <v/>
      </c>
      <c r="C514" t="inlineStr">
        <is>
          <t>34x22' Rubb Elec Tape</t>
        </is>
      </c>
      <c r="D514" t="inlineStr">
        <is>
          <t>3M Electrical Markets Division Brand Linerless Electrical Splicing Tape 130C for Wires and Cables, 2 in x 30 ft, Rubber Backing, UV Resistance, Highly Conformable, Moisture Seal, Black, 1 Roll</t>
        </is>
      </c>
      <c r="E514" s="1">
        <f>HYPERLINK("https://www.amazon.com/3M-Electrical-Markets-Division-Conformable/dp/B000V4P5BO/ref=sr_1_5?keywords=34x22%27+rubber+electrical+tape&amp;qid=1695348252&amp;sr=8-5", "https://www.amazon.com/3M-Electrical-Markets-Division-Conformable/dp/B000V4P5BO/ref=sr_1_5?keywords=34x22%27+rubber+electrical+tape&amp;qid=1695348252&amp;sr=8-5")</f>
        <v/>
      </c>
      <c r="F514" t="inlineStr">
        <is>
          <t>B000V4P5BO</t>
        </is>
      </c>
      <c r="G514">
        <f>_xlfn.IMAGE("https://www.zoro.com/static/cms/product/full/Buy Supply Inc dba Linq USA Corp_bus468231trvxx666f60.jpeg")</f>
        <v/>
      </c>
      <c r="H514">
        <f>_xlfn.IMAGE("https://m.media-amazon.com/images/I/51O10p9pQkL._AC_UY218_.jpg")</f>
        <v/>
      </c>
      <c r="K514" t="inlineStr">
        <is>
          <t>8.59</t>
        </is>
      </c>
      <c r="L514" t="n">
        <v>17.35</v>
      </c>
      <c r="M514" s="2" t="inlineStr">
        <is>
          <t>101.98%</t>
        </is>
      </c>
      <c r="N514" t="n">
        <v>4.7</v>
      </c>
      <c r="O514" t="n">
        <v>392</v>
      </c>
      <c r="Q514" t="inlineStr">
        <is>
          <t>InStock</t>
        </is>
      </c>
      <c r="R514" t="inlineStr">
        <is>
          <t>undefined</t>
        </is>
      </c>
      <c r="S514" t="inlineStr">
        <is>
          <t>G207905273</t>
        </is>
      </c>
    </row>
    <row r="515" ht="75" customHeight="1">
      <c r="A515" s="1">
        <f>HYPERLINK("https://www.zoro.com/shurtech-brands-34x22-rubb-elec-tape-393154/i/G207905273/", "https://www.zoro.com/shurtech-brands-34x22-rubb-elec-tape-393154/i/G207905273/")</f>
        <v/>
      </c>
      <c r="B515" s="1">
        <f>HYPERLINK("https://www.zoro.com/shurtech-brands-34x22-rubb-elec-tape-393154/i/G207905273/", "https://www.zoro.com/shurtech-brands-34x22-rubb-elec-tape-393154/i/G207905273/")</f>
        <v/>
      </c>
      <c r="C515" t="inlineStr">
        <is>
          <t>34x22' Rubb Elec Tape</t>
        </is>
      </c>
      <c r="D515" t="inlineStr">
        <is>
          <t>3M Electrical Markets Division Brand Linerless Electrical Splicing Tape 130C for Wires and Cables, 2 in x 30 ft, Rubber Backing, UV Resistance, Highly Conformable, Moisture Seal, Black, 1 Roll</t>
        </is>
      </c>
      <c r="E515" s="1">
        <f>HYPERLINK("https://www.amazon.com/3M-Electrical-Markets-Division-Conformable/dp/B000V4P5BO/ref=sr_1_5?keywords=34x22%27+rubber+electrical+tape&amp;qid=1695348252&amp;sr=8-5", "https://www.amazon.com/3M-Electrical-Markets-Division-Conformable/dp/B000V4P5BO/ref=sr_1_5?keywords=34x22%27+rubber+electrical+tape&amp;qid=1695348252&amp;sr=8-5")</f>
        <v/>
      </c>
      <c r="F515" t="inlineStr">
        <is>
          <t>B000V4P5BO</t>
        </is>
      </c>
      <c r="G515">
        <f>_xlfn.IMAGE("https://www.zoro.com/static/cms/product/full/Buy Supply Inc dba Linq USA Corp_bus468231trvxx666f60.jpeg")</f>
        <v/>
      </c>
      <c r="H515">
        <f>_xlfn.IMAGE("https://m.media-amazon.com/images/I/51O10p9pQkL._AC_UY218_.jpg")</f>
        <v/>
      </c>
      <c r="K515" t="inlineStr">
        <is>
          <t>8.59</t>
        </is>
      </c>
      <c r="L515" t="n">
        <v>17.35</v>
      </c>
      <c r="M515" s="2" t="inlineStr">
        <is>
          <t>101.98%</t>
        </is>
      </c>
      <c r="N515" t="n">
        <v>4.7</v>
      </c>
      <c r="O515" t="n">
        <v>392</v>
      </c>
      <c r="Q515" t="inlineStr">
        <is>
          <t>InStock</t>
        </is>
      </c>
      <c r="R515" t="inlineStr">
        <is>
          <t>undefined</t>
        </is>
      </c>
      <c r="S515" t="inlineStr">
        <is>
          <t>G207905273</t>
        </is>
      </c>
    </row>
    <row r="516" ht="75" customHeight="1">
      <c r="A516" s="1">
        <f>HYPERLINK("https://www.zoro.com/shurtech-brands-34x66-red-elec-tape-300878/i/G307905302/", "https://www.zoro.com/shurtech-brands-34x66-red-elec-tape-300878/i/G307905302/")</f>
        <v/>
      </c>
      <c r="B516" s="1">
        <f>HYPERLINK("https://www.zoro.com/shurtech-brands-34x66-red-elec-tape-300878/i/G307905302/", "https://www.zoro.com/shurtech-brands-34x66-red-elec-tape-300878/i/G307905302/")</f>
        <v/>
      </c>
      <c r="C516" t="inlineStr">
        <is>
          <t>34x66' Red Elec Tape</t>
        </is>
      </c>
      <c r="D516" t="inlineStr">
        <is>
          <t>20 Rolls Electrical Tapes 3/4 in x 66 ft Waterproof Vinyl Electrical Insulating Tape Flame Retardant Indoor Outdoor High Temperature Resistance Electric Tape for Wire and Cable (Red)</t>
        </is>
      </c>
      <c r="E516" s="1">
        <f>HYPERLINK("https://www.amazon.com/Electrical-Waterproof-Insulating-Temperature-Resistance/dp/B0BDFV43SB/ref=sr_1_7?keywords=34x66%27+Red+Elec+Tape&amp;qid=1695348254&amp;sr=8-7", "https://www.amazon.com/Electrical-Waterproof-Insulating-Temperature-Resistance/dp/B0BDFV43SB/ref=sr_1_7?keywords=34x66%27+Red+Elec+Tape&amp;qid=1695348254&amp;sr=8-7")</f>
        <v/>
      </c>
      <c r="F516" t="inlineStr">
        <is>
          <t>B0BDFV43SB</t>
        </is>
      </c>
      <c r="G516">
        <f>_xlfn.IMAGE("https://www.zoro.com/static/cms/product/full/Buy Supply Inc dba Linq USA Corp_bus606704trvxxf50768.jpeg")</f>
        <v/>
      </c>
      <c r="H516">
        <f>_xlfn.IMAGE("https://m.media-amazon.com/images/I/714l0sJ+krL._AC_UY218_.jpg")</f>
        <v/>
      </c>
      <c r="K516" t="inlineStr">
        <is>
          <t>4.49</t>
        </is>
      </c>
      <c r="L516" t="n">
        <v>26.99</v>
      </c>
      <c r="M516" s="2" t="inlineStr">
        <is>
          <t>501.11%</t>
        </is>
      </c>
      <c r="N516" t="n">
        <v>4.3</v>
      </c>
      <c r="O516" t="n">
        <v>30</v>
      </c>
      <c r="Q516" t="inlineStr">
        <is>
          <t>InStock</t>
        </is>
      </c>
      <c r="R516" t="inlineStr">
        <is>
          <t>undefined</t>
        </is>
      </c>
      <c r="S516" t="inlineStr">
        <is>
          <t>G307905302</t>
        </is>
      </c>
    </row>
    <row r="517" ht="75" customHeight="1">
      <c r="A517" s="1">
        <f>HYPERLINK("https://www.zoro.com/shurtech-brands-34x66-red-elec-tape-300878/i/G407905264/", "https://www.zoro.com/shurtech-brands-34x66-red-elec-tape-300878/i/G407905264/")</f>
        <v/>
      </c>
      <c r="B517" s="1">
        <f>HYPERLINK("https://www.zoro.com/shurtech-brands-34x66-red-elec-tape-300878/i/G407905264/", "https://www.zoro.com/shurtech-brands-34x66-red-elec-tape-300878/i/G407905264/")</f>
        <v/>
      </c>
      <c r="C517" t="inlineStr">
        <is>
          <t>34x66' Red Elec Tape</t>
        </is>
      </c>
      <c r="D517" t="inlineStr">
        <is>
          <t>20 Rolls Electrical Tapes 3/4 in x 66 ft Waterproof Vinyl Electrical Insulating Tape Flame Retardant Indoor Outdoor High Temperature Resistance Electric Tape for Wire and Cable (Red)</t>
        </is>
      </c>
      <c r="E517" s="1">
        <f>HYPERLINK("https://www.amazon.com/Electrical-Waterproof-Insulating-Temperature-Resistance/dp/B0BDFV43SB/ref=sr_1_8?keywords=34x66%27+Red+Elec+Tape&amp;qid=1695348250&amp;sr=8-8", "https://www.amazon.com/Electrical-Waterproof-Insulating-Temperature-Resistance/dp/B0BDFV43SB/ref=sr_1_8?keywords=34x66%27+Red+Elec+Tape&amp;qid=1695348250&amp;sr=8-8")</f>
        <v/>
      </c>
      <c r="F517" t="inlineStr">
        <is>
          <t>B0BDFV43SB</t>
        </is>
      </c>
      <c r="G517">
        <f>_xlfn.IMAGE("https://www.zoro.com/static/cms/product/full/Buy Supply Inc dba Linq USA Corp_bus606704trvxxf50768.jpeg")</f>
        <v/>
      </c>
      <c r="H517">
        <f>_xlfn.IMAGE("https://m.media-amazon.com/images/I/714l0sJ+krL._AC_UY218_.jpg")</f>
        <v/>
      </c>
      <c r="K517" t="inlineStr">
        <is>
          <t>6.39</t>
        </is>
      </c>
      <c r="L517" t="n">
        <v>26.99</v>
      </c>
      <c r="M517" s="2" t="inlineStr">
        <is>
          <t>322.38%</t>
        </is>
      </c>
      <c r="N517" t="n">
        <v>4.3</v>
      </c>
      <c r="O517" t="n">
        <v>30</v>
      </c>
      <c r="Q517" t="inlineStr">
        <is>
          <t>InStock</t>
        </is>
      </c>
      <c r="R517" t="inlineStr">
        <is>
          <t>undefined</t>
        </is>
      </c>
      <c r="S517" t="inlineStr">
        <is>
          <t>G407905264</t>
        </is>
      </c>
    </row>
    <row r="518" ht="75" customHeight="1">
      <c r="A518" s="1">
        <f>HYPERLINK("https://www.zoro.com/super-33-scotch-super-33-vinyl-electrical-tape-1-in-x-36-yds-black-80014001020/i/G104218537/", "https://www.zoro.com/super-33-scotch-super-33-vinyl-electrical-tape-1-in-x-36-yds-black-80014001020/i/G104218537/")</f>
        <v/>
      </c>
      <c r="B518" s="1">
        <f>HYPERLINK("https://www.zoro.com/super-33-scotch-super-33-vinyl-electrical-tape-1-in-x-36-yds-black-80014001020/i/G104218537/", "https://www.zoro.com/super-33-scotch-super-33-vinyl-electrical-tape-1-in-x-36-yds-black-80014001020/i/G104218537/")</f>
        <v/>
      </c>
      <c r="C518" t="inlineStr">
        <is>
          <t>Scotch Super 33+ Vinyl Electrical Tape, 1 In X 36 Yds, Black</t>
        </is>
      </c>
      <c r="D518" t="inlineStr">
        <is>
          <t>3M Scotch Super 33+ Premium Grade All-Weather Vinyl Electrical Tape, 2 in x 36 yd (108 ft), Long Roll, 1 in Core, Black, 1 Roll</t>
        </is>
      </c>
      <c r="E518" s="1">
        <f>HYPERLINK("https://www.amazon.com/3M-33-Super-2x36YD-Scotch-Electrical/dp/B0758GZ847/ref=sr_1_2?keywords=Scotch+Super+33+Vinyl+Electrical+Tape%2C+1+In+X+36+Yds%2C+Black&amp;qid=1695348126&amp;sr=8-2", "https://www.amazon.com/3M-33-Super-2x36YD-Scotch-Electrical/dp/B0758GZ847/ref=sr_1_2?keywords=Scotch+Super+33+Vinyl+Electrical+Tape%2C+1+In+X+36+Yds%2C+Black&amp;qid=1695348126&amp;sr=8-2")</f>
        <v/>
      </c>
      <c r="F518" t="inlineStr">
        <is>
          <t>B0758GZ847</t>
        </is>
      </c>
      <c r="G518">
        <f>_xlfn.IMAGE("https://www.zoro.com/static/cms/product/full/AgoNow LLC_fe859711f9f86a2cd17bb309e597778da7a84d8cxxnativexx6d81ed.jpeg")</f>
        <v/>
      </c>
      <c r="H518">
        <f>_xlfn.IMAGE("https://m.media-amazon.com/images/I/71mqWb0TVxL._AC_UY218_.jpg")</f>
        <v/>
      </c>
      <c r="K518" t="inlineStr">
        <is>
          <t>21.65</t>
        </is>
      </c>
      <c r="L518" t="n">
        <v>41.98</v>
      </c>
      <c r="M518" s="2" t="inlineStr">
        <is>
          <t>93.90%</t>
        </is>
      </c>
      <c r="N518" t="n">
        <v>4.1</v>
      </c>
      <c r="O518" t="n">
        <v>10</v>
      </c>
      <c r="Q518" t="inlineStr">
        <is>
          <t>InStock</t>
        </is>
      </c>
      <c r="R518" t="inlineStr">
        <is>
          <t>undefined</t>
        </is>
      </c>
      <c r="S518" t="inlineStr">
        <is>
          <t>G104218537</t>
        </is>
      </c>
    </row>
    <row r="519" ht="75" customHeight="1">
      <c r="A519" s="1">
        <f>HYPERLINK("https://www.zoro.com/super-33-scotch-super-33-vinyl-electrical-tape-1-in-x-36-yds-black-80014001020/i/G104218537/", "https://www.zoro.com/super-33-scotch-super-33-vinyl-electrical-tape-1-in-x-36-yds-black-80014001020/i/G104218537/")</f>
        <v/>
      </c>
      <c r="B519" s="1">
        <f>HYPERLINK("https://www.zoro.com/super-33-scotch-super-33-vinyl-electrical-tape-1-in-x-36-yds-black-80014001020/i/G104218537/", "https://www.zoro.com/super-33-scotch-super-33-vinyl-electrical-tape-1-in-x-36-yds-black-80014001020/i/G104218537/")</f>
        <v/>
      </c>
      <c r="C519" t="inlineStr">
        <is>
          <t>Scotch Super 33+ Vinyl Electrical Tape, 1 In X 36 Yds, Black</t>
        </is>
      </c>
      <c r="D519" t="inlineStr">
        <is>
          <t>3M Scotch Super 33+ Premium Grade All-Weather Vinyl Electrical Tape, 2 in x 36 yd (108 ft), Long Roll, 1 in Core, Black, 1 Roll</t>
        </is>
      </c>
      <c r="E519" s="1">
        <f>HYPERLINK("https://www.amazon.com/3M-33-Super-2x36YD-Scotch-Electrical/dp/B0758GZ847/ref=sr_1_2?keywords=Scotch+Super+33+Vinyl+Electrical+Tape%2C+1+In+X+36+Yds%2C+Black&amp;qid=1695348126&amp;sr=8-2", "https://www.amazon.com/3M-33-Super-2x36YD-Scotch-Electrical/dp/B0758GZ847/ref=sr_1_2?keywords=Scotch+Super+33+Vinyl+Electrical+Tape%2C+1+In+X+36+Yds%2C+Black&amp;qid=1695348126&amp;sr=8-2")</f>
        <v/>
      </c>
      <c r="F519" t="inlineStr">
        <is>
          <t>B0758GZ847</t>
        </is>
      </c>
      <c r="G519">
        <f>_xlfn.IMAGE("https://www.zoro.com/static/cms/product/full/AgoNow LLC_fe859711f9f86a2cd17bb309e597778da7a84d8cxxnativexx6d81ed.jpeg")</f>
        <v/>
      </c>
      <c r="H519">
        <f>_xlfn.IMAGE("https://m.media-amazon.com/images/I/71mqWb0TVxL._AC_UY218_.jpg")</f>
        <v/>
      </c>
      <c r="K519" t="inlineStr">
        <is>
          <t>21.65</t>
        </is>
      </c>
      <c r="L519" t="n">
        <v>41.98</v>
      </c>
      <c r="M519" s="2" t="inlineStr">
        <is>
          <t>93.90%</t>
        </is>
      </c>
      <c r="N519" t="n">
        <v>4.1</v>
      </c>
      <c r="O519" t="n">
        <v>10</v>
      </c>
      <c r="Q519" t="inlineStr">
        <is>
          <t>InStock</t>
        </is>
      </c>
      <c r="R519" t="inlineStr">
        <is>
          <t>undefined</t>
        </is>
      </c>
      <c r="S519" t="inlineStr">
        <is>
          <t>G104218537</t>
        </is>
      </c>
    </row>
    <row r="520" ht="75" customHeight="1">
      <c r="A520" s="1">
        <f>HYPERLINK("https://www.zoro.com/surtek-masking-tape-12-x-50m-138030/i/G007198301/", "https://www.zoro.com/surtek-masking-tape-12-x-50m-138030/i/G007198301/")</f>
        <v/>
      </c>
      <c r="B520" s="1">
        <f>HYPERLINK("https://www.zoro.com/surtek-masking-tape-12-x-50m-138030/i/G007198301/", "https://www.zoro.com/surtek-masking-tape-12-x-50m-138030/i/G007198301/")</f>
        <v/>
      </c>
      <c r="C520" t="inlineStr">
        <is>
          <t>Masking Tape 12 X 50M</t>
        </is>
      </c>
      <c r="D520" t="inlineStr">
        <is>
          <t>Wide Blue Painters Tape, 12 inch x 60 yds, Made in America, Great Masking Tape for 3D Printing and Laser Cutting, Removes Cleanly for 21 Days</t>
        </is>
      </c>
      <c r="E520" s="1">
        <f>HYPERLINK("https://www.amazon.com/Painters-America-Printing-Removes-Cleanly/dp/B09GW7RBTZ/ref=sr_1_3?keywords=Masking+Tape+12+X+50M&amp;qid=1695348021&amp;sr=8-3", "https://www.amazon.com/Painters-America-Printing-Removes-Cleanly/dp/B09GW7RBTZ/ref=sr_1_3?keywords=Masking+Tape+12+X+50M&amp;qid=1695348021&amp;sr=8-3")</f>
        <v/>
      </c>
      <c r="F520" t="inlineStr">
        <is>
          <t>B09GW7RBTZ</t>
        </is>
      </c>
      <c r="G520">
        <f>_xlfn.IMAGE("https://www.zoro.com/static/cms/product/full/Urrea Professional Tools, Inc_138030xxff2189.jpeg")</f>
        <v/>
      </c>
      <c r="H520">
        <f>_xlfn.IMAGE("https://m.media-amazon.com/images/I/91Cs6k0OMAL._AC_UL320_.jpg")</f>
        <v/>
      </c>
      <c r="K520" t="inlineStr">
        <is>
          <t>1.79</t>
        </is>
      </c>
      <c r="L520" t="n">
        <v>42.95</v>
      </c>
      <c r="M520" s="2" t="inlineStr">
        <is>
          <t>2299.44%</t>
        </is>
      </c>
      <c r="N520" t="n">
        <v>4.4</v>
      </c>
      <c r="O520" t="n">
        <v>74</v>
      </c>
      <c r="Q520" t="inlineStr">
        <is>
          <t>undefined</t>
        </is>
      </c>
      <c r="R520" t="inlineStr">
        <is>
          <t>undefined</t>
        </is>
      </c>
      <c r="S520" t="inlineStr">
        <is>
          <t>G007198301</t>
        </is>
      </c>
    </row>
    <row r="521" ht="75" customHeight="1">
      <c r="A521" s="1">
        <f>HYPERLINK("https://www.zoro.com/surtek-masking-tape-12-x-50m-138030/i/G007198301/", "https://www.zoro.com/surtek-masking-tape-12-x-50m-138030/i/G007198301/")</f>
        <v/>
      </c>
      <c r="B521" s="1">
        <f>HYPERLINK("https://www.zoro.com/surtek-masking-tape-12-x-50m-138030/i/G007198301/", "https://www.zoro.com/surtek-masking-tape-12-x-50m-138030/i/G007198301/")</f>
        <v/>
      </c>
      <c r="C521" t="inlineStr">
        <is>
          <t>Masking Tape 12 X 50M</t>
        </is>
      </c>
      <c r="D521" t="inlineStr">
        <is>
          <t>3M General Purpose Masking Tape 203, 12" Width x 55m Length (1 roll), Tan</t>
        </is>
      </c>
      <c r="E521" s="1">
        <f>HYPERLINK("https://www.amazon.com/3M-General-Purpose-203-12/dp/B00O0G7GG6/ref=sr_1_8?keywords=Masking+Tape+12+X+50M&amp;qid=1695348021&amp;sr=8-8", "https://www.amazon.com/3M-General-Purpose-203-12/dp/B00O0G7GG6/ref=sr_1_8?keywords=Masking+Tape+12+X+50M&amp;qid=1695348021&amp;sr=8-8")</f>
        <v/>
      </c>
      <c r="F521" t="inlineStr">
        <is>
          <t>B00O0G7GG6</t>
        </is>
      </c>
      <c r="G521">
        <f>_xlfn.IMAGE("https://www.zoro.com/static/cms/product/full/Urrea Professional Tools, Inc_138030xxff2189.jpeg")</f>
        <v/>
      </c>
      <c r="H521">
        <f>_xlfn.IMAGE("https://m.media-amazon.com/images/I/51GGWaMkHTL._AC_UL320_.jpg")</f>
        <v/>
      </c>
      <c r="K521" t="inlineStr">
        <is>
          <t>1.79</t>
        </is>
      </c>
      <c r="L521" t="n">
        <v>41.45</v>
      </c>
      <c r="M521" s="2" t="inlineStr">
        <is>
          <t>2215.64%</t>
        </is>
      </c>
      <c r="N521" t="n">
        <v>3.9</v>
      </c>
      <c r="O521" t="n">
        <v>30</v>
      </c>
      <c r="Q521" t="inlineStr">
        <is>
          <t>undefined</t>
        </is>
      </c>
      <c r="R521" t="inlineStr">
        <is>
          <t>undefined</t>
        </is>
      </c>
      <c r="S521" t="inlineStr">
        <is>
          <t>G007198301</t>
        </is>
      </c>
    </row>
    <row r="522" ht="75" customHeight="1">
      <c r="A522" s="1">
        <f>HYPERLINK("https://www.zoro.com/surtek-masking-tape-12-x-50m-138030/i/G007198301/", "https://www.zoro.com/surtek-masking-tape-12-x-50m-138030/i/G007198301/")</f>
        <v/>
      </c>
      <c r="B522" s="1">
        <f>HYPERLINK("https://www.zoro.com/surtek-masking-tape-12-x-50m-138030/i/G007198301/", "https://www.zoro.com/surtek-masking-tape-12-x-50m-138030/i/G007198301/")</f>
        <v/>
      </c>
      <c r="C522" t="inlineStr">
        <is>
          <t>Masking Tape 12 X 50M</t>
        </is>
      </c>
      <c r="D522" t="inlineStr">
        <is>
          <t>12" inch Wide 3D Printing Made in USA PRO Grade Blue Painters Tape Masking Clean Release Easy Removal NO Residue (240MM x 55M 9.7 inch). 3D Printer Bed Grip Deck Cover 3D Prints Removal 60 Yd</t>
        </is>
      </c>
      <c r="E522" s="1">
        <f>HYPERLINK("https://www.amazon.com/Printing-Painters-Masking-Release-Removal/dp/B075BZ9PS1/ref=sr_1_7?keywords=Masking+Tape+12+X+50M&amp;qid=1695348021&amp;sr=8-7", "https://www.amazon.com/Printing-Painters-Masking-Release-Removal/dp/B075BZ9PS1/ref=sr_1_7?keywords=Masking+Tape+12+X+50M&amp;qid=1695348021&amp;sr=8-7")</f>
        <v/>
      </c>
      <c r="F522" t="inlineStr">
        <is>
          <t>B075BZ9PS1</t>
        </is>
      </c>
      <c r="G522">
        <f>_xlfn.IMAGE("https://www.zoro.com/static/cms/product/full/Urrea Professional Tools, Inc_138030xxff2189.jpeg")</f>
        <v/>
      </c>
      <c r="H522">
        <f>_xlfn.IMAGE("https://m.media-amazon.com/images/I/716kXzIyTnL._AC_UL320_.jpg")</f>
        <v/>
      </c>
      <c r="K522" t="inlineStr">
        <is>
          <t>1.79</t>
        </is>
      </c>
      <c r="L522" t="n">
        <v>39.99</v>
      </c>
      <c r="M522" s="2" t="inlineStr">
        <is>
          <t>2134.08%</t>
        </is>
      </c>
      <c r="N522" t="n">
        <v>4.1</v>
      </c>
      <c r="O522" t="n">
        <v>68</v>
      </c>
      <c r="Q522" t="inlineStr">
        <is>
          <t>undefined</t>
        </is>
      </c>
      <c r="R522" t="inlineStr">
        <is>
          <t>undefined</t>
        </is>
      </c>
      <c r="S522" t="inlineStr">
        <is>
          <t>G007198301</t>
        </is>
      </c>
    </row>
    <row r="523" ht="75" customHeight="1">
      <c r="A523" s="1">
        <f>HYPERLINK("https://www.zoro.com/surtek-masking-tape-12-x-50m-138030/i/G007198301/", "https://www.zoro.com/surtek-masking-tape-12-x-50m-138030/i/G007198301/")</f>
        <v/>
      </c>
      <c r="B523" s="1">
        <f>HYPERLINK("https://www.zoro.com/surtek-masking-tape-12-x-50m-138030/i/G007198301/", "https://www.zoro.com/surtek-masking-tape-12-x-50m-138030/i/G007198301/")</f>
        <v/>
      </c>
      <c r="C523" t="inlineStr">
        <is>
          <t>Masking Tape 12 X 50M</t>
        </is>
      </c>
      <c r="D523" t="inlineStr">
        <is>
          <t>Wide Blue Painters Tape, 12 inch x 60 Yards, 3D Printing Tape, Easy Clean Removal up to 21 Days, Masking Tape</t>
        </is>
      </c>
      <c r="E523" s="1">
        <f>HYPERLINK("https://www.amazon.com/Painters-Yards-Printing-Removal-Masking/dp/B08XS3X9S9/ref=sr_1_2?keywords=Masking+Tape+12+X+50M&amp;qid=1695348021&amp;sr=8-2", "https://www.amazon.com/Painters-Yards-Printing-Removal-Masking/dp/B08XS3X9S9/ref=sr_1_2?keywords=Masking+Tape+12+X+50M&amp;qid=1695348021&amp;sr=8-2")</f>
        <v/>
      </c>
      <c r="F523" t="inlineStr">
        <is>
          <t>B08XS3X9S9</t>
        </is>
      </c>
      <c r="G523">
        <f>_xlfn.IMAGE("https://www.zoro.com/static/cms/product/full/Urrea Professional Tools, Inc_138030xxff2189.jpeg")</f>
        <v/>
      </c>
      <c r="H523">
        <f>_xlfn.IMAGE("https://m.media-amazon.com/images/I/61UsJ2Yp1iL._AC_UL320_.jpg")</f>
        <v/>
      </c>
      <c r="K523" t="inlineStr">
        <is>
          <t>1.79</t>
        </is>
      </c>
      <c r="L523" t="n">
        <v>24.99</v>
      </c>
      <c r="M523" s="2" t="inlineStr">
        <is>
          <t>1296.09%</t>
        </is>
      </c>
      <c r="N523" t="n">
        <v>4.5</v>
      </c>
      <c r="O523" t="n">
        <v>391</v>
      </c>
      <c r="Q523" t="inlineStr">
        <is>
          <t>undefined</t>
        </is>
      </c>
      <c r="R523" t="inlineStr">
        <is>
          <t>undefined</t>
        </is>
      </c>
      <c r="S523" t="inlineStr">
        <is>
          <t>G007198301</t>
        </is>
      </c>
    </row>
    <row r="524" ht="75" customHeight="1">
      <c r="A524" s="1">
        <f>HYPERLINK("https://www.zoro.com/trimaco-paper-masking-green-12inx180ft-12212/i/G707070488/", "https://www.zoro.com/trimaco-paper-masking-green-12inx180ft-12212/i/G707070488/")</f>
        <v/>
      </c>
      <c r="B524" s="1">
        <f>HYPERLINK("https://www.zoro.com/trimaco-paper-masking-green-12inx180ft-12212/i/G707070488/", "https://www.zoro.com/trimaco-paper-masking-green-12inx180ft-12212/i/G707070488/")</f>
        <v/>
      </c>
      <c r="C524" t="inlineStr">
        <is>
          <t>Paper Masking Green 12Inx180Ft</t>
        </is>
      </c>
      <c r="D524" t="inlineStr">
        <is>
          <t>Trimaco 12317AMZ Green Premium General Purpose Masking Paper</t>
        </is>
      </c>
      <c r="E524" s="1">
        <f>HYPERLINK("https://www.amazon.com/Trimaco-12317AMZ-Green-Premium-Masking/dp/B07YXQHSGY/ref=sr_1_4?keywords=Paper+Masking+Green+12Inx180Ft&amp;qid=1695347969&amp;sr=8-4", "https://www.amazon.com/Trimaco-12317AMZ-Green-Premium-Masking/dp/B07YXQHSGY/ref=sr_1_4?keywords=Paper+Masking+Green+12Inx180Ft&amp;qid=1695347969&amp;sr=8-4")</f>
        <v/>
      </c>
      <c r="F524" t="inlineStr">
        <is>
          <t>B07YXQHSGY</t>
        </is>
      </c>
      <c r="G524">
        <f>_xlfn.IMAGE("https://www.zoro.com/static/cms/product/full/Promax Supply dba Acktify_ACK277234xx01975c.jpeg")</f>
        <v/>
      </c>
      <c r="H524">
        <f>_xlfn.IMAGE("https://m.media-amazon.com/images/I/81lt30g9orL._AC_UL320_.jpg")</f>
        <v/>
      </c>
      <c r="K524" t="inlineStr">
        <is>
          <t>7.79</t>
        </is>
      </c>
      <c r="L524" t="n">
        <v>48.73</v>
      </c>
      <c r="M524" s="2" t="inlineStr">
        <is>
          <t>525.55%</t>
        </is>
      </c>
      <c r="N524" t="n">
        <v>4.6</v>
      </c>
      <c r="O524" t="n">
        <v>473</v>
      </c>
      <c r="Q524" t="inlineStr">
        <is>
          <t>InStock</t>
        </is>
      </c>
      <c r="R524" t="inlineStr">
        <is>
          <t>undefined</t>
        </is>
      </c>
      <c r="S524" t="inlineStr">
        <is>
          <t>G707070488</t>
        </is>
      </c>
    </row>
    <row r="525" ht="75" customHeight="1">
      <c r="A525" s="1">
        <f>HYPERLINK("https://www.zoro.com/trimaco-paper-masking-green-12inx180ft-12212/i/G707070488/", "https://www.zoro.com/trimaco-paper-masking-green-12inx180ft-12212/i/G707070488/")</f>
        <v/>
      </c>
      <c r="B525" s="1">
        <f>HYPERLINK("https://www.zoro.com/trimaco-paper-masking-green-12inx180ft-12212/i/G707070488/", "https://www.zoro.com/trimaco-paper-masking-green-12inx180ft-12212/i/G707070488/")</f>
        <v/>
      </c>
      <c r="C525" t="inlineStr">
        <is>
          <t>Paper Masking Green 12Inx180Ft</t>
        </is>
      </c>
      <c r="D525" t="inlineStr">
        <is>
          <t>Mass King 18" 35# Green Machine Finished Automotive Masking Paper - 700' (1)</t>
        </is>
      </c>
      <c r="E525" s="1">
        <f>HYPERLINK("https://www.amazon.com/Mass-King-Machine-Finished-Automotive/dp/B07MVPBYV6/ref=sr_1_7?keywords=Paper+Masking+Green+12Inx180Ft&amp;qid=1695347969&amp;sr=8-7", "https://www.amazon.com/Mass-King-Machine-Finished-Automotive/dp/B07MVPBYV6/ref=sr_1_7?keywords=Paper+Masking+Green+12Inx180Ft&amp;qid=1695347969&amp;sr=8-7")</f>
        <v/>
      </c>
      <c r="F525" t="inlineStr">
        <is>
          <t>B07MVPBYV6</t>
        </is>
      </c>
      <c r="G525">
        <f>_xlfn.IMAGE("https://www.zoro.com/static/cms/product/full/Promax Supply dba Acktify_ACK277234xx01975c.jpeg")</f>
        <v/>
      </c>
      <c r="H525">
        <f>_xlfn.IMAGE("https://m.media-amazon.com/images/I/41IhVlFV1fL._AC_UL320_.jpg")</f>
        <v/>
      </c>
      <c r="K525" t="inlineStr">
        <is>
          <t>7.79</t>
        </is>
      </c>
      <c r="L525" t="n">
        <v>27</v>
      </c>
      <c r="M525" s="2" t="inlineStr">
        <is>
          <t>246.60%</t>
        </is>
      </c>
      <c r="N525" t="n">
        <v>5</v>
      </c>
      <c r="O525" t="n">
        <v>5</v>
      </c>
      <c r="Q525" t="inlineStr">
        <is>
          <t>InStock</t>
        </is>
      </c>
      <c r="R525" t="inlineStr">
        <is>
          <t>undefined</t>
        </is>
      </c>
      <c r="S525" t="inlineStr">
        <is>
          <t>G707070488</t>
        </is>
      </c>
    </row>
    <row r="526" ht="75" customHeight="1">
      <c r="A526" s="1">
        <f>HYPERLINK("https://www.zoro.com/trimaco-paper-masking-green-12inx180ft-12212/i/G707070488/", "https://www.zoro.com/trimaco-paper-masking-green-12inx180ft-12212/i/G707070488/")</f>
        <v/>
      </c>
      <c r="B526" s="1">
        <f>HYPERLINK("https://www.zoro.com/trimaco-paper-masking-green-12inx180ft-12212/i/G707070488/", "https://www.zoro.com/trimaco-paper-masking-green-12inx180ft-12212/i/G707070488/")</f>
        <v/>
      </c>
      <c r="C526" t="inlineStr">
        <is>
          <t>Paper Masking Green 12Inx180Ft</t>
        </is>
      </c>
      <c r="D526" t="inlineStr">
        <is>
          <t>Mass King 18" 35# Green Machine Finished Automotive Masking Paper - 500' 18" x 500 ft</t>
        </is>
      </c>
      <c r="E526" s="1">
        <f>HYPERLINK("https://www.amazon.com/Mass-King-Machine-Finished-Automotive/dp/B0C955QBFH/ref=sr_1_2?keywords=Paper+Masking+Green+12Inx180Ft&amp;qid=1695347969&amp;sr=8-2", "https://www.amazon.com/Mass-King-Machine-Finished-Automotive/dp/B0C955QBFH/ref=sr_1_2?keywords=Paper+Masking+Green+12Inx180Ft&amp;qid=1695347969&amp;sr=8-2")</f>
        <v/>
      </c>
      <c r="F526" t="inlineStr">
        <is>
          <t>B0C955QBFH</t>
        </is>
      </c>
      <c r="G526">
        <f>_xlfn.IMAGE("https://www.zoro.com/static/cms/product/full/Promax Supply dba Acktify_ACK277234xx01975c.jpeg")</f>
        <v/>
      </c>
      <c r="H526">
        <f>_xlfn.IMAGE("https://m.media-amazon.com/images/I/31KeLWI+qaL._AC_UL320_.jpg")</f>
        <v/>
      </c>
      <c r="K526" t="inlineStr">
        <is>
          <t>7.79</t>
        </is>
      </c>
      <c r="L526" t="n">
        <v>23.99</v>
      </c>
      <c r="M526" s="2" t="inlineStr">
        <is>
          <t>207.96%</t>
        </is>
      </c>
      <c r="N526" t="n">
        <v>5</v>
      </c>
      <c r="O526" t="n">
        <v>1</v>
      </c>
      <c r="Q526" t="inlineStr">
        <is>
          <t>InStock</t>
        </is>
      </c>
      <c r="R526" t="inlineStr">
        <is>
          <t>undefined</t>
        </is>
      </c>
      <c r="S526" t="inlineStr">
        <is>
          <t>G707070488</t>
        </is>
      </c>
    </row>
    <row r="527" ht="75" customHeight="1">
      <c r="A527" s="1">
        <f>HYPERLINK("https://www.zoro.com/trimaco-paper-masking-green-12inx180ft-12212/i/G707070488/", "https://www.zoro.com/trimaco-paper-masking-green-12inx180ft-12212/i/G707070488/")</f>
        <v/>
      </c>
      <c r="B527" s="1">
        <f>HYPERLINK("https://www.zoro.com/trimaco-paper-masking-green-12inx180ft-12212/i/G707070488/", "https://www.zoro.com/trimaco-paper-masking-green-12inx180ft-12212/i/G707070488/")</f>
        <v/>
      </c>
      <c r="C527" t="inlineStr">
        <is>
          <t>Paper Masking Green 12Inx180Ft</t>
        </is>
      </c>
      <c r="D527" t="inlineStr">
        <is>
          <t>Pre-Taped Masking Paper for Painting - 24 inch x 50 feet Tape and Drape Painters Paper, Paint Adhesive Protective Paper Roll for Covering Skirting, Frames, Cars and Auto Body (3 Rolls) Green</t>
        </is>
      </c>
      <c r="E527" s="1">
        <f>HYPERLINK("https://www.amazon.com/Pre-Taped-Masking-Paper-Painting-Protective/dp/B0BZCWH323/ref=sr_1_10?keywords=Paper+Masking+Green+12Inx180Ft&amp;qid=1695347969&amp;sr=8-10", "https://www.amazon.com/Pre-Taped-Masking-Paper-Painting-Protective/dp/B0BZCWH323/ref=sr_1_10?keywords=Paper+Masking+Green+12Inx180Ft&amp;qid=1695347969&amp;sr=8-10")</f>
        <v/>
      </c>
      <c r="F527" t="inlineStr">
        <is>
          <t>B0BZCWH323</t>
        </is>
      </c>
      <c r="G527">
        <f>_xlfn.IMAGE("https://www.zoro.com/static/cms/product/full/Promax Supply dba Acktify_ACK277234xx01975c.jpeg")</f>
        <v/>
      </c>
      <c r="H527">
        <f>_xlfn.IMAGE("https://m.media-amazon.com/images/I/6197W7AmNpL._MCnd_AC_UL320_.jpg")</f>
        <v/>
      </c>
      <c r="K527" t="inlineStr">
        <is>
          <t>7.79</t>
        </is>
      </c>
      <c r="L527" t="n">
        <v>16.99</v>
      </c>
      <c r="M527" s="2" t="inlineStr">
        <is>
          <t>118.10%</t>
        </is>
      </c>
      <c r="N527" t="n">
        <v>4.6</v>
      </c>
      <c r="O527" t="n">
        <v>71</v>
      </c>
      <c r="Q527" t="inlineStr">
        <is>
          <t>InStock</t>
        </is>
      </c>
      <c r="R527" t="inlineStr">
        <is>
          <t>undefined</t>
        </is>
      </c>
      <c r="S527" t="inlineStr">
        <is>
          <t>G707070488</t>
        </is>
      </c>
    </row>
    <row r="528" ht="75" customHeight="1">
      <c r="A528" s="1">
        <f>HYPERLINK("https://www.zoro.com/trimaco-paper-masking-green-18inx180ft-12218/i/G007070423/", "https://www.zoro.com/trimaco-paper-masking-green-18inx180ft-12218/i/G007070423/")</f>
        <v/>
      </c>
      <c r="B528" s="1">
        <f>HYPERLINK("https://www.zoro.com/trimaco-paper-masking-green-18inx180ft-12218/i/G007070423/", "https://www.zoro.com/trimaco-paper-masking-green-18inx180ft-12218/i/G007070423/")</f>
        <v/>
      </c>
      <c r="C528" t="inlineStr">
        <is>
          <t>Paper Masking Green 18Inx180Ft</t>
        </is>
      </c>
      <c r="D528" t="inlineStr">
        <is>
          <t>18" 35# Green Machine Finished Automotive Masking Paper - 700' (1)</t>
        </is>
      </c>
      <c r="E528" s="1">
        <f>HYPERLINK("https://www.amazon.com/Mass-King-Machine-Finished-Automotive/dp/B07MVPBYV6/ref=sr_1_4?keywords=Paper+Masking+Green+18Inx180Ft&amp;qid=1695347965&amp;sr=8-4", "https://www.amazon.com/Mass-King-Machine-Finished-Automotive/dp/B07MVPBYV6/ref=sr_1_4?keywords=Paper+Masking+Green+18Inx180Ft&amp;qid=1695347965&amp;sr=8-4")</f>
        <v/>
      </c>
      <c r="F528" t="inlineStr">
        <is>
          <t>B07MVPBYV6</t>
        </is>
      </c>
      <c r="G528">
        <f>_xlfn.IMAGE("https://www.zoro.com/static/cms/product/full/Promax Supply dba Acktify_ACK288616xx9b21d2.jpeg")</f>
        <v/>
      </c>
      <c r="H528">
        <f>_xlfn.IMAGE("https://m.media-amazon.com/images/I/41IhVlFV1fL._AC_UL320_.jpg")</f>
        <v/>
      </c>
      <c r="K528" t="inlineStr">
        <is>
          <t>12.59</t>
        </is>
      </c>
      <c r="L528" t="n">
        <v>27</v>
      </c>
      <c r="M528" s="2" t="inlineStr">
        <is>
          <t>114.46%</t>
        </is>
      </c>
      <c r="N528" t="n">
        <v>5</v>
      </c>
      <c r="O528" t="n">
        <v>5</v>
      </c>
      <c r="Q528" t="inlineStr">
        <is>
          <t>InStock</t>
        </is>
      </c>
      <c r="R528" t="inlineStr">
        <is>
          <t>undefined</t>
        </is>
      </c>
      <c r="S528" t="inlineStr">
        <is>
          <t>G007070423</t>
        </is>
      </c>
    </row>
    <row r="529" ht="75" customHeight="1">
      <c r="A529" s="1">
        <f>HYPERLINK("https://www.zoro.com/trimaco-paper-masking-green-18inx180ft-12218/i/G007070423/", "https://www.zoro.com/trimaco-paper-masking-green-18inx180ft-12218/i/G007070423/")</f>
        <v/>
      </c>
      <c r="B529" s="1">
        <f>HYPERLINK("https://www.zoro.com/trimaco-paper-masking-green-18inx180ft-12218/i/G007070423/", "https://www.zoro.com/trimaco-paper-masking-green-18inx180ft-12218/i/G007070423/")</f>
        <v/>
      </c>
      <c r="C529" t="inlineStr">
        <is>
          <t>Paper Masking Green 18Inx180Ft</t>
        </is>
      </c>
      <c r="D529" t="inlineStr">
        <is>
          <t>18" 35# Green Machine Finished Automotive Masking Paper - 500' 18" x 500 ft</t>
        </is>
      </c>
      <c r="E529" s="1">
        <f>HYPERLINK("https://www.amazon.com/Mass-King-Machine-Finished-Automotive/dp/B0C955QBFH/ref=sr_1_2?keywords=Paper+Masking+Green+18Inx180Ft&amp;qid=1695347965&amp;sr=8-2", "https://www.amazon.com/Mass-King-Machine-Finished-Automotive/dp/B0C955QBFH/ref=sr_1_2?keywords=Paper+Masking+Green+18Inx180Ft&amp;qid=1695347965&amp;sr=8-2")</f>
        <v/>
      </c>
      <c r="F529" t="inlineStr">
        <is>
          <t>B0C955QBFH</t>
        </is>
      </c>
      <c r="G529">
        <f>_xlfn.IMAGE("https://www.zoro.com/static/cms/product/full/Promax Supply dba Acktify_ACK288616xx9b21d2.jpeg")</f>
        <v/>
      </c>
      <c r="H529">
        <f>_xlfn.IMAGE("https://m.media-amazon.com/images/I/31KeLWI+qaL._AC_UL320_.jpg")</f>
        <v/>
      </c>
      <c r="K529" t="inlineStr">
        <is>
          <t>12.59</t>
        </is>
      </c>
      <c r="L529" t="n">
        <v>23.99</v>
      </c>
      <c r="M529" s="2" t="inlineStr">
        <is>
          <t>90.55%</t>
        </is>
      </c>
      <c r="N529" t="n">
        <v>5</v>
      </c>
      <c r="O529" t="n">
        <v>1</v>
      </c>
      <c r="Q529" t="inlineStr">
        <is>
          <t>InStock</t>
        </is>
      </c>
      <c r="R529" t="inlineStr">
        <is>
          <t>undefined</t>
        </is>
      </c>
      <c r="S529" t="inlineStr">
        <is>
          <t>G007070423</t>
        </is>
      </c>
    </row>
    <row r="530" ht="75" customHeight="1">
      <c r="A530" s="1">
        <f>HYPERLINK("https://www.zoro.com/wirearmour-linerless-rubber-tape-34-x-30-46-130c-34x30/i/G402015913/", "https://www.zoro.com/wirearmour-linerless-rubber-tape-34-x-30-46-130c-34x30/i/G402015913/")</f>
        <v/>
      </c>
      <c r="B530" s="1">
        <f>HYPERLINK("https://www.zoro.com/wirearmour-linerless-rubber-tape-34-x-30-46-130c-34x30/i/G402015913/", "https://www.zoro.com/wirearmour-linerless-rubber-tape-34-x-30-46-130c-34x30/i/G402015913/")</f>
        <v/>
      </c>
      <c r="C530" t="inlineStr">
        <is>
          <t>Linerless Rubber Tape 3/4 x 30</t>
        </is>
      </c>
      <c r="D530" t="inlineStr">
        <is>
          <t>3M 130C-3/4X30FT Premium Grade Linerless Rubber Splicing Tape 0.75 Inch x 30 ft x 30 mil Ethylene Rubber Backing Black Scotch</t>
        </is>
      </c>
      <c r="E530" s="1">
        <f>HYPERLINK("https://www.amazon.com/SEPTLS50041717-Electrical-Scotch-Linerless-Splicing/dp/B00B7455DA/ref=sr_1_1?keywords=Linerless+Rubber+Tape+3%2F4+x+30&amp;qid=1695348139&amp;sr=8-1", "https://www.amazon.com/SEPTLS50041717-Electrical-Scotch-Linerless-Splicing/dp/B00B7455DA/ref=sr_1_1?keywords=Linerless+Rubber+Tape+3%2F4+x+30&amp;qid=1695348139&amp;sr=8-1")</f>
        <v/>
      </c>
      <c r="F530" t="inlineStr">
        <is>
          <t>B00B7455DA</t>
        </is>
      </c>
      <c r="G530">
        <f>_xlfn.IMAGE("https://www.zoro.com/static/cms/product/full/Grainger_46xx130Cxx3xx4x30j8ok78.jpg")</f>
        <v/>
      </c>
      <c r="H530">
        <f>_xlfn.IMAGE("https://m.media-amazon.com/images/I/61oYtIAiOUL._AC_UY218_.jpg")</f>
        <v/>
      </c>
      <c r="K530" t="inlineStr">
        <is>
          <t>17.75</t>
        </is>
      </c>
      <c r="L530" t="n">
        <v>30.1</v>
      </c>
      <c r="M530" s="2" t="inlineStr">
        <is>
          <t>69.58%</t>
        </is>
      </c>
      <c r="N530" t="n">
        <v>4</v>
      </c>
      <c r="O530" t="n">
        <v>1</v>
      </c>
      <c r="Q530" t="inlineStr">
        <is>
          <t>InStock</t>
        </is>
      </c>
      <c r="R530" t="inlineStr">
        <is>
          <t>undefined</t>
        </is>
      </c>
      <c r="S530" t="inlineStr">
        <is>
          <t>G402015913</t>
        </is>
      </c>
    </row>
    <row r="531" ht="75" customHeight="1">
      <c r="A531" s="1">
        <f>HYPERLINK("https://www.zoro.com/wirearmour-linerless-rubber-tape-34-x-30-46-130c-34x30/i/G402015913/", "https://www.zoro.com/wirearmour-linerless-rubber-tape-34-x-30-46-130c-34x30/i/G402015913/")</f>
        <v/>
      </c>
      <c r="B531" s="1">
        <f>HYPERLINK("https://www.zoro.com/wirearmour-linerless-rubber-tape-34-x-30-46-130c-34x30/i/G402015913/", "https://www.zoro.com/wirearmour-linerless-rubber-tape-34-x-30-46-130c-34x30/i/G402015913/")</f>
        <v/>
      </c>
      <c r="C531" t="inlineStr">
        <is>
          <t>Linerless Rubber Tape 3/4 x 30</t>
        </is>
      </c>
      <c r="D531" t="inlineStr">
        <is>
          <t>3M 130C-3/4X30FT Premium Grade Linerless Rubber Splicing Tape 0.75 Inch x 30 ft x 30 mil Ethylene Rubber Backing Black Scotch</t>
        </is>
      </c>
      <c r="E531" s="1">
        <f>HYPERLINK("https://www.amazon.com/SEPTLS50041717-Electrical-Scotch-Linerless-Splicing/dp/B00B7455DA/ref=sr_1_1?keywords=Linerless+Rubber+Tape+3%2F4+x+30&amp;qid=1695348139&amp;sr=8-1", "https://www.amazon.com/SEPTLS50041717-Electrical-Scotch-Linerless-Splicing/dp/B00B7455DA/ref=sr_1_1?keywords=Linerless+Rubber+Tape+3%2F4+x+30&amp;qid=1695348139&amp;sr=8-1")</f>
        <v/>
      </c>
      <c r="F531" t="inlineStr">
        <is>
          <t>B00B7455DA</t>
        </is>
      </c>
      <c r="G531">
        <f>_xlfn.IMAGE("https://www.zoro.com/static/cms/product/full/Grainger_46xx130Cxx3xx4x30j8ok78.jpg")</f>
        <v/>
      </c>
      <c r="H531">
        <f>_xlfn.IMAGE("https://m.media-amazon.com/images/I/61oYtIAiOUL._AC_UY218_.jpg")</f>
        <v/>
      </c>
      <c r="K531" t="inlineStr">
        <is>
          <t>17.75</t>
        </is>
      </c>
      <c r="L531" t="n">
        <v>30.1</v>
      </c>
      <c r="M531" s="2" t="inlineStr">
        <is>
          <t>69.58%</t>
        </is>
      </c>
      <c r="N531" t="n">
        <v>4</v>
      </c>
      <c r="O531" t="n">
        <v>1</v>
      </c>
      <c r="Q531" t="inlineStr">
        <is>
          <t>InStock</t>
        </is>
      </c>
      <c r="R531" t="inlineStr">
        <is>
          <t>undefined</t>
        </is>
      </c>
      <c r="S531" t="inlineStr">
        <is>
          <t>G402015913</t>
        </is>
      </c>
    </row>
    <row r="532" ht="75" customHeight="1">
      <c r="A532" s="1">
        <f>HYPERLINK("https://www.zoro.com/zoro-select-masking-tape-paper-green-tc150-2-x-60yd/i/G5778195/", "https://www.zoro.com/zoro-select-masking-tape-paper-green-tc150-2-x-60yd/i/G5778195/")</f>
        <v/>
      </c>
      <c r="B532" s="1">
        <f>HYPERLINK("https://www.zoro.com/zoro-select-masking-tape-paper-green-tc150-2-x-60yd/i/G5778195/", "https://www.zoro.com/zoro-select-masking-tape-paper-green-tc150-2-x-60yd/i/G5778195/")</f>
        <v/>
      </c>
      <c r="C532" t="inlineStr">
        <is>
          <t>Masking Tape, Paper, Green</t>
        </is>
      </c>
      <c r="D532" t="inlineStr">
        <is>
          <t>3M 401+ 3" x 60yd High Performance Masking Tape - 3" x 60 Yards Roll, Crepe Paper, Green</t>
        </is>
      </c>
      <c r="E532" s="1">
        <f>HYPERLINK("https://www.amazon.com/3M-401-60yd-Performance-Masking/dp/B00JESXV78/ref=sr_1_10?keywords=Masking+Tape%2C+Paper%2C+Green&amp;qid=1695347895&amp;sr=8-10", "https://www.amazon.com/3M-401-60yd-Performance-Masking/dp/B00JESXV78/ref=sr_1_10?keywords=Masking+Tape%2C+Paper%2C+Green&amp;qid=1695347895&amp;sr=8-10")</f>
        <v/>
      </c>
      <c r="F532" t="inlineStr">
        <is>
          <t>B00JESXV78</t>
        </is>
      </c>
      <c r="G532">
        <f>_xlfn.IMAGE("https://www.zoro.com/static/cms/product/full/Z1xy_vncpEx_.JPG")</f>
        <v/>
      </c>
      <c r="H532">
        <f>_xlfn.IMAGE("https://m.media-amazon.com/images/I/61i2KE9t2UL._AC_UL320_.jpg")</f>
        <v/>
      </c>
      <c r="K532" t="inlineStr">
        <is>
          <t>11.65</t>
        </is>
      </c>
      <c r="L532" t="n">
        <v>29.37</v>
      </c>
      <c r="M532" s="2" t="inlineStr">
        <is>
          <t>152.10%</t>
        </is>
      </c>
      <c r="N532" t="n">
        <v>4</v>
      </c>
      <c r="O532" t="n">
        <v>10</v>
      </c>
      <c r="Q532" t="inlineStr">
        <is>
          <t>InStock</t>
        </is>
      </c>
      <c r="R532" t="inlineStr">
        <is>
          <t>undefined</t>
        </is>
      </c>
      <c r="S532" t="inlineStr">
        <is>
          <t>G5778195</t>
        </is>
      </c>
    </row>
    <row r="533" ht="75" customHeight="1">
      <c r="A533" s="1">
        <f>HYPERLINK("https://www.zoro.com/zoro-select-masking-tape-paper-tan-tc083-2-x-60yd/i/G5778073/", "https://www.zoro.com/zoro-select-masking-tape-paper-tan-tc083-2-x-60yd/i/G5778073/")</f>
        <v/>
      </c>
      <c r="B533" s="1">
        <f>HYPERLINK("https://www.zoro.com/zoro-select-masking-tape-paper-tan-tc083-2-x-60yd/i/G5778073/", "https://www.zoro.com/zoro-select-masking-tape-paper-tan-tc083-2-x-60yd/i/G5778073/")</f>
        <v/>
      </c>
      <c r="C533" t="inlineStr">
        <is>
          <t>Masking Tape, Paper, Tan</t>
        </is>
      </c>
      <c r="D533" t="inlineStr">
        <is>
          <t>Scotch Contractor Grade Masking Tape, Tan, Tape for General Use, Multi-Surface Adhesive Tape, 0.94 Inches x 60.1 Yards, 9 Rolls</t>
        </is>
      </c>
      <c r="E533" s="1">
        <f>HYPERLINK("https://www.amazon.com/Scotch-Contractor-Masking-Tape-inches/dp/B00125V10U/ref=sr_1_6?keywords=Masking+Tape%2C+Paper%2C+Tan&amp;qid=1695347889&amp;sr=8-6", "https://www.amazon.com/Scotch-Contractor-Masking-Tape-inches/dp/B00125V10U/ref=sr_1_6?keywords=Masking+Tape%2C+Paper%2C+Tan&amp;qid=1695347889&amp;sr=8-6")</f>
        <v/>
      </c>
      <c r="F533" t="inlineStr">
        <is>
          <t>B00125V10U</t>
        </is>
      </c>
      <c r="G533">
        <f>_xlfn.IMAGE("https://www.zoro.com/static/cms/product/full/Z1xy_uicpEx_.JPG")</f>
        <v/>
      </c>
      <c r="H533">
        <f>_xlfn.IMAGE("https://m.media-amazon.com/images/I/71XpgseDv+L._AC_UL320_.jpg")</f>
        <v/>
      </c>
      <c r="K533" t="inlineStr">
        <is>
          <t>8.05</t>
        </is>
      </c>
      <c r="L533" t="n">
        <v>19.98</v>
      </c>
      <c r="M533" s="2" t="inlineStr">
        <is>
          <t>148.20%</t>
        </is>
      </c>
      <c r="N533" t="n">
        <v>4.7</v>
      </c>
      <c r="O533" t="n">
        <v>905</v>
      </c>
      <c r="Q533" t="inlineStr">
        <is>
          <t>InStock</t>
        </is>
      </c>
      <c r="R533" t="inlineStr">
        <is>
          <t>undefined</t>
        </is>
      </c>
      <c r="S533" t="inlineStr">
        <is>
          <t>G5778073</t>
        </is>
      </c>
    </row>
    <row r="534" ht="75" customHeight="1">
      <c r="A534" s="1">
        <f>HYPERLINK("https://www.zoro.com/zoro-select-masking-tape-paper-tan-tc083-2-x-60yd/i/G5778073/", "https://www.zoro.com/zoro-select-masking-tape-paper-tan-tc083-2-x-60yd/i/G5778073/")</f>
        <v/>
      </c>
      <c r="B534" s="1">
        <f>HYPERLINK("https://www.zoro.com/zoro-select-masking-tape-paper-tan-tc083-2-x-60yd/i/G5778073/", "https://www.zoro.com/zoro-select-masking-tape-paper-tan-tc083-2-x-60yd/i/G5778073/")</f>
        <v/>
      </c>
      <c r="C534" t="inlineStr">
        <is>
          <t>Masking Tape, Paper, Tan</t>
        </is>
      </c>
      <c r="D534" t="inlineStr">
        <is>
          <t>Scotch Painter's Tape Contractor Grade Masking Tan, Tape for General Use, Multi-Surface Adhesive Tape, 1.41 Inches x 60.1 Yards, 6 Rolls</t>
        </is>
      </c>
      <c r="E534" s="1">
        <f>HYPERLINK("https://www.amazon.com/Scotch-Contractor-Grade-Masking-Tape/dp/B00125NR8E/ref=sr_1_8?keywords=Masking+Tape%2C+Paper%2C+Tan&amp;qid=1695347889&amp;sr=8-8", "https://www.amazon.com/Scotch-Contractor-Grade-Masking-Tape/dp/B00125NR8E/ref=sr_1_8?keywords=Masking+Tape%2C+Paper%2C+Tan&amp;qid=1695347889&amp;sr=8-8")</f>
        <v/>
      </c>
      <c r="F534" t="inlineStr">
        <is>
          <t>B00125NR8E</t>
        </is>
      </c>
      <c r="G534">
        <f>_xlfn.IMAGE("https://www.zoro.com/static/cms/product/full/Z1xy_uicpEx_.JPG")</f>
        <v/>
      </c>
      <c r="H534">
        <f>_xlfn.IMAGE("https://m.media-amazon.com/images/I/71MYXD-OTpL._AC_UL320_.jpg")</f>
        <v/>
      </c>
      <c r="K534" t="inlineStr">
        <is>
          <t>8.05</t>
        </is>
      </c>
      <c r="L534" t="n">
        <v>17.75</v>
      </c>
      <c r="M534" s="2" t="inlineStr">
        <is>
          <t>120.50%</t>
        </is>
      </c>
      <c r="N534" t="n">
        <v>4.6</v>
      </c>
      <c r="O534" t="n">
        <v>366</v>
      </c>
      <c r="Q534" t="inlineStr">
        <is>
          <t>InStock</t>
        </is>
      </c>
      <c r="R534" t="inlineStr">
        <is>
          <t>undefined</t>
        </is>
      </c>
      <c r="S534" t="inlineStr">
        <is>
          <t>G5778073</t>
        </is>
      </c>
    </row>
    <row r="535" ht="75" customHeight="1">
      <c r="A535" s="1">
        <f>HYPERLINK("https://www.zoro.com/zoro-select-masking-tape-paper-tan-tc106-2-x-60yd/i/G5778213/", "https://www.zoro.com/zoro-select-masking-tape-paper-tan-tc106-2-x-60yd/i/G5778213/")</f>
        <v/>
      </c>
      <c r="B535" s="1">
        <f>HYPERLINK("https://www.zoro.com/zoro-select-masking-tape-paper-tan-tc106-2-x-60yd/i/G5778213/", "https://www.zoro.com/zoro-select-masking-tape-paper-tan-tc106-2-x-60yd/i/G5778213/")</f>
        <v/>
      </c>
      <c r="C535" t="inlineStr">
        <is>
          <t>Masking Tape, Paper, Tan</t>
        </is>
      </c>
      <c r="D535" t="inlineStr">
        <is>
          <t>Pre-Taped Paint Masking Paper and Masking Tape Sets,3 Rolls 22inch-50feet Painters Paper and 2 Rolls Painters Tape, Automotive Paint Paper, Tape and Drape Waterproof for Painting Protection Covering</t>
        </is>
      </c>
      <c r="E535" s="1" t="n"/>
      <c r="F535" t="inlineStr">
        <is>
          <t>B0BH26NZSX</t>
        </is>
      </c>
      <c r="G535">
        <f>_xlfn.IMAGE("https://www.zoro.com/static/cms/product/full/Z1xy_vicpEx_.JPG")</f>
        <v/>
      </c>
      <c r="H535">
        <f>_xlfn.IMAGE("https://m.media-amazon.com/images/I/71VhqmK4z4L._AC_UL320_.jpg")</f>
        <v/>
      </c>
      <c r="K535" t="inlineStr">
        <is>
          <t>6.55</t>
        </is>
      </c>
      <c r="L535" t="n">
        <v>24.99</v>
      </c>
      <c r="M535" s="2" t="inlineStr">
        <is>
          <t>281.53%</t>
        </is>
      </c>
      <c r="N535" t="n">
        <v>4.1</v>
      </c>
      <c r="O535" t="n">
        <v>47</v>
      </c>
      <c r="Q535" t="inlineStr">
        <is>
          <t>InStock</t>
        </is>
      </c>
      <c r="R535" t="inlineStr">
        <is>
          <t>undefined</t>
        </is>
      </c>
      <c r="S535" t="inlineStr">
        <is>
          <t>G5778213</t>
        </is>
      </c>
    </row>
    <row r="536" ht="75" customHeight="1">
      <c r="A536" s="1">
        <f>HYPERLINK("https://www.zoro.com/zoro-select-masking-tape-paper-tan-tc106-2-x-60yd/i/G5778213/", "https://www.zoro.com/zoro-select-masking-tape-paper-tan-tc106-2-x-60yd/i/G5778213/")</f>
        <v/>
      </c>
      <c r="B536" s="1">
        <f>HYPERLINK("https://www.zoro.com/zoro-select-masking-tape-paper-tan-tc106-2-x-60yd/i/G5778213/", "https://www.zoro.com/zoro-select-masking-tape-paper-tan-tc106-2-x-60yd/i/G5778213/")</f>
        <v/>
      </c>
      <c r="C536" t="inlineStr">
        <is>
          <t>Masking Tape, Paper, Tan</t>
        </is>
      </c>
      <c r="D536" t="inlineStr">
        <is>
          <t>Scotch Contractor Grade Masking Tape, Tan, Tape for General Use, Multi-Surface Adhesive Tape, 0.94 Inches x 60.1 Yards, 9 Rolls</t>
        </is>
      </c>
      <c r="E536" s="1">
        <f>HYPERLINK("https://www.amazon.com/Scotch-Contractor-Masking-Tape-inches/dp/B00125V10U/ref=sr_1_10?keywords=Masking+Tape%2C+Paper%2C+Tan&amp;qid=1695347889&amp;sr=8-10", "https://www.amazon.com/Scotch-Contractor-Masking-Tape-inches/dp/B00125V10U/ref=sr_1_10?keywords=Masking+Tape%2C+Paper%2C+Tan&amp;qid=1695347889&amp;sr=8-10")</f>
        <v/>
      </c>
      <c r="F536" t="inlineStr">
        <is>
          <t>B00125V10U</t>
        </is>
      </c>
      <c r="G536">
        <f>_xlfn.IMAGE("https://www.zoro.com/static/cms/product/full/Z1xy_vicpEx_.JPG")</f>
        <v/>
      </c>
      <c r="H536">
        <f>_xlfn.IMAGE("https://m.media-amazon.com/images/I/71XpgseDv+L._AC_UL320_.jpg")</f>
        <v/>
      </c>
      <c r="K536" t="inlineStr">
        <is>
          <t>6.55</t>
        </is>
      </c>
      <c r="L536" t="n">
        <v>19.98</v>
      </c>
      <c r="M536" s="2" t="inlineStr">
        <is>
          <t>205.04%</t>
        </is>
      </c>
      <c r="N536" t="n">
        <v>4.7</v>
      </c>
      <c r="O536" t="n">
        <v>905</v>
      </c>
      <c r="Q536" t="inlineStr">
        <is>
          <t>InStock</t>
        </is>
      </c>
      <c r="R536" t="inlineStr">
        <is>
          <t>undefined</t>
        </is>
      </c>
      <c r="S536" t="inlineStr">
        <is>
          <t>G5778213</t>
        </is>
      </c>
    </row>
    <row r="537" ht="75" customHeight="1">
      <c r="A537" s="1">
        <f>HYPERLINK("https://www.zoro.com/zoro-select-masking-tape-paper-tan-tc450-1-x-60yd/i/G5778439/", "https://www.zoro.com/zoro-select-masking-tape-paper-tan-tc450-1-x-60yd/i/G5778439/")</f>
        <v/>
      </c>
      <c r="B537" s="1">
        <f>HYPERLINK("https://www.zoro.com/zoro-select-masking-tape-paper-tan-tc450-1-x-60yd/i/G5778439/", "https://www.zoro.com/zoro-select-masking-tape-paper-tan-tc450-1-x-60yd/i/G5778439/")</f>
        <v/>
      </c>
      <c r="C537" t="inlineStr">
        <is>
          <t>Masking Tape, Paper, Tan</t>
        </is>
      </c>
      <c r="D537" t="inlineStr">
        <is>
          <t>Scotch Contractor Grade Masking Tape, Tan, Tape for General Use, Multi-Surface Adhesive Tape, 0.94 Inches x 60.1 Yards, 9 Rolls</t>
        </is>
      </c>
      <c r="E537" s="1">
        <f>HYPERLINK("https://www.amazon.com/Scotch-Contractor-Masking-Tape-inches/dp/B00125V10U/ref=sr_1_6?keywords=Masking+Tape%2C+Paper%2C+Tan&amp;qid=1695347928&amp;sr=8-6", "https://www.amazon.com/Scotch-Contractor-Masking-Tape-inches/dp/B00125V10U/ref=sr_1_6?keywords=Masking+Tape%2C+Paper%2C+Tan&amp;qid=1695347928&amp;sr=8-6")</f>
        <v/>
      </c>
      <c r="F537" t="inlineStr">
        <is>
          <t>B00125V10U</t>
        </is>
      </c>
      <c r="G537">
        <f>_xlfn.IMAGE("https://www.zoro.com/static/cms/product/full/Z1xy_xhcpEx_.JPG")</f>
        <v/>
      </c>
      <c r="H537">
        <f>_xlfn.IMAGE("https://m.media-amazon.com/images/I/71XpgseDv+L._AC_UL320_.jpg")</f>
        <v/>
      </c>
      <c r="K537" t="inlineStr">
        <is>
          <t>8.75</t>
        </is>
      </c>
      <c r="L537" t="n">
        <v>19.98</v>
      </c>
      <c r="M537" s="2" t="inlineStr">
        <is>
          <t>128.34%</t>
        </is>
      </c>
      <c r="N537" t="n">
        <v>4.7</v>
      </c>
      <c r="O537" t="n">
        <v>905</v>
      </c>
      <c r="Q537" t="inlineStr">
        <is>
          <t>InStock</t>
        </is>
      </c>
      <c r="R537" t="inlineStr">
        <is>
          <t>undefined</t>
        </is>
      </c>
      <c r="S537" t="inlineStr">
        <is>
          <t>G5778439</t>
        </is>
      </c>
    </row>
  </sheetData>
  <autoFilter ref="A1:W537">
    <sortState ref="A2:W537">
      <sortCondition ref="A1:A537"/>
    </sortState>
  </autoFilter>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2023-09-22T16:22:47Z</dcterms:created>
  <dcterms:modified xsi:type="dcterms:W3CDTF">2023-09-29T19:58:35Z</dcterms:modified>
  <cp:lastModifiedBy>John Connolly</cp:lastModifiedBy>
</cp:coreProperties>
</file>