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990" tabRatio="600" firstSheet="0" activeTab="0" autoFilterDateGrouping="1"/>
  </bookViews>
  <sheets>
    <sheet name="Sheet" sheetId="1" state="visible" r:id="rId1"/>
  </sheets>
  <definedNames>
    <definedName name="_xlnm._FilterDatabase" localSheetId="0" hidden="1">'Sheet'!$A$1:$W$571</definedName>
  </definedNames>
  <calcPr calcId="191029" fullCalcOnLoad="1"/>
</workbook>
</file>

<file path=xl/styles.xml><?xml version="1.0" encoding="utf-8"?>
<styleSheet xmlns="http://schemas.openxmlformats.org/spreadsheetml/2006/main">
  <numFmts count="0"/>
  <fonts count="3">
    <font>
      <name val="Calibri"/>
      <family val="2"/>
      <color theme="1"/>
      <sz val="11"/>
      <scheme val="minor"/>
    </font>
    <font>
      <name val="Calibri"/>
      <b val="1"/>
      <sz val="11"/>
    </font>
    <font>
      <name val="Calibri"/>
      <family val="2"/>
      <color theme="10"/>
      <sz val="12"/>
      <scheme val="minor"/>
    </font>
  </fonts>
  <fills count="4">
    <fill>
      <patternFill/>
    </fill>
    <fill>
      <patternFill patternType="gray125"/>
    </fill>
    <fill>
      <patternFill patternType="solid">
        <fgColor rgb="FF91BF4D"/>
        <bgColor rgb="FF91BF4D"/>
      </patternFill>
    </fill>
    <fill>
      <patternFill patternType="solid">
        <fgColor rgb="FFFFC000"/>
        <bgColor indexed="64"/>
      </patternFill>
    </fill>
  </fills>
  <borders count="1">
    <border>
      <left/>
      <right/>
      <top/>
      <bottom/>
      <diagonal/>
    </border>
  </borders>
  <cellStyleXfs count="2">
    <xf numFmtId="0" fontId="0" fillId="0" borderId="0"/>
    <xf numFmtId="0" fontId="2" fillId="0" borderId="0"/>
  </cellStyleXfs>
  <cellXfs count="5">
    <xf numFmtId="0" fontId="0" fillId="0" borderId="0" pivotButton="0" quotePrefix="0" xfId="0"/>
    <xf numFmtId="0" fontId="2" fillId="0" borderId="0" pivotButton="0" quotePrefix="0" xfId="1"/>
    <xf numFmtId="0" fontId="0" fillId="2" borderId="0" pivotButton="0" quotePrefix="0" xfId="0"/>
    <xf numFmtId="0" fontId="1" fillId="3" borderId="0" pivotButton="0" quotePrefix="0" xfId="0"/>
    <xf numFmtId="0" fontId="0" fillId="3" borderId="0" pivotButton="0" quotePrefix="0" xfId="0"/>
  </cellXfs>
  <cellStyles count="2">
    <cellStyle name="Normal" xfId="0" builtinId="0"/>
    <cellStyle name="Hyperlink" xfId="1" builtinId="8"/>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W571"/>
  <sheetViews>
    <sheetView tabSelected="1" workbookViewId="0">
      <pane ySplit="1" topLeftCell="A569" activePane="bottomLeft" state="frozen"/>
      <selection pane="bottomLeft" activeCell="E573" sqref="E573"/>
    </sheetView>
  </sheetViews>
  <sheetFormatPr baseColWidth="8" defaultRowHeight="75" customHeight="1"/>
  <cols>
    <col width="4" customWidth="1" min="1" max="1"/>
    <col width="18" customWidth="1" min="3" max="3"/>
    <col width="23.5703125" customWidth="1" min="4" max="4"/>
    <col width="30.7109375" customWidth="1" min="7" max="8"/>
  </cols>
  <sheetData>
    <row r="1" ht="15.75" customFormat="1" customHeight="1" s="4">
      <c r="A1" s="3" t="inlineStr">
        <is>
          <t>url</t>
        </is>
      </c>
      <c r="B1" s="3" t="inlineStr">
        <is>
          <t>canonicalUrl</t>
        </is>
      </c>
      <c r="C1" s="3" t="inlineStr">
        <is>
          <t>name</t>
        </is>
      </c>
      <c r="D1" s="3" t="inlineStr">
        <is>
          <t>Amazon Product Title</t>
        </is>
      </c>
      <c r="E1" s="3" t="inlineStr">
        <is>
          <t>Amazon Product URL</t>
        </is>
      </c>
      <c r="F1" s="3" t="inlineStr">
        <is>
          <t>ASIN</t>
        </is>
      </c>
      <c r="G1" s="3" t="inlineStr">
        <is>
          <t>Source Image</t>
        </is>
      </c>
      <c r="H1" s="3" t="inlineStr">
        <is>
          <t>Amazon Image</t>
        </is>
      </c>
      <c r="I1" s="3" t="inlineStr">
        <is>
          <t>Qualified?</t>
        </is>
      </c>
      <c r="J1" s="3" t="inlineStr">
        <is>
          <t>Notes</t>
        </is>
      </c>
      <c r="K1" s="3" t="inlineStr">
        <is>
          <t>offers/0/price</t>
        </is>
      </c>
      <c r="L1" s="3" t="inlineStr">
        <is>
          <t>Amazon Price</t>
        </is>
      </c>
      <c r="M1" s="3" t="inlineStr">
        <is>
          <t>ROI</t>
        </is>
      </c>
      <c r="N1" s="3" t="inlineStr">
        <is>
          <t>Rating</t>
        </is>
      </c>
      <c r="O1" s="3" t="inlineStr">
        <is>
          <t>ReviewCount</t>
        </is>
      </c>
      <c r="P1" s="3" t="inlineStr">
        <is>
          <t>offerCount</t>
        </is>
      </c>
      <c r="Q1" s="3" t="inlineStr">
        <is>
          <t>offers/0/availability</t>
        </is>
      </c>
      <c r="R1" s="3" t="inlineStr">
        <is>
          <t>offers/0/regularPrice</t>
        </is>
      </c>
      <c r="S1" s="3" t="inlineStr">
        <is>
          <t>sku</t>
        </is>
      </c>
      <c r="T1" s="3" t="inlineStr">
        <is>
          <t>Match?</t>
        </is>
      </c>
      <c r="U1" s="3" t="inlineStr">
        <is>
          <t>Qualified?</t>
        </is>
      </c>
      <c r="V1" s="3" t="inlineStr">
        <is>
          <t>Approved</t>
        </is>
      </c>
      <c r="W1" s="3" t="inlineStr">
        <is>
          <t>Notes</t>
        </is>
      </c>
    </row>
    <row r="2" ht="75" customHeight="1">
      <c r="A2" s="1">
        <f>HYPERLINK("https://www.toysrus.com/1903-wright-brother-flyer-laser-cut-model-G072365012028.html", "https://www.toysrus.com/1903-wright-brother-flyer-laser-cut-model-G072365012028.html")</f>
        <v/>
      </c>
      <c r="B2" s="1">
        <f>HYPERLINK("https://www.toysrus.com/1903-wright-brother-flyer-laser-cut-model-G072365012028.html", "https://www.toysrus.com/1903-wright-brother-flyer-laser-cut-model-G072365012028.html")</f>
        <v/>
      </c>
      <c r="C2" t="inlineStr">
        <is>
          <t>1903 Wright Brother Flyer Laser Cut Model</t>
        </is>
      </c>
      <c r="D2" t="inlineStr">
        <is>
          <t>Old Modern Handicrafts 1903 Wright Brother Flyer Model Scale 1:10, One Size, Multi</t>
        </is>
      </c>
      <c r="E2" s="1">
        <f>HYPERLINK("https://www.amazon.com/Old-Modern-Handicrafts-Wright-Brother/dp/B07ZLFSX56/ref=sr_1_3?keywords=1903+Wright+Brother+Flyer+Laser+Cut+Model&amp;qid=1695588782&amp;sr=8-3", "https://www.amazon.com/Old-Modern-Handicrafts-Wright-Brother/dp/B07ZLFSX56/ref=sr_1_3?keywords=1903+Wright+Brother+Flyer+Laser+Cut+Model&amp;qid=1695588782&amp;sr=8-3")</f>
        <v/>
      </c>
      <c r="F2" t="inlineStr">
        <is>
          <t>B07ZLFSX56</t>
        </is>
      </c>
      <c r="G2">
        <f>_xlfn.IMAGE("https://images.toysrus.com/1285/072365012028_1.jpg")</f>
        <v/>
      </c>
      <c r="H2">
        <f>_xlfn.IMAGE("https://m.media-amazon.com/images/I/51hNDUNSmdL._AC_UL320_.jpg")</f>
        <v/>
      </c>
      <c r="K2" t="inlineStr">
        <is>
          <t>49.99</t>
        </is>
      </c>
      <c r="L2" t="n">
        <v>716.14</v>
      </c>
      <c r="M2" s="2" t="inlineStr">
        <is>
          <t>1332.57%</t>
        </is>
      </c>
      <c r="N2" t="n">
        <v>5</v>
      </c>
      <c r="O2" t="n">
        <v>1</v>
      </c>
      <c r="Q2" t="inlineStr">
        <is>
          <t>InStock</t>
        </is>
      </c>
      <c r="R2" t="inlineStr">
        <is>
          <t>undefined</t>
        </is>
      </c>
      <c r="S2" t="inlineStr">
        <is>
          <t>G072365012028</t>
        </is>
      </c>
    </row>
    <row r="3" ht="75" customHeight="1">
      <c r="A3" s="1">
        <f>HYPERLINK("https://www.toysrus.com/1903-wright-brother-flyer-laser-cut-model-G072365012028.html", "https://www.toysrus.com/1903-wright-brother-flyer-laser-cut-model-G072365012028.html")</f>
        <v/>
      </c>
      <c r="B3" s="1">
        <f>HYPERLINK("https://www.toysrus.com/1903-wright-brother-flyer-laser-cut-model-G072365012028.html", "https://www.toysrus.com/1903-wright-brother-flyer-laser-cut-model-G072365012028.html")</f>
        <v/>
      </c>
      <c r="C3" t="inlineStr">
        <is>
          <t>1903 Wright Brother Flyer Laser Cut Model</t>
        </is>
      </c>
      <c r="D3" t="inlineStr">
        <is>
          <t>Model Expo Wright Brothers Flyer 1903 MA1020 Wood 1:16 Scale Kit Sale - Save 42% - Model Expo</t>
        </is>
      </c>
      <c r="E3" s="1">
        <f>HYPERLINK("https://www.amazon.com/Model-Wright-brothers-Flyer-MA1020/dp/B0088C4M3I/ref=sr_1_6?keywords=1903+Wright+Brother+Flyer+Laser+Cut+Model&amp;qid=1695588782&amp;sr=8-6", "https://www.amazon.com/Model-Wright-brothers-Flyer-MA1020/dp/B0088C4M3I/ref=sr_1_6?keywords=1903+Wright+Brother+Flyer+Laser+Cut+Model&amp;qid=1695588782&amp;sr=8-6")</f>
        <v/>
      </c>
      <c r="F3" t="inlineStr">
        <is>
          <t>B0088C4M3I</t>
        </is>
      </c>
      <c r="G3">
        <f>_xlfn.IMAGE("https://images.toysrus.com/1285/072365012028_1.jpg")</f>
        <v/>
      </c>
      <c r="H3">
        <f>_xlfn.IMAGE("https://m.media-amazon.com/images/I/61IQ+JTsXkL._AC_UL320_.jpg")</f>
        <v/>
      </c>
      <c r="K3" t="inlineStr">
        <is>
          <t>49.99</t>
        </is>
      </c>
      <c r="L3" t="n">
        <v>129.99</v>
      </c>
      <c r="M3" s="2" t="inlineStr">
        <is>
          <t>160.03%</t>
        </is>
      </c>
      <c r="N3" t="n">
        <v>4</v>
      </c>
      <c r="O3" t="n">
        <v>18</v>
      </c>
      <c r="Q3" t="inlineStr">
        <is>
          <t>InStock</t>
        </is>
      </c>
      <c r="R3" t="inlineStr">
        <is>
          <t>undefined</t>
        </is>
      </c>
      <c r="S3" t="inlineStr">
        <is>
          <t>G072365012028</t>
        </is>
      </c>
    </row>
    <row r="4" ht="75" customHeight="1">
      <c r="A4" s="1">
        <f>HYPERLINK("https://www.toysrus.com/4m-cross-4m-cross-stitch-kit-multicolor-G085761093539.html", "https://www.toysrus.com/4m-cross-4m-cross-stitch-kit-multicolor-G085761093539.html")</f>
        <v/>
      </c>
      <c r="B4" s="1">
        <f>HYPERLINK("https://www.toysrus.com/4m-cross-4m-cross-stitch-kit-multicolor-G085761093539.html", "https://www.toysrus.com/4m-cross-4m-cross-stitch-kit-multicolor-G085761093539.html")</f>
        <v/>
      </c>
      <c r="C4" t="inlineStr">
        <is>
          <t>4M Cross 4M Cross Stitch Kit, Multicolor</t>
        </is>
      </c>
      <c r="D4" t="inlineStr">
        <is>
          <t>Lucas Cross Stitch Kit, 3044.5cm, Multicolor</t>
        </is>
      </c>
      <c r="E4" s="1">
        <f>HYPERLINK("https://www.amazon.com/Lucas-Cross-Stitch-3044-5cm-Multicolor/dp/B00DS81UJQ/ref=sr_1_8?keywords=4M+Cross+4M+Cross+Stitch+Kit%2C+Multicolor&amp;qid=1695588668&amp;sr=8-8", "https://www.amazon.com/Lucas-Cross-Stitch-3044-5cm-Multicolor/dp/B00DS81UJQ/ref=sr_1_8?keywords=4M+Cross+4M+Cross+Stitch+Kit%2C+Multicolor&amp;qid=1695588668&amp;sr=8-8")</f>
        <v/>
      </c>
      <c r="F4" t="inlineStr">
        <is>
          <t>B00DS81UJQ</t>
        </is>
      </c>
      <c r="G4">
        <f>_xlfn.IMAGE("https://images.toysrus.com/1128598/085761093539_1.jpg")</f>
        <v/>
      </c>
      <c r="H4">
        <f>_xlfn.IMAGE("https://m.media-amazon.com/images/I/81BGRRU+mlL._AC_UL320_.jpg")</f>
        <v/>
      </c>
      <c r="K4" t="inlineStr">
        <is>
          <t>16.99</t>
        </is>
      </c>
      <c r="L4" t="n">
        <v>29.8</v>
      </c>
      <c r="M4" s="2" t="inlineStr">
        <is>
          <t>75.40%</t>
        </is>
      </c>
      <c r="N4" t="n">
        <v>4.2</v>
      </c>
      <c r="O4" t="n">
        <v>4</v>
      </c>
      <c r="Q4" t="inlineStr">
        <is>
          <t>InStock</t>
        </is>
      </c>
      <c r="R4" t="inlineStr">
        <is>
          <t>undefined</t>
        </is>
      </c>
      <c r="S4" t="inlineStr">
        <is>
          <t>G085761093539</t>
        </is>
      </c>
    </row>
    <row r="5" ht="75" customHeight="1">
      <c r="A5" s="1">
        <f>HYPERLINK("https://www.toysrus.com/4m-make-a-wind-chime-craft-kit-G085761048249.html", "https://www.toysrus.com/4m-make-a-wind-chime-craft-kit-G085761048249.html")</f>
        <v/>
      </c>
      <c r="B5" s="1">
        <f>HYPERLINK("https://www.toysrus.com/4m-make-a-wind-chime-craft-kit-G085761048249.html", "https://www.toysrus.com/4m-make-a-wind-chime-craft-kit-G085761048249.html")</f>
        <v/>
      </c>
      <c r="C5" t="inlineStr">
        <is>
          <t>4M Make A Wind Chime Craft Kit</t>
        </is>
      </c>
      <c r="D5" t="inlineStr">
        <is>
          <t>MindWare Make Your Own Wind Chime Craft Kit – Makes 1 Wind Chime, Incldues 13 Paint Colors, 3 Brushes and Instructions</t>
        </is>
      </c>
      <c r="E5" s="1">
        <f>HYPERLINK("https://www.amazon.com/MindWare-Make-Your-Wind-Chime/dp/B08Z7PVCRJ/ref=sr_1_7?keywords=4M+Make+A+Wind+Chime+Craft+Kit&amp;qid=1695588679&amp;sr=8-7", "https://www.amazon.com/MindWare-Make-Your-Wind-Chime/dp/B08Z7PVCRJ/ref=sr_1_7?keywords=4M+Make+A+Wind+Chime+Craft+Kit&amp;qid=1695588679&amp;sr=8-7")</f>
        <v/>
      </c>
      <c r="F5" t="inlineStr">
        <is>
          <t>B08Z7PVCRJ</t>
        </is>
      </c>
      <c r="G5">
        <f>_xlfn.IMAGE("https://images.toysrus.com/28598/085761048249_1.jpg")</f>
        <v/>
      </c>
      <c r="H5">
        <f>_xlfn.IMAGE("https://m.media-amazon.com/images/I/71eeWzp8CzL._AC_UL320_.jpg")</f>
        <v/>
      </c>
      <c r="K5" t="inlineStr">
        <is>
          <t>12.99</t>
        </is>
      </c>
      <c r="L5" t="n">
        <v>23.95</v>
      </c>
      <c r="M5" s="2" t="inlineStr">
        <is>
          <t>84.37%</t>
        </is>
      </c>
      <c r="N5" t="n">
        <v>4.2</v>
      </c>
      <c r="O5" t="n">
        <v>7</v>
      </c>
      <c r="Q5" t="inlineStr">
        <is>
          <t>InStock</t>
        </is>
      </c>
      <c r="R5" t="inlineStr">
        <is>
          <t>undefined</t>
        </is>
      </c>
      <c r="S5" t="inlineStr">
        <is>
          <t>G085761048249</t>
        </is>
      </c>
    </row>
    <row r="6" ht="75" customHeight="1">
      <c r="A6" s="1">
        <f>HYPERLINK("https://www.toysrus.com/509-mermaid-doll-car-seat-G4894897000238.html", "https://www.toysrus.com/509-mermaid-doll-car-seat-G4894897000238.html")</f>
        <v/>
      </c>
      <c r="B6" s="1">
        <f>HYPERLINK("https://www.toysrus.com/509-mermaid-doll-car-seat-G4894897000238.html", "https://www.toysrus.com/509-mermaid-doll-car-seat-G4894897000238.html")</f>
        <v/>
      </c>
      <c r="C6" t="inlineStr">
        <is>
          <t>509: Mermaid Doll Car Seat</t>
        </is>
      </c>
      <c r="D6" t="inlineStr">
        <is>
          <t>509 Crew 509: Mermaid Doll Travel System Stroller - Kids Pretend Play Stroller Set, Includes Shopping Basket, Retractable Canopy, Child Tray &amp; Removable Car Seat, Ages 3+ (T716028)</t>
        </is>
      </c>
      <c r="E6" s="1">
        <f>HYPERLINK("https://www.amazon.com/509-Crew-Stroller-Retractable-Removable/dp/B0B1QPFDPW/ref=sr_1_2?keywords=509%3A+Mermaid+Doll+Car+Seat&amp;qid=1695588209&amp;sr=8-2", "https://www.amazon.com/509-Crew-Stroller-Retractable-Removable/dp/B0B1QPFDPW/ref=sr_1_2?keywords=509%3A+Mermaid+Doll+Car+Seat&amp;qid=1695588209&amp;sr=8-2")</f>
        <v/>
      </c>
      <c r="F6" t="inlineStr">
        <is>
          <t>B0B1QPFDPW</t>
        </is>
      </c>
      <c r="G6">
        <f>_xlfn.IMAGE("https://images.toysrus.com/1285980/4894897000238_1.jpg")</f>
        <v/>
      </c>
      <c r="H6">
        <f>_xlfn.IMAGE("https://m.media-amazon.com/images/I/81ST8j7xunL._AC_UL320_.jpg")</f>
        <v/>
      </c>
      <c r="K6" t="inlineStr">
        <is>
          <t>19.99</t>
        </is>
      </c>
      <c r="L6" t="n">
        <v>39.99</v>
      </c>
      <c r="M6" s="2" t="inlineStr">
        <is>
          <t>100.05%</t>
        </is>
      </c>
      <c r="N6" t="n">
        <v>4.1</v>
      </c>
      <c r="O6" t="n">
        <v>19</v>
      </c>
      <c r="Q6" t="inlineStr">
        <is>
          <t>InStock</t>
        </is>
      </c>
      <c r="R6" t="inlineStr">
        <is>
          <t>undefined</t>
        </is>
      </c>
      <c r="S6" t="inlineStr">
        <is>
          <t>G4894897000238</t>
        </is>
      </c>
    </row>
    <row r="7" ht="75" customHeight="1">
      <c r="A7" s="1">
        <f>HYPERLINK("https://www.toysrus.com/5-suprise-toy-mini-brands-series-15400617.html", "https://www.toysrus.com/5-suprise-toy-mini-brands-series-15400617.html")</f>
        <v/>
      </c>
      <c r="B7" s="1">
        <f>HYPERLINK("https://www.toysrus.com/5-suprise-toy-mini-brands-series-15400617.html", "https://www.toysrus.com/5-suprise-toy-mini-brands-series-15400617.html")</f>
        <v/>
      </c>
      <c r="C7" t="inlineStr">
        <is>
          <t>5 Suprise-toy Mini Brands-Series</t>
        </is>
      </c>
      <c r="D7" t="inlineStr">
        <is>
          <t>5 Surprise Toy Mini Brands Series 3 Collector's Kit by ZURU (3 Capsules + 1 Collector's Case) Amazon Exclusive Mystery Capsule Real Miniature Brands Collectibles</t>
        </is>
      </c>
      <c r="E7" s="1">
        <f>HYPERLINK("https://www.amazon.com/Surprise-Collectors-Exclusive-Miniature-Collectibles/dp/B0B48MQVTS/ref=sr_1_3?keywords=5+surprise-toy+mini+brands-series&amp;qid=1695588569&amp;sr=8-3", "https://www.amazon.com/Surprise-Collectors-Exclusive-Miniature-Collectibles/dp/B0B48MQVTS/ref=sr_1_3?keywords=5+surprise-toy+mini+brands-series&amp;qid=1695588569&amp;sr=8-3")</f>
        <v/>
      </c>
      <c r="F7" t="inlineStr">
        <is>
          <t>B0B48MQVTS</t>
        </is>
      </c>
      <c r="G7">
        <f>_xlfn.IMAGE("http://slimages.macys.com/is/image/MCY/products/0/optimized/24504615_fpx.tif")</f>
        <v/>
      </c>
      <c r="H7">
        <f>_xlfn.IMAGE("https://m.media-amazon.com/images/I/81IP75OqRCL._AC_UL320_.jpg")</f>
        <v/>
      </c>
      <c r="K7" t="inlineStr">
        <is>
          <t>9.99</t>
        </is>
      </c>
      <c r="L7" t="n">
        <v>31.99</v>
      </c>
      <c r="M7" s="2" t="inlineStr">
        <is>
          <t>220.22%</t>
        </is>
      </c>
      <c r="N7" t="n">
        <v>4.7</v>
      </c>
      <c r="O7" t="n">
        <v>1301</v>
      </c>
      <c r="Q7" t="inlineStr">
        <is>
          <t>InStock</t>
        </is>
      </c>
      <c r="R7" t="inlineStr">
        <is>
          <t>undefined</t>
        </is>
      </c>
      <c r="S7" t="inlineStr">
        <is>
          <t>15400617</t>
        </is>
      </c>
    </row>
    <row r="8" ht="75" customHeight="1">
      <c r="A8" s="1">
        <f>HYPERLINK("https://www.toysrus.com/5-surprise-mini-brands-series-4-mystery-capsule-14480260.html", "https://www.toysrus.com/5-surprise-mini-brands-series-4-mystery-capsule-14480260.html")</f>
        <v/>
      </c>
      <c r="B8" s="1">
        <f>HYPERLINK("https://www.toysrus.com/5-surprise-mini-brands-series-4-mystery-capsule-14480260.html", "https://www.toysrus.com/5-surprise-mini-brands-series-4-mystery-capsule-14480260.html")</f>
        <v/>
      </c>
      <c r="C8" t="inlineStr">
        <is>
          <t>5 Surprise Mini Brands Series 4 Mystery Capsule</t>
        </is>
      </c>
      <c r="D8" t="inlineStr">
        <is>
          <t>5 Surprise Mini Brands Collector's Kit by ZURU - Kids Toy, Great Includes Real Miniature Collectibles, 3 Mystery Capsules + 1 Case, (Amazon Exclusive)</t>
        </is>
      </c>
      <c r="E8" s="1">
        <f>HYPERLINK("https://www.amazon.com/Surprise-Exclusive-Collectors-Capsules-Collector/dp/B09NR4MDHR/ref=sr_1_7?keywords=5+Surprise+Mini+Brands+Series+4+Mystery+Capsule&amp;qid=1695588561&amp;sr=8-7", "https://www.amazon.com/Surprise-Exclusive-Collectors-Capsules-Collector/dp/B09NR4MDHR/ref=sr_1_7?keywords=5+Surprise+Mini+Brands+Series+4+Mystery+Capsule&amp;qid=1695588561&amp;sr=8-7")</f>
        <v/>
      </c>
      <c r="F8" t="inlineStr">
        <is>
          <t>B09NR4MDHR</t>
        </is>
      </c>
      <c r="G8">
        <f>_xlfn.IMAGE("http://slimages.macys.com/is/image/MCY/products/0/optimized/22806462_fpx.tif")</f>
        <v/>
      </c>
      <c r="H8">
        <f>_xlfn.IMAGE("https://m.media-amazon.com/images/I/812MCDtirML._AC_UL320_.jpg")</f>
        <v/>
      </c>
      <c r="K8" t="inlineStr">
        <is>
          <t>8.49</t>
        </is>
      </c>
      <c r="L8" t="n">
        <v>28.99</v>
      </c>
      <c r="M8" s="2" t="inlineStr">
        <is>
          <t>241.46%</t>
        </is>
      </c>
      <c r="N8" t="n">
        <v>4.7</v>
      </c>
      <c r="O8" t="n">
        <v>2492</v>
      </c>
      <c r="Q8" t="inlineStr">
        <is>
          <t>OutOfStock</t>
        </is>
      </c>
      <c r="R8" t="inlineStr">
        <is>
          <t>undefined</t>
        </is>
      </c>
      <c r="S8" t="inlineStr">
        <is>
          <t>14480260</t>
        </is>
      </c>
    </row>
    <row r="9" ht="75" customHeight="1">
      <c r="A9" s="1">
        <f>HYPERLINK("https://www.toysrus.com/5-surprise-mini-foodie-mystery-capsule-14480262.html", "https://www.toysrus.com/5-surprise-mini-foodie-mystery-capsule-14480262.html")</f>
        <v/>
      </c>
      <c r="B9" s="1">
        <f>HYPERLINK("https://www.toysrus.com/5-surprise-mini-foodie-mystery-capsule-14480262.html", "https://www.toysrus.com/5-surprise-mini-foodie-mystery-capsule-14480262.html")</f>
        <v/>
      </c>
      <c r="C9" t="inlineStr">
        <is>
          <t>5 Surprise Mini Foodie Mystery Capsule</t>
        </is>
      </c>
      <c r="D9" t="inlineStr">
        <is>
          <t>5 Surprise Toy Mini Brands Series 3 Collector's Kit by ZURU (3 Capsules + 1 Collector's Case) Amazon Exclusive Mystery Capsule Real Miniature Brands Collectibles</t>
        </is>
      </c>
      <c r="E9" s="1">
        <f>HYPERLINK("https://www.amazon.com/Surprise-Collectors-Exclusive-Miniature-Collectibles/dp/B0B48MQVTS/ref=sr_1_10?keywords=5+Surprise+Mini+Foodie+Mystery+Capsule&amp;qid=1695588560&amp;sr=8-10", "https://www.amazon.com/Surprise-Collectors-Exclusive-Miniature-Collectibles/dp/B0B48MQVTS/ref=sr_1_10?keywords=5+Surprise+Mini+Foodie+Mystery+Capsule&amp;qid=1695588560&amp;sr=8-10")</f>
        <v/>
      </c>
      <c r="F9" t="inlineStr">
        <is>
          <t>B0B48MQVTS</t>
        </is>
      </c>
      <c r="G9">
        <f>_xlfn.IMAGE("http://slimages.macys.com/is/image/MCY/products/0/optimized/22806495_fpx.tif")</f>
        <v/>
      </c>
      <c r="H9">
        <f>_xlfn.IMAGE("https://m.media-amazon.com/images/I/81IP75OqRCL._AC_UL320_.jpg")</f>
        <v/>
      </c>
      <c r="K9" t="inlineStr">
        <is>
          <t>9.99</t>
        </is>
      </c>
      <c r="L9" t="n">
        <v>31.99</v>
      </c>
      <c r="M9" s="2" t="inlineStr">
        <is>
          <t>220.22%</t>
        </is>
      </c>
      <c r="N9" t="n">
        <v>4.7</v>
      </c>
      <c r="O9" t="n">
        <v>1301</v>
      </c>
      <c r="Q9" t="inlineStr">
        <is>
          <t>OutOfStock</t>
        </is>
      </c>
      <c r="R9" t="inlineStr">
        <is>
          <t>undefined</t>
        </is>
      </c>
      <c r="S9" t="inlineStr">
        <is>
          <t>14480262</t>
        </is>
      </c>
    </row>
    <row r="10" ht="75" customHeight="1">
      <c r="A10" s="1">
        <f>HYPERLINK("https://www.toysrus.com/5-surprise-mini-foodie-mystery-capsule-14480262.html", "https://www.toysrus.com/5-surprise-mini-foodie-mystery-capsule-14480262.html")</f>
        <v/>
      </c>
      <c r="B10" s="1">
        <f>HYPERLINK("https://www.toysrus.com/5-surprise-mini-foodie-mystery-capsule-14480262.html", "https://www.toysrus.com/5-surprise-mini-foodie-mystery-capsule-14480262.html")</f>
        <v/>
      </c>
      <c r="C10" t="inlineStr">
        <is>
          <t>5 Surprise Mini Foodie Mystery Capsule</t>
        </is>
      </c>
      <c r="D10" t="inlineStr">
        <is>
          <t>5 Surprise Mini Brands Collector's Kit by ZURU - Kids Toy, Great Includes Real Miniature Collectibles, 3 Mystery Capsules + 1 Case, (Amazon Exclusive)</t>
        </is>
      </c>
      <c r="E10" s="1">
        <f>HYPERLINK("https://www.amazon.com/Surprise-Exclusive-Collectors-Capsules-Collector/dp/B09NR4MDHR/ref=sr_1_7?keywords=5+Surprise+Mini+Foodie+Mystery+Capsule&amp;qid=1695588560&amp;sr=8-7", "https://www.amazon.com/Surprise-Exclusive-Collectors-Capsules-Collector/dp/B09NR4MDHR/ref=sr_1_7?keywords=5+Surprise+Mini+Foodie+Mystery+Capsule&amp;qid=1695588560&amp;sr=8-7")</f>
        <v/>
      </c>
      <c r="F10" t="inlineStr">
        <is>
          <t>B09NR4MDHR</t>
        </is>
      </c>
      <c r="G10">
        <f>_xlfn.IMAGE("http://slimages.macys.com/is/image/MCY/products/0/optimized/22806495_fpx.tif")</f>
        <v/>
      </c>
      <c r="H10">
        <f>_xlfn.IMAGE("https://m.media-amazon.com/images/I/812MCDtirML._AC_UL320_.jpg")</f>
        <v/>
      </c>
      <c r="K10" t="inlineStr">
        <is>
          <t>9.99</t>
        </is>
      </c>
      <c r="L10" t="n">
        <v>28.99</v>
      </c>
      <c r="M10" s="2" t="inlineStr">
        <is>
          <t>190.19%</t>
        </is>
      </c>
      <c r="N10" t="n">
        <v>4.7</v>
      </c>
      <c r="O10" t="n">
        <v>2492</v>
      </c>
      <c r="Q10" t="inlineStr">
        <is>
          <t>OutOfStock</t>
        </is>
      </c>
      <c r="R10" t="inlineStr">
        <is>
          <t>undefined</t>
        </is>
      </c>
      <c r="S10" t="inlineStr">
        <is>
          <t>14480262</t>
        </is>
      </c>
    </row>
    <row r="11" ht="75" customHeight="1">
      <c r="A11" s="1">
        <f>HYPERLINK("https://www.toysrus.com/5-surprise-mini-foodie-mystery-capsule-14480262.html", "https://www.toysrus.com/5-surprise-mini-foodie-mystery-capsule-14480262.html")</f>
        <v/>
      </c>
      <c r="B11" s="1">
        <f>HYPERLINK("https://www.toysrus.com/5-surprise-mini-foodie-mystery-capsule-14480262.html", "https://www.toysrus.com/5-surprise-mini-foodie-mystery-capsule-14480262.html")</f>
        <v/>
      </c>
      <c r="C11" t="inlineStr">
        <is>
          <t>5 Surprise Mini Foodie Mystery Capsule</t>
        </is>
      </c>
      <c r="D11" t="inlineStr">
        <is>
          <t>5 Surprise Disney Mini Brands Series 2 Collector's Kit by ZURU (3 Capsules + 1 Collector's Case) Amazon Exclusive Mystery Capsule Real Miniature Brands Collectibles</t>
        </is>
      </c>
      <c r="E11" s="1">
        <f>HYPERLINK("https://www.amazon.com/Surprise-Collectors-Exclusive-Miniature-Collectibles/dp/B0B48RTXZV/ref=sr_1_8?keywords=5+Surprise+Mini+Foodie+Mystery+Capsule&amp;qid=1695588560&amp;sr=8-8", "https://www.amazon.com/Surprise-Collectors-Exclusive-Miniature-Collectibles/dp/B0B48RTXZV/ref=sr_1_8?keywords=5+Surprise+Mini+Foodie+Mystery+Capsule&amp;qid=1695588560&amp;sr=8-8")</f>
        <v/>
      </c>
      <c r="F11" t="inlineStr">
        <is>
          <t>B0B48RTXZV</t>
        </is>
      </c>
      <c r="G11">
        <f>_xlfn.IMAGE("http://slimages.macys.com/is/image/MCY/products/0/optimized/22806495_fpx.tif")</f>
        <v/>
      </c>
      <c r="H11">
        <f>_xlfn.IMAGE("https://m.media-amazon.com/images/I/81Gb0jLMC6L._AC_UL320_.jpg")</f>
        <v/>
      </c>
      <c r="K11" t="inlineStr">
        <is>
          <t>9.99</t>
        </is>
      </c>
      <c r="L11" t="n">
        <v>22.97</v>
      </c>
      <c r="M11" s="2" t="inlineStr">
        <is>
          <t>129.93%</t>
        </is>
      </c>
      <c r="N11" t="n">
        <v>4.8</v>
      </c>
      <c r="O11" t="n">
        <v>117</v>
      </c>
      <c r="Q11" t="inlineStr">
        <is>
          <t>OutOfStock</t>
        </is>
      </c>
      <c r="R11" t="inlineStr">
        <is>
          <t>undefined</t>
        </is>
      </c>
      <c r="S11" t="inlineStr">
        <is>
          <t>14480262</t>
        </is>
      </c>
    </row>
    <row r="12" ht="75" customHeight="1">
      <c r="A12" s="1">
        <f>HYPERLINK("https://www.toysrus.com/5-surprise-toy-mini-brands-series-2-collectors-case-with-5-minis--14480259.html", "https://www.toysrus.com/5-surprise-toy-mini-brands-series-2-collectors-case-with-5-minis--14480259.html")</f>
        <v/>
      </c>
      <c r="B12" s="1">
        <f>HYPERLINK("https://www.toysrus.com/5-surprise-toy-mini-brands-series-2-collectors-case-with-5-minis--14480259.html", "https://www.toysrus.com/5-surprise-toy-mini-brands-series-2-collectors-case-with-5-minis--14480259.html")</f>
        <v/>
      </c>
      <c r="C12" t="inlineStr">
        <is>
          <t>5 Surprise Toy Mini Brands Series 2 Collector's Case with 5 Minis</t>
        </is>
      </c>
      <c r="D12" t="inlineStr">
        <is>
          <t>5 Surprise Disney Mini Brands Series 2 Collector's Kit by ZURU (3 Capsules + 1 Collector's Case) Amazon Exclusive Mystery Capsule Real Miniature Brands Collectibles</t>
        </is>
      </c>
      <c r="E12" s="1">
        <f>HYPERLINK("https://www.amazon.com/Surprise-Collectors-Exclusive-Miniature-Collectibles/dp/B0B48RTXZV/ref=sr_1_4?keywords=5+Surprise+Toy+Mini+Brands+Series+2+Collectors+Case+with+5+Minis&amp;qid=1695588579&amp;sr=8-4", "https://www.amazon.com/Surprise-Collectors-Exclusive-Miniature-Collectibles/dp/B0B48RTXZV/ref=sr_1_4?keywords=5+Surprise+Toy+Mini+Brands+Series+2+Collectors+Case+with+5+Minis&amp;qid=1695588579&amp;sr=8-4")</f>
        <v/>
      </c>
      <c r="F12" t="inlineStr">
        <is>
          <t>B0B48RTXZV</t>
        </is>
      </c>
      <c r="G12">
        <f>_xlfn.IMAGE("http://slimages.macys.com/is/image/MCY/products/0/optimized/22806522_fpx.tif")</f>
        <v/>
      </c>
      <c r="H12">
        <f>_xlfn.IMAGE("https://m.media-amazon.com/images/I/81Gb0jLMC6L._AC_UL320_.jpg")</f>
        <v/>
      </c>
      <c r="K12" t="inlineStr">
        <is>
          <t>12.99</t>
        </is>
      </c>
      <c r="L12" t="n">
        <v>22.97</v>
      </c>
      <c r="M12" s="2" t="inlineStr">
        <is>
          <t>76.83%</t>
        </is>
      </c>
      <c r="N12" t="n">
        <v>4.8</v>
      </c>
      <c r="O12" t="n">
        <v>117</v>
      </c>
      <c r="Q12" t="inlineStr">
        <is>
          <t>InStock</t>
        </is>
      </c>
      <c r="R12" t="inlineStr">
        <is>
          <t>undefined</t>
        </is>
      </c>
      <c r="S12" t="inlineStr">
        <is>
          <t>14480259</t>
        </is>
      </c>
    </row>
    <row r="13" ht="75" customHeight="1">
      <c r="A13" s="1">
        <f>HYPERLINK("https://www.toysrus.com/5-surprise-toy-mini-brands-series-2-mystery-capsule--14480257.html", "https://www.toysrus.com/5-surprise-toy-mini-brands-series-2-mystery-capsule--14480257.html")</f>
        <v/>
      </c>
      <c r="B13" s="1">
        <f>HYPERLINK("https://www.toysrus.com/5-surprise-toy-mini-brands-series-2-mystery-capsule--14480257.html", "https://www.toysrus.com/5-surprise-toy-mini-brands-series-2-mystery-capsule--14480257.html")</f>
        <v/>
      </c>
      <c r="C13" t="inlineStr">
        <is>
          <t>5 Surprise Toy Mini Brands Series 2 Mystery Capsule</t>
        </is>
      </c>
      <c r="D13" t="inlineStr">
        <is>
          <t>5 Surprise Toy Mini Brand Series 1 Collector's Kit - Amazon Exclusive Mystery Capsule Real Miniature Toys by Zuru (3 Capsules + 1 Collector's Case), Multicolor</t>
        </is>
      </c>
      <c r="E13" s="1">
        <f>HYPERLINK("https://www.amazon.com/Surprise-Toy-Mini-Brand-Collectors/dp/B08VN2Y87C/ref=sr_1_8?keywords=5+Surprise+Toy+Mini+Brands+Series+2+Mystery+Capsule&amp;qid=1695588566&amp;sr=8-8", "https://www.amazon.com/Surprise-Toy-Mini-Brand-Collectors/dp/B08VN2Y87C/ref=sr_1_8?keywords=5+Surprise+Toy+Mini+Brands+Series+2+Mystery+Capsule&amp;qid=1695588566&amp;sr=8-8")</f>
        <v/>
      </c>
      <c r="F13" t="inlineStr">
        <is>
          <t>B08VN2Y87C</t>
        </is>
      </c>
      <c r="G13">
        <f>_xlfn.IMAGE("http://slimages.macys.com/is/image/MCY/products/0/optimized/22806529_fpx.tif")</f>
        <v/>
      </c>
      <c r="H13">
        <f>_xlfn.IMAGE("https://m.media-amazon.com/images/I/91FfFOmwGSL._AC_UL320_.jpg")</f>
        <v/>
      </c>
      <c r="K13" t="inlineStr">
        <is>
          <t>9.99</t>
        </is>
      </c>
      <c r="L13" t="n">
        <v>29</v>
      </c>
      <c r="M13" s="2" t="inlineStr">
        <is>
          <t>190.29%</t>
        </is>
      </c>
      <c r="N13" t="n">
        <v>4.7</v>
      </c>
      <c r="O13" t="n">
        <v>1301</v>
      </c>
      <c r="Q13" t="inlineStr">
        <is>
          <t>InStock</t>
        </is>
      </c>
      <c r="R13" t="inlineStr">
        <is>
          <t>undefined</t>
        </is>
      </c>
      <c r="S13" t="inlineStr">
        <is>
          <t>14480257</t>
        </is>
      </c>
    </row>
    <row r="14" ht="75" customHeight="1">
      <c r="A14" s="1">
        <f>HYPERLINK("https://www.toysrus.com/5-surprise-toy-mini-brands-series-2-mystery-capsule--14480257.html", "https://www.toysrus.com/5-surprise-toy-mini-brands-series-2-mystery-capsule--14480257.html")</f>
        <v/>
      </c>
      <c r="B14" s="1">
        <f>HYPERLINK("https://www.toysrus.com/5-surprise-toy-mini-brands-series-2-mystery-capsule--14480257.html", "https://www.toysrus.com/5-surprise-toy-mini-brands-series-2-mystery-capsule--14480257.html")</f>
        <v/>
      </c>
      <c r="C14" t="inlineStr">
        <is>
          <t>5 Surprise Toy Mini Brands Series 2 Mystery Capsule</t>
        </is>
      </c>
      <c r="D14" t="inlineStr">
        <is>
          <t>FULLCASE Case Compatible with 5 Surprise for Mini Brands Toys Series 1 2 3 Mystery Capsule Real Miniature Collectible Kit Storage for Littles, for Mini Mart Collection Organizer(Box Only) Blue</t>
        </is>
      </c>
      <c r="E14" s="1">
        <f>HYPERLINK("https://www.amazon.com/Compatible-Miniature-Collectible-Collection-Organizer/dp/B09KLP5S9W/ref=sr_1_10?keywords=5+Surprise+Toy+Mini+Brands+Series+2+Mystery+Capsule&amp;qid=1695588566&amp;sr=8-10", "https://www.amazon.com/Compatible-Miniature-Collectible-Collection-Organizer/dp/B09KLP5S9W/ref=sr_1_10?keywords=5+Surprise+Toy+Mini+Brands+Series+2+Mystery+Capsule&amp;qid=1695588566&amp;sr=8-10")</f>
        <v/>
      </c>
      <c r="F14" t="inlineStr">
        <is>
          <t>B09KLP5S9W</t>
        </is>
      </c>
      <c r="G14">
        <f>_xlfn.IMAGE("http://slimages.macys.com/is/image/MCY/products/0/optimized/22806529_fpx.tif")</f>
        <v/>
      </c>
      <c r="H14">
        <f>_xlfn.IMAGE("https://m.media-amazon.com/images/I/81KNKP+AO6L._AC_UL320_.jpg")</f>
        <v/>
      </c>
      <c r="K14" t="inlineStr">
        <is>
          <t>9.99</t>
        </is>
      </c>
      <c r="L14" t="n">
        <v>23.99</v>
      </c>
      <c r="M14" s="2" t="inlineStr">
        <is>
          <t>140.14%</t>
        </is>
      </c>
      <c r="N14" t="n">
        <v>4.5</v>
      </c>
      <c r="O14" t="n">
        <v>142</v>
      </c>
      <c r="Q14" t="inlineStr">
        <is>
          <t>InStock</t>
        </is>
      </c>
      <c r="R14" t="inlineStr">
        <is>
          <t>undefined</t>
        </is>
      </c>
      <c r="S14" t="inlineStr">
        <is>
          <t>14480257</t>
        </is>
      </c>
    </row>
    <row r="15" ht="75" customHeight="1">
      <c r="A15" s="1">
        <f>HYPERLINK("https://www.toysrus.com/5-surprise-toy-mini-brands-series-2-mystery-capsule--14480257.html", "https://www.toysrus.com/5-surprise-toy-mini-brands-series-2-mystery-capsule--14480257.html")</f>
        <v/>
      </c>
      <c r="B15" s="1">
        <f>HYPERLINK("https://www.toysrus.com/5-surprise-toy-mini-brands-series-2-mystery-capsule--14480257.html", "https://www.toysrus.com/5-surprise-toy-mini-brands-series-2-mystery-capsule--14480257.html")</f>
        <v/>
      </c>
      <c r="C15" t="inlineStr">
        <is>
          <t>5 Surprise Toy Mini Brands Series 2 Mystery Capsule</t>
        </is>
      </c>
      <c r="D15" t="inlineStr">
        <is>
          <t>5 Surprise Disney Mini Brands Series 2 Collector's Kit by ZURU (3 Capsules + 1 Collector's Case) Amazon Exclusive Mystery Capsule Real Miniature Brands Collectibles</t>
        </is>
      </c>
      <c r="E15" s="1">
        <f>HYPERLINK("https://www.amazon.com/Surprise-Collectors-Exclusive-Miniature-Collectibles/dp/B0B48RTXZV/ref=sr_1_7?keywords=5+Surprise+Toy+Mini+Brands+Series+2+Mystery+Capsule&amp;qid=1695588566&amp;sr=8-7", "https://www.amazon.com/Surprise-Collectors-Exclusive-Miniature-Collectibles/dp/B0B48RTXZV/ref=sr_1_7?keywords=5+Surprise+Toy+Mini+Brands+Series+2+Mystery+Capsule&amp;qid=1695588566&amp;sr=8-7")</f>
        <v/>
      </c>
      <c r="F15" t="inlineStr">
        <is>
          <t>B0B48RTXZV</t>
        </is>
      </c>
      <c r="G15">
        <f>_xlfn.IMAGE("http://slimages.macys.com/is/image/MCY/products/0/optimized/22806529_fpx.tif")</f>
        <v/>
      </c>
      <c r="H15">
        <f>_xlfn.IMAGE("https://m.media-amazon.com/images/I/81Gb0jLMC6L._AC_UL320_.jpg")</f>
        <v/>
      </c>
      <c r="K15" t="inlineStr">
        <is>
          <t>9.99</t>
        </is>
      </c>
      <c r="L15" t="n">
        <v>22.97</v>
      </c>
      <c r="M15" s="2" t="inlineStr">
        <is>
          <t>129.93%</t>
        </is>
      </c>
      <c r="N15" t="n">
        <v>4.8</v>
      </c>
      <c r="O15" t="n">
        <v>117</v>
      </c>
      <c r="Q15" t="inlineStr">
        <is>
          <t>InStock</t>
        </is>
      </c>
      <c r="R15" t="inlineStr">
        <is>
          <t>undefined</t>
        </is>
      </c>
      <c r="S15" t="inlineStr">
        <is>
          <t>14480257</t>
        </is>
      </c>
    </row>
    <row r="16" ht="75" customHeight="1">
      <c r="A16" s="1">
        <f>HYPERLINK("https://www.toysrus.com/5-surprise-toy-mini-brands-series-2-mystery-capsule--14480257.html", "https://www.toysrus.com/5-surprise-toy-mini-brands-series-2-mystery-capsule--14480257.html")</f>
        <v/>
      </c>
      <c r="B16" s="1">
        <f>HYPERLINK("https://www.toysrus.com/5-surprise-toy-mini-brands-series-2-mystery-capsule--14480257.html", "https://www.toysrus.com/5-surprise-toy-mini-brands-series-2-mystery-capsule--14480257.html")</f>
        <v/>
      </c>
      <c r="C16" t="inlineStr">
        <is>
          <t>5 Surprise Toy Mini Brands Series 2 Mystery Capsule</t>
        </is>
      </c>
      <c r="D16" t="inlineStr">
        <is>
          <t>Aptbyte Collector Case Compatible with 5 Surprise Mini Brands Toys Series 1 2 3, 8 Independent Mini Mart Box for Gold Rush Mystery Capsule Real Miniature Collectible Toy (Box Only)</t>
        </is>
      </c>
      <c r="E16" s="1">
        <f>HYPERLINK("https://www.amazon.com/Aptbyte-Collector-Compatible-Independent-Collectible/dp/B0C4K71BJP/ref=sr_1_9?keywords=5+Surprise+Toy+Mini+Brands+Series+2+Mystery+Capsule&amp;qid=1695588566&amp;sr=8-9", "https://www.amazon.com/Aptbyte-Collector-Compatible-Independent-Collectible/dp/B0C4K71BJP/ref=sr_1_9?keywords=5+Surprise+Toy+Mini+Brands+Series+2+Mystery+Capsule&amp;qid=1695588566&amp;sr=8-9")</f>
        <v/>
      </c>
      <c r="F16" t="inlineStr">
        <is>
          <t>B0C4K71BJP</t>
        </is>
      </c>
      <c r="G16">
        <f>_xlfn.IMAGE("http://slimages.macys.com/is/image/MCY/products/0/optimized/22806529_fpx.tif")</f>
        <v/>
      </c>
      <c r="H16">
        <f>_xlfn.IMAGE("https://m.media-amazon.com/images/I/61wtsaOTefL._AC_UL320_.jpg")</f>
        <v/>
      </c>
      <c r="K16" t="inlineStr">
        <is>
          <t>9.99</t>
        </is>
      </c>
      <c r="L16" t="n">
        <v>19.99</v>
      </c>
      <c r="M16" s="2" t="inlineStr">
        <is>
          <t>100.10%</t>
        </is>
      </c>
      <c r="N16" t="n">
        <v>4.6</v>
      </c>
      <c r="O16" t="n">
        <v>382</v>
      </c>
      <c r="Q16" t="inlineStr">
        <is>
          <t>InStock</t>
        </is>
      </c>
      <c r="R16" t="inlineStr">
        <is>
          <t>undefined</t>
        </is>
      </c>
      <c r="S16" t="inlineStr">
        <is>
          <t>14480257</t>
        </is>
      </c>
    </row>
    <row r="17" ht="75" customHeight="1">
      <c r="A17" s="1">
        <f>HYPERLINK("https://www.toysrus.com/ada-twist-the-scientist-doll-13511111.html", "https://www.toysrus.com/ada-twist-the-scientist-doll-13511111.html")</f>
        <v/>
      </c>
      <c r="B17" s="1">
        <f>HYPERLINK("https://www.toysrus.com/ada-twist-the-scientist-doll-13511111.html", "https://www.toysrus.com/ada-twist-the-scientist-doll-13511111.html")</f>
        <v/>
      </c>
      <c r="C17" t="inlineStr">
        <is>
          <t>Ada Twist The Scientist Doll</t>
        </is>
      </c>
      <c r="D17" t="inlineStr">
        <is>
          <t>Everydaze Essentials Ada Twist Scientist Lab Doll, Interactive Doll with Research Lab Accessories, Talks and Sings ~Comes with Rainbow Swan Pop Itz, EE Exclusive Lucy Loopsie and Essentials Carrier</t>
        </is>
      </c>
      <c r="E17" s="1">
        <f>HYPERLINK("https://www.amazon.com/Everydaze-Essentials-Scientist-Interactive-Accessories/dp/B09MC74QH1/ref=sr_1_8?keywords=Ada+Twist+The+Scientist+Doll&amp;qid=1695588640&amp;sr=8-8", "https://www.amazon.com/Everydaze-Essentials-Scientist-Interactive-Accessories/dp/B09MC74QH1/ref=sr_1_8?keywords=Ada+Twist+The+Scientist+Doll&amp;qid=1695588640&amp;sr=8-8")</f>
        <v/>
      </c>
      <c r="F17" t="inlineStr">
        <is>
          <t>B09MC74QH1</t>
        </is>
      </c>
      <c r="G17">
        <f>_xlfn.IMAGE("http://slimages.macys.com/is/image/MCY/products/0/optimized/22431339_fpx.tif")</f>
        <v/>
      </c>
      <c r="H17">
        <f>_xlfn.IMAGE("https://m.media-amazon.com/images/I/61Xs3vEy3YL._AC_UL320_.jpg")</f>
        <v/>
      </c>
      <c r="K17" t="inlineStr">
        <is>
          <t>12.43</t>
        </is>
      </c>
      <c r="L17" t="n">
        <v>74.97</v>
      </c>
      <c r="M17" s="2" t="inlineStr">
        <is>
          <t>503.14%</t>
        </is>
      </c>
      <c r="N17" t="n">
        <v>5</v>
      </c>
      <c r="O17" t="n">
        <v>1</v>
      </c>
      <c r="Q17" t="inlineStr">
        <is>
          <t>InStock</t>
        </is>
      </c>
      <c r="R17" t="inlineStr">
        <is>
          <t>undefined</t>
        </is>
      </c>
      <c r="S17" t="inlineStr">
        <is>
          <t>mdt27855</t>
        </is>
      </c>
    </row>
    <row r="18" ht="75" customHeight="1">
      <c r="A18" s="1">
        <f>HYPERLINK("https://www.toysrus.com/animal-power-owlette-animal-rider-14574350.html", "https://www.toysrus.com/animal-power-owlette-animal-rider-14574350.html")</f>
        <v/>
      </c>
      <c r="B18" s="1">
        <f>HYPERLINK("https://www.toysrus.com/animal-power-owlette-animal-rider-14574350.html", "https://www.toysrus.com/animal-power-owlette-animal-rider-14574350.html")</f>
        <v/>
      </c>
      <c r="C18" t="inlineStr">
        <is>
          <t>Animal Power Owlette Animal Rider</t>
        </is>
      </c>
      <c r="D18" t="inlineStr">
        <is>
          <t>PJ Masks Animal Power Owlette Animal Rider Deluxe Vehicle Preschool Toy, Eagle Owl Toy with Owlette Action Figure, Ages 3 and Up</t>
        </is>
      </c>
      <c r="E18" s="1">
        <f>HYPERLINK("https://www.amazon.com/Hasbro-PJM-Owlette-Animal-Rider/dp/B09P1S14DL/ref=sr_1_1?keywords=Animal+Power+Owlette+Animal+Rider&amp;qid=1695588865&amp;sr=8-1", "https://www.amazon.com/Hasbro-PJM-Owlette-Animal-Rider/dp/B09P1S14DL/ref=sr_1_1?keywords=Animal+Power+Owlette+Animal+Rider&amp;qid=1695588865&amp;sr=8-1")</f>
        <v/>
      </c>
      <c r="F18" t="inlineStr">
        <is>
          <t>B09P1S14DL</t>
        </is>
      </c>
      <c r="G18">
        <f>_xlfn.IMAGE("http://slimages.macys.com/is/image/MCY/products/0/optimized/23050269_fpx.tif")</f>
        <v/>
      </c>
      <c r="H18">
        <f>_xlfn.IMAGE("https://m.media-amazon.com/images/I/71HcJK9jLeL._AC_UL320_.jpg")</f>
        <v/>
      </c>
      <c r="K18" t="inlineStr">
        <is>
          <t>8.43</t>
        </is>
      </c>
      <c r="L18" t="n">
        <v>16.45</v>
      </c>
      <c r="M18" s="2" t="inlineStr">
        <is>
          <t>95.14%</t>
        </is>
      </c>
      <c r="N18" t="n">
        <v>4.6</v>
      </c>
      <c r="O18" t="n">
        <v>297</v>
      </c>
      <c r="Q18" t="inlineStr">
        <is>
          <t>InStock</t>
        </is>
      </c>
      <c r="R18" t="inlineStr">
        <is>
          <t>undefined</t>
        </is>
      </c>
      <c r="S18" t="inlineStr">
        <is>
          <t>14574350</t>
        </is>
      </c>
    </row>
    <row r="19" ht="75" customHeight="1">
      <c r="A19" s="1">
        <f>HYPERLINK("https://www.toysrus.com/anomia-x-card-game-G798304395198.html", "https://www.toysrus.com/anomia-x-card-game-G798304395198.html")</f>
        <v/>
      </c>
      <c r="B19" s="1">
        <f>HYPERLINK("https://www.toysrus.com/anomia-x-card-game-G798304395198.html", "https://www.toysrus.com/anomia-x-card-game-G798304395198.html")</f>
        <v/>
      </c>
      <c r="C19" t="inlineStr">
        <is>
          <t>Anomia X Card Game</t>
        </is>
      </c>
      <c r="D19" t="inlineStr">
        <is>
          <t>Everest Toys Anomia Card Game</t>
        </is>
      </c>
      <c r="E19" s="1">
        <f>HYPERLINK("https://www.amazon.com/Everest-Toys-Anomia-Card-Game/dp/B07P1MZN5T/ref=sr_1_8?keywords=Anomia+X+Card+Game&amp;qid=1695588439&amp;sr=8-8", "https://www.amazon.com/Everest-Toys-Anomia-Card-Game/dp/B07P1MZN5T/ref=sr_1_8?keywords=Anomia+X+Card+Game&amp;qid=1695588439&amp;sr=8-8")</f>
        <v/>
      </c>
      <c r="F19" t="inlineStr">
        <is>
          <t>B07P1MZN5T</t>
        </is>
      </c>
      <c r="G19">
        <f>_xlfn.IMAGE("https://images.toysrus.com/1285/798304395198_1.jpg")</f>
        <v/>
      </c>
      <c r="H19">
        <f>_xlfn.IMAGE("https://m.media-amazon.com/images/I/41WSM4cxwyL._AC_UL320_.jpg")</f>
        <v/>
      </c>
      <c r="K19" t="inlineStr">
        <is>
          <t>24.99</t>
        </is>
      </c>
      <c r="L19" t="n">
        <v>42.36</v>
      </c>
      <c r="M19" s="2" t="inlineStr">
        <is>
          <t>69.51%</t>
        </is>
      </c>
      <c r="N19" t="n">
        <v>4.5</v>
      </c>
      <c r="O19" t="n">
        <v>16</v>
      </c>
      <c r="Q19" t="inlineStr">
        <is>
          <t>InStock</t>
        </is>
      </c>
      <c r="R19" t="inlineStr">
        <is>
          <t>undefined</t>
        </is>
      </c>
      <c r="S19" t="inlineStr">
        <is>
          <t>G798304395198</t>
        </is>
      </c>
    </row>
    <row r="20" ht="75" customHeight="1">
      <c r="A20" s="1">
        <f>HYPERLINK("https://www.toysrus.com/aquaplay---lockbox-water-playset-G7313400015165.html", "https://www.toysrus.com/aquaplay---lockbox-water-playset-G7313400015165.html")</f>
        <v/>
      </c>
      <c r="B20" s="1">
        <f>HYPERLINK("https://www.toysrus.com/aquaplay---lockbox-water-playset-G7313400015165.html", "https://www.toysrus.com/aquaplay---lockbox-water-playset-G7313400015165.html")</f>
        <v/>
      </c>
      <c r="C20" t="inlineStr">
        <is>
          <t>Aquaplay - LockBox Water Playset</t>
        </is>
      </c>
      <c r="D20" t="inlineStr">
        <is>
          <t>BIG Spielwarenfabrik, brand Aquaplay Aquaplay - Mountain Lake Water Playset,36 months to 1188 months, Blue,toy included</t>
        </is>
      </c>
      <c r="E20" s="1">
        <f>HYPERLINK("https://www.amazon.com/AQUAPLAY-194387-Mountain-Water-Playset/dp/B06WP9LK15/ref=sr_1_1?keywords=Aquaplay+-+LockBox+Water+Playset&amp;qid=1695588858&amp;sr=8-1", "https://www.amazon.com/AQUAPLAY-194387-Mountain-Water-Playset/dp/B06WP9LK15/ref=sr_1_1?keywords=Aquaplay+-+LockBox+Water+Playset&amp;qid=1695588858&amp;sr=8-1")</f>
        <v/>
      </c>
      <c r="F20" t="inlineStr">
        <is>
          <t>B06WP9LK15</t>
        </is>
      </c>
      <c r="G20">
        <f>_xlfn.IMAGE("https://images.toysrus.com/1285980/7313400015165_1.jpg")</f>
        <v/>
      </c>
      <c r="H20">
        <f>_xlfn.IMAGE("https://m.media-amazon.com/images/I/71TXEpZ12ZL._AC_UL320_.jpg")</f>
        <v/>
      </c>
      <c r="K20" t="inlineStr">
        <is>
          <t>69.99</t>
        </is>
      </c>
      <c r="L20" t="n">
        <v>117.25</v>
      </c>
      <c r="M20" s="2" t="inlineStr">
        <is>
          <t>67.52%</t>
        </is>
      </c>
      <c r="N20" t="n">
        <v>4.3</v>
      </c>
      <c r="O20" t="n">
        <v>1979</v>
      </c>
      <c r="Q20" t="inlineStr">
        <is>
          <t>InStock</t>
        </is>
      </c>
      <c r="R20" t="inlineStr">
        <is>
          <t>undefined</t>
        </is>
      </c>
      <c r="S20" t="inlineStr">
        <is>
          <t>G7313400015165</t>
        </is>
      </c>
    </row>
    <row r="21" ht="75" customHeight="1">
      <c r="A21" s="1">
        <f>HYPERLINK("https://www.toysrus.com/axis-and-allies-1941---wwii-war-strategy-board-game-G0810011725539.html", "https://www.toysrus.com/axis-and-allies-1941---wwii-war-strategy-board-game-G0810011725539.html")</f>
        <v/>
      </c>
      <c r="B21" s="1">
        <f>HYPERLINK("https://www.toysrus.com/axis-and-allies-1941---wwii-war-strategy-board-game-G0810011725539.html", "https://www.toysrus.com/axis-and-allies-1941---wwii-war-strategy-board-game-G0810011725539.html")</f>
        <v/>
      </c>
      <c r="C21" t="inlineStr">
        <is>
          <t>Axis &amp; Allies: 1941 - WWII War Strategy Board Game</t>
        </is>
      </c>
      <c r="D21" t="inlineStr">
        <is>
          <t>Renegade Game Studios Axis &amp; Allies: 1940 Europe Second Edition -WWII War Miniatures Strategy Board Game, Renegade, Age 12+, 2-5 Players, 6Hr</t>
        </is>
      </c>
      <c r="E21" s="1">
        <f>HYPERLINK("https://www.amazon.com/Renegade-Game-Studios-Axis-Allies/dp/B0BZ9CFX7H/ref=sr_1_6?keywords=Axis+%26+Allies%3A+1941+-+WWII+War+Strategy+Board+Game&amp;qid=1695588218&amp;sr=8-6", "https://www.amazon.com/Renegade-Game-Studios-Axis-Allies/dp/B0BZ9CFX7H/ref=sr_1_6?keywords=Axis+%26+Allies%3A+1941+-+WWII+War+Strategy+Board+Game&amp;qid=1695588218&amp;sr=8-6")</f>
        <v/>
      </c>
      <c r="F21" t="inlineStr">
        <is>
          <t>B0BZ9CFX7H</t>
        </is>
      </c>
      <c r="G21">
        <f>_xlfn.IMAGE("https://images.toysrus.com/1285980/810011725539_1.jpg")</f>
        <v/>
      </c>
      <c r="H21">
        <f>_xlfn.IMAGE("https://m.media-amazon.com/images/I/81qK36Rd-jL._AC_UL320_.jpg")</f>
        <v/>
      </c>
      <c r="K21" t="inlineStr">
        <is>
          <t>39.99</t>
        </is>
      </c>
      <c r="L21" t="n">
        <v>87.63</v>
      </c>
      <c r="M21" s="2" t="inlineStr">
        <is>
          <t>119.13%</t>
        </is>
      </c>
      <c r="N21" t="n">
        <v>5</v>
      </c>
      <c r="O21" t="n">
        <v>1</v>
      </c>
      <c r="Q21" t="inlineStr">
        <is>
          <t>InStock</t>
        </is>
      </c>
      <c r="R21" t="inlineStr">
        <is>
          <t>undefined</t>
        </is>
      </c>
      <c r="S21" t="inlineStr">
        <is>
          <t>G0810011725539</t>
        </is>
      </c>
    </row>
    <row r="22" ht="75" customHeight="1">
      <c r="A22" s="1">
        <f>HYPERLINK("https://www.toysrus.com/axis-and-allies-1941---wwii-war-strategy-board-game-G0810011725539.html", "https://www.toysrus.com/axis-and-allies-1941---wwii-war-strategy-board-game-G0810011725539.html")</f>
        <v/>
      </c>
      <c r="B22" s="1">
        <f>HYPERLINK("https://www.toysrus.com/axis-and-allies-1941---wwii-war-strategy-board-game-G0810011725539.html", "https://www.toysrus.com/axis-and-allies-1941---wwii-war-strategy-board-game-G0810011725539.html")</f>
        <v/>
      </c>
      <c r="C22" t="inlineStr">
        <is>
          <t>Axis &amp; Allies: 1941 - WWII War Strategy Board Game</t>
        </is>
      </c>
      <c r="D22" t="inlineStr">
        <is>
          <t>Hasbro Gaming Avalon Hill Axis &amp; Allies Europe 1940 Second Edition WWII Strategy Board Game, with Extra Large Gameboard, Ages 12 and Up, 2-6 Players, Brown</t>
        </is>
      </c>
      <c r="E22" s="1">
        <f>HYPERLINK("https://www.amazon.com/Hasbro-Gaming-Strategy-Gameboard-Players/dp/B08TQ7R17G/ref=sr_1_8?keywords=Axis+%26+Allies%3A+1941+-+WWII+War+Strategy+Board+Game&amp;qid=1695588218&amp;sr=8-8", "https://www.amazon.com/Hasbro-Gaming-Strategy-Gameboard-Players/dp/B08TQ7R17G/ref=sr_1_8?keywords=Axis+%26+Allies%3A+1941+-+WWII+War+Strategy+Board+Game&amp;qid=1695588218&amp;sr=8-8")</f>
        <v/>
      </c>
      <c r="F22" t="inlineStr">
        <is>
          <t>B08TQ7R17G</t>
        </is>
      </c>
      <c r="G22">
        <f>_xlfn.IMAGE("https://images.toysrus.com/1285980/810011725539_1.jpg")</f>
        <v/>
      </c>
      <c r="H22">
        <f>_xlfn.IMAGE("https://m.media-amazon.com/images/I/91haglil5xL._AC_UL320_.jpg")</f>
        <v/>
      </c>
      <c r="K22" t="inlineStr">
        <is>
          <t>39.99</t>
        </is>
      </c>
      <c r="L22" t="n">
        <v>71.13</v>
      </c>
      <c r="M22" s="2" t="inlineStr">
        <is>
          <t>77.87%</t>
        </is>
      </c>
      <c r="N22" t="n">
        <v>4.8</v>
      </c>
      <c r="O22" t="n">
        <v>256</v>
      </c>
      <c r="Q22" t="inlineStr">
        <is>
          <t>InStock</t>
        </is>
      </c>
      <c r="R22" t="inlineStr">
        <is>
          <t>undefined</t>
        </is>
      </c>
      <c r="S22" t="inlineStr">
        <is>
          <t>G0810011725539</t>
        </is>
      </c>
    </row>
    <row r="23" ht="75" customHeight="1">
      <c r="A23" s="1">
        <f>HYPERLINK("https://www.toysrus.com/b3-bean-bag-bucketz---game-bean-bags-G683405395409.html", "https://www.toysrus.com/b3-bean-bag-bucketz---game-bean-bags-G683405395409.html")</f>
        <v/>
      </c>
      <c r="B23" s="1">
        <f>HYPERLINK("https://www.toysrus.com/b3-bean-bag-bucketz---game-bean-bags-G683405395409.html", "https://www.toysrus.com/b3-bean-bag-bucketz---game-bean-bags-G683405395409.html")</f>
        <v/>
      </c>
      <c r="C23" t="inlineStr">
        <is>
          <t>B3 Bean Bag Bucketz - Game Bean Bags</t>
        </is>
      </c>
      <c r="D23" t="inlineStr">
        <is>
          <t>Creative Brainworks: B3 Bean Bag Bucketz; Outdoor Backyard Game : Lawn Bean Bag Toss Party Game - Giant 5' Camping, Tailgate, Beach, Cornhole Alternative Game Set, Yellow/Blue/Orange/Grey</t>
        </is>
      </c>
      <c r="E23" s="1">
        <f>HYPERLINK("https://www.amazon.com/Creative-Brainworks-LLC-Bean-Bucketz/dp/B075KNS8TW/ref=sr_1_1?keywords=B3+Bean+Bag+Bucketz+-+Game+Bean+Bags&amp;qid=1695588456&amp;sr=8-1", "https://www.amazon.com/Creative-Brainworks-LLC-Bean-Bucketz/dp/B075KNS8TW/ref=sr_1_1?keywords=B3+Bean+Bag+Bucketz+-+Game+Bean+Bags&amp;qid=1695588456&amp;sr=8-1")</f>
        <v/>
      </c>
      <c r="F23" t="inlineStr">
        <is>
          <t>B075KNS8TW</t>
        </is>
      </c>
      <c r="G23">
        <f>_xlfn.IMAGE("https://images.toysrus.com/1285/683405395409_1.jpg")</f>
        <v/>
      </c>
      <c r="H23">
        <f>_xlfn.IMAGE("https://m.media-amazon.com/images/I/61kxSXWrntL._AC_UL320_.jpg")</f>
        <v/>
      </c>
      <c r="K23" t="inlineStr">
        <is>
          <t>19.99</t>
        </is>
      </c>
      <c r="L23" t="n">
        <v>69.98999999999999</v>
      </c>
      <c r="M23" s="2" t="inlineStr">
        <is>
          <t>250.13%</t>
        </is>
      </c>
      <c r="N23" t="n">
        <v>4.4</v>
      </c>
      <c r="O23" t="n">
        <v>1276</v>
      </c>
      <c r="Q23" t="inlineStr">
        <is>
          <t>InStock</t>
        </is>
      </c>
      <c r="R23" t="inlineStr">
        <is>
          <t>undefined</t>
        </is>
      </c>
      <c r="S23" t="inlineStr">
        <is>
          <t>G683405395409</t>
        </is>
      </c>
    </row>
    <row r="24" ht="75" customHeight="1">
      <c r="A24" s="1">
        <f>HYPERLINK("https://www.toysrus.com/b3-bean-bag-bucketz---game-bean-bags-G683405395409.html", "https://www.toysrus.com/b3-bean-bag-bucketz---game-bean-bags-G683405395409.html")</f>
        <v/>
      </c>
      <c r="B24" s="1">
        <f>HYPERLINK("https://www.toysrus.com/b3-bean-bag-bucketz---game-bean-bags-G683405395409.html", "https://www.toysrus.com/b3-bean-bag-bucketz---game-bean-bags-G683405395409.html")</f>
        <v/>
      </c>
      <c r="C24" t="inlineStr">
        <is>
          <t>B3 Bean Bag Bucketz - Game Bean Bags</t>
        </is>
      </c>
      <c r="D24" t="inlineStr">
        <is>
          <t>KOVOT Basket Tower Toss - Bean Bag Buckets Toss Game for Adults and Kids - Throw Bean Bags into Bucket to Score Points - Indoor and Outdoor Game- Party, Garden, Beach Backyard Fun</t>
        </is>
      </c>
      <c r="E24" s="1">
        <f>HYPERLINK("https://www.amazon.com/KOVOT-Basket-Tower-Toss-Backyard/dp/B0B57XFNNQ/ref=sr_1_3?keywords=B3+Bean+Bag+Bucketz+-+Game+Bean+Bags&amp;qid=1695588456&amp;sr=8-3", "https://www.amazon.com/KOVOT-Basket-Tower-Toss-Backyard/dp/B0B57XFNNQ/ref=sr_1_3?keywords=B3+Bean+Bag+Bucketz+-+Game+Bean+Bags&amp;qid=1695588456&amp;sr=8-3")</f>
        <v/>
      </c>
      <c r="F24" t="inlineStr">
        <is>
          <t>B0B57XFNNQ</t>
        </is>
      </c>
      <c r="G24">
        <f>_xlfn.IMAGE("https://images.toysrus.com/1285/683405395409_1.jpg")</f>
        <v/>
      </c>
      <c r="H24">
        <f>_xlfn.IMAGE("https://m.media-amazon.com/images/I/61QjiQb5tWL._AC_UL320_.jpg")</f>
        <v/>
      </c>
      <c r="K24" t="inlineStr">
        <is>
          <t>19.99</t>
        </is>
      </c>
      <c r="L24" t="n">
        <v>34.95</v>
      </c>
      <c r="M24" s="2" t="inlineStr">
        <is>
          <t>74.84%</t>
        </is>
      </c>
      <c r="N24" t="n">
        <v>4.2</v>
      </c>
      <c r="O24" t="n">
        <v>4</v>
      </c>
      <c r="Q24" t="inlineStr">
        <is>
          <t>InStock</t>
        </is>
      </c>
      <c r="R24" t="inlineStr">
        <is>
          <t>undefined</t>
        </is>
      </c>
      <c r="S24" t="inlineStr">
        <is>
          <t>G683405395409</t>
        </is>
      </c>
    </row>
    <row r="25" ht="75" customHeight="1">
      <c r="A25" s="1">
        <f>HYPERLINK("https://www.toysrus.com/bachmann-trains-ho-scale-9-straight-track---4-pack-G022899444116.html", "https://www.toysrus.com/bachmann-trains-ho-scale-9-straight-track---4-pack-G022899444116.html")</f>
        <v/>
      </c>
      <c r="B25" s="1">
        <f>HYPERLINK("https://www.toysrus.com/bachmann-trains-ho-scale-9-straight-track---4-pack-G022899444116.html", "https://www.toysrus.com/bachmann-trains-ho-scale-9-straight-track---4-pack-G022899444116.html")</f>
        <v/>
      </c>
      <c r="C25" t="inlineStr">
        <is>
          <t>Bachmann Trains HO Scale 9" Straight Track - 4 Pack</t>
        </is>
      </c>
      <c r="D25" t="inlineStr">
        <is>
          <t>Bachmann Trains - Snap-Fit E-Z TRACK 9” STRAIGHT TRACK - BULK (50 pcs) - NICKEL SILVER Rail With Gray Roadbed - HO Scale</t>
        </is>
      </c>
      <c r="E25" s="1">
        <f>HYPERLINK("https://www.amazon.com/Bachmann-Trains-Snap-Fit-Track-Straight/dp/B0006O41MI/ref=sr_1_9?keywords=Bachmann+Trains+HO+Scale+9%22+Straight+Track+-+4+Pack&amp;qid=1695588749&amp;sr=8-9", "https://www.amazon.com/Bachmann-Trains-Snap-Fit-Track-Straight/dp/B0006O41MI/ref=sr_1_9?keywords=Bachmann+Trains+HO+Scale+9%22+Straight+Track+-+4+Pack&amp;qid=1695588749&amp;sr=8-9")</f>
        <v/>
      </c>
      <c r="F25" t="inlineStr">
        <is>
          <t>B0006O41MI</t>
        </is>
      </c>
      <c r="G25">
        <f>_xlfn.IMAGE("https://images.toysrus.com/1128598/022899444116_1.jpg")</f>
        <v/>
      </c>
      <c r="H25">
        <f>_xlfn.IMAGE("https://m.media-amazon.com/images/I/71QpT4kumQL._AC_UL320_.jpg")</f>
        <v/>
      </c>
      <c r="K25" t="inlineStr">
        <is>
          <t>11.99</t>
        </is>
      </c>
      <c r="L25" t="n">
        <v>138.61</v>
      </c>
      <c r="M25" s="2" t="inlineStr">
        <is>
          <t>1056.05%</t>
        </is>
      </c>
      <c r="N25" t="n">
        <v>4.6</v>
      </c>
      <c r="O25" t="n">
        <v>39</v>
      </c>
      <c r="Q25" t="inlineStr">
        <is>
          <t>InStock</t>
        </is>
      </c>
      <c r="R25" t="inlineStr">
        <is>
          <t>undefined</t>
        </is>
      </c>
      <c r="S25" t="inlineStr">
        <is>
          <t>G022899444116</t>
        </is>
      </c>
    </row>
    <row r="26" ht="75" customHeight="1">
      <c r="A26" s="1">
        <f>HYPERLINK("https://www.toysrus.com/bachmann-trains-ho-scale-9-straight-track---4-pack-G022899444116.html", "https://www.toysrus.com/bachmann-trains-ho-scale-9-straight-track---4-pack-G022899444116.html")</f>
        <v/>
      </c>
      <c r="B26" s="1">
        <f>HYPERLINK("https://www.toysrus.com/bachmann-trains-ho-scale-9-straight-track---4-pack-G022899444116.html", "https://www.toysrus.com/bachmann-trains-ho-scale-9-straight-track---4-pack-G022899444116.html")</f>
        <v/>
      </c>
      <c r="C26" t="inlineStr">
        <is>
          <t>Bachmann Trains HO Scale 9" Straight Track - 4 Pack</t>
        </is>
      </c>
      <c r="D26" t="inlineStr">
        <is>
          <t>Bachmann Trains - Snap-Fit E-Z TRACK 9” STRAIGHT TRACK - BULK (50 pcs) - STEEL ALLOY Rail With Black Roadbed - HO Scale</t>
        </is>
      </c>
      <c r="E26" s="1">
        <f>HYPERLINK("https://www.amazon.com/Bachmann-Trains-Snap-Fit-Track-Straight/dp/B0006O41DM/ref=sr_1_8?keywords=Bachmann+Trains+HO+Scale+9%22+Straight+Track+-+4+Pack&amp;qid=1695588749&amp;sr=8-8", "https://www.amazon.com/Bachmann-Trains-Snap-Fit-Track-Straight/dp/B0006O41DM/ref=sr_1_8?keywords=Bachmann+Trains+HO+Scale+9%22+Straight+Track+-+4+Pack&amp;qid=1695588749&amp;sr=8-8")</f>
        <v/>
      </c>
      <c r="F26" t="inlineStr">
        <is>
          <t>B0006O41DM</t>
        </is>
      </c>
      <c r="G26">
        <f>_xlfn.IMAGE("https://images.toysrus.com/1128598/022899444116_1.jpg")</f>
        <v/>
      </c>
      <c r="H26">
        <f>_xlfn.IMAGE("https://m.media-amazon.com/images/I/61shF6HSseL._AC_UL320_.jpg")</f>
        <v/>
      </c>
      <c r="K26" t="inlineStr">
        <is>
          <t>11.99</t>
        </is>
      </c>
      <c r="L26" t="n">
        <v>80.95</v>
      </c>
      <c r="M26" s="2" t="inlineStr">
        <is>
          <t>575.15%</t>
        </is>
      </c>
      <c r="N26" t="n">
        <v>4.8</v>
      </c>
      <c r="O26" t="n">
        <v>95</v>
      </c>
      <c r="Q26" t="inlineStr">
        <is>
          <t>InStock</t>
        </is>
      </c>
      <c r="R26" t="inlineStr">
        <is>
          <t>undefined</t>
        </is>
      </c>
      <c r="S26" t="inlineStr">
        <is>
          <t>G022899444116</t>
        </is>
      </c>
    </row>
    <row r="27" ht="75" customHeight="1">
      <c r="A27" s="1">
        <f>HYPERLINK("https://www.toysrus.com/bachmann-trains-ho-scale-9-straight-track---4-pack-G022899444116.html", "https://www.toysrus.com/bachmann-trains-ho-scale-9-straight-track---4-pack-G022899444116.html")</f>
        <v/>
      </c>
      <c r="B27" s="1">
        <f>HYPERLINK("https://www.toysrus.com/bachmann-trains-ho-scale-9-straight-track---4-pack-G022899444116.html", "https://www.toysrus.com/bachmann-trains-ho-scale-9-straight-track---4-pack-G022899444116.html")</f>
        <v/>
      </c>
      <c r="C27" t="inlineStr">
        <is>
          <t>Bachmann Trains HO Scale 9" Straight Track - 4 Pack</t>
        </is>
      </c>
      <c r="D27" t="inlineStr">
        <is>
          <t>HO Scale Bachmann Nickel Silver EZ Track 12 Pieces of 9 inch straights for Model Railroad Trains</t>
        </is>
      </c>
      <c r="E27" s="1">
        <f>HYPERLINK("https://www.amazon.com/Bachmann-Nickel-Silver-straights-Railroad/dp/B07F48CCL3/ref=sr_1_10?keywords=Bachmann+Trains+HO+Scale+9%22+Straight+Track+-+4+Pack&amp;qid=1695588749&amp;sr=8-10", "https://www.amazon.com/Bachmann-Nickel-Silver-straights-Railroad/dp/B07F48CCL3/ref=sr_1_10?keywords=Bachmann+Trains+HO+Scale+9%22+Straight+Track+-+4+Pack&amp;qid=1695588749&amp;sr=8-10")</f>
        <v/>
      </c>
      <c r="F27" t="inlineStr">
        <is>
          <t>B07F48CCL3</t>
        </is>
      </c>
      <c r="G27">
        <f>_xlfn.IMAGE("https://images.toysrus.com/1128598/022899444116_1.jpg")</f>
        <v/>
      </c>
      <c r="H27">
        <f>_xlfn.IMAGE("https://m.media-amazon.com/images/I/81KwRqRv7NL._AC_UL320_.jpg")</f>
        <v/>
      </c>
      <c r="K27" t="inlineStr">
        <is>
          <t>11.99</t>
        </is>
      </c>
      <c r="L27" t="n">
        <v>54.99</v>
      </c>
      <c r="M27" s="2" t="inlineStr">
        <is>
          <t>358.63%</t>
        </is>
      </c>
      <c r="N27" t="n">
        <v>4.8</v>
      </c>
      <c r="O27" t="n">
        <v>18</v>
      </c>
      <c r="Q27" t="inlineStr">
        <is>
          <t>InStock</t>
        </is>
      </c>
      <c r="R27" t="inlineStr">
        <is>
          <t>undefined</t>
        </is>
      </c>
      <c r="S27" t="inlineStr">
        <is>
          <t>G022899444116</t>
        </is>
      </c>
    </row>
    <row r="28" ht="75" customHeight="1">
      <c r="A28" s="1">
        <f>HYPERLINK("https://www.toysrus.com/bachmann-trains-ho-scale-9-straight-track---4-pack-G022899444116.html", "https://www.toysrus.com/bachmann-trains-ho-scale-9-straight-track---4-pack-G022899444116.html")</f>
        <v/>
      </c>
      <c r="B28" s="1">
        <f>HYPERLINK("https://www.toysrus.com/bachmann-trains-ho-scale-9-straight-track---4-pack-G022899444116.html", "https://www.toysrus.com/bachmann-trains-ho-scale-9-straight-track---4-pack-G022899444116.html")</f>
        <v/>
      </c>
      <c r="C28" t="inlineStr">
        <is>
          <t>Bachmann Trains HO Scale 9" Straight Track - 4 Pack</t>
        </is>
      </c>
      <c r="D28" t="inlineStr">
        <is>
          <t>Bachmann Trains E-Z TRACK REVERSING 9" STRAIGHT (4/card) - NICKEL SILVER Rail With Grey Roadbed - HO Scale</t>
        </is>
      </c>
      <c r="E28" s="1">
        <f>HYPERLINK("https://www.amazon.com/Bachmann-Trains-Snap-Fit-Reversing-Straight/dp/B000BKSV1Y/ref=sr_1_5?keywords=Bachmann+Trains+HO+Scale+9%22+Straight+Track+-+4+Pack&amp;qid=1695588749&amp;sr=8-5", "https://www.amazon.com/Bachmann-Trains-Snap-Fit-Reversing-Straight/dp/B000BKSV1Y/ref=sr_1_5?keywords=Bachmann+Trains+HO+Scale+9%22+Straight+Track+-+4+Pack&amp;qid=1695588749&amp;sr=8-5")</f>
        <v/>
      </c>
      <c r="F28" t="inlineStr">
        <is>
          <t>B000BKSV1Y</t>
        </is>
      </c>
      <c r="G28">
        <f>_xlfn.IMAGE("https://images.toysrus.com/1128598/022899444116_1.jpg")</f>
        <v/>
      </c>
      <c r="H28">
        <f>_xlfn.IMAGE("https://m.media-amazon.com/images/I/81BAZBOU1CL._AC_UL320_.jpg")</f>
        <v/>
      </c>
      <c r="K28" t="inlineStr">
        <is>
          <t>11.99</t>
        </is>
      </c>
      <c r="L28" t="n">
        <v>35.93</v>
      </c>
      <c r="M28" s="2" t="inlineStr">
        <is>
          <t>199.67%</t>
        </is>
      </c>
      <c r="N28" t="n">
        <v>4.9</v>
      </c>
      <c r="O28" t="n">
        <v>79</v>
      </c>
      <c r="Q28" t="inlineStr">
        <is>
          <t>InStock</t>
        </is>
      </c>
      <c r="R28" t="inlineStr">
        <is>
          <t>undefined</t>
        </is>
      </c>
      <c r="S28" t="inlineStr">
        <is>
          <t>G022899444116</t>
        </is>
      </c>
    </row>
    <row r="29" ht="75" customHeight="1">
      <c r="A29" s="1">
        <f>HYPERLINK("https://www.toysrus.com/batman-batcave-with-exclusive-batman-and-penguin-action-figures-and-batcycle-13899438.html", "https://www.toysrus.com/batman-batcave-with-exclusive-batman-and-penguin-action-figures-and-batcycle-13899438.html")</f>
        <v/>
      </c>
      <c r="B29" s="1">
        <f>HYPERLINK("https://www.toysrus.com/batman-batcave-with-exclusive-batman-and-penguin-action-figures-and-batcycle-13899438.html", "https://www.toysrus.com/batman-batcave-with-exclusive-batman-and-penguin-action-figures-and-batcycle-13899438.html")</f>
        <v/>
      </c>
      <c r="C29" t="inlineStr">
        <is>
          <t>Batman Batcave with Exclusive Batman and Penguin Action Figures and Batcycle,</t>
        </is>
      </c>
      <c r="D29" t="inlineStr">
        <is>
          <t>Batman 3-in-1 Batcave Playset with Exclusive 4-inch Batman Action Figure and Battle Armor, Gift Ideas for Your Holiday Toy List 2021</t>
        </is>
      </c>
      <c r="E29" s="1">
        <f>HYPERLINK("https://www.amazon.com/BATMAN-Batcave-Playset-Exclusive-4-inch/dp/B085D5FQTL/ref=sr_1_6?keywords=Batman+Batcave+with+Exclusive+Batman+and+Penguin+Action+Figures+and+Batcycle%2C&amp;qid=1695588568&amp;sr=8-6", "https://www.amazon.com/BATMAN-Batcave-Playset-Exclusive-4-inch/dp/B085D5FQTL/ref=sr_1_6?keywords=Batman+Batcave+with+Exclusive+Batman+and+Penguin+Action+Figures+and+Batcycle%2C&amp;qid=1695588568&amp;sr=8-6")</f>
        <v/>
      </c>
      <c r="F29" t="inlineStr">
        <is>
          <t>B085D5FQTL</t>
        </is>
      </c>
      <c r="G29">
        <f>_xlfn.IMAGE("http://slimages.macys.com/is/image/MCY/products/0/optimized/21707486_fpx.tif")</f>
        <v/>
      </c>
      <c r="H29">
        <f>_xlfn.IMAGE("https://m.media-amazon.com/images/I/91MGBnrwh3L._AC_UL320_.jpg")</f>
        <v/>
      </c>
      <c r="K29" t="inlineStr">
        <is>
          <t>19.93</t>
        </is>
      </c>
      <c r="L29" t="n">
        <v>41.99</v>
      </c>
      <c r="M29" s="2" t="inlineStr">
        <is>
          <t>110.69%</t>
        </is>
      </c>
      <c r="N29" t="n">
        <v>4.6</v>
      </c>
      <c r="O29" t="n">
        <v>2272</v>
      </c>
      <c r="Q29" t="inlineStr">
        <is>
          <t>InStock</t>
        </is>
      </c>
      <c r="R29" t="inlineStr">
        <is>
          <t>undefined</t>
        </is>
      </c>
      <c r="S29" t="inlineStr">
        <is>
          <t>13899438</t>
        </is>
      </c>
    </row>
    <row r="30" ht="75" customHeight="1">
      <c r="A30" s="1">
        <f>HYPERLINK("https://www.toysrus.com/big---power-worker-maxi-firetruck-G4004943558150.html", "https://www.toysrus.com/big---power-worker-maxi-firetruck-G4004943558150.html")</f>
        <v/>
      </c>
      <c r="B30" s="1">
        <f>HYPERLINK("https://www.toysrus.com/big---power-worker-maxi-firetruck-G4004943558150.html", "https://www.toysrus.com/big---power-worker-maxi-firetruck-G4004943558150.html")</f>
        <v/>
      </c>
      <c r="C30" t="inlineStr">
        <is>
          <t>BIG - Power Worker Maxi Firetruck</t>
        </is>
      </c>
      <c r="D30" t="inlineStr">
        <is>
          <t>Big - Power Worker Maxi Loader</t>
        </is>
      </c>
      <c r="E30" s="1">
        <f>HYPERLINK("https://www.amazon.com/BIG-Power-Worker-Kids-Yellow/dp/B075SNYZG1/ref=sr_1_3?keywords=BIG+-+Power+Worker+Maxi+Firetruck&amp;qid=1695588729&amp;sr=8-3", "https://www.amazon.com/BIG-Power-Worker-Kids-Yellow/dp/B075SNYZG1/ref=sr_1_3?keywords=BIG+-+Power+Worker+Maxi+Firetruck&amp;qid=1695588729&amp;sr=8-3")</f>
        <v/>
      </c>
      <c r="F30" t="inlineStr">
        <is>
          <t>B075SNYZG1</t>
        </is>
      </c>
      <c r="G30">
        <f>_xlfn.IMAGE("https://images.toysrus.com/1285980/4004943558150_1.jpg")</f>
        <v/>
      </c>
      <c r="H30">
        <f>_xlfn.IMAGE("https://m.media-amazon.com/images/I/61bGHmtc-MS._AC_UL320_.jpg")</f>
        <v/>
      </c>
      <c r="K30" t="inlineStr">
        <is>
          <t>14.99</t>
        </is>
      </c>
      <c r="L30" t="n">
        <v>51.87</v>
      </c>
      <c r="M30" s="2" t="inlineStr">
        <is>
          <t>246.03%</t>
        </is>
      </c>
      <c r="N30" t="n">
        <v>4.6</v>
      </c>
      <c r="O30" t="n">
        <v>874</v>
      </c>
      <c r="Q30" t="inlineStr">
        <is>
          <t>InStock</t>
        </is>
      </c>
      <c r="R30" t="inlineStr">
        <is>
          <t>undefined</t>
        </is>
      </c>
      <c r="S30" t="inlineStr">
        <is>
          <t>G4004943558150</t>
        </is>
      </c>
    </row>
    <row r="31" ht="75" customHeight="1">
      <c r="A31" s="1">
        <f>HYPERLINK("https://www.toysrus.com/big---power-worker-maxi-firetruck-G4004943558150.html", "https://www.toysrus.com/big---power-worker-maxi-firetruck-G4004943558150.html")</f>
        <v/>
      </c>
      <c r="B31" s="1">
        <f>HYPERLINK("https://www.toysrus.com/big---power-worker-maxi-firetruck-G4004943558150.html", "https://www.toysrus.com/big---power-worker-maxi-firetruck-G4004943558150.html")</f>
        <v/>
      </c>
      <c r="C31" t="inlineStr">
        <is>
          <t>BIG - Power Worker Maxi Firetruck</t>
        </is>
      </c>
      <c r="D31" t="inlineStr">
        <is>
          <t>VARUN Big Spielwarenfabrik 800055815 Big Power-Worker Maxi Fire Truck Toy Car with Water Sprayer Tyres Soft Material Red for Children from 2 Years</t>
        </is>
      </c>
      <c r="E31" s="1">
        <f>HYPERLINK("https://www.amazon.com/VARUN-Spielwarenfabrik-800055815-Power-Worker-Material/dp/B081JBDF3F/ref=sr_1_1?keywords=BIG+-+Power+Worker+Maxi+Firetruck&amp;qid=1695588729&amp;sr=8-1", "https://www.amazon.com/VARUN-Spielwarenfabrik-800055815-Power-Worker-Material/dp/B081JBDF3F/ref=sr_1_1?keywords=BIG+-+Power+Worker+Maxi+Firetruck&amp;qid=1695588729&amp;sr=8-1")</f>
        <v/>
      </c>
      <c r="F31" t="inlineStr">
        <is>
          <t>B081JBDF3F</t>
        </is>
      </c>
      <c r="G31">
        <f>_xlfn.IMAGE("https://images.toysrus.com/1285980/4004943558150_1.jpg")</f>
        <v/>
      </c>
      <c r="H31">
        <f>_xlfn.IMAGE("https://m.media-amazon.com/images/I/51jySiEciyS._AC_UL320_.jpg")</f>
        <v/>
      </c>
      <c r="K31" t="inlineStr">
        <is>
          <t>14.99</t>
        </is>
      </c>
      <c r="L31" t="n">
        <v>44.61</v>
      </c>
      <c r="M31" s="2" t="inlineStr">
        <is>
          <t>197.60%</t>
        </is>
      </c>
      <c r="N31" t="n">
        <v>4.6</v>
      </c>
      <c r="O31" t="n">
        <v>162</v>
      </c>
      <c r="Q31" t="inlineStr">
        <is>
          <t>InStock</t>
        </is>
      </c>
      <c r="R31" t="inlineStr">
        <is>
          <t>undefined</t>
        </is>
      </c>
      <c r="S31" t="inlineStr">
        <is>
          <t>G4004943558150</t>
        </is>
      </c>
    </row>
    <row r="32" ht="75" customHeight="1">
      <c r="A32" s="1">
        <f>HYPERLINK("https://www.toysrus.com/big---power-worker-maxi-firetruck-G4004943558150.html", "https://www.toysrus.com/big---power-worker-maxi-firetruck-G4004943558150.html")</f>
        <v/>
      </c>
      <c r="B32" s="1">
        <f>HYPERLINK("https://www.toysrus.com/big---power-worker-maxi-firetruck-G4004943558150.html", "https://www.toysrus.com/big---power-worker-maxi-firetruck-G4004943558150.html")</f>
        <v/>
      </c>
      <c r="C32" t="inlineStr">
        <is>
          <t>BIG - Power Worker Maxi Firetruck</t>
        </is>
      </c>
      <c r="D32" t="inlineStr">
        <is>
          <t>BIG Power Worker Maxi Dump Truck Vehicle</t>
        </is>
      </c>
      <c r="E32" s="1">
        <f>HYPERLINK("https://www.amazon.com/BIG-Power-Worker-Truck-Vehicle/dp/B00G5JRQW0/ref=sr_1_2?keywords=BIG+-+Power+Worker+Maxi+Firetruck&amp;qid=1695588729&amp;sr=8-2", "https://www.amazon.com/BIG-Power-Worker-Truck-Vehicle/dp/B00G5JRQW0/ref=sr_1_2?keywords=BIG+-+Power+Worker+Maxi+Firetruck&amp;qid=1695588729&amp;sr=8-2")</f>
        <v/>
      </c>
      <c r="F32" t="inlineStr">
        <is>
          <t>B00G5JRQW0</t>
        </is>
      </c>
      <c r="G32">
        <f>_xlfn.IMAGE("https://images.toysrus.com/1285980/4004943558150_1.jpg")</f>
        <v/>
      </c>
      <c r="H32">
        <f>_xlfn.IMAGE("https://m.media-amazon.com/images/I/71LvjwBwYfS._AC_UL320_.jpg")</f>
        <v/>
      </c>
      <c r="K32" t="inlineStr">
        <is>
          <t>14.99</t>
        </is>
      </c>
      <c r="L32" t="n">
        <v>43.99</v>
      </c>
      <c r="M32" s="2" t="inlineStr">
        <is>
          <t>193.46%</t>
        </is>
      </c>
      <c r="N32" t="n">
        <v>4.8</v>
      </c>
      <c r="O32" t="n">
        <v>1344</v>
      </c>
      <c r="Q32" t="inlineStr">
        <is>
          <t>InStock</t>
        </is>
      </c>
      <c r="R32" t="inlineStr">
        <is>
          <t>undefined</t>
        </is>
      </c>
      <c r="S32" t="inlineStr">
        <is>
          <t>G4004943558150</t>
        </is>
      </c>
    </row>
    <row r="33" ht="75" customHeight="1">
      <c r="A33" s="1">
        <f>HYPERLINK("https://www.toysrus.com/boston-opoly-G730799001093.html", "https://www.toysrus.com/boston-opoly-G730799001093.html")</f>
        <v/>
      </c>
      <c r="B33" s="1">
        <f>HYPERLINK("https://www.toysrus.com/boston-opoly-G730799001093.html", "https://www.toysrus.com/boston-opoly-G730799001093.html")</f>
        <v/>
      </c>
      <c r="C33" t="inlineStr">
        <is>
          <t>Boston-opoly</t>
        </is>
      </c>
      <c r="D33" t="inlineStr">
        <is>
          <t>Monopoly: Boston Edition</t>
        </is>
      </c>
      <c r="E33" s="1">
        <f>HYPERLINK("https://www.amazon.com/Monopoly-Boston-Edition/dp/B0018HPRM0/ref=sr_1_6?keywords=Boston-opoly&amp;qid=1695588281&amp;sr=8-6", "https://www.amazon.com/Monopoly-Boston-Edition/dp/B0018HPRM0/ref=sr_1_6?keywords=Boston-opoly&amp;qid=1695588281&amp;sr=8-6")</f>
        <v/>
      </c>
      <c r="F33" t="inlineStr">
        <is>
          <t>B0018HPRM0</t>
        </is>
      </c>
      <c r="G33">
        <f>_xlfn.IMAGE("https://images.toysrus.com/1285980/730799001093_1.jpg")</f>
        <v/>
      </c>
      <c r="H33">
        <f>_xlfn.IMAGE("https://m.media-amazon.com/images/I/81-dcJQlgjL._AC_UL320_.jpg")</f>
        <v/>
      </c>
      <c r="K33" t="inlineStr">
        <is>
          <t>24.99</t>
        </is>
      </c>
      <c r="L33" t="n">
        <v>120</v>
      </c>
      <c r="M33" s="2" t="inlineStr">
        <is>
          <t>380.19%</t>
        </is>
      </c>
      <c r="N33" t="n">
        <v>5</v>
      </c>
      <c r="O33" t="n">
        <v>3</v>
      </c>
      <c r="Q33" t="inlineStr">
        <is>
          <t>InStock</t>
        </is>
      </c>
      <c r="R33" t="inlineStr">
        <is>
          <t>undefined</t>
        </is>
      </c>
      <c r="S33" t="inlineStr">
        <is>
          <t>G730799001093</t>
        </is>
      </c>
    </row>
    <row r="34" ht="75" customHeight="1">
      <c r="A34" s="1">
        <f>HYPERLINK("https://www.toysrus.com/breyer-horses---breyer-farms-132-scale-wooden-stable-playset-with-6-horses-G019756592172.html", "https://www.toysrus.com/breyer-horses---breyer-farms-132-scale-wooden-stable-playset-with-6-horses-G019756592172.html")</f>
        <v/>
      </c>
      <c r="B34" s="1">
        <f>HYPERLINK("https://www.toysrus.com/breyer-horses---breyer-farms-132-scale-wooden-stable-playset-with-6-horses-G019756592172.html", "https://www.toysrus.com/breyer-horses---breyer-farms-132-scale-wooden-stable-playset-with-6-horses-G019756592172.html")</f>
        <v/>
      </c>
      <c r="C34" t="inlineStr">
        <is>
          <t>Breyer Horses - Breyer Farms 1:32 Scale Wooden Stable Playset With 6 Horses</t>
        </is>
      </c>
      <c r="D34" t="inlineStr">
        <is>
          <t>Breyer Horses Freedom Series Deluxe Country Stable &amp; Wash Stall with Freedom Series Horse | 6 Piece Barn Playset Toy | 1:12 Scale Figurine | Model #61149</t>
        </is>
      </c>
      <c r="E34" s="1">
        <f>HYPERLINK("https://www.amazon.com/Breyer-Horses-Freedom-Country-Playset/dp/B0979F6DNC/ref=sr_1_4?keywords=Breyer+Horses+-+Breyer+Farms+1%3A32+Scale+Wooden+Stable+Playset+With+6+Horses&amp;qid=1695588486&amp;sr=8-4", "https://www.amazon.com/Breyer-Horses-Freedom-Country-Playset/dp/B0979F6DNC/ref=sr_1_4?keywords=Breyer+Horses+-+Breyer+Farms+1%3A32+Scale+Wooden+Stable+Playset+With+6+Horses&amp;qid=1695588486&amp;sr=8-4")</f>
        <v/>
      </c>
      <c r="F34" t="inlineStr">
        <is>
          <t>B0979F6DNC</t>
        </is>
      </c>
      <c r="G34">
        <f>_xlfn.IMAGE("https://images.toysrus.com/1128598/019756592172_1.jpg")</f>
        <v/>
      </c>
      <c r="H34">
        <f>_xlfn.IMAGE("https://m.media-amazon.com/images/I/71uLeJRE+hS._AC_UL320_.jpg")</f>
        <v/>
      </c>
      <c r="K34" t="inlineStr">
        <is>
          <t>24.99</t>
        </is>
      </c>
      <c r="L34" t="n">
        <v>44.99</v>
      </c>
      <c r="M34" s="2" t="inlineStr">
        <is>
          <t>80.03%</t>
        </is>
      </c>
      <c r="N34" t="n">
        <v>4.7</v>
      </c>
      <c r="O34" t="n">
        <v>1838</v>
      </c>
      <c r="Q34" t="inlineStr">
        <is>
          <t>InStock</t>
        </is>
      </c>
      <c r="R34" t="inlineStr">
        <is>
          <t>undefined</t>
        </is>
      </c>
      <c r="S34" t="inlineStr">
        <is>
          <t>G019756592172</t>
        </is>
      </c>
    </row>
    <row r="35" ht="75" customHeight="1">
      <c r="A35" s="1">
        <f>HYPERLINK("https://www.toysrus.com/capstone-games-savannah-park-strategy-board-game-G0850000576308.html", "https://www.toysrus.com/capstone-games-savannah-park-strategy-board-game-G0850000576308.html")</f>
        <v/>
      </c>
      <c r="B35" s="1">
        <f>HYPERLINK("https://www.toysrus.com/capstone-games-savannah-park-strategy-board-game-G0850000576308.html", "https://www.toysrus.com/capstone-games-savannah-park-strategy-board-game-G0850000576308.html")</f>
        <v/>
      </c>
      <c r="C35" t="inlineStr">
        <is>
          <t>Capstone Games: Savannah Park, Strategy Board Game</t>
        </is>
      </c>
      <c r="D35" t="inlineStr">
        <is>
          <t>Capstone Games: Coffee Traders - Strategy Board Game, 3-5 Players, Ages 12+, 120 Min</t>
        </is>
      </c>
      <c r="E35" s="1">
        <f>HYPERLINK("https://www.amazon.com/Capstone-Games-ctd101-Coffee-Traders/dp/B08QF1D3QX/ref=sr_1_5?keywords=Capstone+Games%3A+Savannah+Park%2C+Strategy+Board+Game&amp;qid=1695588360&amp;sr=8-5", "https://www.amazon.com/Capstone-Games-ctd101-Coffee-Traders/dp/B08QF1D3QX/ref=sr_1_5?keywords=Capstone+Games%3A+Savannah+Park%2C+Strategy+Board+Game&amp;qid=1695588360&amp;sr=8-5")</f>
        <v/>
      </c>
      <c r="F35" t="inlineStr">
        <is>
          <t>B08QF1D3QX</t>
        </is>
      </c>
      <c r="G35">
        <f>_xlfn.IMAGE("https://images.toysrus.com/1285980/850000576308_1.jpg")</f>
        <v/>
      </c>
      <c r="H35">
        <f>_xlfn.IMAGE("https://m.media-amazon.com/images/I/81F+gAdb4bL._AC_UL320_.jpg")</f>
        <v/>
      </c>
      <c r="K35" t="inlineStr">
        <is>
          <t>39.95</t>
        </is>
      </c>
      <c r="L35" t="n">
        <v>90</v>
      </c>
      <c r="M35" s="2" t="inlineStr">
        <is>
          <t>125.28%</t>
        </is>
      </c>
      <c r="N35" t="n">
        <v>4.4</v>
      </c>
      <c r="O35" t="n">
        <v>8</v>
      </c>
      <c r="Q35" t="inlineStr">
        <is>
          <t>InStock</t>
        </is>
      </c>
      <c r="R35" t="inlineStr">
        <is>
          <t>undefined</t>
        </is>
      </c>
      <c r="S35" t="inlineStr">
        <is>
          <t>G0850000576308</t>
        </is>
      </c>
    </row>
    <row r="36" ht="75" customHeight="1">
      <c r="A36" s="1">
        <f>HYPERLINK("https://www.toysrus.com/capstone-games-watergate-strategy-board-game-G0850000576056.html", "https://www.toysrus.com/capstone-games-watergate-strategy-board-game-G0850000576056.html")</f>
        <v/>
      </c>
      <c r="B36" s="1">
        <f>HYPERLINK("https://www.toysrus.com/capstone-games-watergate-strategy-board-game-G0850000576056.html", "https://www.toysrus.com/capstone-games-watergate-strategy-board-game-G0850000576056.html")</f>
        <v/>
      </c>
      <c r="C36" t="inlineStr">
        <is>
          <t>Capstone Games: Watergate, Strategy Board Game</t>
        </is>
      </c>
      <c r="D36" t="inlineStr">
        <is>
          <t>Capstone Games: Coffee Traders - Strategy Board Game, 3-5 Players, Ages 12+, 120 Min</t>
        </is>
      </c>
      <c r="E36" s="1">
        <f>HYPERLINK("https://www.amazon.com/Capstone-Games-ctd101-Coffee-Traders/dp/B08QF1D3QX/ref=sr_1_5?keywords=Capstone+Games%3A+Watergate%2C+Strategy+Board+Game&amp;qid=1695588352&amp;sr=8-5", "https://www.amazon.com/Capstone-Games-ctd101-Coffee-Traders/dp/B08QF1D3QX/ref=sr_1_5?keywords=Capstone+Games%3A+Watergate%2C+Strategy+Board+Game&amp;qid=1695588352&amp;sr=8-5")</f>
        <v/>
      </c>
      <c r="F36" t="inlineStr">
        <is>
          <t>B08QF1D3QX</t>
        </is>
      </c>
      <c r="G36">
        <f>_xlfn.IMAGE("https://images.toysrus.com/1285980/850000576056_1.jpg")</f>
        <v/>
      </c>
      <c r="H36">
        <f>_xlfn.IMAGE("https://m.media-amazon.com/images/I/81F+gAdb4bL._AC_UL320_.jpg")</f>
        <v/>
      </c>
      <c r="K36" t="inlineStr">
        <is>
          <t>34.95</t>
        </is>
      </c>
      <c r="L36" t="n">
        <v>90</v>
      </c>
      <c r="M36" s="2" t="inlineStr">
        <is>
          <t>157.51%</t>
        </is>
      </c>
      <c r="N36" t="n">
        <v>4.4</v>
      </c>
      <c r="O36" t="n">
        <v>8</v>
      </c>
      <c r="Q36" t="inlineStr">
        <is>
          <t>InStock</t>
        </is>
      </c>
      <c r="R36" t="inlineStr">
        <is>
          <t>undefined</t>
        </is>
      </c>
      <c r="S36" t="inlineStr">
        <is>
          <t>G0850000576056</t>
        </is>
      </c>
    </row>
    <row r="37" ht="75" customHeight="1">
      <c r="A37" s="1">
        <f>HYPERLINK("https://www.toysrus.com/capstone-games-watergate-strategy-board-game-G0850000576056.html", "https://www.toysrus.com/capstone-games-watergate-strategy-board-game-G0850000576056.html")</f>
        <v/>
      </c>
      <c r="B37" s="1">
        <f>HYPERLINK("https://www.toysrus.com/capstone-games-watergate-strategy-board-game-G0850000576056.html", "https://www.toysrus.com/capstone-games-watergate-strategy-board-game-G0850000576056.html")</f>
        <v/>
      </c>
      <c r="C37" t="inlineStr">
        <is>
          <t>Capstone Games: Watergate, Strategy Board Game</t>
        </is>
      </c>
      <c r="D37" t="inlineStr">
        <is>
          <t>Capstone Games: Boonlake Hand Management, Exploration Strategy Board Game, 1-4 Players, Ages 14+, 40 Minute per Player Game Play Multicolor</t>
        </is>
      </c>
      <c r="E37" s="1">
        <f>HYPERLINK("https://www.amazon.com/Capstone-Games-Management-Exploration-Multicolor/dp/B09L6F6XLK/ref=sr_1_4?keywords=Capstone+Games%3A+Watergate%2C+Strategy+Board+Game&amp;qid=1695588352&amp;sr=8-4", "https://www.amazon.com/Capstone-Games-Management-Exploration-Multicolor/dp/B09L6F6XLK/ref=sr_1_4?keywords=Capstone+Games%3A+Watergate%2C+Strategy+Board+Game&amp;qid=1695588352&amp;sr=8-4")</f>
        <v/>
      </c>
      <c r="F37" t="inlineStr">
        <is>
          <t>B09L6F6XLK</t>
        </is>
      </c>
      <c r="G37">
        <f>_xlfn.IMAGE("https://images.toysrus.com/1285980/850000576056_1.jpg")</f>
        <v/>
      </c>
      <c r="H37">
        <f>_xlfn.IMAGE("https://m.media-amazon.com/images/I/81myDAYswlL._AC_UL320_.jpg")</f>
        <v/>
      </c>
      <c r="K37" t="inlineStr">
        <is>
          <t>34.95</t>
        </is>
      </c>
      <c r="L37" t="n">
        <v>69.98999999999999</v>
      </c>
      <c r="M37" s="2" t="inlineStr">
        <is>
          <t>100.26%</t>
        </is>
      </c>
      <c r="N37" t="n">
        <v>4.6</v>
      </c>
      <c r="O37" t="n">
        <v>32</v>
      </c>
      <c r="Q37" t="inlineStr">
        <is>
          <t>InStock</t>
        </is>
      </c>
      <c r="R37" t="inlineStr">
        <is>
          <t>undefined</t>
        </is>
      </c>
      <c r="S37" t="inlineStr">
        <is>
          <t>G0850000576056</t>
        </is>
      </c>
    </row>
    <row r="38" ht="75" customHeight="1">
      <c r="A38" s="1">
        <f>HYPERLINK("https://www.toysrus.com/cat-construction-fleet-toy-bulldozer-G0021664820230.html", "https://www.toysrus.com/cat-construction-fleet-toy-bulldozer-G0021664820230.html")</f>
        <v/>
      </c>
      <c r="B38" s="1">
        <f>HYPERLINK("https://www.toysrus.com/cat-construction-fleet-toy-bulldozer-G0021664820230.html", "https://www.toysrus.com/cat-construction-fleet-toy-bulldozer-G0021664820230.html")</f>
        <v/>
      </c>
      <c r="C38" t="inlineStr">
        <is>
          <t>CAT Construction Fleet Toy Bulldozer</t>
        </is>
      </c>
      <c r="D38" t="inlineStr">
        <is>
          <t>CatToysOfficial, CAT Construction Tough Rigs 15" Bulldozer Toy, Ages 3 and up , Yellow</t>
        </is>
      </c>
      <c r="E38" s="1">
        <f>HYPERLINK("https://www.amazon.com/Caterpillar-CAT-Tough-Rigs-Bulldozer/dp/B07TBMWVQL/ref=sr_1_5?keywords=CAT+Construction+Fleet+Toy+Bulldozer&amp;qid=1695588376&amp;sr=8-5", "https://www.amazon.com/Caterpillar-CAT-Tough-Rigs-Bulldozer/dp/B07TBMWVQL/ref=sr_1_5?keywords=CAT+Construction+Fleet+Toy+Bulldozer&amp;qid=1695588376&amp;sr=8-5")</f>
        <v/>
      </c>
      <c r="F38" t="inlineStr">
        <is>
          <t>B07TBMWVQL</t>
        </is>
      </c>
      <c r="G38">
        <f>_xlfn.IMAGE("https://images.toysrus.com/28598/021664820230_1.jpg")</f>
        <v/>
      </c>
      <c r="H38">
        <f>_xlfn.IMAGE("https://m.media-amazon.com/images/I/81hgFoCF+dL._AC_UL320_.jpg")</f>
        <v/>
      </c>
      <c r="K38" t="inlineStr">
        <is>
          <t>12.99</t>
        </is>
      </c>
      <c r="L38" t="n">
        <v>24.99</v>
      </c>
      <c r="M38" s="2" t="inlineStr">
        <is>
          <t>92.38%</t>
        </is>
      </c>
      <c r="N38" t="n">
        <v>4.7</v>
      </c>
      <c r="O38" t="n">
        <v>4086</v>
      </c>
      <c r="Q38" t="inlineStr">
        <is>
          <t>InStock</t>
        </is>
      </c>
      <c r="R38" t="inlineStr">
        <is>
          <t>undefined</t>
        </is>
      </c>
      <c r="S38" t="inlineStr">
        <is>
          <t>G0021664820230</t>
        </is>
      </c>
    </row>
    <row r="39" ht="75" customHeight="1">
      <c r="A39" s="1">
        <f>HYPERLINK("https://www.toysrus.com/cat-construction-fleet-toy-bulldozer-G0021664820230.html", "https://www.toysrus.com/cat-construction-fleet-toy-bulldozer-G0021664820230.html")</f>
        <v/>
      </c>
      <c r="B39" s="1">
        <f>HYPERLINK("https://www.toysrus.com/cat-construction-fleet-toy-bulldozer-G0021664820230.html", "https://www.toysrus.com/cat-construction-fleet-toy-bulldozer-G0021664820230.html")</f>
        <v/>
      </c>
      <c r="C39" t="inlineStr">
        <is>
          <t>CAT Construction Fleet Toy Bulldozer</t>
        </is>
      </c>
      <c r="D39" t="inlineStr">
        <is>
          <t>CatToysOfficial, CAT Construction Tough Rigs 15" Bulldozer Toy, Ages 3 and up , Yellow</t>
        </is>
      </c>
      <c r="E39" s="1">
        <f>HYPERLINK("https://www.amazon.com/Caterpillar-CAT-Tough-Rigs-Bulldozer/dp/B07TBMWVQL/ref=sr_1_4?keywords=CAT+Construction+Fleet+Toy+Bulldozer&amp;qid=1695588769&amp;sr=8-4", "https://www.amazon.com/Caterpillar-CAT-Tough-Rigs-Bulldozer/dp/B07TBMWVQL/ref=sr_1_4?keywords=CAT+Construction+Fleet+Toy+Bulldozer&amp;qid=1695588769&amp;sr=8-4")</f>
        <v/>
      </c>
      <c r="F39" t="inlineStr">
        <is>
          <t>B07TBMWVQL</t>
        </is>
      </c>
      <c r="G39">
        <f>_xlfn.IMAGE("https://images.toysrus.com/28598/021664820230_1.jpg")</f>
        <v/>
      </c>
      <c r="H39">
        <f>_xlfn.IMAGE("https://m.media-amazon.com/images/I/81hgFoCF+dL._AC_UL320_.jpg")</f>
        <v/>
      </c>
      <c r="K39" t="inlineStr">
        <is>
          <t>12.99</t>
        </is>
      </c>
      <c r="L39" t="n">
        <v>24.99</v>
      </c>
      <c r="M39" s="2" t="inlineStr">
        <is>
          <t>92.38%</t>
        </is>
      </c>
      <c r="N39" t="n">
        <v>4.7</v>
      </c>
      <c r="O39" t="n">
        <v>4086</v>
      </c>
      <c r="Q39" t="inlineStr">
        <is>
          <t>InStock</t>
        </is>
      </c>
      <c r="R39" t="inlineStr">
        <is>
          <t>undefined</t>
        </is>
      </c>
      <c r="S39" t="inlineStr">
        <is>
          <t>G0021664820230</t>
        </is>
      </c>
    </row>
    <row r="40" ht="75" customHeight="1">
      <c r="A40" s="1">
        <f>HYPERLINK("https://www.toysrus.com/cat-construction-fleet-toy-dump-truck-G0021664820216.html", "https://www.toysrus.com/cat-construction-fleet-toy-dump-truck-G0021664820216.html")</f>
        <v/>
      </c>
      <c r="B40" s="1">
        <f>HYPERLINK("https://www.toysrus.com/cat-construction-fleet-toy-dump-truck-G0021664820216.html", "https://www.toysrus.com/cat-construction-fleet-toy-dump-truck-G0021664820216.html")</f>
        <v/>
      </c>
      <c r="C40" t="inlineStr">
        <is>
          <t>CAT Construction Fleet Toy Dump Truck</t>
        </is>
      </c>
      <c r="D40" t="inlineStr">
        <is>
          <t>Cat Construction Motorized Dump Truck Toy,Black</t>
        </is>
      </c>
      <c r="E40" s="1">
        <f>HYPERLINK("https://www.amazon.com/Cat-Construction-Motorized-Dump-Truck/dp/B085M8QHZN/ref=sr_1_9?keywords=CAT+Construction+Fleet+Toy+Dump+Truck&amp;qid=1695588758&amp;sr=8-9", "https://www.amazon.com/Cat-Construction-Motorized-Dump-Truck/dp/B085M8QHZN/ref=sr_1_9?keywords=CAT+Construction+Fleet+Toy+Dump+Truck&amp;qid=1695588758&amp;sr=8-9")</f>
        <v/>
      </c>
      <c r="F40" t="inlineStr">
        <is>
          <t>B085M8QHZN</t>
        </is>
      </c>
      <c r="G40">
        <f>_xlfn.IMAGE("https://images.toysrus.com/28598/021664820216_1.jpg")</f>
        <v/>
      </c>
      <c r="H40">
        <f>_xlfn.IMAGE("https://m.media-amazon.com/images/I/51X8-dL0iaL._AC_UL320_.jpg")</f>
        <v/>
      </c>
      <c r="K40" t="inlineStr">
        <is>
          <t>12.99</t>
        </is>
      </c>
      <c r="L40" t="n">
        <v>24.49</v>
      </c>
      <c r="M40" s="2" t="inlineStr">
        <is>
          <t>88.53%</t>
        </is>
      </c>
      <c r="N40" t="n">
        <v>4.4</v>
      </c>
      <c r="O40" t="n">
        <v>232</v>
      </c>
      <c r="Q40" t="inlineStr">
        <is>
          <t>InStock</t>
        </is>
      </c>
      <c r="R40" t="inlineStr">
        <is>
          <t>undefined</t>
        </is>
      </c>
      <c r="S40" t="inlineStr">
        <is>
          <t>G0021664820216</t>
        </is>
      </c>
    </row>
    <row r="41" ht="75" customHeight="1">
      <c r="A41" s="1">
        <f>HYPERLINK("https://www.toysrus.com/cat-construction-fleet-toy-excavator-G0021664820254.html", "https://www.toysrus.com/cat-construction-fleet-toy-excavator-G0021664820254.html")</f>
        <v/>
      </c>
      <c r="B41" s="1">
        <f>HYPERLINK("https://www.toysrus.com/cat-construction-fleet-toy-excavator-G0021664820254.html", "https://www.toysrus.com/cat-construction-fleet-toy-excavator-G0021664820254.html")</f>
        <v/>
      </c>
      <c r="C41" t="inlineStr">
        <is>
          <t>CAT Construction Fleet Toy Excavator</t>
        </is>
      </c>
      <c r="D41" t="inlineStr">
        <is>
          <t>Cat Construction 15" Toy Excavator , Yellow</t>
        </is>
      </c>
      <c r="E41" s="1">
        <f>HYPERLINK("https://www.amazon.com/CAT-Tough-Rigs-Excavator-FFP/dp/B07QC8GW3K/ref=sr_1_7?keywords=CAT+Construction+Fleet+Toy+Excavator&amp;qid=1695588757&amp;sr=8-7", "https://www.amazon.com/CAT-Tough-Rigs-Excavator-FFP/dp/B07QC8GW3K/ref=sr_1_7?keywords=CAT+Construction+Fleet+Toy+Excavator&amp;qid=1695588757&amp;sr=8-7")</f>
        <v/>
      </c>
      <c r="F41" t="inlineStr">
        <is>
          <t>B07QC8GW3K</t>
        </is>
      </c>
      <c r="G41">
        <f>_xlfn.IMAGE("https://images.toysrus.com/28598/021664820254_1.jpg")</f>
        <v/>
      </c>
      <c r="H41">
        <f>_xlfn.IMAGE("https://m.media-amazon.com/images/I/71+AsBXyp1L._AC_UL320_.jpg")</f>
        <v/>
      </c>
      <c r="K41" t="inlineStr">
        <is>
          <t>12.99</t>
        </is>
      </c>
      <c r="L41" t="n">
        <v>21.98</v>
      </c>
      <c r="M41" s="2" t="inlineStr">
        <is>
          <t>69.21%</t>
        </is>
      </c>
      <c r="N41" t="n">
        <v>4.6</v>
      </c>
      <c r="O41" t="n">
        <v>2254</v>
      </c>
      <c r="Q41" t="inlineStr">
        <is>
          <t>InStock</t>
        </is>
      </c>
      <c r="R41" t="inlineStr">
        <is>
          <t>undefined</t>
        </is>
      </c>
      <c r="S41" t="inlineStr">
        <is>
          <t>G0021664820254</t>
        </is>
      </c>
    </row>
    <row r="42" ht="75" customHeight="1">
      <c r="A42" s="1">
        <f>HYPERLINK("https://www.toysrus.com/cat-construction-fleet-toy-wheel-loader-G0021664820223.html", "https://www.toysrus.com/cat-construction-fleet-toy-wheel-loader-G0021664820223.html")</f>
        <v/>
      </c>
      <c r="B42" s="1">
        <f>HYPERLINK("https://www.toysrus.com/cat-construction-fleet-toy-wheel-loader-G0021664820223.html", "https://www.toysrus.com/cat-construction-fleet-toy-wheel-loader-G0021664820223.html")</f>
        <v/>
      </c>
      <c r="C42" t="inlineStr">
        <is>
          <t>CAT Construction Fleet Toy Wheel Loader</t>
        </is>
      </c>
      <c r="D42" t="inlineStr">
        <is>
          <t>CatToysOfficial, CAT Construction Heavy Mover, Semi Truck and Trailer with Mini Crew Wheel Loader, Lights and Sounds, Ages 3 and Up,Yellow</t>
        </is>
      </c>
      <c r="E42" s="1">
        <f>HYPERLINK("https://www.amazon.com/CatToysOfficial-Construction-Trailer-Loader-Lights/dp/B07QGG9WCK/ref=sr_1_4?keywords=CAT+Construction+Fleet+Toy+Wheel+Loader&amp;qid=1695588338&amp;sr=8-4", "https://www.amazon.com/CatToysOfficial-Construction-Trailer-Loader-Lights/dp/B07QGG9WCK/ref=sr_1_4?keywords=CAT+Construction+Fleet+Toy+Wheel+Loader&amp;qid=1695588338&amp;sr=8-4")</f>
        <v/>
      </c>
      <c r="F42" t="inlineStr">
        <is>
          <t>B07QGG9WCK</t>
        </is>
      </c>
      <c r="G42">
        <f>_xlfn.IMAGE("https://images.toysrus.com/28598/021664820223_1.jpg")</f>
        <v/>
      </c>
      <c r="H42">
        <f>_xlfn.IMAGE("https://m.media-amazon.com/images/I/61KBZcapcoL._AC_UL320_.jpg")</f>
        <v/>
      </c>
      <c r="K42" t="inlineStr">
        <is>
          <t>12.99</t>
        </is>
      </c>
      <c r="L42" t="n">
        <v>44.99</v>
      </c>
      <c r="M42" s="2" t="inlineStr">
        <is>
          <t>246.34%</t>
        </is>
      </c>
      <c r="N42" t="n">
        <v>4.6</v>
      </c>
      <c r="O42" t="n">
        <v>609</v>
      </c>
      <c r="Q42" t="inlineStr">
        <is>
          <t>InStock</t>
        </is>
      </c>
      <c r="R42" t="inlineStr">
        <is>
          <t>undefined</t>
        </is>
      </c>
      <c r="S42" t="inlineStr">
        <is>
          <t>G0021664820223</t>
        </is>
      </c>
    </row>
    <row r="43" ht="75" customHeight="1">
      <c r="A43" s="1">
        <f>HYPERLINK("https://www.toysrus.com/cat-construction-fleet-toy-wheel-loader-G0021664820223.html", "https://www.toysrus.com/cat-construction-fleet-toy-wheel-loader-G0021664820223.html")</f>
        <v/>
      </c>
      <c r="B43" s="1">
        <f>HYPERLINK("https://www.toysrus.com/cat-construction-fleet-toy-wheel-loader-G0021664820223.html", "https://www.toysrus.com/cat-construction-fleet-toy-wheel-loader-G0021664820223.html")</f>
        <v/>
      </c>
      <c r="C43" t="inlineStr">
        <is>
          <t>CAT Construction Fleet Toy Wheel Loader</t>
        </is>
      </c>
      <c r="D43" t="inlineStr">
        <is>
          <t>CatToysOfficial, CAT Construction 16" Steel Wheel Loader Toy, Ages 3+</t>
        </is>
      </c>
      <c r="E43" s="1">
        <f>HYPERLINK("https://www.amazon.com/Cat-Steel-Wheel-Loader-toy/dp/B081QZP3BG/ref=sr_1_3?keywords=CAT+Construction+Fleet+Toy+Wheel+Loader&amp;qid=1695588338&amp;sr=8-3", "https://www.amazon.com/Cat-Steel-Wheel-Loader-toy/dp/B081QZP3BG/ref=sr_1_3?keywords=CAT+Construction+Fleet+Toy+Wheel+Loader&amp;qid=1695588338&amp;sr=8-3")</f>
        <v/>
      </c>
      <c r="F43" t="inlineStr">
        <is>
          <t>B081QZP3BG</t>
        </is>
      </c>
      <c r="G43">
        <f>_xlfn.IMAGE("https://images.toysrus.com/28598/021664820223_1.jpg")</f>
        <v/>
      </c>
      <c r="H43">
        <f>_xlfn.IMAGE("https://m.media-amazon.com/images/I/713dT7orwNL._AC_UL320_.jpg")</f>
        <v/>
      </c>
      <c r="K43" t="inlineStr">
        <is>
          <t>12.99</t>
        </is>
      </c>
      <c r="L43" t="n">
        <v>28.99</v>
      </c>
      <c r="M43" s="2" t="inlineStr">
        <is>
          <t>123.17%</t>
        </is>
      </c>
      <c r="N43" t="n">
        <v>4.7</v>
      </c>
      <c r="O43" t="n">
        <v>1202</v>
      </c>
      <c r="Q43" t="inlineStr">
        <is>
          <t>InStock</t>
        </is>
      </c>
      <c r="R43" t="inlineStr">
        <is>
          <t>undefined</t>
        </is>
      </c>
      <c r="S43" t="inlineStr">
        <is>
          <t>G0021664820223</t>
        </is>
      </c>
    </row>
    <row r="44" ht="75" customHeight="1">
      <c r="A44" s="1">
        <f>HYPERLINK("https://www.toysrus.com/cat-construction-fleet-toy-wheel-loader-G0021664820223.html", "https://www.toysrus.com/cat-construction-fleet-toy-wheel-loader-G0021664820223.html")</f>
        <v/>
      </c>
      <c r="B44" s="1">
        <f>HYPERLINK("https://www.toysrus.com/cat-construction-fleet-toy-wheel-loader-G0021664820223.html", "https://www.toysrus.com/cat-construction-fleet-toy-wheel-loader-G0021664820223.html")</f>
        <v/>
      </c>
      <c r="C44" t="inlineStr">
        <is>
          <t>CAT Construction Fleet Toy Wheel Loader</t>
        </is>
      </c>
      <c r="D44" t="inlineStr">
        <is>
          <t>Gazillion Cat Construction Tough Rigs 15" Toy Wheel Loader toy, Yellow</t>
        </is>
      </c>
      <c r="E44" s="1">
        <f>HYPERLINK("https://www.amazon.com/CAT-Tough-Rigs-Wheel-Loader/dp/B07QGG9S5J/ref=sr_1_2?keywords=CAT+Construction+Fleet+Toy+Wheel+Loader&amp;qid=1695588338&amp;sr=8-2", "https://www.amazon.com/CAT-Tough-Rigs-Wheel-Loader/dp/B07QGG9S5J/ref=sr_1_2?keywords=CAT+Construction+Fleet+Toy+Wheel+Loader&amp;qid=1695588338&amp;sr=8-2")</f>
        <v/>
      </c>
      <c r="F44" t="inlineStr">
        <is>
          <t>B07QGG9S5J</t>
        </is>
      </c>
      <c r="G44">
        <f>_xlfn.IMAGE("https://images.toysrus.com/28598/021664820223_1.jpg")</f>
        <v/>
      </c>
      <c r="H44">
        <f>_xlfn.IMAGE("https://m.media-amazon.com/images/I/71uh6i9qlqL._AC_UL320_.jpg")</f>
        <v/>
      </c>
      <c r="K44" t="inlineStr">
        <is>
          <t>12.99</t>
        </is>
      </c>
      <c r="L44" t="n">
        <v>24.99</v>
      </c>
      <c r="M44" s="2" t="inlineStr">
        <is>
          <t>92.38%</t>
        </is>
      </c>
      <c r="N44" t="n">
        <v>4.7</v>
      </c>
      <c r="O44" t="n">
        <v>512</v>
      </c>
      <c r="Q44" t="inlineStr">
        <is>
          <t>InStock</t>
        </is>
      </c>
      <c r="R44" t="inlineStr">
        <is>
          <t>undefined</t>
        </is>
      </c>
      <c r="S44" t="inlineStr">
        <is>
          <t>G0021664820223</t>
        </is>
      </c>
    </row>
    <row r="45" ht="75" customHeight="1">
      <c r="A45" s="1">
        <f>HYPERLINK("https://www.toysrus.com/cat-construction-fleet-toy-wheel-loader-G0021664820223.html", "https://www.toysrus.com/cat-construction-fleet-toy-wheel-loader-G0021664820223.html")</f>
        <v/>
      </c>
      <c r="B45" s="1">
        <f>HYPERLINK("https://www.toysrus.com/cat-construction-fleet-toy-wheel-loader-G0021664820223.html", "https://www.toysrus.com/cat-construction-fleet-toy-wheel-loader-G0021664820223.html")</f>
        <v/>
      </c>
      <c r="C45" t="inlineStr">
        <is>
          <t>CAT Construction Fleet Toy Wheel Loader</t>
        </is>
      </c>
      <c r="D45" t="inlineStr">
        <is>
          <t>CatToysOfficial, CAT Construction Heavy Mover, Semi Truck and Trailer with Mini Crew Wheel Loader, Lights and Sounds, Ages 3 and Up,Yellow</t>
        </is>
      </c>
      <c r="E45" s="1">
        <f>HYPERLINK("https://www.amazon.com/CatToysOfficial-Construction-Trailer-Loader-Lights/dp/B07QGG9WCK/ref=sr_1_4?keywords=CAT+Construction+Fleet+Toy+Wheel+Loader&amp;qid=1695588781&amp;sr=8-4", "https://www.amazon.com/CatToysOfficial-Construction-Trailer-Loader-Lights/dp/B07QGG9WCK/ref=sr_1_4?keywords=CAT+Construction+Fleet+Toy+Wheel+Loader&amp;qid=1695588781&amp;sr=8-4")</f>
        <v/>
      </c>
      <c r="F45" t="inlineStr">
        <is>
          <t>B07QGG9WCK</t>
        </is>
      </c>
      <c r="G45">
        <f>_xlfn.IMAGE("https://images.toysrus.com/28598/021664820223_1.jpg")</f>
        <v/>
      </c>
      <c r="H45">
        <f>_xlfn.IMAGE("https://m.media-amazon.com/images/I/61KBZcapcoL._AC_UL320_.jpg")</f>
        <v/>
      </c>
      <c r="K45" t="inlineStr">
        <is>
          <t>12.99</t>
        </is>
      </c>
      <c r="L45" t="n">
        <v>44.99</v>
      </c>
      <c r="M45" s="2" t="inlineStr">
        <is>
          <t>246.34%</t>
        </is>
      </c>
      <c r="N45" t="n">
        <v>4.6</v>
      </c>
      <c r="O45" t="n">
        <v>609</v>
      </c>
      <c r="Q45" t="inlineStr">
        <is>
          <t>InStock</t>
        </is>
      </c>
      <c r="R45" t="inlineStr">
        <is>
          <t>undefined</t>
        </is>
      </c>
      <c r="S45" t="inlineStr">
        <is>
          <t>G0021664820223</t>
        </is>
      </c>
    </row>
    <row r="46" ht="75" customHeight="1">
      <c r="A46" s="1">
        <f>HYPERLINK("https://www.toysrus.com/cat-construction-fleet-toy-wheel-loader-G0021664820223.html", "https://www.toysrus.com/cat-construction-fleet-toy-wheel-loader-G0021664820223.html")</f>
        <v/>
      </c>
      <c r="B46" s="1">
        <f>HYPERLINK("https://www.toysrus.com/cat-construction-fleet-toy-wheel-loader-G0021664820223.html", "https://www.toysrus.com/cat-construction-fleet-toy-wheel-loader-G0021664820223.html")</f>
        <v/>
      </c>
      <c r="C46" t="inlineStr">
        <is>
          <t>CAT Construction Fleet Toy Wheel Loader</t>
        </is>
      </c>
      <c r="D46" t="inlineStr">
        <is>
          <t>CatToysOfficial, CAT Construction 16" Steel Wheel Loader Toy, Ages 3+</t>
        </is>
      </c>
      <c r="E46" s="1">
        <f>HYPERLINK("https://www.amazon.com/Cat-Steel-Wheel-Loader-toy/dp/B081QZP3BG/ref=sr_1_3?keywords=CAT+Construction+Fleet+Toy+Wheel+Loader&amp;qid=1695588781&amp;sr=8-3", "https://www.amazon.com/Cat-Steel-Wheel-Loader-toy/dp/B081QZP3BG/ref=sr_1_3?keywords=CAT+Construction+Fleet+Toy+Wheel+Loader&amp;qid=1695588781&amp;sr=8-3")</f>
        <v/>
      </c>
      <c r="F46" t="inlineStr">
        <is>
          <t>B081QZP3BG</t>
        </is>
      </c>
      <c r="G46">
        <f>_xlfn.IMAGE("https://images.toysrus.com/28598/021664820223_1.jpg")</f>
        <v/>
      </c>
      <c r="H46">
        <f>_xlfn.IMAGE("https://m.media-amazon.com/images/I/713dT7orwNL._AC_UL320_.jpg")</f>
        <v/>
      </c>
      <c r="K46" t="inlineStr">
        <is>
          <t>12.99</t>
        </is>
      </c>
      <c r="L46" t="n">
        <v>28.99</v>
      </c>
      <c r="M46" s="2" t="inlineStr">
        <is>
          <t>123.17%</t>
        </is>
      </c>
      <c r="N46" t="n">
        <v>4.7</v>
      </c>
      <c r="O46" t="n">
        <v>1202</v>
      </c>
      <c r="Q46" t="inlineStr">
        <is>
          <t>InStock</t>
        </is>
      </c>
      <c r="R46" t="inlineStr">
        <is>
          <t>undefined</t>
        </is>
      </c>
      <c r="S46" t="inlineStr">
        <is>
          <t>G0021664820223</t>
        </is>
      </c>
    </row>
    <row r="47" ht="75" customHeight="1">
      <c r="A47" s="1">
        <f>HYPERLINK("https://www.toysrus.com/cat-construction-fleet-toy-wheel-loader-G0021664820223.html", "https://www.toysrus.com/cat-construction-fleet-toy-wheel-loader-G0021664820223.html")</f>
        <v/>
      </c>
      <c r="B47" s="1">
        <f>HYPERLINK("https://www.toysrus.com/cat-construction-fleet-toy-wheel-loader-G0021664820223.html", "https://www.toysrus.com/cat-construction-fleet-toy-wheel-loader-G0021664820223.html")</f>
        <v/>
      </c>
      <c r="C47" t="inlineStr">
        <is>
          <t>CAT Construction Fleet Toy Wheel Loader</t>
        </is>
      </c>
      <c r="D47" t="inlineStr">
        <is>
          <t>Gazillion Cat Construction Tough Rigs 15" Toy Wheel Loader toy, Yellow</t>
        </is>
      </c>
      <c r="E47" s="1">
        <f>HYPERLINK("https://www.amazon.com/CAT-Tough-Rigs-Wheel-Loader/dp/B07QGG9S5J/ref=sr_1_2?keywords=CAT+Construction+Fleet+Toy+Wheel+Loader&amp;qid=1695588781&amp;sr=8-2", "https://www.amazon.com/CAT-Tough-Rigs-Wheel-Loader/dp/B07QGG9S5J/ref=sr_1_2?keywords=CAT+Construction+Fleet+Toy+Wheel+Loader&amp;qid=1695588781&amp;sr=8-2")</f>
        <v/>
      </c>
      <c r="F47" t="inlineStr">
        <is>
          <t>B07QGG9S5J</t>
        </is>
      </c>
      <c r="G47">
        <f>_xlfn.IMAGE("https://images.toysrus.com/28598/021664820223_1.jpg")</f>
        <v/>
      </c>
      <c r="H47">
        <f>_xlfn.IMAGE("https://m.media-amazon.com/images/I/71uh6i9qlqL._AC_UL320_.jpg")</f>
        <v/>
      </c>
      <c r="K47" t="inlineStr">
        <is>
          <t>12.99</t>
        </is>
      </c>
      <c r="L47" t="n">
        <v>24.99</v>
      </c>
      <c r="M47" s="2" t="inlineStr">
        <is>
          <t>92.38%</t>
        </is>
      </c>
      <c r="N47" t="n">
        <v>4.7</v>
      </c>
      <c r="O47" t="n">
        <v>512</v>
      </c>
      <c r="Q47" t="inlineStr">
        <is>
          <t>InStock</t>
        </is>
      </c>
      <c r="R47" t="inlineStr">
        <is>
          <t>undefined</t>
        </is>
      </c>
      <c r="S47" t="inlineStr">
        <is>
          <t>G0021664820223</t>
        </is>
      </c>
    </row>
    <row r="48" ht="75" customHeight="1">
      <c r="A48" s="1">
        <f>HYPERLINK("https://www.toysrus.com/cat-screw-truck-4-in-1-set---theo-klein-G4009847032522.html", "https://www.toysrus.com/cat-screw-truck-4-in-1-set---theo-klein-G4009847032522.html")</f>
        <v/>
      </c>
      <c r="B48" s="1">
        <f>HYPERLINK("https://www.toysrus.com/cat-screw-truck-4-in-1-set---theo-klein-G4009847032522.html", "https://www.toysrus.com/cat-screw-truck-4-in-1-set---theo-klein-G4009847032522.html")</f>
        <v/>
      </c>
      <c r="C48" t="inlineStr">
        <is>
          <t>Cat: Screw Truck 4-In-1 Set - Theo Klein</t>
        </is>
      </c>
      <c r="D48" t="inlineStr">
        <is>
          <t>Theo Klein 8640 Bosch Screw Truck Play Set with Ixolino I Construction Toys with Tools, Forklift and Crane I Toys for Children Aged 3 and Over</t>
        </is>
      </c>
      <c r="E48" s="1">
        <f>HYPERLINK("https://www.amazon.com/Theo-Klein-8640-Bosch-Ixolino/dp/B003WO08WQ/ref=sr_1_9?keywords=Cat%3A+Screw+Truck+4-In-1+Set+-+Theo+Klein&amp;qid=1695588382&amp;sr=8-9", "https://www.amazon.com/Theo-Klein-8640-Bosch-Ixolino/dp/B003WO08WQ/ref=sr_1_9?keywords=Cat%3A+Screw+Truck+4-In-1+Set+-+Theo+Klein&amp;qid=1695588382&amp;sr=8-9")</f>
        <v/>
      </c>
      <c r="F48" t="inlineStr">
        <is>
          <t>B003WO08WQ</t>
        </is>
      </c>
      <c r="G48">
        <f>_xlfn.IMAGE("https://images.toysrus.com/1285/4009847032522_1.jpg")</f>
        <v/>
      </c>
      <c r="H48">
        <f>_xlfn.IMAGE("https://m.media-amazon.com/images/I/71a2raOWPnL._AC_UL320_.jpg")</f>
        <v/>
      </c>
      <c r="K48" t="inlineStr">
        <is>
          <t>34.99</t>
        </is>
      </c>
      <c r="L48" t="n">
        <v>77.91</v>
      </c>
      <c r="M48" s="2" t="inlineStr">
        <is>
          <t>122.66%</t>
        </is>
      </c>
      <c r="N48" t="n">
        <v>4.3</v>
      </c>
      <c r="O48" t="n">
        <v>144</v>
      </c>
      <c r="Q48" t="inlineStr">
        <is>
          <t>InStock</t>
        </is>
      </c>
      <c r="R48" t="inlineStr">
        <is>
          <t>undefined</t>
        </is>
      </c>
      <c r="S48" t="inlineStr">
        <is>
          <t>G4009847032522</t>
        </is>
      </c>
    </row>
    <row r="49" ht="75" customHeight="1">
      <c r="A49" s="1">
        <f>HYPERLINK("https://www.toysrus.com/cat-screw-truck-4-in-1-set---theo-klein-G4009847032522.html", "https://www.toysrus.com/cat-screw-truck-4-in-1-set---theo-klein-G4009847032522.html")</f>
        <v/>
      </c>
      <c r="B49" s="1">
        <f>HYPERLINK("https://www.toysrus.com/cat-screw-truck-4-in-1-set---theo-klein-G4009847032522.html", "https://www.toysrus.com/cat-screw-truck-4-in-1-set---theo-klein-G4009847032522.html")</f>
        <v/>
      </c>
      <c r="C49" t="inlineStr">
        <is>
          <t>Cat: Screw Truck 4-In-1 Set - Theo Klein</t>
        </is>
      </c>
      <c r="D49" t="inlineStr">
        <is>
          <t>Theo Klein 8640 Bosch Screw Truck Play Set with Ixolino I Construction Toys with Tools, Forklift and Crane I Toys for Children Aged 3 and Over</t>
        </is>
      </c>
      <c r="E49" s="1">
        <f>HYPERLINK("https://www.amazon.com/Theo-Klein-8640-Bosch-Ixolino/dp/B003WO08WQ/ref=sr_1_9?keywords=Cat%3A+Screw+Truck+4-In-1+Set+-+Theo+Klein&amp;qid=1695588774&amp;sr=8-9", "https://www.amazon.com/Theo-Klein-8640-Bosch-Ixolino/dp/B003WO08WQ/ref=sr_1_9?keywords=Cat%3A+Screw+Truck+4-In-1+Set+-+Theo+Klein&amp;qid=1695588774&amp;sr=8-9")</f>
        <v/>
      </c>
      <c r="F49" t="inlineStr">
        <is>
          <t>B003WO08WQ</t>
        </is>
      </c>
      <c r="G49">
        <f>_xlfn.IMAGE("https://images.toysrus.com/1285/4009847032522_1.jpg")</f>
        <v/>
      </c>
      <c r="H49">
        <f>_xlfn.IMAGE("https://m.media-amazon.com/images/I/71a2raOWPnL._AC_UL320_.jpg")</f>
        <v/>
      </c>
      <c r="K49" t="inlineStr">
        <is>
          <t>34.99</t>
        </is>
      </c>
      <c r="L49" t="n">
        <v>77.91</v>
      </c>
      <c r="M49" s="2" t="inlineStr">
        <is>
          <t>122.66%</t>
        </is>
      </c>
      <c r="N49" t="n">
        <v>4.3</v>
      </c>
      <c r="O49" t="n">
        <v>144</v>
      </c>
      <c r="Q49" t="inlineStr">
        <is>
          <t>InStock</t>
        </is>
      </c>
      <c r="R49" t="inlineStr">
        <is>
          <t>undefined</t>
        </is>
      </c>
      <c r="S49" t="inlineStr">
        <is>
          <t>G4009847032522</t>
        </is>
      </c>
    </row>
    <row r="50" ht="75" customHeight="1">
      <c r="A50" s="1">
        <f>HYPERLINK("https://www.toysrus.com/chh-double-sided-9-number-shut-the-box-game-G704551028055.html", "https://www.toysrus.com/chh-double-sided-9-number-shut-the-box-game-G704551028055.html")</f>
        <v/>
      </c>
      <c r="B50" s="1">
        <f>HYPERLINK("https://www.toysrus.com/chh-double-sided-9-number-shut-the-box-game-G704551028055.html", "https://www.toysrus.com/chh-double-sided-9-number-shut-the-box-game-G704551028055.html")</f>
        <v/>
      </c>
      <c r="C50" t="inlineStr">
        <is>
          <t>CHH Double Sided 9 Number Shut the Box Game</t>
        </is>
      </c>
      <c r="D50" t="inlineStr">
        <is>
          <t>Double Sided Shut-The-Box Game with 12 Numbers - Solid Maple Wood (Made in USA)</t>
        </is>
      </c>
      <c r="E50" s="1">
        <f>HYPERLINK("https://www.amazon.com/Double-Sided-Shut-Box-Numbers/dp/B00P9WNWV8/ref=sr_1_2?keywords=CHH+Double+Sided+9+Number+Shut+the+Box+Game&amp;qid=1695588448&amp;sr=8-2", "https://www.amazon.com/Double-Sided-Shut-Box-Numbers/dp/B00P9WNWV8/ref=sr_1_2?keywords=CHH+Double+Sided+9+Number+Shut+the+Box+Game&amp;qid=1695588448&amp;sr=8-2")</f>
        <v/>
      </c>
      <c r="F50" t="inlineStr">
        <is>
          <t>B00P9WNWV8</t>
        </is>
      </c>
      <c r="G50">
        <f>_xlfn.IMAGE("https://images.toysrus.com/1285/704551028055_1.jpg")</f>
        <v/>
      </c>
      <c r="H50">
        <f>_xlfn.IMAGE("https://m.media-amazon.com/images/I/71kFtaDpI2L._AC_UL320_.jpg")</f>
        <v/>
      </c>
      <c r="K50" t="inlineStr">
        <is>
          <t>9.99</t>
        </is>
      </c>
      <c r="L50" t="n">
        <v>94.98999999999999</v>
      </c>
      <c r="M50" s="2" t="inlineStr">
        <is>
          <t>850.85%</t>
        </is>
      </c>
      <c r="N50" t="n">
        <v>5</v>
      </c>
      <c r="O50" t="n">
        <v>2</v>
      </c>
      <c r="Q50" t="inlineStr">
        <is>
          <t>InStock</t>
        </is>
      </c>
      <c r="R50" t="inlineStr">
        <is>
          <t>undefined</t>
        </is>
      </c>
      <c r="S50" t="inlineStr">
        <is>
          <t>G704551028055</t>
        </is>
      </c>
    </row>
    <row r="51" ht="75" customHeight="1">
      <c r="A51" s="1">
        <f>HYPERLINK("https://www.toysrus.com/chh-double-sided-9-number-shut-the-box-game-G704551028055.html", "https://www.toysrus.com/chh-double-sided-9-number-shut-the-box-game-G704551028055.html")</f>
        <v/>
      </c>
      <c r="B51" s="1">
        <f>HYPERLINK("https://www.toysrus.com/chh-double-sided-9-number-shut-the-box-game-G704551028055.html", "https://www.toysrus.com/chh-double-sided-9-number-shut-the-box-game-G704551028055.html")</f>
        <v/>
      </c>
      <c r="C51" t="inlineStr">
        <is>
          <t>CHH Double Sided 9 Number Shut the Box Game</t>
        </is>
      </c>
      <c r="D51" t="inlineStr">
        <is>
          <t>CHH Double-Sided Shut The Box Game-12</t>
        </is>
      </c>
      <c r="E51" s="1">
        <f>HYPERLINK("https://www.amazon.com/Double-Sided-Shut-the-Box-Game-12/dp/B000M807N0/ref=sr_1_3?keywords=CHH+Double+Sided+9+Number+Shut+the+Box+Game&amp;qid=1695588448&amp;sr=8-3", "https://www.amazon.com/Double-Sided-Shut-the-Box-Game-12/dp/B000M807N0/ref=sr_1_3?keywords=CHH+Double+Sided+9+Number+Shut+the+Box+Game&amp;qid=1695588448&amp;sr=8-3")</f>
        <v/>
      </c>
      <c r="F51" t="inlineStr">
        <is>
          <t>B000M807N0</t>
        </is>
      </c>
      <c r="G51">
        <f>_xlfn.IMAGE("https://images.toysrus.com/1285/704551028055_1.jpg")</f>
        <v/>
      </c>
      <c r="H51">
        <f>_xlfn.IMAGE("https://m.media-amazon.com/images/I/91LecmV-XEL._AC_UL320_.jpg")</f>
        <v/>
      </c>
      <c r="K51" t="inlineStr">
        <is>
          <t>9.99</t>
        </is>
      </c>
      <c r="L51" t="n">
        <v>22.4</v>
      </c>
      <c r="M51" s="2" t="inlineStr">
        <is>
          <t>124.22%</t>
        </is>
      </c>
      <c r="N51" t="n">
        <v>4.3</v>
      </c>
      <c r="O51" t="n">
        <v>115</v>
      </c>
      <c r="Q51" t="inlineStr">
        <is>
          <t>InStock</t>
        </is>
      </c>
      <c r="R51" t="inlineStr">
        <is>
          <t>undefined</t>
        </is>
      </c>
      <c r="S51" t="inlineStr">
        <is>
          <t>G704551028055</t>
        </is>
      </c>
    </row>
    <row r="52" ht="75" customHeight="1">
      <c r="A52" s="1">
        <f>HYPERLINK("https://www.toysrus.com/chocoly---foxmind-games-G0842710001829.html", "https://www.toysrus.com/chocoly---foxmind-games-G0842710001829.html")</f>
        <v/>
      </c>
      <c r="B52" s="1">
        <f>HYPERLINK("https://www.toysrus.com/chocoly---foxmind-games-G0842710001829.html", "https://www.toysrus.com/chocoly---foxmind-games-G0842710001829.html")</f>
        <v/>
      </c>
      <c r="C52" t="inlineStr">
        <is>
          <t>Chocoly - FoxMind Games</t>
        </is>
      </c>
      <c r="D52" t="inlineStr">
        <is>
          <t>Foxmind Games: Architecto Spatial Logic and Dexterity Game, Smart Fun with Structures, 50 Smart Puzzles to Work Through, 6 Levels of Complexity, Develops STEM Skills, 1+ Players, For Ages 7 and up</t>
        </is>
      </c>
      <c r="E52" s="1">
        <f>HYPERLINK("https://www.amazon.com/FoxMind-5512623-Architecto-Game/dp/B000PHQLME/ref=sr_1_fkmr1_1?keywords=Chocoly+-+FoxMind+Games&amp;qid=1695588412&amp;sr=8-1-fkmr1", "https://www.amazon.com/FoxMind-5512623-Architecto-Game/dp/B000PHQLME/ref=sr_1_fkmr1_1?keywords=Chocoly+-+FoxMind+Games&amp;qid=1695588412&amp;sr=8-1-fkmr1")</f>
        <v/>
      </c>
      <c r="F52" t="inlineStr">
        <is>
          <t>B000PHQLME</t>
        </is>
      </c>
      <c r="G52">
        <f>_xlfn.IMAGE("https://images.toysrus.com/1285/842710001829_1.jpg")</f>
        <v/>
      </c>
      <c r="H52">
        <f>_xlfn.IMAGE("https://m.media-amazon.com/images/I/71uLfjTO6wL._AC_UL320_.jpg")</f>
        <v/>
      </c>
      <c r="K52" t="inlineStr">
        <is>
          <t>14.95</t>
        </is>
      </c>
      <c r="L52" t="n">
        <v>34.95</v>
      </c>
      <c r="M52" s="2" t="inlineStr">
        <is>
          <t>133.78%</t>
        </is>
      </c>
      <c r="N52" t="n">
        <v>4.5</v>
      </c>
      <c r="O52" t="n">
        <v>180</v>
      </c>
      <c r="Q52" t="inlineStr">
        <is>
          <t>InStock</t>
        </is>
      </c>
      <c r="R52" t="inlineStr">
        <is>
          <t>undefined</t>
        </is>
      </c>
      <c r="S52" t="inlineStr">
        <is>
          <t>G0842710001829</t>
        </is>
      </c>
    </row>
    <row r="53" ht="75" customHeight="1">
      <c r="A53" s="1">
        <f>HYPERLINK("https://www.toysrus.com/cinderella---foxmind-games-G0842710001805.html", "https://www.toysrus.com/cinderella---foxmind-games-G0842710001805.html")</f>
        <v/>
      </c>
      <c r="B53" s="1">
        <f>HYPERLINK("https://www.toysrus.com/cinderella---foxmind-games-G0842710001805.html", "https://www.toysrus.com/cinderella---foxmind-games-G0842710001805.html")</f>
        <v/>
      </c>
      <c r="C53" t="inlineStr">
        <is>
          <t>Cinderella - FoxMind Games</t>
        </is>
      </c>
      <c r="D53" t="inlineStr">
        <is>
          <t>Foxmind Games: Architecto Spatial Logic and Dexterity Game, Smart Fun with Structures, 50 Smart Puzzles to Work Through, 6 Levels of Complexity, Develops STEM Skills, 1+ Players, For Ages 7 and up</t>
        </is>
      </c>
      <c r="E53" s="1">
        <f>HYPERLINK("https://www.amazon.com/FoxMind-5512623-Architecto-Game/dp/B000PHQLME/ref=sr_1_fkmr0_1?keywords=Cinderella+-+FoxMind+Games&amp;qid=1695588358&amp;sr=8-1-fkmr0", "https://www.amazon.com/FoxMind-5512623-Architecto-Game/dp/B000PHQLME/ref=sr_1_fkmr0_1?keywords=Cinderella+-+FoxMind+Games&amp;qid=1695588358&amp;sr=8-1-fkmr0")</f>
        <v/>
      </c>
      <c r="F53" t="inlineStr">
        <is>
          <t>B000PHQLME</t>
        </is>
      </c>
      <c r="G53">
        <f>_xlfn.IMAGE("https://images.toysrus.com/1285/842710001805_1.jpg")</f>
        <v/>
      </c>
      <c r="H53">
        <f>_xlfn.IMAGE("https://m.media-amazon.com/images/I/71uLfjTO6wL._AC_UL320_.jpg")</f>
        <v/>
      </c>
      <c r="K53" t="inlineStr">
        <is>
          <t>19.95</t>
        </is>
      </c>
      <c r="L53" t="n">
        <v>34.95</v>
      </c>
      <c r="M53" s="2" t="inlineStr">
        <is>
          <t>75.19%</t>
        </is>
      </c>
      <c r="N53" t="n">
        <v>4.5</v>
      </c>
      <c r="O53" t="n">
        <v>180</v>
      </c>
      <c r="Q53" t="inlineStr">
        <is>
          <t>InStock</t>
        </is>
      </c>
      <c r="R53" t="inlineStr">
        <is>
          <t>undefined</t>
        </is>
      </c>
      <c r="S53" t="inlineStr">
        <is>
          <t>G0842710001805</t>
        </is>
      </c>
    </row>
    <row r="54" ht="75" customHeight="1">
      <c r="A54" s="1">
        <f>HYPERLINK("https://www.toysrus.com/cocomelon-cece-15350198.html", "https://www.toysrus.com/cocomelon-cece-15350198.html")</f>
        <v/>
      </c>
      <c r="B54" s="1">
        <f>HYPERLINK("https://www.toysrus.com/cocomelon-cece-15350198.html", "https://www.toysrus.com/cocomelon-cece-15350198.html")</f>
        <v/>
      </c>
      <c r="C54" t="inlineStr">
        <is>
          <t>Cocomelon Cece</t>
        </is>
      </c>
      <c r="D54" t="inlineStr">
        <is>
          <t>Squishmallows 11" Hugmees Cocomelon Cece</t>
        </is>
      </c>
      <c r="E54" s="1">
        <f>HYPERLINK("https://www.amazon.com/Squishmallows-11-Hugmees-Cocomelon-Cece/dp/B0BS6T6N41/ref=sr_1_1?keywords=Cocomelon+Cece&amp;qid=1695588874&amp;sr=8-1", "https://www.amazon.com/Squishmallows-11-Hugmees-Cocomelon-Cece/dp/B0BS6T6N41/ref=sr_1_1?keywords=Cocomelon+Cece&amp;qid=1695588874&amp;sr=8-1")</f>
        <v/>
      </c>
      <c r="F54" t="inlineStr">
        <is>
          <t>B0BS6T6N41</t>
        </is>
      </c>
      <c r="G54">
        <f>_xlfn.IMAGE("http://slimages.macys.com/is/image/MCY/products/0/optimized/23536859_fpx.tif")</f>
        <v/>
      </c>
      <c r="H54">
        <f>_xlfn.IMAGE("https://m.media-amazon.com/images/I/512Q3AQo0wL._AC_UL320_.jpg")</f>
        <v/>
      </c>
      <c r="K54" t="inlineStr">
        <is>
          <t>12.99</t>
        </is>
      </c>
      <c r="L54" t="n">
        <v>22.5</v>
      </c>
      <c r="M54" s="2" t="inlineStr">
        <is>
          <t>73.21%</t>
        </is>
      </c>
      <c r="N54" t="n">
        <v>4.8</v>
      </c>
      <c r="O54" t="n">
        <v>25</v>
      </c>
      <c r="Q54" t="inlineStr">
        <is>
          <t>InStock</t>
        </is>
      </c>
      <c r="R54" t="inlineStr">
        <is>
          <t>undefined</t>
        </is>
      </c>
      <c r="S54" t="inlineStr">
        <is>
          <t>15350198</t>
        </is>
      </c>
    </row>
    <row r="55" ht="75" customHeight="1">
      <c r="A55" s="1">
        <f>HYPERLINK("https://www.toysrus.com/cocomelon-musical-bedtime-jj-plush-doll--14492815.html", "https://www.toysrus.com/cocomelon-musical-bedtime-jj-plush-doll--14492815.html")</f>
        <v/>
      </c>
      <c r="B55" s="1">
        <f>HYPERLINK("https://www.toysrus.com/cocomelon-musical-bedtime-jj-plush-doll--14492815.html", "https://www.toysrus.com/cocomelon-musical-bedtime-jj-plush-doll--14492815.html")</f>
        <v/>
      </c>
      <c r="C55" t="inlineStr">
        <is>
          <t>Cocomelon Musical Bedtime JJ Plush Doll</t>
        </is>
      </c>
      <c r="D55" t="inlineStr">
        <is>
          <t>JDS CoComelon Official Musical Bedtime JJ Doll, Soft Plush Body and JDS Toy Bag</t>
        </is>
      </c>
      <c r="E55" s="1">
        <f>HYPERLINK("https://www.amazon.com/JDS-CoComelon-Official-Musical-Toy/dp/B09WW17FKB/ref=sr_1_2?keywords=Cocomelon+Musical+Bedtime+JJ+Plush+Doll&amp;qid=1695588815&amp;sr=8-2", "https://www.amazon.com/JDS-CoComelon-Official-Musical-Toy/dp/B09WW17FKB/ref=sr_1_2?keywords=Cocomelon+Musical+Bedtime+JJ+Plush+Doll&amp;qid=1695588815&amp;sr=8-2")</f>
        <v/>
      </c>
      <c r="F55" t="inlineStr">
        <is>
          <t>B09WW17FKB</t>
        </is>
      </c>
      <c r="G55">
        <f>_xlfn.IMAGE("http://slimages.macys.com/is/image/MCY/products/0/optimized/23289636_fpx.tif")</f>
        <v/>
      </c>
      <c r="H55">
        <f>_xlfn.IMAGE("https://m.media-amazon.com/images/I/71kZgNUt85L._AC_UL320_.jpg")</f>
        <v/>
      </c>
      <c r="K55" t="inlineStr">
        <is>
          <t>14.93</t>
        </is>
      </c>
      <c r="L55" t="n">
        <v>39.99</v>
      </c>
      <c r="M55" s="2" t="inlineStr">
        <is>
          <t>167.85%</t>
        </is>
      </c>
      <c r="N55" t="n">
        <v>4.6</v>
      </c>
      <c r="O55" t="n">
        <v>45</v>
      </c>
      <c r="Q55" t="inlineStr">
        <is>
          <t>OutOfStock</t>
        </is>
      </c>
      <c r="R55" t="inlineStr">
        <is>
          <t>undefined</t>
        </is>
      </c>
      <c r="S55" t="inlineStr">
        <is>
          <t>14492815</t>
        </is>
      </c>
    </row>
    <row r="56" ht="75" customHeight="1">
      <c r="A56" s="1">
        <f>HYPERLINK("https://www.toysrus.com/compound-kings-butter-swirls-clouds-compound-bucket-14220426.html", "https://www.toysrus.com/compound-kings-butter-swirls-clouds-compound-bucket-14220426.html")</f>
        <v/>
      </c>
      <c r="B56" s="1">
        <f>HYPERLINK("https://www.toysrus.com/compound-kings-butter-swirls-clouds-compound-bucket-14220426.html", "https://www.toysrus.com/compound-kings-butter-swirls-clouds-compound-bucket-14220426.html")</f>
        <v/>
      </c>
      <c r="C56" t="inlineStr">
        <is>
          <t>Compound Kings Butter Swirls Clouds Compound Bucket</t>
        </is>
      </c>
      <c r="D56" t="inlineStr">
        <is>
          <t>COMPOUND KINGS Fluffy Butter Cloudz Compound Bucket for Grils &amp; Boys | Sensory Toys | Non-Toxic &amp; Non-Sticky | Stress Relieving Tactile |(Bright Blueberry)</t>
        </is>
      </c>
      <c r="E56" s="1">
        <f>HYPERLINK("https://www.amazon.com/COMPOUND-KINGS-Non-Toxic-Non-Sticky-Relieving/dp/B0C1TLXG1M/ref=sr_1_6?keywords=Compound+Kings+Butter+Swirls+Clouds+Compound+Bucket&amp;qid=1695588636&amp;sr=8-6", "https://www.amazon.com/COMPOUND-KINGS-Non-Toxic-Non-Sticky-Relieving/dp/B0C1TLXG1M/ref=sr_1_6?keywords=Compound+Kings+Butter+Swirls+Clouds+Compound+Bucket&amp;qid=1695588636&amp;sr=8-6")</f>
        <v/>
      </c>
      <c r="F56" t="inlineStr">
        <is>
          <t>B0C1TLXG1M</t>
        </is>
      </c>
      <c r="G56">
        <f>_xlfn.IMAGE("http://slimages.macys.com/is/image/MCY/products/0/optimized/22702147_fpx.tif")</f>
        <v/>
      </c>
      <c r="H56">
        <f>_xlfn.IMAGE("https://m.media-amazon.com/images/I/81NwJedWjML._AC_UL320_.jpg")</f>
        <v/>
      </c>
      <c r="K56" t="inlineStr">
        <is>
          <t>6.43</t>
        </is>
      </c>
      <c r="L56" t="n">
        <v>16.99</v>
      </c>
      <c r="M56" s="2" t="inlineStr">
        <is>
          <t>164.23%</t>
        </is>
      </c>
      <c r="N56" t="n">
        <v>4.8</v>
      </c>
      <c r="O56" t="n">
        <v>10</v>
      </c>
      <c r="Q56" t="inlineStr">
        <is>
          <t>InStock</t>
        </is>
      </c>
      <c r="R56" t="inlineStr">
        <is>
          <t>undefined</t>
        </is>
      </c>
      <c r="S56" t="inlineStr">
        <is>
          <t>14220426</t>
        </is>
      </c>
    </row>
    <row r="57" ht="75" customHeight="1">
      <c r="A57" s="1">
        <f>HYPERLINK("https://www.toysrus.com/compound-kings-butter-swirls-clouds-compound-bucket-14220426.html", "https://www.toysrus.com/compound-kings-butter-swirls-clouds-compound-bucket-14220426.html")</f>
        <v/>
      </c>
      <c r="B57" s="1">
        <f>HYPERLINK("https://www.toysrus.com/compound-kings-butter-swirls-clouds-compound-bucket-14220426.html", "https://www.toysrus.com/compound-kings-butter-swirls-clouds-compound-bucket-14220426.html")</f>
        <v/>
      </c>
      <c r="C57" t="inlineStr">
        <is>
          <t>Compound Kings Butter Swirls Clouds Compound Bucket</t>
        </is>
      </c>
      <c r="D57" t="inlineStr">
        <is>
          <t>COMPOUND KINGS Fluffy Butter Cloudz Compound Bucket for Grils &amp; Boys | Sensory Toys | Non-Toxic &amp; Non-Sticky | Stress Relieving Tactile | (Yellow Banana)</t>
        </is>
      </c>
      <c r="E57" s="1">
        <f>HYPERLINK("https://www.amazon.com/COMPOUND-KINGS-Non-Toxic-Non-Sticky-Relieving/dp/B0C1TN8HQC/ref=sr_1_1?keywords=Compound+Kings+Butter+Swirls+Clouds+Compound+Bucket&amp;qid=1695588636&amp;sr=8-1", "https://www.amazon.com/COMPOUND-KINGS-Non-Toxic-Non-Sticky-Relieving/dp/B0C1TN8HQC/ref=sr_1_1?keywords=Compound+Kings+Butter+Swirls+Clouds+Compound+Bucket&amp;qid=1695588636&amp;sr=8-1")</f>
        <v/>
      </c>
      <c r="F57" t="inlineStr">
        <is>
          <t>B0C1TN8HQC</t>
        </is>
      </c>
      <c r="G57">
        <f>_xlfn.IMAGE("http://slimages.macys.com/is/image/MCY/products/0/optimized/22702147_fpx.tif")</f>
        <v/>
      </c>
      <c r="H57">
        <f>_xlfn.IMAGE("https://m.media-amazon.com/images/I/81PezOJBgiL._AC_UL320_.jpg")</f>
        <v/>
      </c>
      <c r="K57" t="inlineStr">
        <is>
          <t>6.43</t>
        </is>
      </c>
      <c r="L57" t="n">
        <v>16.99</v>
      </c>
      <c r="M57" s="2" t="inlineStr">
        <is>
          <t>164.23%</t>
        </is>
      </c>
      <c r="N57" t="n">
        <v>5</v>
      </c>
      <c r="O57" t="n">
        <v>1</v>
      </c>
      <c r="Q57" t="inlineStr">
        <is>
          <t>InStock</t>
        </is>
      </c>
      <c r="R57" t="inlineStr">
        <is>
          <t>undefined</t>
        </is>
      </c>
      <c r="S57" t="inlineStr">
        <is>
          <t>14220426</t>
        </is>
      </c>
    </row>
    <row r="58" ht="75" customHeight="1">
      <c r="A58" s="1">
        <f>HYPERLINK("https://www.toysrus.com/compound-kings-butter-swirls-clouds-compound-bucket-14220426.html", "https://www.toysrus.com/compound-kings-butter-swirls-clouds-compound-bucket-14220426.html")</f>
        <v/>
      </c>
      <c r="B58" s="1">
        <f>HYPERLINK("https://www.toysrus.com/compound-kings-butter-swirls-clouds-compound-bucket-14220426.html", "https://www.toysrus.com/compound-kings-butter-swirls-clouds-compound-bucket-14220426.html")</f>
        <v/>
      </c>
      <c r="C58" t="inlineStr">
        <is>
          <t>Compound Kings Butter Swirls Clouds Compound Bucket</t>
        </is>
      </c>
      <c r="D58" t="inlineStr">
        <is>
          <t>COMPOUND KINGS Fluffy Butter Cloudz Compound Bucket for Girls &amp; Boys |Sensory Toys | Non-Toxic &amp; Non-Sticky | Stress Relieving Tactile | (Grape Popsicle)</t>
        </is>
      </c>
      <c r="E58" s="1">
        <f>HYPERLINK("https://www.amazon.com/COMPOUND-KINGS-Non-Toxic-Non-Sticky-Relieving/dp/B0C1TL7TKY/ref=sr_1_3?keywords=Compound+Kings+Butter+Swirls+Clouds+Compound+Bucket&amp;qid=1695588636&amp;sr=8-3", "https://www.amazon.com/COMPOUND-KINGS-Non-Toxic-Non-Sticky-Relieving/dp/B0C1TL7TKY/ref=sr_1_3?keywords=Compound+Kings+Butter+Swirls+Clouds+Compound+Bucket&amp;qid=1695588636&amp;sr=8-3")</f>
        <v/>
      </c>
      <c r="F58" t="inlineStr">
        <is>
          <t>B0C1TL7TKY</t>
        </is>
      </c>
      <c r="G58">
        <f>_xlfn.IMAGE("http://slimages.macys.com/is/image/MCY/products/0/optimized/22702147_fpx.tif")</f>
        <v/>
      </c>
      <c r="H58">
        <f>_xlfn.IMAGE("https://m.media-amazon.com/images/I/81ih1s7q0WL._AC_UL320_.jpg")</f>
        <v/>
      </c>
      <c r="K58" t="inlineStr">
        <is>
          <t>6.43</t>
        </is>
      </c>
      <c r="L58" t="n">
        <v>16.99</v>
      </c>
      <c r="M58" s="2" t="inlineStr">
        <is>
          <t>164.23%</t>
        </is>
      </c>
      <c r="N58" t="n">
        <v>4.5</v>
      </c>
      <c r="O58" t="n">
        <v>15</v>
      </c>
      <c r="Q58" t="inlineStr">
        <is>
          <t>InStock</t>
        </is>
      </c>
      <c r="R58" t="inlineStr">
        <is>
          <t>undefined</t>
        </is>
      </c>
      <c r="S58" t="inlineStr">
        <is>
          <t>14220426</t>
        </is>
      </c>
    </row>
    <row r="59" ht="75" customHeight="1">
      <c r="A59" s="1">
        <f>HYPERLINK("https://www.toysrus.com/compound-kings-butter-swirls-clouds-compound-bucket-14220426.html", "https://www.toysrus.com/compound-kings-butter-swirls-clouds-compound-bucket-14220426.html")</f>
        <v/>
      </c>
      <c r="B59" s="1">
        <f>HYPERLINK("https://www.toysrus.com/compound-kings-butter-swirls-clouds-compound-bucket-14220426.html", "https://www.toysrus.com/compound-kings-butter-swirls-clouds-compound-bucket-14220426.html")</f>
        <v/>
      </c>
      <c r="C59" t="inlineStr">
        <is>
          <t>Compound Kings Butter Swirls Clouds Compound Bucket</t>
        </is>
      </c>
      <c r="D59" t="inlineStr">
        <is>
          <t>COMPOUND KINGS Fluffy Butter Cloudz Compound Bucket for Grils &amp; Boys | Sensory Toys | Non-Toxic &amp; Non-Sticky | Stress Relieving Tactile | (Orange Crush)</t>
        </is>
      </c>
      <c r="E59" s="1">
        <f>HYPERLINK("https://www.amazon.com/COMPOUND-KINGS-Non-Toxic-Non-Sticky-Relieving/dp/B0C1TND45Y/ref=sr_1_4?keywords=Compound+Kings+Butter+Swirls+Clouds+Compound+Bucket&amp;qid=1695588636&amp;sr=8-4", "https://www.amazon.com/COMPOUND-KINGS-Non-Toxic-Non-Sticky-Relieving/dp/B0C1TND45Y/ref=sr_1_4?keywords=Compound+Kings+Butter+Swirls+Clouds+Compound+Bucket&amp;qid=1695588636&amp;sr=8-4")</f>
        <v/>
      </c>
      <c r="F59" t="inlineStr">
        <is>
          <t>B0C1TND45Y</t>
        </is>
      </c>
      <c r="G59">
        <f>_xlfn.IMAGE("http://slimages.macys.com/is/image/MCY/products/0/optimized/22702147_fpx.tif")</f>
        <v/>
      </c>
      <c r="H59">
        <f>_xlfn.IMAGE("https://m.media-amazon.com/images/I/71S7Ij0RUmL._AC_UL320_.jpg")</f>
        <v/>
      </c>
      <c r="K59" t="inlineStr">
        <is>
          <t>6.43</t>
        </is>
      </c>
      <c r="L59" t="n">
        <v>16.99</v>
      </c>
      <c r="M59" s="2" t="inlineStr">
        <is>
          <t>164.23%</t>
        </is>
      </c>
      <c r="N59" t="n">
        <v>4.6</v>
      </c>
      <c r="O59" t="n">
        <v>15</v>
      </c>
      <c r="Q59" t="inlineStr">
        <is>
          <t>InStock</t>
        </is>
      </c>
      <c r="R59" t="inlineStr">
        <is>
          <t>undefined</t>
        </is>
      </c>
      <c r="S59" t="inlineStr">
        <is>
          <t>14220426</t>
        </is>
      </c>
    </row>
    <row r="60" ht="75" customHeight="1">
      <c r="A60" s="1">
        <f>HYPERLINK("https://www.toysrus.com/compound-kings-butter-swirls-clouds-compound-bucket-14220426.html", "https://www.toysrus.com/compound-kings-butter-swirls-clouds-compound-bucket-14220426.html")</f>
        <v/>
      </c>
      <c r="B60" s="1">
        <f>HYPERLINK("https://www.toysrus.com/compound-kings-butter-swirls-clouds-compound-bucket-14220426.html", "https://www.toysrus.com/compound-kings-butter-swirls-clouds-compound-bucket-14220426.html")</f>
        <v/>
      </c>
      <c r="C60" t="inlineStr">
        <is>
          <t>Compound Kings Butter Swirls Clouds Compound Bucket</t>
        </is>
      </c>
      <c r="D60" t="inlineStr">
        <is>
          <t>COMPOUND KINGS Fluffy Butter Cloudz Compound Bucket for Girls &amp; Boys | Sensory Toys | Non-Toxic &amp; Non-Sticky | Stress Relieving Tactile | (Red Cherry)</t>
        </is>
      </c>
      <c r="E60" s="1">
        <f>HYPERLINK("https://www.amazon.com/COMPOUND-KINGS-Non-Toxic-Non-Sticky-Relieving/dp/B0C1TNTNVD/ref=sr_1_5?keywords=Compound+Kings+Butter+Swirls+Clouds+Compound+Bucket&amp;qid=1695588636&amp;sr=8-5", "https://www.amazon.com/COMPOUND-KINGS-Non-Toxic-Non-Sticky-Relieving/dp/B0C1TNTNVD/ref=sr_1_5?keywords=Compound+Kings+Butter+Swirls+Clouds+Compound+Bucket&amp;qid=1695588636&amp;sr=8-5")</f>
        <v/>
      </c>
      <c r="F60" t="inlineStr">
        <is>
          <t>B0C1TNTNVD</t>
        </is>
      </c>
      <c r="G60">
        <f>_xlfn.IMAGE("http://slimages.macys.com/is/image/MCY/products/0/optimized/22702147_fpx.tif")</f>
        <v/>
      </c>
      <c r="H60">
        <f>_xlfn.IMAGE("https://m.media-amazon.com/images/I/81DEyhrXJ4L._AC_UL320_.jpg")</f>
        <v/>
      </c>
      <c r="K60" t="inlineStr">
        <is>
          <t>6.43</t>
        </is>
      </c>
      <c r="L60" t="n">
        <v>16.99</v>
      </c>
      <c r="M60" s="2" t="inlineStr">
        <is>
          <t>164.23%</t>
        </is>
      </c>
      <c r="N60" t="n">
        <v>4.3</v>
      </c>
      <c r="O60" t="n">
        <v>7</v>
      </c>
      <c r="Q60" t="inlineStr">
        <is>
          <t>InStock</t>
        </is>
      </c>
      <c r="R60" t="inlineStr">
        <is>
          <t>undefined</t>
        </is>
      </c>
      <c r="S60" t="inlineStr">
        <is>
          <t>14220426</t>
        </is>
      </c>
    </row>
    <row r="61" ht="75" customHeight="1">
      <c r="A61" s="1">
        <f>HYPERLINK("https://www.toysrus.com/crayola-art-to-go-table-easel-G833186004346.html", "https://www.toysrus.com/crayola-art-to-go-table-easel-G833186004346.html")</f>
        <v/>
      </c>
      <c r="B61" s="1">
        <f>HYPERLINK("https://www.toysrus.com/crayola-art-to-go-table-easel-G833186004346.html", "https://www.toysrus.com/crayola-art-to-go-table-easel-G833186004346.html")</f>
        <v/>
      </c>
      <c r="C61" t="inlineStr">
        <is>
          <t>Crayola Art-to-Go Table Easel</t>
        </is>
      </c>
      <c r="D61" t="inlineStr">
        <is>
          <t>Amagoing Easel for Kids, Adjustable Standing Art Easel for Toddler, Double Magnetic Drawing Board with Painting Accessories, Gift for Little Boys and Girls, Middle Size Pink</t>
        </is>
      </c>
      <c r="E61" s="1">
        <f>HYPERLINK("https://www.amazon.com/Amogoing-Adjustable-Standing-Magnetic-Painting/dp/B09PYN5VJD/ref=sr_1_7?keywords=Crayola+Art-to-Go+Table+Easel&amp;qid=1695588639&amp;sr=8-7", "https://www.amazon.com/Amogoing-Adjustable-Standing-Magnetic-Painting/dp/B09PYN5VJD/ref=sr_1_7?keywords=Crayola+Art-to-Go+Table+Easel&amp;qid=1695588639&amp;sr=8-7")</f>
        <v/>
      </c>
      <c r="F61" t="inlineStr">
        <is>
          <t>B09PYN5VJD</t>
        </is>
      </c>
      <c r="G61">
        <f>_xlfn.IMAGE("https://images.toysrus.com/28598/833186004346_1.jpg")</f>
        <v/>
      </c>
      <c r="H61">
        <f>_xlfn.IMAGE("https://m.media-amazon.com/images/I/71FDLhlDGiL._AC_UL320_.jpg")</f>
        <v/>
      </c>
      <c r="K61" t="inlineStr">
        <is>
          <t>19.99</t>
        </is>
      </c>
      <c r="L61" t="n">
        <v>45.99</v>
      </c>
      <c r="M61" s="2" t="inlineStr">
        <is>
          <t>130.07%</t>
        </is>
      </c>
      <c r="N61" t="n">
        <v>4.5</v>
      </c>
      <c r="O61" t="n">
        <v>225</v>
      </c>
      <c r="Q61" t="inlineStr">
        <is>
          <t>OutOfStock</t>
        </is>
      </c>
      <c r="R61" t="inlineStr">
        <is>
          <t>undefined</t>
        </is>
      </c>
      <c r="S61" t="inlineStr">
        <is>
          <t>G833186004346</t>
        </is>
      </c>
    </row>
    <row r="62" ht="75" customHeight="1">
      <c r="A62" s="1">
        <f>HYPERLINK("https://www.toysrus.com/crayola-art-to-go-table-easel-G833186004346.html", "https://www.toysrus.com/crayola-art-to-go-table-easel-G833186004346.html")</f>
        <v/>
      </c>
      <c r="B62" s="1">
        <f>HYPERLINK("https://www.toysrus.com/crayola-art-to-go-table-easel-G833186004346.html", "https://www.toysrus.com/crayola-art-to-go-table-easel-G833186004346.html")</f>
        <v/>
      </c>
      <c r="C62" t="inlineStr">
        <is>
          <t>Crayola Art-to-Go Table Easel</t>
        </is>
      </c>
      <c r="D62" t="inlineStr">
        <is>
          <t>Amagoing Easel for Kid, Double Sided Kids Art Easel with Magnetic Chalkboard &amp; White Board, Adjustable Standing Painting Drawing Board for Toddler, Education Gift Toy for Boy Girls Age 3, 4, 5</t>
        </is>
      </c>
      <c r="E62" s="1">
        <f>HYPERLINK("https://www.amazon.com/Amagoing-Magnetic-Chalkboard-Adjustable-Education/dp/B0C3642JMB/ref=sr_1_9?keywords=Crayola+Art-to-Go+Table+Easel&amp;qid=1695588639&amp;sr=8-9", "https://www.amazon.com/Amagoing-Magnetic-Chalkboard-Adjustable-Education/dp/B0C3642JMB/ref=sr_1_9?keywords=Crayola+Art-to-Go+Table+Easel&amp;qid=1695588639&amp;sr=8-9")</f>
        <v/>
      </c>
      <c r="F62" t="inlineStr">
        <is>
          <t>B0C3642JMB</t>
        </is>
      </c>
      <c r="G62">
        <f>_xlfn.IMAGE("https://images.toysrus.com/28598/833186004346_1.jpg")</f>
        <v/>
      </c>
      <c r="H62">
        <f>_xlfn.IMAGE("https://m.media-amazon.com/images/I/71kc9nG-fHL._AC_UL320_.jpg")</f>
        <v/>
      </c>
      <c r="K62" t="inlineStr">
        <is>
          <t>19.99</t>
        </is>
      </c>
      <c r="L62" t="n">
        <v>42.99</v>
      </c>
      <c r="M62" s="2" t="inlineStr">
        <is>
          <t>115.06%</t>
        </is>
      </c>
      <c r="N62" t="n">
        <v>4.5</v>
      </c>
      <c r="O62" t="n">
        <v>5</v>
      </c>
      <c r="Q62" t="inlineStr">
        <is>
          <t>OutOfStock</t>
        </is>
      </c>
      <c r="R62" t="inlineStr">
        <is>
          <t>undefined</t>
        </is>
      </c>
      <c r="S62" t="inlineStr">
        <is>
          <t>G833186004346</t>
        </is>
      </c>
    </row>
    <row r="63" ht="75" customHeight="1">
      <c r="A63" s="1">
        <f>HYPERLINK("https://www.toysrus.com/cvc-puzzles-junior-learning-for-ages-4-5-G858426007536.html", "https://www.toysrus.com/cvc-puzzles-junior-learning-for-ages-4-5-G858426007536.html")</f>
        <v/>
      </c>
      <c r="B63" s="1">
        <f>HYPERLINK("https://www.toysrus.com/cvc-puzzles-junior-learning-for-ages-4-5-G858426007536.html", "https://www.toysrus.com/cvc-puzzles-junior-learning-for-ages-4-5-G858426007536.html")</f>
        <v/>
      </c>
      <c r="C63" t="inlineStr">
        <is>
          <t>CVC Puzzles Junior Learning for Ages 4-5</t>
        </is>
      </c>
      <c r="D63" t="inlineStr">
        <is>
          <t>Junior Learning CVC Tri-Blocks Tub, 90 Blocks, Ages 4-5, Phonemic Awareness, Pre K-1</t>
        </is>
      </c>
      <c r="E63" s="1">
        <f>HYPERLINK("https://www.amazon.com/Junior-Learning-Tri-Blocks-Word-Building/dp/B00W0J2QZ6/ref=sr_1_5?keywords=CVC+Puzzles+Junior+Learning+for+Ages+4-5&amp;qid=1695588423&amp;sr=8-5", "https://www.amazon.com/Junior-Learning-Tri-Blocks-Word-Building/dp/B00W0J2QZ6/ref=sr_1_5?keywords=CVC+Puzzles+Junior+Learning+for+Ages+4-5&amp;qid=1695588423&amp;sr=8-5")</f>
        <v/>
      </c>
      <c r="F63" t="inlineStr">
        <is>
          <t>B00W0J2QZ6</t>
        </is>
      </c>
      <c r="G63">
        <f>_xlfn.IMAGE("https://images.toysrus.com/1285980/858426007536_1.jpg")</f>
        <v/>
      </c>
      <c r="H63">
        <f>_xlfn.IMAGE("https://m.media-amazon.com/images/I/61tF0u0WwwL._AC_UL320_.jpg")</f>
        <v/>
      </c>
      <c r="K63" t="inlineStr">
        <is>
          <t>11.99</t>
        </is>
      </c>
      <c r="L63" t="n">
        <v>29.64</v>
      </c>
      <c r="M63" s="2" t="inlineStr">
        <is>
          <t>147.21%</t>
        </is>
      </c>
      <c r="N63" t="n">
        <v>4.7</v>
      </c>
      <c r="O63" t="n">
        <v>807</v>
      </c>
      <c r="Q63" t="inlineStr">
        <is>
          <t>InStock</t>
        </is>
      </c>
      <c r="R63" t="inlineStr">
        <is>
          <t>undefined</t>
        </is>
      </c>
      <c r="S63" t="inlineStr">
        <is>
          <t>G858426007536</t>
        </is>
      </c>
    </row>
    <row r="64" ht="75" customHeight="1">
      <c r="A64" s="1">
        <f>HYPERLINK("https://www.toysrus.com/dark-souls-the-board-game---manus-father-of-the-abyss-expansion-G5060453692721.html", "https://www.toysrus.com/dark-souls-the-board-game---manus-father-of-the-abyss-expansion-G5060453692721.html")</f>
        <v/>
      </c>
      <c r="B64" s="1">
        <f>HYPERLINK("https://www.toysrus.com/dark-souls-the-board-game---manus-father-of-the-abyss-expansion-G5060453692721.html", "https://www.toysrus.com/dark-souls-the-board-game---manus-father-of-the-abyss-expansion-G5060453692721.html")</f>
        <v/>
      </c>
      <c r="C64" t="inlineStr">
        <is>
          <t>Dark Souls: The Board Game - Manus, Father of The Abyss Expansion</t>
        </is>
      </c>
      <c r="D64" t="inlineStr">
        <is>
          <t>Dark Souls The Board Game Bundle: Manus - Father of The Abyss and Executioners Chariot Expansions (2 Items)</t>
        </is>
      </c>
      <c r="E64" s="1">
        <f>HYPERLINK("https://www.amazon.com/Dark-Souls-Board-Game-Bundle/dp/B08NM6F3VF/ref=sr_1_2?keywords=Dark+Souls%3A+The+Board+Game+-+Manus%2C+Father+of+The+Abyss+Expansion&amp;qid=1695588346&amp;sr=8-2", "https://www.amazon.com/Dark-Souls-Board-Game-Bundle/dp/B08NM6F3VF/ref=sr_1_2?keywords=Dark+Souls%3A+The+Board+Game+-+Manus%2C+Father+of+The+Abyss+Expansion&amp;qid=1695588346&amp;sr=8-2")</f>
        <v/>
      </c>
      <c r="F64" t="inlineStr">
        <is>
          <t>B08NM6F3VF</t>
        </is>
      </c>
      <c r="G64">
        <f>_xlfn.IMAGE("https://images.toysrus.com/1285/5060453692721_1.jpg")</f>
        <v/>
      </c>
      <c r="H64">
        <f>_xlfn.IMAGE("https://m.media-amazon.com/images/I/51nLPtzG9QL._AC_UL320_.jpg")</f>
        <v/>
      </c>
      <c r="K64" t="inlineStr">
        <is>
          <t>39.99</t>
        </is>
      </c>
      <c r="L64" t="n">
        <v>74.95</v>
      </c>
      <c r="M64" s="2" t="inlineStr">
        <is>
          <t>87.42%</t>
        </is>
      </c>
      <c r="N64" t="n">
        <v>4.7</v>
      </c>
      <c r="O64" t="n">
        <v>24</v>
      </c>
      <c r="Q64" t="inlineStr">
        <is>
          <t>InStock</t>
        </is>
      </c>
      <c r="R64" t="inlineStr">
        <is>
          <t>undefined</t>
        </is>
      </c>
      <c r="S64" t="inlineStr">
        <is>
          <t>G5060453692721</t>
        </is>
      </c>
    </row>
    <row r="65" ht="75" customHeight="1">
      <c r="A65" s="1">
        <f>HYPERLINK("https://www.toysrus.com/daron-nasa-space-adventure-series-space-station-with-lights-sounds-and-figurine-b07r4xx8s8-G817346025891.html", "https://www.toysrus.com/daron-nasa-space-adventure-series-space-station-with-lights-sounds-and-figurine-b07r4xx8s8-G817346025891.html")</f>
        <v/>
      </c>
      <c r="B65" s="1">
        <f>HYPERLINK("https://www.toysrus.com/daron-nasa-space-adventure-series-space-station-with-lights-sounds-and-figurine-b07r4xx8s8-G817346025891.html", "https://www.toysrus.com/daron-nasa-space-adventure-series-space-station-with-lights-sounds-and-figurine-b07r4xx8s8-G817346025891.html")</f>
        <v/>
      </c>
      <c r="C65" t="inlineStr">
        <is>
          <t>DARON NASA Space Adventure Series: Space Station with Lights, Sounds &amp; Figurine (B07R4XX8S8)</t>
        </is>
      </c>
      <c r="D65" t="inlineStr">
        <is>
          <t>DARON Adventure Series: Space Rocket with Lights, Sounds &amp; Figurines, NASA Large</t>
        </is>
      </c>
      <c r="E65" s="1">
        <f>HYPERLINK("https://www.amazon.com/Daron-PT63114-Adventure-Rocket-Figurines/dp/B07PXGC8F9/ref=sr_1_3?keywords=DARON+NASA+Space+Adventure+Series%3A+Space+Station+with+Lights%2C+Sounds&amp;qid=1695588764&amp;sr=8-3", "https://www.amazon.com/Daron-PT63114-Adventure-Rocket-Figurines/dp/B07PXGC8F9/ref=sr_1_3?keywords=DARON+NASA+Space+Adventure+Series%3A+Space+Station+with+Lights%2C+Sounds&amp;qid=1695588764&amp;sr=8-3")</f>
        <v/>
      </c>
      <c r="F65" t="inlineStr">
        <is>
          <t>B07PXGC8F9</t>
        </is>
      </c>
      <c r="G65">
        <f>_xlfn.IMAGE("https://images.toysrus.com/1128598/817346025891_1.jpg")</f>
        <v/>
      </c>
      <c r="H65">
        <f>_xlfn.IMAGE("https://m.media-amazon.com/images/I/71xqP0jBVML._AC_UL320_.jpg")</f>
        <v/>
      </c>
      <c r="K65" t="inlineStr">
        <is>
          <t>29.99</t>
        </is>
      </c>
      <c r="L65" t="n">
        <v>59.99</v>
      </c>
      <c r="M65" s="2" t="inlineStr">
        <is>
          <t>100.03%</t>
        </is>
      </c>
      <c r="N65" t="n">
        <v>4.4</v>
      </c>
      <c r="O65" t="n">
        <v>304</v>
      </c>
      <c r="Q65" t="inlineStr">
        <is>
          <t>InStock</t>
        </is>
      </c>
      <c r="R65" t="inlineStr">
        <is>
          <t>undefined</t>
        </is>
      </c>
      <c r="S65" t="inlineStr">
        <is>
          <t>G817346025891</t>
        </is>
      </c>
    </row>
    <row r="66" ht="75" customHeight="1">
      <c r="A66" s="1">
        <f>HYPERLINK("https://www.toysrus.com/dc-comics-batman-12-inch-selina-kyle-action-figure-the-batman-movie-collectible-kids-toys-for-boys-and-girls-ages-3-and-up-13899442.html", "https://www.toysrus.com/dc-comics-batman-12-inch-selina-kyle-action-figure-the-batman-movie-collectible-kids-toys-for-boys-and-girls-ages-3-and-up-13899442.html")</f>
        <v/>
      </c>
      <c r="B66" s="1">
        <f>HYPERLINK("https://www.toysrus.com/dc-comics-batman-12-inch-selina-kyle-action-figure-the-batman-movie-collectible-kids-toys-for-boys-and-girls-ages-3-and-up-13899442.html", "https://www.toysrus.com/dc-comics-batman-12-inch-selina-kyle-action-figure-the-batman-movie-collectible-kids-toys-for-boys-and-girls-ages-3-and-up-13899442.html")</f>
        <v/>
      </c>
      <c r="C66" t="inlineStr">
        <is>
          <t>DC Comics, Batman 12-inch Selina Kyle Action Figure, The Batman Movie Collectible Kids Toys for Boys and Girls Ages 3 and up</t>
        </is>
      </c>
      <c r="D66" t="inlineStr">
        <is>
          <t>DC Comics, Batman 12-inch Wingsuit Action Figure with Lights and Phrases, Expanding Wings, The Batman Movie Collectible Kids Toys for Boys and Girls Ages 3 and up</t>
        </is>
      </c>
      <c r="E66" s="1">
        <f>HYPERLINK("https://www.amazon.com/DC-Comics-Wingsuit-Expanding-Collectible/dp/B09BFY5YRD/ref=sr_1_4?keywords=DC+Comics%2C+Batman+12-inch+Selina+Kyle+Action+Figure%2C+The+Batman+Movie+Collectible+Kids+Toys+for+Boys+and+Girls+Ages+3+and+up&amp;qid=1695588579&amp;sr=8-4", "https://www.amazon.com/DC-Comics-Wingsuit-Expanding-Collectible/dp/B09BFY5YRD/ref=sr_1_4?keywords=DC+Comics%2C+Batman+12-inch+Selina+Kyle+Action+Figure%2C+The+Batman+Movie+Collectible+Kids+Toys+for+Boys+and+Girls+Ages+3+and+up&amp;qid=1695588579&amp;sr=8-4")</f>
        <v/>
      </c>
      <c r="F66" t="inlineStr">
        <is>
          <t>B09BFY5YRD</t>
        </is>
      </c>
      <c r="G66">
        <f>_xlfn.IMAGE("http://slimages.macys.com/is/image/MCY/products/0/optimized/21707501_fpx.tif")</f>
        <v/>
      </c>
      <c r="H66">
        <f>_xlfn.IMAGE("https://m.media-amazon.com/images/I/71kQhaANMDL._AC_UL320_.jpg")</f>
        <v/>
      </c>
      <c r="K66" t="inlineStr">
        <is>
          <t>6.43</t>
        </is>
      </c>
      <c r="L66" t="n">
        <v>19.99</v>
      </c>
      <c r="M66" s="2" t="inlineStr">
        <is>
          <t>210.89%</t>
        </is>
      </c>
      <c r="N66" t="n">
        <v>4.7</v>
      </c>
      <c r="O66" t="n">
        <v>167</v>
      </c>
      <c r="Q66" t="inlineStr">
        <is>
          <t>InStock</t>
        </is>
      </c>
      <c r="R66" t="inlineStr">
        <is>
          <t>undefined</t>
        </is>
      </c>
      <c r="S66" t="inlineStr">
        <is>
          <t>13899442</t>
        </is>
      </c>
    </row>
    <row r="67" ht="75" customHeight="1">
      <c r="A67" s="1">
        <f>HYPERLINK("https://www.toysrus.com/dickie-toys---10-inch-fendt-happy-tractor-G4006333052668.html", "https://www.toysrus.com/dickie-toys---10-inch-fendt-happy-tractor-G4006333052668.html")</f>
        <v/>
      </c>
      <c r="B67" s="1">
        <f>HYPERLINK("https://www.toysrus.com/dickie-toys---10-inch-fendt-happy-tractor-G4006333052668.html", "https://www.toysrus.com/dickie-toys---10-inch-fendt-happy-tractor-G4006333052668.html")</f>
        <v/>
      </c>
      <c r="C67" t="inlineStr">
        <is>
          <t>Dickie Toys - 10 Inch Fendt Happy Tractor</t>
        </is>
      </c>
      <c r="D67" t="inlineStr">
        <is>
          <t>DICKIE TOYS - Happy Fendt 25 Inch Forester Truck and Trailer, Green</t>
        </is>
      </c>
      <c r="E67" s="1">
        <f>HYPERLINK("https://www.amazon.com/DICKIE-TOYS-203819003-Happy-Forester/dp/B081J95PBR/ref=sr_1_3?keywords=Dickie+Toys+-+10+Inch+Fendt+Happy+Tractor&amp;qid=1695588206&amp;sr=8-3", "https://www.amazon.com/DICKIE-TOYS-203819003-Happy-Forester/dp/B081J95PBR/ref=sr_1_3?keywords=Dickie+Toys+-+10+Inch+Fendt+Happy+Tractor&amp;qid=1695588206&amp;sr=8-3")</f>
        <v/>
      </c>
      <c r="F67" t="inlineStr">
        <is>
          <t>B081J95PBR</t>
        </is>
      </c>
      <c r="G67">
        <f>_xlfn.IMAGE("https://images.toysrus.com/1128598/4006333052668_1.jpg")</f>
        <v/>
      </c>
      <c r="H67">
        <f>_xlfn.IMAGE("https://m.media-amazon.com/images/I/71D7eeLZqfL._AC_UL320_.jpg")</f>
        <v/>
      </c>
      <c r="K67" t="inlineStr">
        <is>
          <t>14.99</t>
        </is>
      </c>
      <c r="L67" t="n">
        <v>41.99</v>
      </c>
      <c r="M67" s="2" t="inlineStr">
        <is>
          <t>180.12%</t>
        </is>
      </c>
      <c r="N67" t="n">
        <v>4.6</v>
      </c>
      <c r="O67" t="n">
        <v>201</v>
      </c>
      <c r="Q67" t="inlineStr">
        <is>
          <t>InStock</t>
        </is>
      </c>
      <c r="R67" t="inlineStr">
        <is>
          <t>undefined</t>
        </is>
      </c>
      <c r="S67" t="inlineStr">
        <is>
          <t>G4006333052668</t>
        </is>
      </c>
    </row>
    <row r="68" ht="75" customHeight="1">
      <c r="A68" s="1">
        <f>HYPERLINK("https://www.toysrus.com/dickie-toys---10-inch-fendt-happy-tractor-G4006333052668.html", "https://www.toysrus.com/dickie-toys---10-inch-fendt-happy-tractor-G4006333052668.html")</f>
        <v/>
      </c>
      <c r="B68" s="1">
        <f>HYPERLINK("https://www.toysrus.com/dickie-toys---10-inch-fendt-happy-tractor-G4006333052668.html", "https://www.toysrus.com/dickie-toys---10-inch-fendt-happy-tractor-G4006333052668.html")</f>
        <v/>
      </c>
      <c r="C68" t="inlineStr">
        <is>
          <t>Dickie Toys - 10 Inch Fendt Happy Tractor</t>
        </is>
      </c>
      <c r="D68" t="inlineStr">
        <is>
          <t>DICKIE TOYS - Happy Fendt 25 Inch Forester Truck and Trailer, Green</t>
        </is>
      </c>
      <c r="E68" s="1">
        <f>HYPERLINK("https://www.amazon.com/DICKIE-TOYS-203819003-Happy-Forester/dp/B081J95PBR/ref=sr_1_3?keywords=Dickie+Toys+-+10+Inch+Fendt+Happy+Tractor&amp;qid=1695588757&amp;sr=8-3", "https://www.amazon.com/DICKIE-TOYS-203819003-Happy-Forester/dp/B081J95PBR/ref=sr_1_3?keywords=Dickie+Toys+-+10+Inch+Fendt+Happy+Tractor&amp;qid=1695588757&amp;sr=8-3")</f>
        <v/>
      </c>
      <c r="F68" t="inlineStr">
        <is>
          <t>B081J95PBR</t>
        </is>
      </c>
      <c r="G68">
        <f>_xlfn.IMAGE("https://images.toysrus.com/1128598/4006333052668_1.jpg")</f>
        <v/>
      </c>
      <c r="H68">
        <f>_xlfn.IMAGE("https://m.media-amazon.com/images/I/71D7eeLZqfL._AC_UL320_.jpg")</f>
        <v/>
      </c>
      <c r="K68" t="inlineStr">
        <is>
          <t>14.99</t>
        </is>
      </c>
      <c r="L68" t="n">
        <v>41.99</v>
      </c>
      <c r="M68" s="2" t="inlineStr">
        <is>
          <t>180.12%</t>
        </is>
      </c>
      <c r="N68" t="n">
        <v>4.6</v>
      </c>
      <c r="O68" t="n">
        <v>201</v>
      </c>
      <c r="Q68" t="inlineStr">
        <is>
          <t>InStock</t>
        </is>
      </c>
      <c r="R68" t="inlineStr">
        <is>
          <t>undefined</t>
        </is>
      </c>
      <c r="S68" t="inlineStr">
        <is>
          <t>G4006333052668</t>
        </is>
      </c>
    </row>
    <row r="69" ht="75" customHeight="1">
      <c r="A69" s="1">
        <f>HYPERLINK("https://www.toysrus.com/dickie-toys---12-inch-tow-truck-G4006333068942.html", "https://www.toysrus.com/dickie-toys---12-inch-tow-truck-G4006333068942.html")</f>
        <v/>
      </c>
      <c r="B69" s="1">
        <f>HYPERLINK("https://www.toysrus.com/dickie-toys---12-inch-tow-truck-G4006333068942.html", "https://www.toysrus.com/dickie-toys---12-inch-tow-truck-G4006333068942.html")</f>
        <v/>
      </c>
      <c r="C69" t="inlineStr">
        <is>
          <t>Dickie Toys - 12 Inch Tow Truck</t>
        </is>
      </c>
      <c r="D69" t="inlineStr">
        <is>
          <t>Dickie Toys - 28 Inch Mack Truck With 2 Volvo Construction Trucks</t>
        </is>
      </c>
      <c r="E69" s="1">
        <f>HYPERLINK("https://www.amazon.com/Dickie-Toys-Truck-Construction-Trucks/dp/B083YG6P49/ref=sr_1_6?keywords=Dickie+Toys+-+12+Inch+Tow+Truck&amp;qid=1695588744&amp;sr=8-6", "https://www.amazon.com/Dickie-Toys-Truck-Construction-Trucks/dp/B083YG6P49/ref=sr_1_6?keywords=Dickie+Toys+-+12+Inch+Tow+Truck&amp;qid=1695588744&amp;sr=8-6")</f>
        <v/>
      </c>
      <c r="F69" t="inlineStr">
        <is>
          <t>B083YG6P49</t>
        </is>
      </c>
      <c r="G69">
        <f>_xlfn.IMAGE("https://images.toysrus.com/1128598/4006333068942_1.jpg")</f>
        <v/>
      </c>
      <c r="H69">
        <f>_xlfn.IMAGE("https://m.media-amazon.com/images/I/51WFjpAy+oL._AC_UL320_.jpg")</f>
        <v/>
      </c>
      <c r="K69" t="inlineStr">
        <is>
          <t>19.99</t>
        </is>
      </c>
      <c r="L69" t="n">
        <v>41.99</v>
      </c>
      <c r="M69" s="2" t="inlineStr">
        <is>
          <t>110.06%</t>
        </is>
      </c>
      <c r="N69" t="n">
        <v>4.5</v>
      </c>
      <c r="O69" t="n">
        <v>182</v>
      </c>
      <c r="Q69" t="inlineStr">
        <is>
          <t>InStock</t>
        </is>
      </c>
      <c r="R69" t="inlineStr">
        <is>
          <t>undefined</t>
        </is>
      </c>
      <c r="S69" t="inlineStr">
        <is>
          <t>G4006333068942</t>
        </is>
      </c>
    </row>
    <row r="70" ht="75" customHeight="1">
      <c r="A70" s="1">
        <f>HYPERLINK("https://www.toysrus.com/dickie-toys---12-inch-tow-truck-G4006333068942.html", "https://www.toysrus.com/dickie-toys---12-inch-tow-truck-G4006333068942.html")</f>
        <v/>
      </c>
      <c r="B70" s="1">
        <f>HYPERLINK("https://www.toysrus.com/dickie-toys---12-inch-tow-truck-G4006333068942.html", "https://www.toysrus.com/dickie-toys---12-inch-tow-truck-G4006333068942.html")</f>
        <v/>
      </c>
      <c r="C70" t="inlineStr">
        <is>
          <t>Dickie Toys - 12 Inch Tow Truck</t>
        </is>
      </c>
      <c r="D70" t="inlineStr">
        <is>
          <t>Dickie Toys 203749025 203749025 203749025 Tow Truck with Free-Wheel Motorised Crane Arm + 1 Car 55 cm Multi-Coloured</t>
        </is>
      </c>
      <c r="E70" s="1">
        <f>HYPERLINK("https://www.amazon.com/Dickie-203749025-Free-Wheel-Motorised-Multi-Coloured/dp/B07NSHQHD9/ref=sr_1_3?keywords=Dickie+Toys+-+12+Inch+Tow+Truck&amp;qid=1695588744&amp;sr=8-3", "https://www.amazon.com/Dickie-203749025-Free-Wheel-Motorised-Multi-Coloured/dp/B07NSHQHD9/ref=sr_1_3?keywords=Dickie+Toys+-+12+Inch+Tow+Truck&amp;qid=1695588744&amp;sr=8-3")</f>
        <v/>
      </c>
      <c r="F70" t="inlineStr">
        <is>
          <t>B07NSHQHD9</t>
        </is>
      </c>
      <c r="G70">
        <f>_xlfn.IMAGE("https://images.toysrus.com/1128598/4006333068942_1.jpg")</f>
        <v/>
      </c>
      <c r="H70">
        <f>_xlfn.IMAGE("https://m.media-amazon.com/images/I/516jB8jfmGL._AC_UL320_.jpg")</f>
        <v/>
      </c>
      <c r="K70" t="inlineStr">
        <is>
          <t>19.99</t>
        </is>
      </c>
      <c r="L70" t="n">
        <v>39.99</v>
      </c>
      <c r="M70" s="2" t="inlineStr">
        <is>
          <t>100.05%</t>
        </is>
      </c>
      <c r="N70" t="n">
        <v>3.9</v>
      </c>
      <c r="O70" t="n">
        <v>20</v>
      </c>
      <c r="Q70" t="inlineStr">
        <is>
          <t>InStock</t>
        </is>
      </c>
      <c r="R70" t="inlineStr">
        <is>
          <t>undefined</t>
        </is>
      </c>
      <c r="S70" t="inlineStr">
        <is>
          <t>G4006333068942</t>
        </is>
      </c>
    </row>
    <row r="71" ht="75" customHeight="1">
      <c r="A71" s="1">
        <f>HYPERLINK("https://www.toysrus.com/dickie-toys---143-scale-die-cast-monster-truck-blue-G4006333073779.html", "https://www.toysrus.com/dickie-toys---143-scale-die-cast-monster-truck-blue-G4006333073779.html")</f>
        <v/>
      </c>
      <c r="B71" s="1">
        <f>HYPERLINK("https://www.toysrus.com/dickie-toys---143-scale-die-cast-monster-truck-blue-G4006333073779.html", "https://www.toysrus.com/dickie-toys---143-scale-die-cast-monster-truck-blue-G4006333073779.html")</f>
        <v/>
      </c>
      <c r="C71" t="inlineStr">
        <is>
          <t>Dickie Toys - 1:43 Scale Die-cast Monster Truck Blue</t>
        </is>
      </c>
      <c r="D71" t="inlineStr">
        <is>
          <t>Monster Jam, Official Blue Thunder Monster Truck, Collector Die-Cast Vehicle, 1:24 Scale</t>
        </is>
      </c>
      <c r="E71" s="1">
        <f>HYPERLINK("https://www.amazon.com/Monster-Jam-Official-Collector-Die-Cast/dp/B08N6WR3HH/ref=sr_1_3?keywords=Dickie+Toys+-+1%3A43+Scale+Die-cast+Monster+Truck+Blue&amp;qid=1695588200&amp;sr=8-3", "https://www.amazon.com/Monster-Jam-Official-Collector-Die-Cast/dp/B08N6WR3HH/ref=sr_1_3?keywords=Dickie+Toys+-+1%3A43+Scale+Die-cast+Monster+Truck+Blue&amp;qid=1695588200&amp;sr=8-3")</f>
        <v/>
      </c>
      <c r="F71" t="inlineStr">
        <is>
          <t>B08N6WR3HH</t>
        </is>
      </c>
      <c r="G71">
        <f>_xlfn.IMAGE("https://images.toysrus.com/1285/4006333073779_1.jpg")</f>
        <v/>
      </c>
      <c r="H71">
        <f>_xlfn.IMAGE("https://m.media-amazon.com/images/I/81YmFdb0msL._AC_UL320_.jpg")</f>
        <v/>
      </c>
      <c r="K71" t="inlineStr">
        <is>
          <t>6.99</t>
        </is>
      </c>
      <c r="L71" t="n">
        <v>28.99</v>
      </c>
      <c r="M71" s="2" t="inlineStr">
        <is>
          <t>314.74%</t>
        </is>
      </c>
      <c r="N71" t="n">
        <v>4.7</v>
      </c>
      <c r="O71" t="n">
        <v>95</v>
      </c>
      <c r="Q71" t="inlineStr">
        <is>
          <t>OutOfStock</t>
        </is>
      </c>
      <c r="R71" t="inlineStr">
        <is>
          <t>undefined</t>
        </is>
      </c>
      <c r="S71" t="inlineStr">
        <is>
          <t>G4006333073779</t>
        </is>
      </c>
    </row>
    <row r="72" ht="75" customHeight="1">
      <c r="A72" s="1">
        <f>HYPERLINK("https://www.toysrus.com/dickie-toys---143-scale-die-cast-monster-truck-blue-G4006333073779.html", "https://www.toysrus.com/dickie-toys---143-scale-die-cast-monster-truck-blue-G4006333073779.html")</f>
        <v/>
      </c>
      <c r="B72" s="1">
        <f>HYPERLINK("https://www.toysrus.com/dickie-toys---143-scale-die-cast-monster-truck-blue-G4006333073779.html", "https://www.toysrus.com/dickie-toys---143-scale-die-cast-monster-truck-blue-G4006333073779.html")</f>
        <v/>
      </c>
      <c r="C72" t="inlineStr">
        <is>
          <t>Dickie Toys - 1:43 Scale Die-cast Monster Truck Blue</t>
        </is>
      </c>
      <c r="D72" t="inlineStr">
        <is>
          <t>Monster Jam, Official Blue Thunder Monster Truck, Die-Cast Vehicle, 1: 24 Scale</t>
        </is>
      </c>
      <c r="E72" s="1">
        <f>HYPERLINK("https://www.amazon.com/Monster-Jam-Official-Thunder-Die-Cast/dp/B07GTF4WJ2/ref=sr_1_8?keywords=Dickie+Toys+-+1%3A43+Scale+Die-cast+Monster+Truck+Blue&amp;qid=1695588200&amp;sr=8-8", "https://www.amazon.com/Monster-Jam-Official-Thunder-Die-Cast/dp/B07GTF4WJ2/ref=sr_1_8?keywords=Dickie+Toys+-+1%3A43+Scale+Die-cast+Monster+Truck+Blue&amp;qid=1695588200&amp;sr=8-8")</f>
        <v/>
      </c>
      <c r="F72" t="inlineStr">
        <is>
          <t>B07GTF4WJ2</t>
        </is>
      </c>
      <c r="G72">
        <f>_xlfn.IMAGE("https://images.toysrus.com/1285/4006333073779_1.jpg")</f>
        <v/>
      </c>
      <c r="H72">
        <f>_xlfn.IMAGE("https://m.media-amazon.com/images/I/915xuZg+v4L._AC_UL320_.jpg")</f>
        <v/>
      </c>
      <c r="K72" t="inlineStr">
        <is>
          <t>6.99</t>
        </is>
      </c>
      <c r="L72" t="n">
        <v>24.99</v>
      </c>
      <c r="M72" s="2" t="inlineStr">
        <is>
          <t>257.51%</t>
        </is>
      </c>
      <c r="N72" t="n">
        <v>4.8</v>
      </c>
      <c r="O72" t="n">
        <v>857</v>
      </c>
      <c r="Q72" t="inlineStr">
        <is>
          <t>OutOfStock</t>
        </is>
      </c>
      <c r="R72" t="inlineStr">
        <is>
          <t>undefined</t>
        </is>
      </c>
      <c r="S72" t="inlineStr">
        <is>
          <t>G4006333073779</t>
        </is>
      </c>
    </row>
    <row r="73" ht="75" customHeight="1">
      <c r="A73" s="1">
        <f>HYPERLINK("https://www.toysrus.com/dickie-toys---143-scale-die-cast-monster-truck-blue-G4006333073779.html", "https://www.toysrus.com/dickie-toys---143-scale-die-cast-monster-truck-blue-G4006333073779.html")</f>
        <v/>
      </c>
      <c r="B73" s="1">
        <f>HYPERLINK("https://www.toysrus.com/dickie-toys---143-scale-die-cast-monster-truck-blue-G4006333073779.html", "https://www.toysrus.com/dickie-toys---143-scale-die-cast-monster-truck-blue-G4006333073779.html")</f>
        <v/>
      </c>
      <c r="C73" t="inlineStr">
        <is>
          <t>Dickie Toys - 1:43 Scale Die-cast Monster Truck Blue</t>
        </is>
      </c>
      <c r="D73" t="inlineStr">
        <is>
          <t>Monster Jam, Official Blue Thunder Monster Truck, Collector Die-Cast Vehicle, 1:24 Scale</t>
        </is>
      </c>
      <c r="E73" s="1">
        <f>HYPERLINK("https://www.amazon.com/Monster-Jam-Official-Collector-Die-Cast/dp/B08N6WR3HH/ref=sr_1_4?keywords=Dickie+Toys+-+1%3A43+Scale+Die-cast+Monster+Truck+Blue&amp;qid=1695588769&amp;sr=8-4", "https://www.amazon.com/Monster-Jam-Official-Collector-Die-Cast/dp/B08N6WR3HH/ref=sr_1_4?keywords=Dickie+Toys+-+1%3A43+Scale+Die-cast+Monster+Truck+Blue&amp;qid=1695588769&amp;sr=8-4")</f>
        <v/>
      </c>
      <c r="F73" t="inlineStr">
        <is>
          <t>B08N6WR3HH</t>
        </is>
      </c>
      <c r="G73">
        <f>_xlfn.IMAGE("https://images.toysrus.com/1285/4006333073779_1.jpg")</f>
        <v/>
      </c>
      <c r="H73">
        <f>_xlfn.IMAGE("https://m.media-amazon.com/images/I/81YmFdb0msL._AC_UL320_.jpg")</f>
        <v/>
      </c>
      <c r="K73" t="inlineStr">
        <is>
          <t>6.99</t>
        </is>
      </c>
      <c r="L73" t="n">
        <v>28.99</v>
      </c>
      <c r="M73" s="2" t="inlineStr">
        <is>
          <t>314.74%</t>
        </is>
      </c>
      <c r="N73" t="n">
        <v>4.7</v>
      </c>
      <c r="O73" t="n">
        <v>95</v>
      </c>
      <c r="Q73" t="inlineStr">
        <is>
          <t>OutOfStock</t>
        </is>
      </c>
      <c r="R73" t="inlineStr">
        <is>
          <t>undefined</t>
        </is>
      </c>
      <c r="S73" t="inlineStr">
        <is>
          <t>G4006333073779</t>
        </is>
      </c>
    </row>
    <row r="74" ht="75" customHeight="1">
      <c r="A74" s="1">
        <f>HYPERLINK("https://www.toysrus.com/dickie-toys---143-scale-die-cast-monster-truck-blue-G4006333073779.html", "https://www.toysrus.com/dickie-toys---143-scale-die-cast-monster-truck-blue-G4006333073779.html")</f>
        <v/>
      </c>
      <c r="B74" s="1">
        <f>HYPERLINK("https://www.toysrus.com/dickie-toys---143-scale-die-cast-monster-truck-blue-G4006333073779.html", "https://www.toysrus.com/dickie-toys---143-scale-die-cast-monster-truck-blue-G4006333073779.html")</f>
        <v/>
      </c>
      <c r="C74" t="inlineStr">
        <is>
          <t>Dickie Toys - 1:43 Scale Die-cast Monster Truck Blue</t>
        </is>
      </c>
      <c r="D74" t="inlineStr">
        <is>
          <t>Monster Jam, Official Grave Digger Retro Monster Truck, Collector Die-Cast Vehicle, 1:24 Scale, Kids Toys for Boys Ages 3 and up</t>
        </is>
      </c>
      <c r="E74" s="1">
        <f>HYPERLINK("https://www.amazon.com/Monster-Jam-Official-Collector-Die-Cast/dp/B09VQ2J9BG/ref=sr_1_9?keywords=Dickie+Toys+-+1%3A43+Scale+Die-cast+Monster+Truck+Blue&amp;qid=1695588769&amp;sr=8-9", "https://www.amazon.com/Monster-Jam-Official-Collector-Die-Cast/dp/B09VQ2J9BG/ref=sr_1_9?keywords=Dickie+Toys+-+1%3A43+Scale+Die-cast+Monster+Truck+Blue&amp;qid=1695588769&amp;sr=8-9")</f>
        <v/>
      </c>
      <c r="F74" t="inlineStr">
        <is>
          <t>B09VQ2J9BG</t>
        </is>
      </c>
      <c r="G74">
        <f>_xlfn.IMAGE("https://images.toysrus.com/1285/4006333073779_1.jpg")</f>
        <v/>
      </c>
      <c r="H74">
        <f>_xlfn.IMAGE("https://m.media-amazon.com/images/I/81p7q6eg5mL._AC_UL320_.jpg")</f>
        <v/>
      </c>
      <c r="K74" t="inlineStr">
        <is>
          <t>6.99</t>
        </is>
      </c>
      <c r="L74" t="n">
        <v>28.12</v>
      </c>
      <c r="M74" s="2" t="inlineStr">
        <is>
          <t>302.29%</t>
        </is>
      </c>
      <c r="N74" t="n">
        <v>4.4</v>
      </c>
      <c r="O74" t="n">
        <v>68</v>
      </c>
      <c r="Q74" t="inlineStr">
        <is>
          <t>OutOfStock</t>
        </is>
      </c>
      <c r="R74" t="inlineStr">
        <is>
          <t>undefined</t>
        </is>
      </c>
      <c r="S74" t="inlineStr">
        <is>
          <t>G4006333073779</t>
        </is>
      </c>
    </row>
    <row r="75" ht="75" customHeight="1">
      <c r="A75" s="1">
        <f>HYPERLINK("https://www.toysrus.com/dickie-toys---143-scale-die-cast-monster-truck-blue-G4006333073779.html", "https://www.toysrus.com/dickie-toys---143-scale-die-cast-monster-truck-blue-G4006333073779.html")</f>
        <v/>
      </c>
      <c r="B75" s="1">
        <f>HYPERLINK("https://www.toysrus.com/dickie-toys---143-scale-die-cast-monster-truck-blue-G4006333073779.html", "https://www.toysrus.com/dickie-toys---143-scale-die-cast-monster-truck-blue-G4006333073779.html")</f>
        <v/>
      </c>
      <c r="C75" t="inlineStr">
        <is>
          <t>Dickie Toys - 1:43 Scale Die-cast Monster Truck Blue</t>
        </is>
      </c>
      <c r="D75" t="inlineStr">
        <is>
          <t>Monster Jam, Official Blue Thunder Monster Truck, Die-Cast Vehicle, 1: 24 Scale</t>
        </is>
      </c>
      <c r="E75" s="1">
        <f>HYPERLINK("https://www.amazon.com/Monster-Jam-Official-Thunder-Die-Cast/dp/B07GTF4WJ2/ref=sr_1_8?keywords=Dickie+Toys+-+1%3A43+Scale+Die-cast+Monster+Truck+Blue&amp;qid=1695588769&amp;sr=8-8", "https://www.amazon.com/Monster-Jam-Official-Thunder-Die-Cast/dp/B07GTF4WJ2/ref=sr_1_8?keywords=Dickie+Toys+-+1%3A43+Scale+Die-cast+Monster+Truck+Blue&amp;qid=1695588769&amp;sr=8-8")</f>
        <v/>
      </c>
      <c r="F75" t="inlineStr">
        <is>
          <t>B07GTF4WJ2</t>
        </is>
      </c>
      <c r="G75">
        <f>_xlfn.IMAGE("https://images.toysrus.com/1285/4006333073779_1.jpg")</f>
        <v/>
      </c>
      <c r="H75">
        <f>_xlfn.IMAGE("https://m.media-amazon.com/images/I/915xuZg+v4L._AC_UL320_.jpg")</f>
        <v/>
      </c>
      <c r="K75" t="inlineStr">
        <is>
          <t>6.99</t>
        </is>
      </c>
      <c r="L75" t="n">
        <v>24.99</v>
      </c>
      <c r="M75" s="2" t="inlineStr">
        <is>
          <t>257.51%</t>
        </is>
      </c>
      <c r="N75" t="n">
        <v>4.8</v>
      </c>
      <c r="O75" t="n">
        <v>857</v>
      </c>
      <c r="Q75" t="inlineStr">
        <is>
          <t>OutOfStock</t>
        </is>
      </c>
      <c r="R75" t="inlineStr">
        <is>
          <t>undefined</t>
        </is>
      </c>
      <c r="S75" t="inlineStr">
        <is>
          <t>G4006333073779</t>
        </is>
      </c>
    </row>
    <row r="76" ht="75" customHeight="1">
      <c r="A76" s="1">
        <f>HYPERLINK("https://www.toysrus.com/dickie-toys---143-scale-die-cast-monster-truck-red-G4006333073762.html", "https://www.toysrus.com/dickie-toys---143-scale-die-cast-monster-truck-red-G4006333073762.html")</f>
        <v/>
      </c>
      <c r="B76" s="1">
        <f>HYPERLINK("https://www.toysrus.com/dickie-toys---143-scale-die-cast-monster-truck-red-G4006333073762.html", "https://www.toysrus.com/dickie-toys---143-scale-die-cast-monster-truck-red-G4006333073762.html")</f>
        <v/>
      </c>
      <c r="C76" t="inlineStr">
        <is>
          <t>Dickie Toys - 1:43 Scale Die-cast Monster Truck Red</t>
        </is>
      </c>
      <c r="D76" t="inlineStr">
        <is>
          <t>Monster Jam, Official Grave Digger Retro Monster Truck, Collector Die-Cast Vehicle, 1:24 Scale, Kids Toys for Boys Ages 3 and up</t>
        </is>
      </c>
      <c r="E76" s="1">
        <f>HYPERLINK("https://www.amazon.com/Monster-Jam-Official-Collector-Die-Cast/dp/B09VQ2J9BG/ref=sr_1_6?keywords=Dickie+Toys+-+1%3A43+Scale+Die-cast+Monster+Truck+Red&amp;qid=1695588201&amp;sr=8-6", "https://www.amazon.com/Monster-Jam-Official-Collector-Die-Cast/dp/B09VQ2J9BG/ref=sr_1_6?keywords=Dickie+Toys+-+1%3A43+Scale+Die-cast+Monster+Truck+Red&amp;qid=1695588201&amp;sr=8-6")</f>
        <v/>
      </c>
      <c r="F76" t="inlineStr">
        <is>
          <t>B09VQ2J9BG</t>
        </is>
      </c>
      <c r="G76">
        <f>_xlfn.IMAGE("https://images.toysrus.com/1285/4006333073762_1.jpg")</f>
        <v/>
      </c>
      <c r="H76">
        <f>_xlfn.IMAGE("https://m.media-amazon.com/images/I/81p7q6eg5mL._AC_UL320_.jpg")</f>
        <v/>
      </c>
      <c r="K76" t="inlineStr">
        <is>
          <t>6.99</t>
        </is>
      </c>
      <c r="L76" t="n">
        <v>28.12</v>
      </c>
      <c r="M76" s="2" t="inlineStr">
        <is>
          <t>302.29%</t>
        </is>
      </c>
      <c r="N76" t="n">
        <v>4.4</v>
      </c>
      <c r="O76" t="n">
        <v>68</v>
      </c>
      <c r="Q76" t="inlineStr">
        <is>
          <t>OutOfStock</t>
        </is>
      </c>
      <c r="R76" t="inlineStr">
        <is>
          <t>undefined</t>
        </is>
      </c>
      <c r="S76" t="inlineStr">
        <is>
          <t>G4006333073762</t>
        </is>
      </c>
    </row>
    <row r="77" ht="75" customHeight="1">
      <c r="A77" s="1">
        <f>HYPERLINK("https://www.toysrus.com/dickie-toys---143-scale-die-cast-monster-truck-red-G4006333073762.html", "https://www.toysrus.com/dickie-toys---143-scale-die-cast-monster-truck-red-G4006333073762.html")</f>
        <v/>
      </c>
      <c r="B77" s="1">
        <f>HYPERLINK("https://www.toysrus.com/dickie-toys---143-scale-die-cast-monster-truck-red-G4006333073762.html", "https://www.toysrus.com/dickie-toys---143-scale-die-cast-monster-truck-red-G4006333073762.html")</f>
        <v/>
      </c>
      <c r="C77" t="inlineStr">
        <is>
          <t>Dickie Toys - 1:43 Scale Die-cast Monster Truck Red</t>
        </is>
      </c>
      <c r="D77" t="inlineStr">
        <is>
          <t>Monster Jam, Official Grave Digger Retro Monster Truck, Collector Die-Cast Vehicle, 1:24 Scale, Kids Toys for Boys Ages 3 and up</t>
        </is>
      </c>
      <c r="E77" s="1">
        <f>HYPERLINK("https://www.amazon.com/Monster-Jam-Official-Collector-Die-Cast/dp/B09BFWN5JK/ref=sr_1_4?keywords=Dickie+Toys+-+1%3A43+Scale+Die-cast+Monster+Truck+Red&amp;qid=1695588201&amp;sr=8-4", "https://www.amazon.com/Monster-Jam-Official-Collector-Die-Cast/dp/B09BFWN5JK/ref=sr_1_4?keywords=Dickie+Toys+-+1%3A43+Scale+Die-cast+Monster+Truck+Red&amp;qid=1695588201&amp;sr=8-4")</f>
        <v/>
      </c>
      <c r="F77" t="inlineStr">
        <is>
          <t>B09BFWN5JK</t>
        </is>
      </c>
      <c r="G77">
        <f>_xlfn.IMAGE("https://images.toysrus.com/1285/4006333073762_1.jpg")</f>
        <v/>
      </c>
      <c r="H77">
        <f>_xlfn.IMAGE("https://m.media-amazon.com/images/I/814sxzEL4LL._AC_UL320_.jpg")</f>
        <v/>
      </c>
      <c r="K77" t="inlineStr">
        <is>
          <t>6.99</t>
        </is>
      </c>
      <c r="L77" t="n">
        <v>19.99</v>
      </c>
      <c r="M77" s="2" t="inlineStr">
        <is>
          <t>185.98%</t>
        </is>
      </c>
      <c r="N77" t="n">
        <v>4.7</v>
      </c>
      <c r="O77" t="n">
        <v>2132</v>
      </c>
      <c r="Q77" t="inlineStr">
        <is>
          <t>OutOfStock</t>
        </is>
      </c>
      <c r="R77" t="inlineStr">
        <is>
          <t>undefined</t>
        </is>
      </c>
      <c r="S77" t="inlineStr">
        <is>
          <t>G4006333073762</t>
        </is>
      </c>
    </row>
    <row r="78" ht="75" customHeight="1">
      <c r="A78" s="1">
        <f>HYPERLINK("https://www.toysrus.com/dickie-toys---143-scale-die-cast-monster-truck-red-G4006333073762.html", "https://www.toysrus.com/dickie-toys---143-scale-die-cast-monster-truck-red-G4006333073762.html")</f>
        <v/>
      </c>
      <c r="B78" s="1">
        <f>HYPERLINK("https://www.toysrus.com/dickie-toys---143-scale-die-cast-monster-truck-red-G4006333073762.html", "https://www.toysrus.com/dickie-toys---143-scale-die-cast-monster-truck-red-G4006333073762.html")</f>
        <v/>
      </c>
      <c r="C78" t="inlineStr">
        <is>
          <t>Dickie Toys - 1:43 Scale Die-cast Monster Truck Red</t>
        </is>
      </c>
      <c r="D78" t="inlineStr">
        <is>
          <t>Monster Jam, Official Grave Digger Retro Monster Truck, Collector Die-Cast Vehicle, 1:24 Scale, Kids Toys for Boys Ages 3 and up</t>
        </is>
      </c>
      <c r="E78" s="1">
        <f>HYPERLINK("https://www.amazon.com/Monster-Jam-Official-Collector-Die-Cast/dp/B09VQ2J9BG/ref=sr_1_7?keywords=Dickie+Toys+-+1%3A43+Scale+Die-cast+Monster+Truck+Red&amp;qid=1695588758&amp;sr=8-7", "https://www.amazon.com/Monster-Jam-Official-Collector-Die-Cast/dp/B09VQ2J9BG/ref=sr_1_7?keywords=Dickie+Toys+-+1%3A43+Scale+Die-cast+Monster+Truck+Red&amp;qid=1695588758&amp;sr=8-7")</f>
        <v/>
      </c>
      <c r="F78" t="inlineStr">
        <is>
          <t>B09VQ2J9BG</t>
        </is>
      </c>
      <c r="G78">
        <f>_xlfn.IMAGE("https://images.toysrus.com/1285/4006333073762_1.jpg")</f>
        <v/>
      </c>
      <c r="H78">
        <f>_xlfn.IMAGE("https://m.media-amazon.com/images/I/81p7q6eg5mL._AC_UL320_.jpg")</f>
        <v/>
      </c>
      <c r="K78" t="inlineStr">
        <is>
          <t>6.99</t>
        </is>
      </c>
      <c r="L78" t="n">
        <v>28.12</v>
      </c>
      <c r="M78" s="2" t="inlineStr">
        <is>
          <t>302.29%</t>
        </is>
      </c>
      <c r="N78" t="n">
        <v>4.4</v>
      </c>
      <c r="O78" t="n">
        <v>68</v>
      </c>
      <c r="Q78" t="inlineStr">
        <is>
          <t>OutOfStock</t>
        </is>
      </c>
      <c r="R78" t="inlineStr">
        <is>
          <t>undefined</t>
        </is>
      </c>
      <c r="S78" t="inlineStr">
        <is>
          <t>G4006333073762</t>
        </is>
      </c>
    </row>
    <row r="79" ht="75" customHeight="1">
      <c r="A79" s="1">
        <f>HYPERLINK("https://www.toysrus.com/dickie-toys---143-scale-die-cast-monster-truck-red-G4006333073762.html", "https://www.toysrus.com/dickie-toys---143-scale-die-cast-monster-truck-red-G4006333073762.html")</f>
        <v/>
      </c>
      <c r="B79" s="1">
        <f>HYPERLINK("https://www.toysrus.com/dickie-toys---143-scale-die-cast-monster-truck-red-G4006333073762.html", "https://www.toysrus.com/dickie-toys---143-scale-die-cast-monster-truck-red-G4006333073762.html")</f>
        <v/>
      </c>
      <c r="C79" t="inlineStr">
        <is>
          <t>Dickie Toys - 1:43 Scale Die-cast Monster Truck Red</t>
        </is>
      </c>
      <c r="D79" t="inlineStr">
        <is>
          <t>Monster Jam, Official Grave Digger Retro Monster Truck, Collector Die-Cast Vehicle, 1:24 Scale, Kids Toys for Boys Ages 3 and up</t>
        </is>
      </c>
      <c r="E79" s="1">
        <f>HYPERLINK("https://www.amazon.com/Monster-Jam-Official-Collector-Die-Cast/dp/B09BFWN5JK/ref=sr_1_4?keywords=Dickie+Toys+-+1%3A43+Scale+Die-cast+Monster+Truck+Red&amp;qid=1695588758&amp;sr=8-4", "https://www.amazon.com/Monster-Jam-Official-Collector-Die-Cast/dp/B09BFWN5JK/ref=sr_1_4?keywords=Dickie+Toys+-+1%3A43+Scale+Die-cast+Monster+Truck+Red&amp;qid=1695588758&amp;sr=8-4")</f>
        <v/>
      </c>
      <c r="F79" t="inlineStr">
        <is>
          <t>B09BFWN5JK</t>
        </is>
      </c>
      <c r="G79">
        <f>_xlfn.IMAGE("https://images.toysrus.com/1285/4006333073762_1.jpg")</f>
        <v/>
      </c>
      <c r="H79">
        <f>_xlfn.IMAGE("https://m.media-amazon.com/images/I/814sxzEL4LL._AC_UL320_.jpg")</f>
        <v/>
      </c>
      <c r="K79" t="inlineStr">
        <is>
          <t>6.99</t>
        </is>
      </c>
      <c r="L79" t="n">
        <v>19.99</v>
      </c>
      <c r="M79" s="2" t="inlineStr">
        <is>
          <t>185.98%</t>
        </is>
      </c>
      <c r="N79" t="n">
        <v>4.7</v>
      </c>
      <c r="O79" t="n">
        <v>2132</v>
      </c>
      <c r="Q79" t="inlineStr">
        <is>
          <t>OutOfStock</t>
        </is>
      </c>
      <c r="R79" t="inlineStr">
        <is>
          <t>undefined</t>
        </is>
      </c>
      <c r="S79" t="inlineStr">
        <is>
          <t>G4006333073762</t>
        </is>
      </c>
    </row>
    <row r="80" ht="75" customHeight="1">
      <c r="A80" s="1">
        <f>HYPERLINK("https://www.toysrus.com/dickie-toys---fire-station-playset-G4006333037566.html", "https://www.toysrus.com/dickie-toys---fire-station-playset-G4006333037566.html")</f>
        <v/>
      </c>
      <c r="B80" s="1">
        <f>HYPERLINK("https://www.toysrus.com/dickie-toys---fire-station-playset-G4006333037566.html", "https://www.toysrus.com/dickie-toys---fire-station-playset-G4006333037566.html")</f>
        <v/>
      </c>
      <c r="C80" t="inlineStr">
        <is>
          <t>Dickie Toys - Fire Station Playset</t>
        </is>
      </c>
      <c r="D80" t="inlineStr">
        <is>
          <t>Fat Brain Toys Fire Station Playset</t>
        </is>
      </c>
      <c r="E80" s="1">
        <f>HYPERLINK("https://www.amazon.com/Fat-Brain-Toys-Station-Playset/dp/B076SNP6PV/ref=sr_1_5?keywords=Dickie+Toys+-+Fire+Station+Playset&amp;qid=1695588739&amp;sr=8-5", "https://www.amazon.com/Fat-Brain-Toys-Station-Playset/dp/B076SNP6PV/ref=sr_1_5?keywords=Dickie+Toys+-+Fire+Station+Playset&amp;qid=1695588739&amp;sr=8-5")</f>
        <v/>
      </c>
      <c r="F80" t="inlineStr">
        <is>
          <t>B076SNP6PV</t>
        </is>
      </c>
      <c r="G80">
        <f>_xlfn.IMAGE("https://images.toysrus.com/28598/4006333037566_1.jpg")</f>
        <v/>
      </c>
      <c r="H80">
        <f>_xlfn.IMAGE("https://m.media-amazon.com/images/I/71l8TU7gozL._AC_UL320_.jpg")</f>
        <v/>
      </c>
      <c r="K80" t="inlineStr">
        <is>
          <t>19.99</t>
        </is>
      </c>
      <c r="L80" t="n">
        <v>54.95</v>
      </c>
      <c r="M80" s="2" t="inlineStr">
        <is>
          <t>174.89%</t>
        </is>
      </c>
      <c r="N80" t="n">
        <v>4.5</v>
      </c>
      <c r="O80" t="n">
        <v>75</v>
      </c>
      <c r="Q80" t="inlineStr">
        <is>
          <t>InStock</t>
        </is>
      </c>
      <c r="R80" t="inlineStr">
        <is>
          <t>undefined</t>
        </is>
      </c>
      <c r="S80" t="inlineStr">
        <is>
          <t>G4006333037566</t>
        </is>
      </c>
    </row>
    <row r="81" ht="75" customHeight="1">
      <c r="A81" s="1">
        <f>HYPERLINK("https://www.toysrus.com/dickie-toys---fire-station-playset-G4006333037566.html", "https://www.toysrus.com/dickie-toys---fire-station-playset-G4006333037566.html")</f>
        <v/>
      </c>
      <c r="B81" s="1">
        <f>HYPERLINK("https://www.toysrus.com/dickie-toys---fire-station-playset-G4006333037566.html", "https://www.toysrus.com/dickie-toys---fire-station-playset-G4006333037566.html")</f>
        <v/>
      </c>
      <c r="C81" t="inlineStr">
        <is>
          <t>Dickie Toys - Fire Station Playset</t>
        </is>
      </c>
      <c r="D81" t="inlineStr">
        <is>
          <t>Fat Brain Toys Fire Station Playset</t>
        </is>
      </c>
      <c r="E81" s="1">
        <f>HYPERLINK("https://www.amazon.com/Fat-Brain-Toys-Station-Playset/dp/B076SNP6PV/ref=sr_1_5?keywords=Dickie+Toys+-+Fire+Station+Playset&amp;qid=1695588876&amp;sr=8-5", "https://www.amazon.com/Fat-Brain-Toys-Station-Playset/dp/B076SNP6PV/ref=sr_1_5?keywords=Dickie+Toys+-+Fire+Station+Playset&amp;qid=1695588876&amp;sr=8-5")</f>
        <v/>
      </c>
      <c r="F81" t="inlineStr">
        <is>
          <t>B076SNP6PV</t>
        </is>
      </c>
      <c r="G81">
        <f>_xlfn.IMAGE("https://images.toysrus.com/28598/4006333037566_1.jpg")</f>
        <v/>
      </c>
      <c r="H81">
        <f>_xlfn.IMAGE("https://m.media-amazon.com/images/I/71l8TU7gozL._AC_UL320_.jpg")</f>
        <v/>
      </c>
      <c r="K81" t="inlineStr">
        <is>
          <t>19.99</t>
        </is>
      </c>
      <c r="L81" t="n">
        <v>54.95</v>
      </c>
      <c r="M81" s="2" t="inlineStr">
        <is>
          <t>174.89%</t>
        </is>
      </c>
      <c r="N81" t="n">
        <v>4.5</v>
      </c>
      <c r="O81" t="n">
        <v>75</v>
      </c>
      <c r="Q81" t="inlineStr">
        <is>
          <t>InStock</t>
        </is>
      </c>
      <c r="R81" t="inlineStr">
        <is>
          <t>undefined</t>
        </is>
      </c>
      <c r="S81" t="inlineStr">
        <is>
          <t>G4006333037566</t>
        </is>
      </c>
    </row>
    <row r="82" ht="75" customHeight="1">
      <c r="A82" s="1">
        <f>HYPERLINK("https://www.toysrus.com/dickie-toys---light-and-sound-ford-police-interceptor-G4006333069581.html", "https://www.toysrus.com/dickie-toys---light-and-sound-ford-police-interceptor-G4006333069581.html")</f>
        <v/>
      </c>
      <c r="B82" s="1">
        <f>HYPERLINK("https://www.toysrus.com/dickie-toys---light-and-sound-ford-police-interceptor-G4006333069581.html", "https://www.toysrus.com/dickie-toys---light-and-sound-ford-police-interceptor-G4006333069581.html")</f>
        <v/>
      </c>
      <c r="C82" t="inlineStr">
        <is>
          <t>Dickie Toys - Light &amp; Sound Ford Police Interceptor</t>
        </is>
      </c>
      <c r="D82" t="inlineStr">
        <is>
          <t>DICKIE TOYS 203306017 Ford Interceptor Police SUV as Toy Car, 30 cm, with Freewheel, Flashing Light and Siren, for Children from 3 Years, Black/Grey</t>
        </is>
      </c>
      <c r="E82" s="1">
        <f>HYPERLINK("https://www.amazon.com/203306017-Interceptor-Freewheel-Flashing-Children/dp/B08YYHF6VQ/ref=sr_1_3?keywords=Dickie+Toys+-+Light+%26+Sound+Ford+Police+Interceptor&amp;qid=1695588719&amp;sr=8-3", "https://www.amazon.com/203306017-Interceptor-Freewheel-Flashing-Children/dp/B08YYHF6VQ/ref=sr_1_3?keywords=Dickie+Toys+-+Light+%26+Sound+Ford+Police+Interceptor&amp;qid=1695588719&amp;sr=8-3")</f>
        <v/>
      </c>
      <c r="F82" t="inlineStr">
        <is>
          <t>B08YYHF6VQ</t>
        </is>
      </c>
      <c r="G82">
        <f>_xlfn.IMAGE("https://images.toysrus.com/28598/4006333069581_1.jpg")</f>
        <v/>
      </c>
      <c r="H82">
        <f>_xlfn.IMAGE("https://m.media-amazon.com/images/I/51m+fOPVBqL._AC_UL320_.jpg")</f>
        <v/>
      </c>
      <c r="K82" t="inlineStr">
        <is>
          <t>16.99</t>
        </is>
      </c>
      <c r="L82" t="n">
        <v>75.26000000000001</v>
      </c>
      <c r="M82" s="2" t="inlineStr">
        <is>
          <t>342.97%</t>
        </is>
      </c>
      <c r="N82" t="n">
        <v>4.2</v>
      </c>
      <c r="O82" t="n">
        <v>3</v>
      </c>
      <c r="Q82" t="inlineStr">
        <is>
          <t>InStock</t>
        </is>
      </c>
      <c r="R82" t="inlineStr">
        <is>
          <t>undefined</t>
        </is>
      </c>
      <c r="S82" t="inlineStr">
        <is>
          <t>G4006333069581</t>
        </is>
      </c>
    </row>
    <row r="83" ht="75" customHeight="1">
      <c r="A83" s="1">
        <f>HYPERLINK("https://www.toysrus.com/dickie-toys---light-and-sound-viper-fire-truck-G4006333069598.html", "https://www.toysrus.com/dickie-toys---light-and-sound-viper-fire-truck-G4006333069598.html")</f>
        <v/>
      </c>
      <c r="B83" s="1">
        <f>HYPERLINK("https://www.toysrus.com/dickie-toys---light-and-sound-viper-fire-truck-G4006333069598.html", "https://www.toysrus.com/dickie-toys---light-and-sound-viper-fire-truck-G4006333069598.html")</f>
        <v/>
      </c>
      <c r="C83" t="inlineStr">
        <is>
          <t>Dickie Toys - Light &amp; Sound Viper Fire Truck</t>
        </is>
      </c>
      <c r="D83" t="inlineStr">
        <is>
          <t>Dickie Toys - 24" Light and Sound RC Fire Truck with Working Pump Red</t>
        </is>
      </c>
      <c r="E83" s="1">
        <f>HYPERLINK("https://www.amazon.com/Dickie-Toys-Light-Sound-Working/dp/B08RP7TY95/ref=sr_1_6?keywords=Dickie+Toys+-+Light&amp;qid=1695588751&amp;sr=8-6", "https://www.amazon.com/Dickie-Toys-Light-Sound-Working/dp/B08RP7TY95/ref=sr_1_6?keywords=Dickie+Toys+-+Light&amp;qid=1695588751&amp;sr=8-6")</f>
        <v/>
      </c>
      <c r="F83" t="inlineStr">
        <is>
          <t>B08RP7TY95</t>
        </is>
      </c>
      <c r="G83">
        <f>_xlfn.IMAGE("https://images.toysrus.com/1128598/4006333069598_1.jpg")</f>
        <v/>
      </c>
      <c r="H83">
        <f>_xlfn.IMAGE("https://m.media-amazon.com/images/I/71C-xAJHeRL._AC_UL320_.jpg")</f>
        <v/>
      </c>
      <c r="K83" t="inlineStr">
        <is>
          <t>16.99</t>
        </is>
      </c>
      <c r="L83" t="n">
        <v>58.39</v>
      </c>
      <c r="M83" s="2" t="inlineStr">
        <is>
          <t>243.67%</t>
        </is>
      </c>
      <c r="N83" t="n">
        <v>4</v>
      </c>
      <c r="O83" t="n">
        <v>26</v>
      </c>
      <c r="Q83" t="inlineStr">
        <is>
          <t>InStock</t>
        </is>
      </c>
      <c r="R83" t="inlineStr">
        <is>
          <t>undefined</t>
        </is>
      </c>
      <c r="S83" t="inlineStr">
        <is>
          <t>G4006333069598</t>
        </is>
      </c>
    </row>
    <row r="84" ht="75" customHeight="1">
      <c r="A84" s="1">
        <f>HYPERLINK("https://www.toysrus.com/dickie-toys---push-and-play-sos-ambulance-G4006333038327.html", "https://www.toysrus.com/dickie-toys---push-and-play-sos-ambulance-G4006333038327.html")</f>
        <v/>
      </c>
      <c r="B84" s="1">
        <f>HYPERLINK("https://www.toysrus.com/dickie-toys---push-and-play-sos-ambulance-G4006333038327.html", "https://www.toysrus.com/dickie-toys---push-and-play-sos-ambulance-G4006333038327.html")</f>
        <v/>
      </c>
      <c r="C84" t="inlineStr">
        <is>
          <t>Dickie Toys - Push and Play SOS Ambulance</t>
        </is>
      </c>
      <c r="D84" t="inlineStr">
        <is>
          <t>Dickie Toys Push and Play SOS Rescue Police Patrol Car</t>
        </is>
      </c>
      <c r="E84" s="1">
        <f>HYPERLINK("https://www.amazon.com/Dickie-Toys-Rescue-Police-Patrol/dp/B00U770YUM/ref=sr_1_1?keywords=Dickie+Toys+-+Push+and+Play+SOS+Ambulance&amp;qid=1695588349&amp;sr=8-1", "https://www.amazon.com/Dickie-Toys-Rescue-Police-Patrol/dp/B00U770YUM/ref=sr_1_1?keywords=Dickie+Toys+-+Push+and+Play+SOS+Ambulance&amp;qid=1695588349&amp;sr=8-1")</f>
        <v/>
      </c>
      <c r="F84" t="inlineStr">
        <is>
          <t>B00U770YUM</t>
        </is>
      </c>
      <c r="G84">
        <f>_xlfn.IMAGE("https://images.toysrus.com/1285/4006333038327_1.jpg")</f>
        <v/>
      </c>
      <c r="H84">
        <f>_xlfn.IMAGE("https://m.media-amazon.com/images/I/81KjsG7F1AS._AC_UL320_.jpg")</f>
        <v/>
      </c>
      <c r="K84" t="inlineStr">
        <is>
          <t>15.99</t>
        </is>
      </c>
      <c r="L84" t="n">
        <v>29.99</v>
      </c>
      <c r="M84" s="2" t="inlineStr">
        <is>
          <t>87.55%</t>
        </is>
      </c>
      <c r="N84" t="n">
        <v>4.1</v>
      </c>
      <c r="O84" t="n">
        <v>33</v>
      </c>
      <c r="Q84" t="inlineStr">
        <is>
          <t>InStock</t>
        </is>
      </c>
      <c r="R84" t="inlineStr">
        <is>
          <t>15.99</t>
        </is>
      </c>
      <c r="S84" t="inlineStr">
        <is>
          <t>G4006333038327</t>
        </is>
      </c>
    </row>
    <row r="85" ht="75" customHeight="1">
      <c r="A85" s="1">
        <f>HYPERLINK("https://www.toysrus.com/dickie-toys---push-and-play-sos-ambulance-G4006333038327.html", "https://www.toysrus.com/dickie-toys---push-and-play-sos-ambulance-G4006333038327.html")</f>
        <v/>
      </c>
      <c r="B85" s="1">
        <f>HYPERLINK("https://www.toysrus.com/dickie-toys---push-and-play-sos-ambulance-G4006333038327.html", "https://www.toysrus.com/dickie-toys---push-and-play-sos-ambulance-G4006333038327.html")</f>
        <v/>
      </c>
      <c r="C85" t="inlineStr">
        <is>
          <t>Dickie Toys - Push and Play SOS Ambulance</t>
        </is>
      </c>
      <c r="D85" t="inlineStr">
        <is>
          <t>Dickie Toys Push and Play SOS Rescue Police Patrol Car</t>
        </is>
      </c>
      <c r="E85" s="1">
        <f>HYPERLINK("https://www.amazon.com/Dickie-Toys-Rescue-Police-Patrol/dp/B00U770YUM/ref=sr_1_1?keywords=Dickie+Toys+-+Push+and+Play+SOS+Ambulance&amp;qid=1695588769&amp;sr=8-1", "https://www.amazon.com/Dickie-Toys-Rescue-Police-Patrol/dp/B00U770YUM/ref=sr_1_1?keywords=Dickie+Toys+-+Push+and+Play+SOS+Ambulance&amp;qid=1695588769&amp;sr=8-1")</f>
        <v/>
      </c>
      <c r="F85" t="inlineStr">
        <is>
          <t>B00U770YUM</t>
        </is>
      </c>
      <c r="G85">
        <f>_xlfn.IMAGE("https://images.toysrus.com/1285/4006333038327_1.jpg")</f>
        <v/>
      </c>
      <c r="H85">
        <f>_xlfn.IMAGE("https://m.media-amazon.com/images/I/81KjsG7F1AS._AC_UL320_.jpg")</f>
        <v/>
      </c>
      <c r="K85" t="inlineStr">
        <is>
          <t>15.99</t>
        </is>
      </c>
      <c r="L85" t="n">
        <v>29.99</v>
      </c>
      <c r="M85" s="2" t="inlineStr">
        <is>
          <t>87.55%</t>
        </is>
      </c>
      <c r="N85" t="n">
        <v>4.1</v>
      </c>
      <c r="O85" t="n">
        <v>33</v>
      </c>
      <c r="Q85" t="inlineStr">
        <is>
          <t>InStock</t>
        </is>
      </c>
      <c r="R85" t="inlineStr">
        <is>
          <t>15.99</t>
        </is>
      </c>
      <c r="S85" t="inlineStr">
        <is>
          <t>G4006333038327</t>
        </is>
      </c>
    </row>
    <row r="86" ht="75" customHeight="1">
      <c r="A86" s="1">
        <f>HYPERLINK("https://www.toysrus.com/dickie-toys---push-and-play-sos-police-patrol-car-G4006333041976.html", "https://www.toysrus.com/dickie-toys---push-and-play-sos-police-patrol-car-G4006333041976.html")</f>
        <v/>
      </c>
      <c r="B86" s="1">
        <f>HYPERLINK("https://www.toysrus.com/dickie-toys---push-and-play-sos-police-patrol-car-G4006333041976.html", "https://www.toysrus.com/dickie-toys---push-and-play-sos-police-patrol-car-G4006333041976.html")</f>
        <v/>
      </c>
      <c r="C86" t="inlineStr">
        <is>
          <t>Dickie Toys - Push and Play SOS Police Patrol Car</t>
        </is>
      </c>
      <c r="D86" t="inlineStr">
        <is>
          <t>Dickie Toys Push and Play SOS Rescue Police Patrol Car</t>
        </is>
      </c>
      <c r="E86" s="1">
        <f>HYPERLINK("https://www.amazon.com/Dickie-Toys-Rescue-Police-Patrol/dp/B00U770YUM/ref=sr_1_1?keywords=Dickie+Toys+-+Push+and+Play+SOS+Police+Patrol+Car&amp;qid=1695588424&amp;sr=8-1", "https://www.amazon.com/Dickie-Toys-Rescue-Police-Patrol/dp/B00U770YUM/ref=sr_1_1?keywords=Dickie+Toys+-+Push+and+Play+SOS+Police+Patrol+Car&amp;qid=1695588424&amp;sr=8-1")</f>
        <v/>
      </c>
      <c r="F86" t="inlineStr">
        <is>
          <t>B00U770YUM</t>
        </is>
      </c>
      <c r="G86">
        <f>_xlfn.IMAGE("https://images.toysrus.com/1285/4006333041976_1.jpg")</f>
        <v/>
      </c>
      <c r="H86">
        <f>_xlfn.IMAGE("https://m.media-amazon.com/images/I/81KjsG7F1AS._AC_UL320_.jpg")</f>
        <v/>
      </c>
      <c r="K86" t="inlineStr">
        <is>
          <t>9.99</t>
        </is>
      </c>
      <c r="L86" t="n">
        <v>29.99</v>
      </c>
      <c r="M86" s="2" t="inlineStr">
        <is>
          <t>200.20%</t>
        </is>
      </c>
      <c r="N86" t="n">
        <v>4.1</v>
      </c>
      <c r="O86" t="n">
        <v>33</v>
      </c>
      <c r="Q86" t="inlineStr">
        <is>
          <t>InStock</t>
        </is>
      </c>
      <c r="R86" t="inlineStr">
        <is>
          <t>undefined</t>
        </is>
      </c>
      <c r="S86" t="inlineStr">
        <is>
          <t>G4006333041976</t>
        </is>
      </c>
    </row>
    <row r="87" ht="75" customHeight="1">
      <c r="A87" s="1">
        <f>HYPERLINK("https://www.toysrus.com/dickie-toys---push-and-play-sos-police-patrol-car-G4006333041976.html", "https://www.toysrus.com/dickie-toys---push-and-play-sos-police-patrol-car-G4006333041976.html")</f>
        <v/>
      </c>
      <c r="B87" s="1">
        <f>HYPERLINK("https://www.toysrus.com/dickie-toys---push-and-play-sos-police-patrol-car-G4006333041976.html", "https://www.toysrus.com/dickie-toys---push-and-play-sos-police-patrol-car-G4006333041976.html")</f>
        <v/>
      </c>
      <c r="C87" t="inlineStr">
        <is>
          <t>Dickie Toys - Push and Play SOS Police Patrol Car</t>
        </is>
      </c>
      <c r="D87" t="inlineStr">
        <is>
          <t>Dickie Toys Push and Play SOS Rescue Police Patrol Car</t>
        </is>
      </c>
      <c r="E87" s="1">
        <f>HYPERLINK("https://www.amazon.com/Dickie-Toys-Rescue-Police-Patrol/dp/B00U770YUM/ref=sr_1_1?keywords=Dickie+Toys+-+Push+and+Play+SOS+Police+Patrol+Car&amp;qid=1695588777&amp;sr=8-1", "https://www.amazon.com/Dickie-Toys-Rescue-Police-Patrol/dp/B00U770YUM/ref=sr_1_1?keywords=Dickie+Toys+-+Push+and+Play+SOS+Police+Patrol+Car&amp;qid=1695588777&amp;sr=8-1")</f>
        <v/>
      </c>
      <c r="F87" t="inlineStr">
        <is>
          <t>B00U770YUM</t>
        </is>
      </c>
      <c r="G87">
        <f>_xlfn.IMAGE("https://images.toysrus.com/1285/4006333041976_1.jpg")</f>
        <v/>
      </c>
      <c r="H87">
        <f>_xlfn.IMAGE("https://m.media-amazon.com/images/I/81KjsG7F1AS._AC_UL320_.jpg")</f>
        <v/>
      </c>
      <c r="K87" t="inlineStr">
        <is>
          <t>9.99</t>
        </is>
      </c>
      <c r="L87" t="n">
        <v>29.99</v>
      </c>
      <c r="M87" s="2" t="inlineStr">
        <is>
          <t>200.20%</t>
        </is>
      </c>
      <c r="N87" t="n">
        <v>4.1</v>
      </c>
      <c r="O87" t="n">
        <v>33</v>
      </c>
      <c r="Q87" t="inlineStr">
        <is>
          <t>InStock</t>
        </is>
      </c>
      <c r="R87" t="inlineStr">
        <is>
          <t>undefined</t>
        </is>
      </c>
      <c r="S87" t="inlineStr">
        <is>
          <t>G4006333041976</t>
        </is>
      </c>
    </row>
    <row r="88" ht="75" customHeight="1">
      <c r="A88" s="1">
        <f>HYPERLINK("https://www.toysrus.com/dickie-toys---rescue-station-G4006333057427.html", "https://www.toysrus.com/dickie-toys---rescue-station-G4006333057427.html")</f>
        <v/>
      </c>
      <c r="B88" s="1">
        <f>HYPERLINK("https://www.toysrus.com/dickie-toys---rescue-station-G4006333057427.html", "https://www.toysrus.com/dickie-toys---rescue-station-G4006333057427.html")</f>
        <v/>
      </c>
      <c r="C88" t="inlineStr">
        <is>
          <t>Dickie Toys - Rescue Station</t>
        </is>
      </c>
      <c r="D88" t="inlineStr">
        <is>
          <t>DICKIE TOYS Light and Sound SOS Rescue Helicopter with Moving Rotor Blades, 25"</t>
        </is>
      </c>
      <c r="E88" s="1">
        <f>HYPERLINK("https://www.amazon.com/DICKIE-TOYS-Rescue-Helicopter-Moving/dp/B01D6KL1KS/ref=sr_1_5?keywords=Dickie+Toys+-+Rescue+Station&amp;qid=1695588732&amp;sr=8-5", "https://www.amazon.com/DICKIE-TOYS-Rescue-Helicopter-Moving/dp/B01D6KL1KS/ref=sr_1_5?keywords=Dickie+Toys+-+Rescue+Station&amp;qid=1695588732&amp;sr=8-5")</f>
        <v/>
      </c>
      <c r="F88" t="inlineStr">
        <is>
          <t>B01D6KL1KS</t>
        </is>
      </c>
      <c r="G88">
        <f>_xlfn.IMAGE("https://images.toysrus.com/28598/4006333057427_1.jpg")</f>
        <v/>
      </c>
      <c r="H88">
        <f>_xlfn.IMAGE("https://m.media-amazon.com/images/I/61zFfwjp2xL._AC_UL320_.jpg")</f>
        <v/>
      </c>
      <c r="K88" t="inlineStr">
        <is>
          <t>29.99</t>
        </is>
      </c>
      <c r="L88" t="n">
        <v>49.99</v>
      </c>
      <c r="M88" s="2" t="inlineStr">
        <is>
          <t>66.69%</t>
        </is>
      </c>
      <c r="N88" t="n">
        <v>4.4</v>
      </c>
      <c r="O88" t="n">
        <v>395</v>
      </c>
      <c r="Q88" t="inlineStr">
        <is>
          <t>InStock</t>
        </is>
      </c>
      <c r="R88" t="inlineStr">
        <is>
          <t>undefined</t>
        </is>
      </c>
      <c r="S88" t="inlineStr">
        <is>
          <t>G4006333057427</t>
        </is>
      </c>
    </row>
    <row r="89" ht="75" customHeight="1">
      <c r="A89" s="1">
        <f>HYPERLINK("https://www.toysrus.com/dickie-toys---rescue-station-G4006333057427.html", "https://www.toysrus.com/dickie-toys---rescue-station-G4006333057427.html")</f>
        <v/>
      </c>
      <c r="B89" s="1">
        <f>HYPERLINK("https://www.toysrus.com/dickie-toys---rescue-station-G4006333057427.html", "https://www.toysrus.com/dickie-toys---rescue-station-G4006333057427.html")</f>
        <v/>
      </c>
      <c r="C89" t="inlineStr">
        <is>
          <t>Dickie Toys - Rescue Station</t>
        </is>
      </c>
      <c r="D89" t="inlineStr">
        <is>
          <t>DICKIE TOYS Light and Sound SOS Rescue Helicopter with Moving Rotor Blades, 25"</t>
        </is>
      </c>
      <c r="E89" s="1">
        <f>HYPERLINK("https://www.amazon.com/DICKIE-TOYS-Rescue-Helicopter-Moving/dp/B01D6KL1KS/ref=sr_1_5?keywords=Dickie+Toys+-+Rescue+Station&amp;qid=1695588865&amp;sr=8-5", "https://www.amazon.com/DICKIE-TOYS-Rescue-Helicopter-Moving/dp/B01D6KL1KS/ref=sr_1_5?keywords=Dickie+Toys+-+Rescue+Station&amp;qid=1695588865&amp;sr=8-5")</f>
        <v/>
      </c>
      <c r="F89" t="inlineStr">
        <is>
          <t>B01D6KL1KS</t>
        </is>
      </c>
      <c r="G89">
        <f>_xlfn.IMAGE("https://images.toysrus.com/28598/4006333057427_1.jpg")</f>
        <v/>
      </c>
      <c r="H89">
        <f>_xlfn.IMAGE("https://m.media-amazon.com/images/I/61zFfwjp2xL._AC_UL320_.jpg")</f>
        <v/>
      </c>
      <c r="K89" t="inlineStr">
        <is>
          <t>29.99</t>
        </is>
      </c>
      <c r="L89" t="n">
        <v>49.99</v>
      </c>
      <c r="M89" s="2" t="inlineStr">
        <is>
          <t>66.69%</t>
        </is>
      </c>
      <c r="N89" t="n">
        <v>4.4</v>
      </c>
      <c r="O89" t="n">
        <v>395</v>
      </c>
      <c r="Q89" t="inlineStr">
        <is>
          <t>InStock</t>
        </is>
      </c>
      <c r="R89" t="inlineStr">
        <is>
          <t>undefined</t>
        </is>
      </c>
      <c r="S89" t="inlineStr">
        <is>
          <t>G4006333057427</t>
        </is>
      </c>
    </row>
    <row r="90" ht="75" customHeight="1">
      <c r="A90" s="1">
        <f>HYPERLINK("https://www.toysrus.com/dickie-toys---transporter-set-with-5-die-cast-cars-G4006333058868.html", "https://www.toysrus.com/dickie-toys---transporter-set-with-5-die-cast-cars-G4006333058868.html")</f>
        <v/>
      </c>
      <c r="B90" s="1">
        <f>HYPERLINK("https://www.toysrus.com/dickie-toys---transporter-set-with-5-die-cast-cars-G4006333058868.html", "https://www.toysrus.com/dickie-toys---transporter-set-with-5-die-cast-cars-G4006333058868.html")</f>
        <v/>
      </c>
      <c r="C90" t="inlineStr">
        <is>
          <t>Dickie Toys - Transporter Set With 5 Die-Cast Cars</t>
        </is>
      </c>
      <c r="D90" t="inlineStr">
        <is>
          <t>Construction Toys Truck Die-cast Vehicle Transporter Car Set Cement Mixer Excavator Dump Truck Digger Backhoe or Boys Kids 3 4 5 Years Old</t>
        </is>
      </c>
      <c r="E90" s="1">
        <f>HYPERLINK("https://www.amazon.com/Crelloci-Construction-Die-cast-Transporter-Excavator/dp/B0B14R6NJ1/ref=sr_1_2?keywords=Dickie+Toys+-+Transporter+Set+With+5+Die-Cast+Cars&amp;qid=1695588726&amp;sr=8-2", "https://www.amazon.com/Crelloci-Construction-Die-cast-Transporter-Excavator/dp/B0B14R6NJ1/ref=sr_1_2?keywords=Dickie+Toys+-+Transporter+Set+With+5+Die-Cast+Cars&amp;qid=1695588726&amp;sr=8-2")</f>
        <v/>
      </c>
      <c r="F90" t="inlineStr">
        <is>
          <t>B0B14R6NJ1</t>
        </is>
      </c>
      <c r="G90">
        <f>_xlfn.IMAGE("https://images.toysrus.com/1128598/4006333058868_1.jpg")</f>
        <v/>
      </c>
      <c r="H90">
        <f>_xlfn.IMAGE("https://m.media-amazon.com/images/I/71KexMgBQrL._AC_UL320_.jpg")</f>
        <v/>
      </c>
      <c r="K90" t="inlineStr">
        <is>
          <t>14.99</t>
        </is>
      </c>
      <c r="L90" t="n">
        <v>24.99</v>
      </c>
      <c r="M90" s="2" t="inlineStr">
        <is>
          <t>66.71%</t>
        </is>
      </c>
      <c r="N90" t="n">
        <v>3.8</v>
      </c>
      <c r="O90" t="n">
        <v>50</v>
      </c>
      <c r="Q90" t="inlineStr">
        <is>
          <t>InStock</t>
        </is>
      </c>
      <c r="R90" t="inlineStr">
        <is>
          <t>undefined</t>
        </is>
      </c>
      <c r="S90" t="inlineStr">
        <is>
          <t>G4006333058868</t>
        </is>
      </c>
    </row>
    <row r="91" ht="75" customHeight="1">
      <c r="A91" s="1">
        <f>HYPERLINK("https://www.toysrus.com/dino-cody-15350197.html", "https://www.toysrus.com/dino-cody-15350197.html")</f>
        <v/>
      </c>
      <c r="B91" s="1">
        <f>HYPERLINK("https://www.toysrus.com/dino-cody-15350197.html", "https://www.toysrus.com/dino-cody-15350197.html")</f>
        <v/>
      </c>
      <c r="C91" t="inlineStr">
        <is>
          <t>Dino Cody</t>
        </is>
      </c>
      <c r="D91" t="inlineStr">
        <is>
          <t>CoComelon - Splish Splash Cody Doll with Dino Bath Squirter and Water Accessories - Water Play - Toys for Kids and Preschoolers - Amazon Exclusive</t>
        </is>
      </c>
      <c r="E91" s="1">
        <f>HYPERLINK("https://www.amazon.com/CoComelon-Large-Doll-Style-1/dp/B0BQKJP27Q/ref=sr_1_2?keywords=Dino+Cody&amp;qid=1695588909&amp;sr=8-2", "https://www.amazon.com/CoComelon-Large-Doll-Style-1/dp/B0BQKJP27Q/ref=sr_1_2?keywords=Dino+Cody&amp;qid=1695588909&amp;sr=8-2")</f>
        <v/>
      </c>
      <c r="F91" t="inlineStr">
        <is>
          <t>B0BQKJP27Q</t>
        </is>
      </c>
      <c r="G91">
        <f>_xlfn.IMAGE("http://slimages.macys.com/is/image/MCY/products/0/optimized/23536854_fpx.tif")</f>
        <v/>
      </c>
      <c r="H91">
        <f>_xlfn.IMAGE("https://m.media-amazon.com/images/I/71GvsylJcSL._AC_UL320_.jpg")</f>
        <v/>
      </c>
      <c r="K91" t="inlineStr">
        <is>
          <t>12.99</t>
        </is>
      </c>
      <c r="L91" t="n">
        <v>21.99</v>
      </c>
      <c r="M91" s="2" t="inlineStr">
        <is>
          <t>69.28%</t>
        </is>
      </c>
      <c r="N91" t="n">
        <v>5</v>
      </c>
      <c r="O91" t="n">
        <v>1</v>
      </c>
      <c r="Q91" t="inlineStr">
        <is>
          <t>InStock</t>
        </is>
      </c>
      <c r="R91" t="inlineStr">
        <is>
          <t>undefined</t>
        </is>
      </c>
      <c r="S91" t="inlineStr">
        <is>
          <t>15350197</t>
        </is>
      </c>
    </row>
    <row r="92" ht="75" customHeight="1">
      <c r="A92" s="1">
        <f>HYPERLINK("https://www.toysrus.com/dino-cody-15350197.html", "https://www.toysrus.com/dino-cody-15350197.html")</f>
        <v/>
      </c>
      <c r="B92" s="1">
        <f>HYPERLINK("https://www.toysrus.com/dino-cody-15350197.html", "https://www.toysrus.com/dino-cody-15350197.html")</f>
        <v/>
      </c>
      <c r="C92" t="inlineStr">
        <is>
          <t>Dino Cody</t>
        </is>
      </c>
      <c r="D92" t="inlineStr">
        <is>
          <t>CoComelon 8-Inch Dino Cody Little Plush - Dinosaur Themed - Inspired by Their Favourite Show - Toys for Preschoolers</t>
        </is>
      </c>
      <c r="E92" s="1">
        <f>HYPERLINK("https://www.amazon.com/CoComelon-JWC0330-Little-Plush-Green/dp/B0BH9C6Z37/ref=sr_1_1?keywords=Dino+Cody&amp;qid=1695588909&amp;sr=8-1", "https://www.amazon.com/CoComelon-JWC0330-Little-Plush-Green/dp/B0BH9C6Z37/ref=sr_1_1?keywords=Dino+Cody&amp;qid=1695588909&amp;sr=8-1")</f>
        <v/>
      </c>
      <c r="F92" t="inlineStr">
        <is>
          <t>B0BH9C6Z37</t>
        </is>
      </c>
      <c r="G92">
        <f>_xlfn.IMAGE("http://slimages.macys.com/is/image/MCY/products/0/optimized/23536854_fpx.tif")</f>
        <v/>
      </c>
      <c r="H92">
        <f>_xlfn.IMAGE("https://m.media-amazon.com/images/I/71c0btNyzML._AC_UL320_.jpg")</f>
        <v/>
      </c>
      <c r="K92" t="inlineStr">
        <is>
          <t>12.99</t>
        </is>
      </c>
      <c r="L92" t="n">
        <v>21.59</v>
      </c>
      <c r="M92" s="2" t="inlineStr">
        <is>
          <t>66.20%</t>
        </is>
      </c>
      <c r="N92" t="n">
        <v>4.7</v>
      </c>
      <c r="O92" t="n">
        <v>123</v>
      </c>
      <c r="Q92" t="inlineStr">
        <is>
          <t>InStock</t>
        </is>
      </c>
      <c r="R92" t="inlineStr">
        <is>
          <t>undefined</t>
        </is>
      </c>
      <c r="S92" t="inlineStr">
        <is>
          <t>15350197</t>
        </is>
      </c>
    </row>
    <row r="93" ht="75" customHeight="1">
      <c r="A93" s="1">
        <f>HYPERLINK("https://www.toysrus.com/dominion-intrigue-2nd-edition-board-game-expansion-G655132005326.html", "https://www.toysrus.com/dominion-intrigue-2nd-edition-board-game-expansion-G655132005326.html")</f>
        <v/>
      </c>
      <c r="B93" s="1">
        <f>HYPERLINK("https://www.toysrus.com/dominion-intrigue-2nd-edition-board-game-expansion-G655132005326.html", "https://www.toysrus.com/dominion-intrigue-2nd-edition-board-game-expansion-G655132005326.html")</f>
        <v/>
      </c>
      <c r="C93" t="inlineStr">
        <is>
          <t>Dominion: Intrigue 2nd Edition Board Game Expansion</t>
        </is>
      </c>
      <c r="D93" t="inlineStr">
        <is>
          <t>Rio Grande Games: Dominion Big Box 2nd Edition: Strategy Board Game, Comes with Extra Base Cards for 5-6 Players, Compatible with all Dominion Expansions</t>
        </is>
      </c>
      <c r="E93" s="1">
        <f>HYPERLINK("https://www.amazon.com/Rio-Grande-Games-Compatible-Expansions/dp/B01MA5AJY9/ref=sr_1_4?keywords=Dominion%3A+Intrigue+2nd+Edition+Board+Game+Expansion&amp;qid=1695588219&amp;sr=8-4", "https://www.amazon.com/Rio-Grande-Games-Compatible-Expansions/dp/B01MA5AJY9/ref=sr_1_4?keywords=Dominion%3A+Intrigue+2nd+Edition+Board+Game+Expansion&amp;qid=1695588219&amp;sr=8-4")</f>
        <v/>
      </c>
      <c r="F93" t="inlineStr">
        <is>
          <t>B01MA5AJY9</t>
        </is>
      </c>
      <c r="G93">
        <f>_xlfn.IMAGE("https://images.toysrus.com/1285980/655132005326_1.jpg")</f>
        <v/>
      </c>
      <c r="H93">
        <f>_xlfn.IMAGE("https://m.media-amazon.com/images/I/81pQ76xmsHS._AC_UL320_.jpg")</f>
        <v/>
      </c>
      <c r="K93" t="inlineStr">
        <is>
          <t>39.99</t>
        </is>
      </c>
      <c r="L93" t="n">
        <v>74.59</v>
      </c>
      <c r="M93" s="2" t="inlineStr">
        <is>
          <t>86.52%</t>
        </is>
      </c>
      <c r="N93" t="n">
        <v>4.8</v>
      </c>
      <c r="O93" t="n">
        <v>1766</v>
      </c>
      <c r="Q93" t="inlineStr">
        <is>
          <t>InStock</t>
        </is>
      </c>
      <c r="R93" t="inlineStr">
        <is>
          <t>undefined</t>
        </is>
      </c>
      <c r="S93" t="inlineStr">
        <is>
          <t>G655132005326</t>
        </is>
      </c>
    </row>
    <row r="94" ht="75" customHeight="1">
      <c r="A94" s="1">
        <f>HYPERLINK("https://www.toysrus.com/dominion-seaside-2nd-edition-expansion-board-game-G0655132006217.html", "https://www.toysrus.com/dominion-seaside-2nd-edition-expansion-board-game-G0655132006217.html")</f>
        <v/>
      </c>
      <c r="B94" s="1">
        <f>HYPERLINK("https://www.toysrus.com/dominion-seaside-2nd-edition-expansion-board-game-G0655132006217.html", "https://www.toysrus.com/dominion-seaside-2nd-edition-expansion-board-game-G0655132006217.html")</f>
        <v/>
      </c>
      <c r="C94" t="inlineStr">
        <is>
          <t>Dominion: Seaside 2nd Edition Expansion Board Game</t>
        </is>
      </c>
      <c r="D94" t="inlineStr">
        <is>
          <t>Rio Grande Games: Dominion Big Box 2nd Edition: Strategy Board Game, Comes with Extra Base Cards for 5-6 Players, Compatible with all Dominion Expansions</t>
        </is>
      </c>
      <c r="E94" s="1">
        <f>HYPERLINK("https://www.amazon.com/Rio-Grande-Games-Compatible-Expansions/dp/B01MA5AJY9/ref=sr_1_9?keywords=Dominion%3A+Seaside+2nd+Edition+Expansion+Board+Game&amp;qid=1695588335&amp;sr=8-9", "https://www.amazon.com/Rio-Grande-Games-Compatible-Expansions/dp/B01MA5AJY9/ref=sr_1_9?keywords=Dominion%3A+Seaside+2nd+Edition+Expansion+Board+Game&amp;qid=1695588335&amp;sr=8-9")</f>
        <v/>
      </c>
      <c r="F94" t="inlineStr">
        <is>
          <t>B01MA5AJY9</t>
        </is>
      </c>
      <c r="G94">
        <f>_xlfn.IMAGE("https://images.toysrus.com/1285980/655132006217_1.jpg")</f>
        <v/>
      </c>
      <c r="H94">
        <f>_xlfn.IMAGE("https://m.media-amazon.com/images/I/81pQ76xmsHS._AC_UL320_.jpg")</f>
        <v/>
      </c>
      <c r="K94" t="inlineStr">
        <is>
          <t>39.95</t>
        </is>
      </c>
      <c r="L94" t="n">
        <v>74.59</v>
      </c>
      <c r="M94" s="2" t="inlineStr">
        <is>
          <t>86.71%</t>
        </is>
      </c>
      <c r="N94" t="n">
        <v>4.8</v>
      </c>
      <c r="O94" t="n">
        <v>1766</v>
      </c>
      <c r="Q94" t="inlineStr">
        <is>
          <t>InStock</t>
        </is>
      </c>
      <c r="R94" t="inlineStr">
        <is>
          <t>undefined</t>
        </is>
      </c>
      <c r="S94" t="inlineStr">
        <is>
          <t>G0655132006217</t>
        </is>
      </c>
    </row>
    <row r="95" ht="75" customHeight="1">
      <c r="A95" s="1">
        <f>HYPERLINK("https://www.toysrus.com/draftosaurus-aerial-show-expansion-G3760008429605.html", "https://www.toysrus.com/draftosaurus-aerial-show-expansion-G3760008429605.html")</f>
        <v/>
      </c>
      <c r="B95" s="1">
        <f>HYPERLINK("https://www.toysrus.com/draftosaurus-aerial-show-expansion-G3760008429605.html", "https://www.toysrus.com/draftosaurus-aerial-show-expansion-G3760008429605.html")</f>
        <v/>
      </c>
      <c r="C95" t="inlineStr">
        <is>
          <t>Draftosaurus: Aerial Show Expansion</t>
        </is>
      </c>
      <c r="D95" t="inlineStr">
        <is>
          <t>Draftosaurus, Marina and Aerial Show Expansion Board Game Bundle with Mr Dice Drawstring Bag - 4 Items Bundle</t>
        </is>
      </c>
      <c r="E95" s="1">
        <f>HYPERLINK("https://www.amazon.com/Draftosaurus-Marina-Aerial-Expansion-Drawstring/dp/B0B3NHMMXK/ref=sr_1_2?keywords=Draftosaurus%3A+Aerial+Show+Expansion&amp;qid=1695588311&amp;sr=8-2", "https://www.amazon.com/Draftosaurus-Marina-Aerial-Expansion-Drawstring/dp/B0B3NHMMXK/ref=sr_1_2?keywords=Draftosaurus%3A+Aerial+Show+Expansion&amp;qid=1695588311&amp;sr=8-2")</f>
        <v/>
      </c>
      <c r="F95" t="inlineStr">
        <is>
          <t>B0B3NHMMXK</t>
        </is>
      </c>
      <c r="G95">
        <f>_xlfn.IMAGE("https://images.toysrus.com/28598/3760008429605_1.jpg")</f>
        <v/>
      </c>
      <c r="H95">
        <f>_xlfn.IMAGE("https://m.media-amazon.com/images/I/81PCc5U8sNL._AC_UL320_.jpg")</f>
        <v/>
      </c>
      <c r="K95" t="inlineStr">
        <is>
          <t>14.99</t>
        </is>
      </c>
      <c r="L95" t="n">
        <v>65.98999999999999</v>
      </c>
      <c r="M95" s="2" t="inlineStr">
        <is>
          <t>340.23%</t>
        </is>
      </c>
      <c r="N95" t="n">
        <v>5</v>
      </c>
      <c r="O95" t="n">
        <v>3</v>
      </c>
      <c r="Q95" t="inlineStr">
        <is>
          <t>InStock</t>
        </is>
      </c>
      <c r="R95" t="inlineStr">
        <is>
          <t>undefined</t>
        </is>
      </c>
      <c r="S95" t="inlineStr">
        <is>
          <t>G3760008429605</t>
        </is>
      </c>
    </row>
    <row r="96" ht="75" customHeight="1">
      <c r="A96" s="1">
        <f>HYPERLINK("https://www.toysrus.com/drift-king-customizable-led-car---2.4-ghz-1---16-scale-remote-control-car-14471466.html", "https://www.toysrus.com/drift-king-customizable-led-car---2.4-ghz-1---16-scale-remote-control-car-14471466.html")</f>
        <v/>
      </c>
      <c r="B96" s="1">
        <f>HYPERLINK("https://www.toysrus.com/drift-king-customizable-led-car---2.4-ghz-1---16-scale-remote-control-car-14471466.html", "https://www.toysrus.com/drift-king-customizable-led-car---2.4-ghz-1---16-scale-remote-control-car-14471466.html")</f>
        <v/>
      </c>
      <c r="C96" t="inlineStr">
        <is>
          <t>Drift King Customizable LED Car - 2.4 Ghz 1 - 16 Scale Remote Control Car</t>
        </is>
      </c>
      <c r="D96" t="inlineStr">
        <is>
          <t>Sakeye RC Drift Car 2.4GHz 1:16 Scale 4WD High Speed Remote Control Cars Vehicle with LED Lights Two Batteries and Drifting Tires Racing Sport Toy Cars for Adults Boys Girls Kids Gift</t>
        </is>
      </c>
      <c r="E96" s="1">
        <f>HYPERLINK("https://www.amazon.com/Sakeye-Drift-Car-2-4GHz-Batteries/dp/B0B6PQ1FDJ/ref=sr_1_3?keywords=Drift+King+Customizable+LED+Car+-+2.4+Ghz+1+-+16+Scale+Remote+Control+Car&amp;qid=1695588710&amp;sr=8-3", "https://www.amazon.com/Sakeye-Drift-Car-2-4GHz-Batteries/dp/B0B6PQ1FDJ/ref=sr_1_3?keywords=Drift+King+Customizable+LED+Car+-+2.4+Ghz+1+-+16+Scale+Remote+Control+Car&amp;qid=1695588710&amp;sr=8-3")</f>
        <v/>
      </c>
      <c r="F96" t="inlineStr">
        <is>
          <t>B0B6PQ1FDJ</t>
        </is>
      </c>
      <c r="G96">
        <f>_xlfn.IMAGE("http://slimages.macys.com/is/image/MCY/products/0/optimized/22701835_fpx.tif")</f>
        <v/>
      </c>
      <c r="H96">
        <f>_xlfn.IMAGE("https://m.media-amazon.com/images/I/71NcmUde6EL._AC_UL320_.jpg")</f>
        <v/>
      </c>
      <c r="K96" t="inlineStr">
        <is>
          <t>14.93</t>
        </is>
      </c>
      <c r="L96" t="n">
        <v>49.99</v>
      </c>
      <c r="M96" s="2" t="inlineStr">
        <is>
          <t>234.83%</t>
        </is>
      </c>
      <c r="N96" t="n">
        <v>4.1</v>
      </c>
      <c r="O96" t="n">
        <v>51</v>
      </c>
      <c r="Q96" t="inlineStr">
        <is>
          <t>InStock</t>
        </is>
      </c>
      <c r="R96" t="inlineStr">
        <is>
          <t>undefined</t>
        </is>
      </c>
      <c r="S96" t="inlineStr">
        <is>
          <t>14471466</t>
        </is>
      </c>
    </row>
    <row r="97" ht="75" customHeight="1">
      <c r="A97" s="1">
        <f>HYPERLINK("https://www.toysrus.com/drift-king-customizable-led-car---2.4-ghz-1---16-scale-remote-control-car-14471466.html", "https://www.toysrus.com/drift-king-customizable-led-car---2.4-ghz-1---16-scale-remote-control-car-14471466.html")</f>
        <v/>
      </c>
      <c r="B97" s="1">
        <f>HYPERLINK("https://www.toysrus.com/drift-king-customizable-led-car---2.4-ghz-1---16-scale-remote-control-car-14471466.html", "https://www.toysrus.com/drift-king-customizable-led-car---2.4-ghz-1---16-scale-remote-control-car-14471466.html")</f>
        <v/>
      </c>
      <c r="C97" t="inlineStr">
        <is>
          <t>Drift King Customizable LED Car - 2.4 Ghz 1 - 16 Scale Remote Control Car</t>
        </is>
      </c>
      <c r="D97" t="inlineStr">
        <is>
          <t>Remote Control Car RC Drift Car 1:16 Scale 4WD 18KM/H High Speed Model Vehicle 2.4GHz with LED Lights Spray Rubber Tire Racing Sport Toy Car for Adults Boys Girls Kids Gift 2Pcs Rechargeable Batteries</t>
        </is>
      </c>
      <c r="E97" s="1">
        <f>HYPERLINK("https://www.amazon.com/Remote-Control-Car-Drift-Rechargeable/dp/B0B4FSBM3J/ref=sr_1_5?keywords=Drift+King+Customizable+LED+Car+-+2.4+Ghz+1+-+16+Scale+Remote+Control+Car&amp;qid=1695588710&amp;sr=8-5", "https://www.amazon.com/Remote-Control-Car-Drift-Rechargeable/dp/B0B4FSBM3J/ref=sr_1_5?keywords=Drift+King+Customizable+LED+Car+-+2.4+Ghz+1+-+16+Scale+Remote+Control+Car&amp;qid=1695588710&amp;sr=8-5")</f>
        <v/>
      </c>
      <c r="F97" t="inlineStr">
        <is>
          <t>B0B4FSBM3J</t>
        </is>
      </c>
      <c r="G97">
        <f>_xlfn.IMAGE("http://slimages.macys.com/is/image/MCY/products/0/optimized/22701835_fpx.tif")</f>
        <v/>
      </c>
      <c r="H97">
        <f>_xlfn.IMAGE("https://m.media-amazon.com/images/I/71W-l-pNG7L._AC_UL320_.jpg")</f>
        <v/>
      </c>
      <c r="K97" t="inlineStr">
        <is>
          <t>14.93</t>
        </is>
      </c>
      <c r="L97" t="n">
        <v>49.99</v>
      </c>
      <c r="M97" s="2" t="inlineStr">
        <is>
          <t>234.83%</t>
        </is>
      </c>
      <c r="N97" t="n">
        <v>3.9</v>
      </c>
      <c r="O97" t="n">
        <v>105</v>
      </c>
      <c r="Q97" t="inlineStr">
        <is>
          <t>InStock</t>
        </is>
      </c>
      <c r="R97" t="inlineStr">
        <is>
          <t>undefined</t>
        </is>
      </c>
      <c r="S97" t="inlineStr">
        <is>
          <t>14471466</t>
        </is>
      </c>
    </row>
    <row r="98" ht="75" customHeight="1">
      <c r="A98" s="1">
        <f>HYPERLINK("https://www.toysrus.com/drift-king-customizable-led-car---2.4-ghz-1---16-scale-remote-control-car-14471466.html", "https://www.toysrus.com/drift-king-customizable-led-car---2.4-ghz-1---16-scale-remote-control-car-14471466.html")</f>
        <v/>
      </c>
      <c r="B98" s="1">
        <f>HYPERLINK("https://www.toysrus.com/drift-king-customizable-led-car---2.4-ghz-1---16-scale-remote-control-car-14471466.html", "https://www.toysrus.com/drift-king-customizable-led-car---2.4-ghz-1---16-scale-remote-control-car-14471466.html")</f>
        <v/>
      </c>
      <c r="C98" t="inlineStr">
        <is>
          <t>Drift King Customizable LED Car - 2.4 Ghz 1 - 16 Scale Remote Control Car</t>
        </is>
      </c>
      <c r="D98" t="inlineStr">
        <is>
          <t>Remote Control Car RC Drift Car 1:16 Scale 4WD RC Car with LED Lights 2.4GHz 28km/h Hard Shell RTR High Speed Drift Racing Sport Toy Car for Adults Boys Girls Kids Gift 2Pcs Rechargeable Batteries</t>
        </is>
      </c>
      <c r="E98" s="1">
        <f>HYPERLINK("https://www.amazon.com/Desdoni-Drift-Car-Rechargeable-Batteries/dp/B0BKG5RFBD/ref=sr_1_4?keywords=Drift+King+Customizable+LED+Car+-+2.4+Ghz+1+-+16+Scale+Remote+Control+Car&amp;qid=1695588710&amp;sr=8-4", "https://www.amazon.com/Desdoni-Drift-Car-Rechargeable-Batteries/dp/B0BKG5RFBD/ref=sr_1_4?keywords=Drift+King+Customizable+LED+Car+-+2.4+Ghz+1+-+16+Scale+Remote+Control+Car&amp;qid=1695588710&amp;sr=8-4")</f>
        <v/>
      </c>
      <c r="F98" t="inlineStr">
        <is>
          <t>B0BKG5RFBD</t>
        </is>
      </c>
      <c r="G98">
        <f>_xlfn.IMAGE("http://slimages.macys.com/is/image/MCY/products/0/optimized/22701835_fpx.tif")</f>
        <v/>
      </c>
      <c r="H98">
        <f>_xlfn.IMAGE("https://m.media-amazon.com/images/I/71+SPslJ8BL._AC_UL320_.jpg")</f>
        <v/>
      </c>
      <c r="K98" t="inlineStr">
        <is>
          <t>14.93</t>
        </is>
      </c>
      <c r="L98" t="n">
        <v>42.99</v>
      </c>
      <c r="M98" s="2" t="inlineStr">
        <is>
          <t>187.94%</t>
        </is>
      </c>
      <c r="N98" t="n">
        <v>4</v>
      </c>
      <c r="O98" t="n">
        <v>62</v>
      </c>
      <c r="Q98" t="inlineStr">
        <is>
          <t>InStock</t>
        </is>
      </c>
      <c r="R98" t="inlineStr">
        <is>
          <t>undefined</t>
        </is>
      </c>
      <c r="S98" t="inlineStr">
        <is>
          <t>14471466</t>
        </is>
      </c>
    </row>
    <row r="99" ht="75" customHeight="1">
      <c r="A99" s="1">
        <f>HYPERLINK("https://www.toysrus.com/drift-king-customizable-led-car---2.4-ghz-1---16-scale-remote-control-car-14471466.html", "https://www.toysrus.com/drift-king-customizable-led-car---2.4-ghz-1---16-scale-remote-control-car-14471466.html")</f>
        <v/>
      </c>
      <c r="B99" s="1">
        <f>HYPERLINK("https://www.toysrus.com/drift-king-customizable-led-car---2.4-ghz-1---16-scale-remote-control-car-14471466.html", "https://www.toysrus.com/drift-king-customizable-led-car---2.4-ghz-1---16-scale-remote-control-car-14471466.html")</f>
        <v/>
      </c>
      <c r="C99" t="inlineStr">
        <is>
          <t>Drift King Customizable LED Car - 2.4 Ghz 1 - 16 Scale Remote Control Car</t>
        </is>
      </c>
      <c r="D99" t="inlineStr">
        <is>
          <t>Buggys Toys Drift King Remote Control Car RC Racing Cars, 2.4 Ghz High Speed Fast 360° Spin RC Stunt Drift Car with LED Lights, Vehicle Toy Cars for Kids Age 6 7 8-12 Boys &amp; Girls Birthday Gifts</t>
        </is>
      </c>
      <c r="E99" s="1">
        <f>HYPERLINK("https://www.amazon.com/Buggys-Toys-Control-Vehicle-Birthday/dp/B0C7BH1VDJ/ref=sr_1_7?keywords=Drift+King+Customizable+LED+Car+-+2.4+Ghz+1+-+16+Scale+Remote+Control+Car&amp;qid=1695588710&amp;sr=8-7", "https://www.amazon.com/Buggys-Toys-Control-Vehicle-Birthday/dp/B0C7BH1VDJ/ref=sr_1_7?keywords=Drift+King+Customizable+LED+Car+-+2.4+Ghz+1+-+16+Scale+Remote+Control+Car&amp;qid=1695588710&amp;sr=8-7")</f>
        <v/>
      </c>
      <c r="F99" t="inlineStr">
        <is>
          <t>B0C7BH1VDJ</t>
        </is>
      </c>
      <c r="G99">
        <f>_xlfn.IMAGE("http://slimages.macys.com/is/image/MCY/products/0/optimized/22701835_fpx.tif")</f>
        <v/>
      </c>
      <c r="H99">
        <f>_xlfn.IMAGE("https://m.media-amazon.com/images/I/81LaHPT8oLL._AC_UL320_.jpg")</f>
        <v/>
      </c>
      <c r="K99" t="inlineStr">
        <is>
          <t>14.93</t>
        </is>
      </c>
      <c r="L99" t="n">
        <v>29.99</v>
      </c>
      <c r="M99" s="2" t="inlineStr">
        <is>
          <t>100.87%</t>
        </is>
      </c>
      <c r="N99" t="n">
        <v>4.4</v>
      </c>
      <c r="O99" t="n">
        <v>20</v>
      </c>
      <c r="Q99" t="inlineStr">
        <is>
          <t>InStock</t>
        </is>
      </c>
      <c r="R99" t="inlineStr">
        <is>
          <t>undefined</t>
        </is>
      </c>
      <c r="S99" t="inlineStr">
        <is>
          <t>14471466</t>
        </is>
      </c>
    </row>
    <row r="100" ht="75" customHeight="1">
      <c r="A100" s="1">
        <f>HYPERLINK("https://www.toysrus.com/drift-king-customizable-led-car---2.4-ghz-1---16-scale-remote-control-car-14471466.html", "https://www.toysrus.com/drift-king-customizable-led-car---2.4-ghz-1---16-scale-remote-control-car-14471466.html")</f>
        <v/>
      </c>
      <c r="B100" s="1">
        <f>HYPERLINK("https://www.toysrus.com/drift-king-customizable-led-car---2.4-ghz-1---16-scale-remote-control-car-14471466.html", "https://www.toysrus.com/drift-king-customizable-led-car---2.4-ghz-1---16-scale-remote-control-car-14471466.html")</f>
        <v/>
      </c>
      <c r="C100" t="inlineStr">
        <is>
          <t>Drift King Customizable LED Car - 2.4 Ghz 1 - 16 Scale Remote Control Car</t>
        </is>
      </c>
      <c r="D100" t="inlineStr">
        <is>
          <t>Remote Control Car RC Drift Car 2.4GHz 1:24 Scale 4WD 15KM/H High Speed Model Vehicle with LED Lights Drifting Tire Racing Sport Toy Car for Adults Boys Girls Kids Gift 2Pcs Rechargeable Batteries</t>
        </is>
      </c>
      <c r="E100" s="1">
        <f>HYPERLINK("https://www.amazon.com/Remote-Control-Car-Drift-2-4GHz/dp/B09XBHWT98/ref=sr_1_2?keywords=Drift+King+Customizable+LED+Car+-+2.4+Ghz+1+-+16+Scale+Remote+Control+Car&amp;qid=1695588710&amp;sr=8-2", "https://www.amazon.com/Remote-Control-Car-Drift-2-4GHz/dp/B09XBHWT98/ref=sr_1_2?keywords=Drift+King+Customizable+LED+Car+-+2.4+Ghz+1+-+16+Scale+Remote+Control+Car&amp;qid=1695588710&amp;sr=8-2")</f>
        <v/>
      </c>
      <c r="F100" t="inlineStr">
        <is>
          <t>B09XBHWT98</t>
        </is>
      </c>
      <c r="G100">
        <f>_xlfn.IMAGE("http://slimages.macys.com/is/image/MCY/products/0/optimized/22701835_fpx.tif")</f>
        <v/>
      </c>
      <c r="H100">
        <f>_xlfn.IMAGE("https://m.media-amazon.com/images/I/710ZHaqUXML._AC_UL320_.jpg")</f>
        <v/>
      </c>
      <c r="K100" t="inlineStr">
        <is>
          <t>14.93</t>
        </is>
      </c>
      <c r="L100" t="n">
        <v>29.99</v>
      </c>
      <c r="M100" s="2" t="inlineStr">
        <is>
          <t>100.87%</t>
        </is>
      </c>
      <c r="N100" t="n">
        <v>4.3</v>
      </c>
      <c r="O100" t="n">
        <v>447</v>
      </c>
      <c r="Q100" t="inlineStr">
        <is>
          <t>InStock</t>
        </is>
      </c>
      <c r="R100" t="inlineStr">
        <is>
          <t>undefined</t>
        </is>
      </c>
      <c r="S100" t="inlineStr">
        <is>
          <t>14471466</t>
        </is>
      </c>
    </row>
    <row r="101" ht="75" customHeight="1">
      <c r="A101" s="1">
        <f>HYPERLINK("https://www.toysrus.com/drift-king-customizable-led-car---2.4-ghz-1---16-scale-remote-control-car-14471466.html", "https://www.toysrus.com/drift-king-customizable-led-car---2.4-ghz-1---16-scale-remote-control-car-14471466.html")</f>
        <v/>
      </c>
      <c r="B101" s="1">
        <f>HYPERLINK("https://www.toysrus.com/drift-king-customizable-led-car---2.4-ghz-1---16-scale-remote-control-car-14471466.html", "https://www.toysrus.com/drift-king-customizable-led-car---2.4-ghz-1---16-scale-remote-control-car-14471466.html")</f>
        <v/>
      </c>
      <c r="C101" t="inlineStr">
        <is>
          <t>Drift King Customizable LED Car - 2.4 Ghz 1 - 16 Scale Remote Control Car</t>
        </is>
      </c>
      <c r="D101" t="inlineStr">
        <is>
          <t>Remote Control Car RC Drift Car 2.4GHz 1:24 Scale 4WD 15KM/H High Speed Model Vehicle LED Lights Drifting Tire Racing Sport Toy Car for Adult Boy Girl Kid Gift 2Pcs Rechargeable Batterie</t>
        </is>
      </c>
      <c r="E101" s="1">
        <f>HYPERLINK("https://www.amazon.com/Remote-Control-Car-Drift-2-4GHz/dp/B0BFQ16YJC/ref=sr_1_10?keywords=Drift+King+Customizable+LED+Car+-+2.4+Ghz+1+-+16+Scale+Remote+Control+Car&amp;qid=1695588710&amp;sr=8-10", "https://www.amazon.com/Remote-Control-Car-Drift-2-4GHz/dp/B0BFQ16YJC/ref=sr_1_10?keywords=Drift+King+Customizable+LED+Car+-+2.4+Ghz+1+-+16+Scale+Remote+Control+Car&amp;qid=1695588710&amp;sr=8-10")</f>
        <v/>
      </c>
      <c r="F101" t="inlineStr">
        <is>
          <t>B0BFQ16YJC</t>
        </is>
      </c>
      <c r="G101">
        <f>_xlfn.IMAGE("http://slimages.macys.com/is/image/MCY/products/0/optimized/22701835_fpx.tif")</f>
        <v/>
      </c>
      <c r="H101">
        <f>_xlfn.IMAGE("https://m.media-amazon.com/images/I/719MG1ZtR+L._AC_UL320_.jpg")</f>
        <v/>
      </c>
      <c r="K101" t="inlineStr">
        <is>
          <t>14.93</t>
        </is>
      </c>
      <c r="L101" t="n">
        <v>29.99</v>
      </c>
      <c r="M101" s="2" t="inlineStr">
        <is>
          <t>100.87%</t>
        </is>
      </c>
      <c r="N101" t="n">
        <v>4.1</v>
      </c>
      <c r="O101" t="n">
        <v>76</v>
      </c>
      <c r="Q101" t="inlineStr">
        <is>
          <t>InStock</t>
        </is>
      </c>
      <c r="R101" t="inlineStr">
        <is>
          <t>undefined</t>
        </is>
      </c>
      <c r="S101" t="inlineStr">
        <is>
          <t>14471466</t>
        </is>
      </c>
    </row>
    <row r="102" ht="75" customHeight="1">
      <c r="A102" s="1">
        <f>HYPERLINK("https://www.toysrus.com/drift-king-customizable-led-car---2.4-ghz-1---16-scale-remote-control-car-14471466.html", "https://www.toysrus.com/drift-king-customizable-led-car---2.4-ghz-1---16-scale-remote-control-car-14471466.html")</f>
        <v/>
      </c>
      <c r="B102" s="1">
        <f>HYPERLINK("https://www.toysrus.com/drift-king-customizable-led-car---2.4-ghz-1---16-scale-remote-control-car-14471466.html", "https://www.toysrus.com/drift-king-customizable-led-car---2.4-ghz-1---16-scale-remote-control-car-14471466.html")</f>
        <v/>
      </c>
      <c r="C102" t="inlineStr">
        <is>
          <t>Drift King Customizable LED Car - 2.4 Ghz 1 - 16 Scale Remote Control Car</t>
        </is>
      </c>
      <c r="D102" t="inlineStr">
        <is>
          <t>Remote Control Car RC Drift Car 2.4GHz 1:24 Scale 4WD High Speed RC Cars Vehicle with LED Lights Batteries and Drifting Tires Racing Sport Toy Cars for Adults Boys Girls Kids Gift</t>
        </is>
      </c>
      <c r="E102" s="1">
        <f>HYPERLINK("https://www.amazon.com/Remote-Control-Car-Drift-2-4GHz/dp/B0C9QKRP6B/ref=sr_1_6?keywords=Drift+King+Customizable+LED+Car+-+2.4+Ghz+1+-+16+Scale+Remote+Control+Car&amp;qid=1695588710&amp;sr=8-6", "https://www.amazon.com/Remote-Control-Car-Drift-2-4GHz/dp/B0C9QKRP6B/ref=sr_1_6?keywords=Drift+King+Customizable+LED+Car+-+2.4+Ghz+1+-+16+Scale+Remote+Control+Car&amp;qid=1695588710&amp;sr=8-6")</f>
        <v/>
      </c>
      <c r="F102" t="inlineStr">
        <is>
          <t>B0C9QKRP6B</t>
        </is>
      </c>
      <c r="G102">
        <f>_xlfn.IMAGE("http://slimages.macys.com/is/image/MCY/products/0/optimized/22701835_fpx.tif")</f>
        <v/>
      </c>
      <c r="H102">
        <f>_xlfn.IMAGE("https://m.media-amazon.com/images/I/71Mqgxs1dZL._AC_UL320_.jpg")</f>
        <v/>
      </c>
      <c r="K102" t="inlineStr">
        <is>
          <t>14.93</t>
        </is>
      </c>
      <c r="L102" t="n">
        <v>26.99</v>
      </c>
      <c r="M102" s="2" t="inlineStr">
        <is>
          <t>80.78%</t>
        </is>
      </c>
      <c r="N102" t="n">
        <v>3.9</v>
      </c>
      <c r="O102" t="n">
        <v>91</v>
      </c>
      <c r="Q102" t="inlineStr">
        <is>
          <t>InStock</t>
        </is>
      </c>
      <c r="R102" t="inlineStr">
        <is>
          <t>undefined</t>
        </is>
      </c>
      <c r="S102" t="inlineStr">
        <is>
          <t>14471466</t>
        </is>
      </c>
    </row>
    <row r="103" ht="75" customHeight="1">
      <c r="A103" s="1">
        <f>HYPERLINK("https://www.toysrus.com/drift-king-customizable-led-car---2.4-ghz-1---16-scale-remote-control-car-14471466.html", "https://www.toysrus.com/drift-king-customizable-led-car---2.4-ghz-1---16-scale-remote-control-car-14471466.html")</f>
        <v/>
      </c>
      <c r="B103" s="1">
        <f>HYPERLINK("https://www.toysrus.com/drift-king-customizable-led-car---2.4-ghz-1---16-scale-remote-control-car-14471466.html", "https://www.toysrus.com/drift-king-customizable-led-car---2.4-ghz-1---16-scale-remote-control-car-14471466.html")</f>
        <v/>
      </c>
      <c r="C103" t="inlineStr">
        <is>
          <t>Drift King Customizable LED Car - 2.4 Ghz 1 - 16 Scale Remote Control Car</t>
        </is>
      </c>
      <c r="D103" t="inlineStr">
        <is>
          <t>AGNEVE RC Drift Car 1:24 RC Car with LED Light Remote Control Car Drifting 2.4GHz 4WD Drift RC Cars Kit with Battery and Drifting Tires Racing Sport RC Car for Boys Girls Age 6-12(Black)</t>
        </is>
      </c>
      <c r="E103" s="1">
        <f>HYPERLINK("https://www.amazon.com/AGNEVE-RC-Drift-Car-Drifting/dp/B0CCHPD94P/ref=sr_1_9?keywords=Drift+King+Customizable+LED+Car+-+2.4+Ghz+1+-+16+Scale+Remote+Control+Car&amp;qid=1695588710&amp;sr=8-9", "https://www.amazon.com/AGNEVE-RC-Drift-Car-Drifting/dp/B0CCHPD94P/ref=sr_1_9?keywords=Drift+King+Customizable+LED+Car+-+2.4+Ghz+1+-+16+Scale+Remote+Control+Car&amp;qid=1695588710&amp;sr=8-9")</f>
        <v/>
      </c>
      <c r="F103" t="inlineStr">
        <is>
          <t>B0CCHPD94P</t>
        </is>
      </c>
      <c r="G103">
        <f>_xlfn.IMAGE("http://slimages.macys.com/is/image/MCY/products/0/optimized/22701835_fpx.tif")</f>
        <v/>
      </c>
      <c r="H103">
        <f>_xlfn.IMAGE("https://m.media-amazon.com/images/I/61Ll1KnSmhL._AC_UL320_.jpg")</f>
        <v/>
      </c>
      <c r="K103" t="inlineStr">
        <is>
          <t>14.93</t>
        </is>
      </c>
      <c r="L103" t="n">
        <v>24.98</v>
      </c>
      <c r="M103" s="2" t="inlineStr">
        <is>
          <t>67.31%</t>
        </is>
      </c>
      <c r="N103" t="n">
        <v>4.1</v>
      </c>
      <c r="O103" t="n">
        <v>123</v>
      </c>
      <c r="Q103" t="inlineStr">
        <is>
          <t>InStock</t>
        </is>
      </c>
      <c r="R103" t="inlineStr">
        <is>
          <t>undefined</t>
        </is>
      </c>
      <c r="S103" t="inlineStr">
        <is>
          <t>14471466</t>
        </is>
      </c>
    </row>
    <row r="104" ht="75" customHeight="1">
      <c r="A104" s="1">
        <f>HYPERLINK("https://www.toysrus.com/dune-ixians-and-tleilaxu-house-expansion-G9420020250512.html", "https://www.toysrus.com/dune-ixians-and-tleilaxu-house-expansion-G9420020250512.html")</f>
        <v/>
      </c>
      <c r="B104" s="1">
        <f>HYPERLINK("https://www.toysrus.com/dune-ixians-and-tleilaxu-house-expansion-G9420020250512.html", "https://www.toysrus.com/dune-ixians-and-tleilaxu-house-expansion-G9420020250512.html")</f>
        <v/>
      </c>
      <c r="C104" t="inlineStr">
        <is>
          <t>Dune Ixians &amp; Tleilaxu House Expansion</t>
        </is>
      </c>
      <c r="D104" t="inlineStr">
        <is>
          <t>SMONEX Board Game Organizer Insert Compatible with Dune Board Game and Dune Ixians Tleilaxu House Expansion - Wooden Organizer Matches The Dune Game Style - Board Game Insert Requires Assembly</t>
        </is>
      </c>
      <c r="E104" s="1">
        <f>HYPERLINK("https://www.amazon.com/SMONEX-Organizer-Compatible-Tleilaxu-Expansion/dp/B0BB31L33Q/ref=sr_1_2?keywords=Dune+Ixians&amp;qid=1695588314&amp;sr=8-2", "https://www.amazon.com/SMONEX-Organizer-Compatible-Tleilaxu-Expansion/dp/B0BB31L33Q/ref=sr_1_2?keywords=Dune+Ixians&amp;qid=1695588314&amp;sr=8-2")</f>
        <v/>
      </c>
      <c r="F104" t="inlineStr">
        <is>
          <t>B0BB31L33Q</t>
        </is>
      </c>
      <c r="G104">
        <f>_xlfn.IMAGE("https://images.toysrus.com/1285980/9420020250512_1.jpg")</f>
        <v/>
      </c>
      <c r="H104">
        <f>_xlfn.IMAGE("https://m.media-amazon.com/images/I/81JyCZtCNjL._AC_UY218_.jpg")</f>
        <v/>
      </c>
      <c r="K104" t="inlineStr">
        <is>
          <t>19.99</t>
        </is>
      </c>
      <c r="L104" t="n">
        <v>39.95</v>
      </c>
      <c r="M104" s="2" t="inlineStr">
        <is>
          <t>99.85%</t>
        </is>
      </c>
      <c r="N104" t="n">
        <v>5</v>
      </c>
      <c r="O104" t="n">
        <v>1</v>
      </c>
      <c r="Q104" t="inlineStr">
        <is>
          <t>InStock</t>
        </is>
      </c>
      <c r="R104" t="inlineStr">
        <is>
          <t>undefined</t>
        </is>
      </c>
      <c r="S104" t="inlineStr">
        <is>
          <t>G9420020250512</t>
        </is>
      </c>
    </row>
    <row r="105" ht="75" customHeight="1">
      <c r="A105" s="1">
        <f>HYPERLINK("https://www.toysrus.com/easy-playhouse-blank-castle---kids-art-and-craft-for-indoor-and-outdoor-fun-color-draw-doodle-on-this-blank-canvasdecorate-and-personalize-a-cardboard-fort-32-x-32-x-43.-5--made-in-usa-age-3-G850339003018.html", "https://www.toysrus.com/easy-playhouse-blank-castle---kids-art-and-craft-for-indoor-and-outdoor-fun-color-draw-doodle-on-this-blank-canvasdecorate-and-personalize-a-cardboard-fort-32-x-32-x-43.-5--made-in-usa-age-3-G850339003018.html")</f>
        <v/>
      </c>
      <c r="B105" s="1">
        <f>HYPERLINK("https://www.toysrus.com/easy-playhouse-blank-castle---kids-art-and-craft-for-indoor-and-outdoor-fun-color-draw-doodle-on-this-blank-canvasdecorate-and-personalize-a-cardboard-fort-32-x-32-x-43.-5--made-in-usa-age-3-G850339003018.html", "https://www.toysrus.com/easy-playhouse-blank-castle---kids-art-and-craft-for-indoor-and-outdoor-fun-color-draw-doodle-on-this-blank-canvasdecorate-and-personalize-a-cardboard-fort-32-x-32-x-43.-5--made-in-usa-age-3-G850339003018.html")</f>
        <v/>
      </c>
      <c r="C105" t="inlineStr">
        <is>
          <t>Easy Playhouse Blank Castle - Kids Art &amp; Craft for Indoor &amp; Outdoor Fun, Color, Draw, Doodle on this Blank Canvas?Decorate &amp; Personalize a Cardboard Fort, 32" X 32" X 43. 5" -Made in USA, Age 3+</t>
        </is>
      </c>
      <c r="D105" t="inlineStr">
        <is>
          <t>Easy Playhouse Blank Castle - 32" X 32" X 43. 5" &amp; Kids Art and Craft for Indoor and Outdoor Fun, Color, Draw, Doodle on This Blank Canvas – Decorate and Personalize a Cardboard Fort, 34" X 27" X 48"</t>
        </is>
      </c>
      <c r="E105" s="1" t="n"/>
      <c r="F105" t="inlineStr">
        <is>
          <t>B0C9YTYSRG</t>
        </is>
      </c>
      <c r="G105">
        <f>_xlfn.IMAGE("https://images.toysrus.com/1128598/850339003018_1.jpg")</f>
        <v/>
      </c>
      <c r="H105">
        <f>_xlfn.IMAGE("https://m.media-amazon.com/images/I/41PwU+gUHTL._AC_UL320_.jpg")</f>
        <v/>
      </c>
      <c r="K105" t="inlineStr">
        <is>
          <t>34.99</t>
        </is>
      </c>
      <c r="L105" t="n">
        <v>68.98</v>
      </c>
      <c r="M105" s="2" t="inlineStr">
        <is>
          <t>97.14%</t>
        </is>
      </c>
      <c r="N105" t="n">
        <v>4.5</v>
      </c>
      <c r="O105" t="n">
        <v>3458</v>
      </c>
      <c r="Q105" t="inlineStr">
        <is>
          <t>InStock</t>
        </is>
      </c>
      <c r="R105" t="inlineStr">
        <is>
          <t>undefined</t>
        </is>
      </c>
      <c r="S105" t="inlineStr">
        <is>
          <t>G850339003018</t>
        </is>
      </c>
    </row>
    <row r="106" ht="75" customHeight="1">
      <c r="A106" s="1">
        <f>HYPERLINK("https://www.toysrus.com/easy-playhouse-clubhouse---kids-art-and-craft-for-indoor-and-outdoor-fun-color-draw-doodle-on-this-blank-canvas-decorate-and-personalize-a-cardboard-fort-34-x-27-x-48---made-in-usa-age-3-G847944002048.html", "https://www.toysrus.com/easy-playhouse-clubhouse---kids-art-and-craft-for-indoor-and-outdoor-fun-color-draw-doodle-on-this-blank-canvas-decorate-and-personalize-a-cardboard-fort-34-x-27-x-48---made-in-usa-age-3-G847944002048.html")</f>
        <v/>
      </c>
      <c r="B106" s="1">
        <f>HYPERLINK("https://www.toysrus.com/easy-playhouse-clubhouse---kids-art-and-craft-for-indoor-and-outdoor-fun-color-draw-doodle-on-this-blank-canvas-decorate-and-personalize-a-cardboard-fort-34-x-27-x-48---made-in-usa-age-3-G847944002048.html", "https://www.toysrus.com/easy-playhouse-clubhouse---kids-art-and-craft-for-indoor-and-outdoor-fun-color-draw-doodle-on-this-blank-canvas-decorate-and-personalize-a-cardboard-fort-34-x-27-x-48---made-in-usa-age-3-G847944002048.html")</f>
        <v/>
      </c>
      <c r="C106" t="inlineStr">
        <is>
          <t>Easy Playhouse Clubhouse - Kids Art and Craft for Indoor and Outdoor Fun, Color, Draw, Doodle on this Blank Canvas ? Decorate and Personalize a Cardboard Fort, 34" X 27" X 48" - Made in USA, Age 3+</t>
        </is>
      </c>
      <c r="D106" t="inlineStr">
        <is>
          <t>Easy Playhouse Blank Castle - 32" X 32" X 43. 5" &amp; Kids Art and Craft for Indoor and Outdoor Fun, Color, Draw, Doodle on This Blank Canvas – Decorate and Personalize a Cardboard Fort, 34" X 27" X 48"</t>
        </is>
      </c>
      <c r="E106" s="1" t="n"/>
      <c r="F106" t="inlineStr">
        <is>
          <t>B0C9YTYSRG</t>
        </is>
      </c>
      <c r="G106">
        <f>_xlfn.IMAGE("https://images.toysrus.com/1128598/847944002048_1.jpg")</f>
        <v/>
      </c>
      <c r="H106">
        <f>_xlfn.IMAGE("https://m.media-amazon.com/images/I/41PwU+gUHTL._AC_UL320_.jpg")</f>
        <v/>
      </c>
      <c r="K106" t="inlineStr">
        <is>
          <t>34.99</t>
        </is>
      </c>
      <c r="L106" t="n">
        <v>68.98</v>
      </c>
      <c r="M106" s="2" t="inlineStr">
        <is>
          <t>97.14%</t>
        </is>
      </c>
      <c r="N106" t="n">
        <v>4.5</v>
      </c>
      <c r="O106" t="n">
        <v>3458</v>
      </c>
      <c r="Q106" t="inlineStr">
        <is>
          <t>InStock</t>
        </is>
      </c>
      <c r="R106" t="inlineStr">
        <is>
          <t>undefined</t>
        </is>
      </c>
      <c r="S106" t="inlineStr">
        <is>
          <t>G847944002048</t>
        </is>
      </c>
    </row>
    <row r="107" ht="75" customHeight="1">
      <c r="A107" s="1">
        <f>HYPERLINK("https://www.toysrus.com/easy-playhouse---kids-art-and-craft-for-indoor-and-outdoor-fun-color-draw-doodle-on-this-blank-canvas-decorate-and-personalize-a-cardboard-fort-34-x-27-x-48---made-in-usa-age-3-G850339003001.html", "https://www.toysrus.com/easy-playhouse---kids-art-and-craft-for-indoor-and-outdoor-fun-color-draw-doodle-on-this-blank-canvas-decorate-and-personalize-a-cardboard-fort-34-x-27-x-48---made-in-usa-age-3-G850339003001.html")</f>
        <v/>
      </c>
      <c r="B107" s="1">
        <f>HYPERLINK("https://www.toysrus.com/easy-playhouse---kids-art-and-craft-for-indoor-and-outdoor-fun-color-draw-doodle-on-this-blank-canvas-decorate-and-personalize-a-cardboard-fort-34-x-27-x-48---made-in-usa-age-3-G850339003001.html", "https://www.toysrus.com/easy-playhouse---kids-art-and-craft-for-indoor-and-outdoor-fun-color-draw-doodle-on-this-blank-canvas-decorate-and-personalize-a-cardboard-fort-34-x-27-x-48---made-in-usa-age-3-G850339003001.html")</f>
        <v/>
      </c>
      <c r="C107" t="inlineStr">
        <is>
          <t>Easy Playhouse - Kids Art and Craft for Indoor and Outdoor Fun, Color, Draw, Doodle on this Blank Canvas ? Decorate and Personalize a Cardboard Fort, 34" X 27" X 48" - Made in USA, Age 3+</t>
        </is>
      </c>
      <c r="D107" t="inlineStr">
        <is>
          <t>Easy Playhouse Blank Castle - 32" X 32" X 43. 5" &amp; Kids Art and Craft for Indoor and Outdoor Fun, Color, Draw, Doodle on This Blank Canvas – Decorate and Personalize a Cardboard Fort, 34" X 27" X 48"</t>
        </is>
      </c>
      <c r="E107" s="1" t="n"/>
      <c r="F107" t="inlineStr">
        <is>
          <t>B0C9YTYSRG</t>
        </is>
      </c>
      <c r="G107">
        <f>_xlfn.IMAGE("https://images.toysrus.com/1128598/850339003001_1.jpg")</f>
        <v/>
      </c>
      <c r="H107">
        <f>_xlfn.IMAGE("https://m.media-amazon.com/images/I/41PwU+gUHTL._AC_UL320_.jpg")</f>
        <v/>
      </c>
      <c r="K107" t="inlineStr">
        <is>
          <t>32.99</t>
        </is>
      </c>
      <c r="L107" t="n">
        <v>68.98</v>
      </c>
      <c r="M107" s="2" t="inlineStr">
        <is>
          <t>109.09%</t>
        </is>
      </c>
      <c r="N107" t="n">
        <v>4.5</v>
      </c>
      <c r="O107" t="n">
        <v>3458</v>
      </c>
      <c r="Q107" t="inlineStr">
        <is>
          <t>InStock</t>
        </is>
      </c>
      <c r="R107" t="inlineStr">
        <is>
          <t>undefined</t>
        </is>
      </c>
      <c r="S107" t="inlineStr">
        <is>
          <t>G850339003001</t>
        </is>
      </c>
    </row>
    <row r="108" ht="75" customHeight="1">
      <c r="A108" s="1">
        <f>HYPERLINK("https://www.toysrus.com/eeboo-candy--memory-and-matching-little-game-G689196507342.html", "https://www.toysrus.com/eeboo-candy--memory-and-matching-little-game-G689196507342.html")</f>
        <v/>
      </c>
      <c r="B108" s="1">
        <f>HYPERLINK("https://www.toysrus.com/eeboo-candy--memory-and-matching-little-game-G689196507342.html", "https://www.toysrus.com/eeboo-candy--memory-and-matching-little-game-G689196507342.html")</f>
        <v/>
      </c>
      <c r="C108" t="inlineStr">
        <is>
          <t>eeBoo Candy Memory and Matching Little Game</t>
        </is>
      </c>
      <c r="D108" t="inlineStr">
        <is>
          <t>eeBoo: I Never Forget a Face, Memory &amp; Matching Game, Developmental and Educational, 24 Pairs to Match, Single or Multiplayer Function, For Ages 3 and up</t>
        </is>
      </c>
      <c r="E108" s="1">
        <f>HYPERLINK("https://www.amazon.com/eeBoo-Never-Forget-Face-Matching/dp/B000ELQUZO/ref=sr_1_7?keywords=eeBoo+Candy+Memory+and+Matching+Little+Game&amp;qid=1695588339&amp;sr=8-7", "https://www.amazon.com/eeBoo-Never-Forget-Face-Matching/dp/B000ELQUZO/ref=sr_1_7?keywords=eeBoo+Candy+Memory+and+Matching+Little+Game&amp;qid=1695588339&amp;sr=8-7")</f>
        <v/>
      </c>
      <c r="F108" t="inlineStr">
        <is>
          <t>B000ELQUZO</t>
        </is>
      </c>
      <c r="G108">
        <f>_xlfn.IMAGE("https://images.toysrus.com/28598/689196507342_1.jpg")</f>
        <v/>
      </c>
      <c r="H108">
        <f>_xlfn.IMAGE("https://m.media-amazon.com/images/I/61nUVoh0QAL._AC_UL320_.jpg")</f>
        <v/>
      </c>
      <c r="K108" t="inlineStr">
        <is>
          <t>9.99</t>
        </is>
      </c>
      <c r="L108" t="n">
        <v>17.99</v>
      </c>
      <c r="M108" s="2" t="inlineStr">
        <is>
          <t>80.08%</t>
        </is>
      </c>
      <c r="N108" t="n">
        <v>4.7</v>
      </c>
      <c r="O108" t="n">
        <v>1362</v>
      </c>
      <c r="Q108" t="inlineStr">
        <is>
          <t>InStock</t>
        </is>
      </c>
      <c r="R108" t="inlineStr">
        <is>
          <t>undefined</t>
        </is>
      </c>
      <c r="S108" t="inlineStr">
        <is>
          <t>G689196507342</t>
        </is>
      </c>
    </row>
    <row r="109" ht="75" customHeight="1">
      <c r="A109" s="1">
        <f>HYPERLINK("https://www.toysrus.com/eeboo-climate-action-500-pc-round-puzzle-G689196510380.html", "https://www.toysrus.com/eeboo-climate-action-500-pc-round-puzzle-G689196510380.html")</f>
        <v/>
      </c>
      <c r="B109" s="1">
        <f>HYPERLINK("https://www.toysrus.com/eeboo-climate-action-500-pc-round-puzzle-G689196510380.html", "https://www.toysrus.com/eeboo-climate-action-500-pc-round-puzzle-G689196510380.html")</f>
        <v/>
      </c>
      <c r="C109" t="inlineStr">
        <is>
          <t>eeBoo Climate Action 500 Pc Round Puzzle</t>
        </is>
      </c>
      <c r="D109" t="inlineStr">
        <is>
          <t>eeBoo: Piece and Love Climate Action 500 Piece Round adult Jigsaw Puzzle, Jigsaw Puzzle for Adults and Families, Includes Glossy and Sturdy Pieces</t>
        </is>
      </c>
      <c r="E109" s="1">
        <f>HYPERLINK("https://www.amazon.com/eeBoo-Climate-Action-Puzzle-Adults/dp/B0875Q8CK9/ref=sr_1_1?keywords=eeBoo+Climate+Action+500+Pc+Round+Puzzle&amp;qid=1695588446&amp;sr=8-1", "https://www.amazon.com/eeBoo-Climate-Action-Puzzle-Adults/dp/B0875Q8CK9/ref=sr_1_1?keywords=eeBoo+Climate+Action+500+Pc+Round+Puzzle&amp;qid=1695588446&amp;sr=8-1")</f>
        <v/>
      </c>
      <c r="F109" t="inlineStr">
        <is>
          <t>B0875Q8CK9</t>
        </is>
      </c>
      <c r="G109">
        <f>_xlfn.IMAGE("https://images.toysrus.com/1285/689196510380_1.jpg")</f>
        <v/>
      </c>
      <c r="H109">
        <f>_xlfn.IMAGE("https://m.media-amazon.com/images/I/91-Plh6XInL._AC_UL320_.jpg")</f>
        <v/>
      </c>
      <c r="K109" t="inlineStr">
        <is>
          <t>9.99</t>
        </is>
      </c>
      <c r="L109" t="n">
        <v>16.99</v>
      </c>
      <c r="M109" s="2" t="inlineStr">
        <is>
          <t>70.07%</t>
        </is>
      </c>
      <c r="N109" t="n">
        <v>4.8</v>
      </c>
      <c r="O109" t="n">
        <v>36</v>
      </c>
      <c r="Q109" t="inlineStr">
        <is>
          <t>InStock</t>
        </is>
      </c>
      <c r="R109" t="inlineStr">
        <is>
          <t>undefined</t>
        </is>
      </c>
      <c r="S109" t="inlineStr">
        <is>
          <t>G689196510380</t>
        </is>
      </c>
    </row>
    <row r="110" ht="75" customHeight="1">
      <c r="A110" s="1">
        <f>HYPERLINK("https://www.toysrus.com/eeboo-old-maid-playing-card-game-G689196815607.html", "https://www.toysrus.com/eeboo-old-maid-playing-card-game-G689196815607.html")</f>
        <v/>
      </c>
      <c r="B110" s="1">
        <f>HYPERLINK("https://www.toysrus.com/eeboo-old-maid-playing-card-game-G689196815607.html", "https://www.toysrus.com/eeboo-old-maid-playing-card-game-G689196815607.html")</f>
        <v/>
      </c>
      <c r="C110" t="inlineStr">
        <is>
          <t>eeBoo Old Maid Playing Card Game</t>
        </is>
      </c>
      <c r="D110" t="inlineStr">
        <is>
          <t>eeBoo: Old Maid Playing Card Game, Cards are Durable and Easy to Use, Instructions Included, Educational and Fun Learning, For Ages 5 and up</t>
        </is>
      </c>
      <c r="E110" s="1">
        <f>HYPERLINK("https://www.amazon.com/eeBoo-Old-Maid-Playing-Cards/dp/B000ELSZT8/ref=sr_1_1?keywords=eeBoo+Old+Maid+Playing+Card+Game&amp;qid=1695588253&amp;sr=8-1", "https://www.amazon.com/eeBoo-Old-Maid-Playing-Cards/dp/B000ELSZT8/ref=sr_1_1?keywords=eeBoo+Old+Maid+Playing+Card+Game&amp;qid=1695588253&amp;sr=8-1")</f>
        <v/>
      </c>
      <c r="F110" t="inlineStr">
        <is>
          <t>B000ELSZT8</t>
        </is>
      </c>
      <c r="G110">
        <f>_xlfn.IMAGE("https://images.toysrus.com/28598/689196815607_1.jpg")</f>
        <v/>
      </c>
      <c r="H110">
        <f>_xlfn.IMAGE("https://m.media-amazon.com/images/I/61dg9nuWVXL._AC_UL320_.jpg")</f>
        <v/>
      </c>
      <c r="K110" t="inlineStr">
        <is>
          <t>7.99</t>
        </is>
      </c>
      <c r="L110" t="n">
        <v>16.98</v>
      </c>
      <c r="M110" s="2" t="inlineStr">
        <is>
          <t>112.52%</t>
        </is>
      </c>
      <c r="N110" t="n">
        <v>4.7</v>
      </c>
      <c r="O110" t="n">
        <v>225</v>
      </c>
      <c r="Q110" t="inlineStr">
        <is>
          <t>InStock</t>
        </is>
      </c>
      <c r="R110" t="inlineStr">
        <is>
          <t>undefined</t>
        </is>
      </c>
      <c r="S110" t="inlineStr">
        <is>
          <t>G689196815607</t>
        </is>
      </c>
    </row>
    <row r="111" ht="75" customHeight="1">
      <c r="A111" s="1">
        <f>HYPERLINK("https://www.toysrus.com/eeboo-piece-and-love-dogs-in-park-jigsaw-puzzle-G689196509292.html", "https://www.toysrus.com/eeboo-piece-and-love-dogs-in-park-jigsaw-puzzle-G689196509292.html")</f>
        <v/>
      </c>
      <c r="B111" s="1">
        <f>HYPERLINK("https://www.toysrus.com/eeboo-piece-and-love-dogs-in-park-jigsaw-puzzle-G689196509292.html", "https://www.toysrus.com/eeboo-piece-and-love-dogs-in-park-jigsaw-puzzle-G689196509292.html")</f>
        <v/>
      </c>
      <c r="C111" t="inlineStr">
        <is>
          <t>eeBoo Piece and Love Dogs in Park Jigsaw Puzzle</t>
        </is>
      </c>
      <c r="D111" t="inlineStr">
        <is>
          <t>eeBoo: Piece and Love Birds in The Park 1000 Piece Adult Square Jigsaw Puzzle, Jigsaw Puzzle for Adults and Families, Includes Glossy, Sturdy Pieces and Minimal Puzzle Dust</t>
        </is>
      </c>
      <c r="E111" s="1">
        <f>HYPERLINK("https://www.amazon.com/eeBoo-Square-Jigsaw-Puzzle-Multicolor/dp/B09Q6F2NWN/ref=sr_1_4?keywords=eeBoo+Piece+and+Love+Dogs+in+Park+Jigsaw+Puzzle&amp;qid=1695588359&amp;sr=8-4", "https://www.amazon.com/eeBoo-Square-Jigsaw-Puzzle-Multicolor/dp/B09Q6F2NWN/ref=sr_1_4?keywords=eeBoo+Piece+and+Love+Dogs+in+Park+Jigsaw+Puzzle&amp;qid=1695588359&amp;sr=8-4")</f>
        <v/>
      </c>
      <c r="F111" t="inlineStr">
        <is>
          <t>B09Q6F2NWN</t>
        </is>
      </c>
      <c r="G111">
        <f>_xlfn.IMAGE("https://images.toysrus.com/1285/689196509292_1.jpg")</f>
        <v/>
      </c>
      <c r="H111">
        <f>_xlfn.IMAGE("https://m.media-amazon.com/images/I/91kCsT9yBgL._AC_UL320_.jpg")</f>
        <v/>
      </c>
      <c r="K111" t="inlineStr">
        <is>
          <t>9.99</t>
        </is>
      </c>
      <c r="L111" t="n">
        <v>21.99</v>
      </c>
      <c r="M111" s="2" t="inlineStr">
        <is>
          <t>120.12%</t>
        </is>
      </c>
      <c r="N111" t="n">
        <v>4.5</v>
      </c>
      <c r="O111" t="n">
        <v>11</v>
      </c>
      <c r="Q111" t="inlineStr">
        <is>
          <t>InStock</t>
        </is>
      </c>
      <c r="R111" t="inlineStr">
        <is>
          <t>undefined</t>
        </is>
      </c>
      <c r="S111" t="inlineStr">
        <is>
          <t>G689196509292</t>
        </is>
      </c>
    </row>
    <row r="112" ht="75" customHeight="1">
      <c r="A112" s="1">
        <f>HYPERLINK("https://www.toysrus.com/eeboo-piece-and-love-dogs-in-park-jigsaw-puzzle-G689196509292.html", "https://www.toysrus.com/eeboo-piece-and-love-dogs-in-park-jigsaw-puzzle-G689196509292.html")</f>
        <v/>
      </c>
      <c r="B112" s="1">
        <f>HYPERLINK("https://www.toysrus.com/eeboo-piece-and-love-dogs-in-park-jigsaw-puzzle-G689196509292.html", "https://www.toysrus.com/eeboo-piece-and-love-dogs-in-park-jigsaw-puzzle-G689196509292.html")</f>
        <v/>
      </c>
      <c r="C112" t="inlineStr">
        <is>
          <t>eeBoo Piece and Love Dogs in Park Jigsaw Puzzle</t>
        </is>
      </c>
      <c r="D112" t="inlineStr">
        <is>
          <t>eeBoo: Piece and Love Hike in the Woods 1000 Piece Square Adult Jigsaw Puzzle, Puzzle for Adults and Families, Glossy, Sturdy Pieces and Minimal Puzzle Dust</t>
        </is>
      </c>
      <c r="E112" s="1">
        <f>HYPERLINK("https://www.amazon.com/eeBoo-Square-High-Quality-Families-Minimal/dp/B08N67PJ6J/ref=sr_1_10?keywords=eeBoo+Piece+and+Love+Dogs+in+Park+Jigsaw+Puzzle&amp;qid=1695588359&amp;sr=8-10", "https://www.amazon.com/eeBoo-Square-High-Quality-Families-Minimal/dp/B08N67PJ6J/ref=sr_1_10?keywords=eeBoo+Piece+and+Love+Dogs+in+Park+Jigsaw+Puzzle&amp;qid=1695588359&amp;sr=8-10")</f>
        <v/>
      </c>
      <c r="F112" t="inlineStr">
        <is>
          <t>B08N67PJ6J</t>
        </is>
      </c>
      <c r="G112">
        <f>_xlfn.IMAGE("https://images.toysrus.com/1285/689196509292_1.jpg")</f>
        <v/>
      </c>
      <c r="H112">
        <f>_xlfn.IMAGE("https://m.media-amazon.com/images/I/812cNXeGF1L._AC_UL320_.jpg")</f>
        <v/>
      </c>
      <c r="K112" t="inlineStr">
        <is>
          <t>9.99</t>
        </is>
      </c>
      <c r="L112" t="n">
        <v>17.55</v>
      </c>
      <c r="M112" s="2" t="inlineStr">
        <is>
          <t>75.68%</t>
        </is>
      </c>
      <c r="N112" t="n">
        <v>4.8</v>
      </c>
      <c r="O112" t="n">
        <v>57</v>
      </c>
      <c r="Q112" t="inlineStr">
        <is>
          <t>InStock</t>
        </is>
      </c>
      <c r="R112" t="inlineStr">
        <is>
          <t>undefined</t>
        </is>
      </c>
      <c r="S112" t="inlineStr">
        <is>
          <t>G689196509292</t>
        </is>
      </c>
    </row>
    <row r="113" ht="75" customHeight="1">
      <c r="A113" s="1">
        <f>HYPERLINK("https://www.toysrus.com/eeboo-piece-and-love-marrakesh-jigsaw-puzzle-G0689196511547.html", "https://www.toysrus.com/eeboo-piece-and-love-marrakesh-jigsaw-puzzle-G0689196511547.html")</f>
        <v/>
      </c>
      <c r="B113" s="1">
        <f>HYPERLINK("https://www.toysrus.com/eeboo-piece-and-love-marrakesh-jigsaw-puzzle-G0689196511547.html", "https://www.toysrus.com/eeboo-piece-and-love-marrakesh-jigsaw-puzzle-G0689196511547.html")</f>
        <v/>
      </c>
      <c r="C113" t="inlineStr">
        <is>
          <t>eeBoo Piece and Love Marrakesh Jigsaw Puzzle</t>
        </is>
      </c>
      <c r="D113" t="inlineStr">
        <is>
          <t>eeBoo: Piece and Love Peacock Garden 1000-piece square adult Jigsaw Puzzle, Jigsaw Puzzle for Adults and Families, Includes Glossy, Sturdy Pieces and Minimal Puzzle Dust</t>
        </is>
      </c>
      <c r="E113" s="1">
        <f>HYPERLINK("https://www.amazon.com/eeBoo-Peacock-Garden-Family-Jigsaw/dp/B01FRGCQUS/ref=sr_1_8?keywords=eeBoo+Piece+and+Love+Marrakesh+Jigsaw+Puzzle&amp;qid=1695588372&amp;sr=8-8", "https://www.amazon.com/eeBoo-Peacock-Garden-Family-Jigsaw/dp/B01FRGCQUS/ref=sr_1_8?keywords=eeBoo+Piece+and+Love+Marrakesh+Jigsaw+Puzzle&amp;qid=1695588372&amp;sr=8-8")</f>
        <v/>
      </c>
      <c r="F113" t="inlineStr">
        <is>
          <t>B01FRGCQUS</t>
        </is>
      </c>
      <c r="G113">
        <f>_xlfn.IMAGE("https://images.toysrus.com/1285/689196511547_1.jpg")</f>
        <v/>
      </c>
      <c r="H113">
        <f>_xlfn.IMAGE("https://m.media-amazon.com/images/I/71RwwZOIHlL._AC_UL320_.jpg")</f>
        <v/>
      </c>
      <c r="K113" t="inlineStr">
        <is>
          <t>11.99</t>
        </is>
      </c>
      <c r="L113" t="n">
        <v>21.99</v>
      </c>
      <c r="M113" s="2" t="inlineStr">
        <is>
          <t>83.40%</t>
        </is>
      </c>
      <c r="N113" t="n">
        <v>4.6</v>
      </c>
      <c r="O113" t="n">
        <v>115</v>
      </c>
      <c r="Q113" t="inlineStr">
        <is>
          <t>InStock</t>
        </is>
      </c>
      <c r="R113" t="inlineStr">
        <is>
          <t>undefined</t>
        </is>
      </c>
      <c r="S113" t="inlineStr">
        <is>
          <t>G0689196511547</t>
        </is>
      </c>
    </row>
    <row r="114" ht="75" customHeight="1">
      <c r="A114" s="1">
        <f>HYPERLINK("https://www.toysrus.com/eeboo-piece-and-love-marrakesh-jigsaw-puzzle-G0689196511547.html", "https://www.toysrus.com/eeboo-piece-and-love-marrakesh-jigsaw-puzzle-G0689196511547.html")</f>
        <v/>
      </c>
      <c r="B114" s="1">
        <f>HYPERLINK("https://www.toysrus.com/eeboo-piece-and-love-marrakesh-jigsaw-puzzle-G0689196511547.html", "https://www.toysrus.com/eeboo-piece-and-love-marrakesh-jigsaw-puzzle-G0689196511547.html")</f>
        <v/>
      </c>
      <c r="C114" t="inlineStr">
        <is>
          <t>eeBoo Piece and Love Marrakesh Jigsaw Puzzle</t>
        </is>
      </c>
      <c r="D114" t="inlineStr">
        <is>
          <t>eeBoo: Piece and Love Planet Earth 1000-piece square adult Jigsaw Puzzle, Jigsaw Puzzle for Adults and Families, Includes Glossy, Sturdy Pieces and Minimal Puzzle Dust</t>
        </is>
      </c>
      <c r="E114" s="1">
        <f>HYPERLINK("https://www.amazon.com/eeBoo-1000-piece-Quality-Families-Minimal/dp/B086FNYG7T/ref=sr_1_9?keywords=eeBoo+Piece+and+Love+Marrakesh+Jigsaw+Puzzle&amp;qid=1695588372&amp;sr=8-9", "https://www.amazon.com/eeBoo-1000-piece-Quality-Families-Minimal/dp/B086FNYG7T/ref=sr_1_9?keywords=eeBoo+Piece+and+Love+Marrakesh+Jigsaw+Puzzle&amp;qid=1695588372&amp;sr=8-9")</f>
        <v/>
      </c>
      <c r="F114" t="inlineStr">
        <is>
          <t>B086FNYG7T</t>
        </is>
      </c>
      <c r="G114">
        <f>_xlfn.IMAGE("https://images.toysrus.com/1285/689196511547_1.jpg")</f>
        <v/>
      </c>
      <c r="H114">
        <f>_xlfn.IMAGE("https://m.media-amazon.com/images/I/A10WDfkRnhL._AC_UL320_.jpg")</f>
        <v/>
      </c>
      <c r="K114" t="inlineStr">
        <is>
          <t>11.99</t>
        </is>
      </c>
      <c r="L114" t="n">
        <v>21.99</v>
      </c>
      <c r="M114" s="2" t="inlineStr">
        <is>
          <t>83.40%</t>
        </is>
      </c>
      <c r="N114" t="n">
        <v>5</v>
      </c>
      <c r="O114" t="n">
        <v>10</v>
      </c>
      <c r="Q114" t="inlineStr">
        <is>
          <t>InStock</t>
        </is>
      </c>
      <c r="R114" t="inlineStr">
        <is>
          <t>undefined</t>
        </is>
      </c>
      <c r="S114" t="inlineStr">
        <is>
          <t>G0689196511547</t>
        </is>
      </c>
    </row>
    <row r="115" ht="75" customHeight="1">
      <c r="A115" s="1">
        <f>HYPERLINK("https://www.toysrus.com/eeboo-piece-and-love-marrakesh-jigsaw-puzzle-G0689196511547.html", "https://www.toysrus.com/eeboo-piece-and-love-marrakesh-jigsaw-puzzle-G0689196511547.html")</f>
        <v/>
      </c>
      <c r="B115" s="1">
        <f>HYPERLINK("https://www.toysrus.com/eeboo-piece-and-love-marrakesh-jigsaw-puzzle-G0689196511547.html", "https://www.toysrus.com/eeboo-piece-and-love-marrakesh-jigsaw-puzzle-G0689196511547.html")</f>
        <v/>
      </c>
      <c r="C115" t="inlineStr">
        <is>
          <t>eeBoo Piece and Love Marrakesh Jigsaw Puzzle</t>
        </is>
      </c>
      <c r="D115" t="inlineStr">
        <is>
          <t>eeBoo: Piece and Love Triangle Pattern 500 Piece Round Circle Jigsaw Puzzle, Jigsaw Puzzle for Adults and Families, Includes Glossy and Sturdy Pieces</t>
        </is>
      </c>
      <c r="E115" s="1">
        <f>HYPERLINK("https://www.amazon.com/eeBoo-Triangle-Pattern-Puzzle-Adults/dp/B0875XHFRP/ref=sr_1_5?keywords=eeBoo+Piece+and+Love+Marrakesh+Jigsaw+Puzzle&amp;qid=1695588372&amp;sr=8-5", "https://www.amazon.com/eeBoo-Triangle-Pattern-Puzzle-Adults/dp/B0875XHFRP/ref=sr_1_5?keywords=eeBoo+Piece+and+Love+Marrakesh+Jigsaw+Puzzle&amp;qid=1695588372&amp;sr=8-5")</f>
        <v/>
      </c>
      <c r="F115" t="inlineStr">
        <is>
          <t>B0875XHFRP</t>
        </is>
      </c>
      <c r="G115">
        <f>_xlfn.IMAGE("https://images.toysrus.com/1285/689196511547_1.jpg")</f>
        <v/>
      </c>
      <c r="H115">
        <f>_xlfn.IMAGE("https://m.media-amazon.com/images/I/A1uQhMXZr0L._AC_UL320_.jpg")</f>
        <v/>
      </c>
      <c r="K115" t="inlineStr">
        <is>
          <t>11.99</t>
        </is>
      </c>
      <c r="L115" t="n">
        <v>19.99</v>
      </c>
      <c r="M115" s="2" t="inlineStr">
        <is>
          <t>66.72%</t>
        </is>
      </c>
      <c r="N115" t="n">
        <v>4.8</v>
      </c>
      <c r="O115" t="n">
        <v>10</v>
      </c>
      <c r="Q115" t="inlineStr">
        <is>
          <t>InStock</t>
        </is>
      </c>
      <c r="R115" t="inlineStr">
        <is>
          <t>undefined</t>
        </is>
      </c>
      <c r="S115" t="inlineStr">
        <is>
          <t>G0689196511547</t>
        </is>
      </c>
    </row>
    <row r="116" ht="75" customHeight="1">
      <c r="A116" s="1">
        <f>HYPERLINK("https://www.toysrus.com/eeboo-piece-and-love-marrakesh-jigsaw-puzzle-G0689196511547.html", "https://www.toysrus.com/eeboo-piece-and-love-marrakesh-jigsaw-puzzle-G0689196511547.html")</f>
        <v/>
      </c>
      <c r="B116" s="1">
        <f>HYPERLINK("https://www.toysrus.com/eeboo-piece-and-love-marrakesh-jigsaw-puzzle-G0689196511547.html", "https://www.toysrus.com/eeboo-piece-and-love-marrakesh-jigsaw-puzzle-G0689196511547.html")</f>
        <v/>
      </c>
      <c r="C116" t="inlineStr">
        <is>
          <t>eeBoo Piece and Love Marrakesh Jigsaw Puzzle</t>
        </is>
      </c>
      <c r="D116" t="inlineStr">
        <is>
          <t>eeBoo: Piece and Love New York Life 1000-piece square adult Jigsaw Puzzle, Jigsaw Puzzle for Adults and Families, Includes Glossy, Sturdy Pieces and Minimal Puzzle Dust</t>
        </is>
      </c>
      <c r="E116" s="1">
        <f>HYPERLINK("https://www.amazon.com/eeBoo-1000-piece-Quality-Families-Minimal/dp/B084H1GVN9/ref=sr_1_3?keywords=eeBoo+Piece+and+Love+Marrakesh+Jigsaw+Puzzle&amp;qid=1695588372&amp;sr=8-3", "https://www.amazon.com/eeBoo-1000-piece-Quality-Families-Minimal/dp/B084H1GVN9/ref=sr_1_3?keywords=eeBoo+Piece+and+Love+Marrakesh+Jigsaw+Puzzle&amp;qid=1695588372&amp;sr=8-3")</f>
        <v/>
      </c>
      <c r="F116" t="inlineStr">
        <is>
          <t>B084H1GVN9</t>
        </is>
      </c>
      <c r="G116">
        <f>_xlfn.IMAGE("https://images.toysrus.com/1285/689196511547_1.jpg")</f>
        <v/>
      </c>
      <c r="H116">
        <f>_xlfn.IMAGE("https://m.media-amazon.com/images/I/81STb8-wR5L._AC_UL320_.jpg")</f>
        <v/>
      </c>
      <c r="K116" t="inlineStr">
        <is>
          <t>11.99</t>
        </is>
      </c>
      <c r="L116" t="n">
        <v>19.89</v>
      </c>
      <c r="M116" s="2" t="inlineStr">
        <is>
          <t>65.89%</t>
        </is>
      </c>
      <c r="N116" t="n">
        <v>4.6</v>
      </c>
      <c r="O116" t="n">
        <v>122</v>
      </c>
      <c r="Q116" t="inlineStr">
        <is>
          <t>InStock</t>
        </is>
      </c>
      <c r="R116" t="inlineStr">
        <is>
          <t>undefined</t>
        </is>
      </c>
      <c r="S116" t="inlineStr">
        <is>
          <t>G0689196511547</t>
        </is>
      </c>
    </row>
    <row r="117" ht="75" customHeight="1">
      <c r="A117" s="1">
        <f>HYPERLINK("https://www.toysrus.com/eeboo-piece-and-love-marrakesh-jigsaw-puzzle-G0689196511547.html", "https://www.toysrus.com/eeboo-piece-and-love-marrakesh-jigsaw-puzzle-G0689196511547.html")</f>
        <v/>
      </c>
      <c r="B117" s="1">
        <f>HYPERLINK("https://www.toysrus.com/eeboo-piece-and-love-marrakesh-jigsaw-puzzle-G0689196511547.html", "https://www.toysrus.com/eeboo-piece-and-love-marrakesh-jigsaw-puzzle-G0689196511547.html")</f>
        <v/>
      </c>
      <c r="C117" t="inlineStr">
        <is>
          <t>eeBoo Piece and Love Marrakesh Jigsaw Puzzle</t>
        </is>
      </c>
      <c r="D117" t="inlineStr">
        <is>
          <t>eeBoo: Piece and Love Mother Earth 1000 Piece Square Adult Jigsaw Puzzle, Puzzle for Adults and Families, Glossy, Sturdy Pieces and Minimal Puzzle Dust</t>
        </is>
      </c>
      <c r="E117" s="1">
        <f>HYPERLINK("https://www.amazon.com/eeBoo-Mother-Jigsaw-Puzzle-Adults/dp/B07XDBY6DT/ref=sr_1_10?keywords=eeBoo+Piece+and+Love+Marrakesh+Jigsaw+Puzzle&amp;qid=1695588372&amp;sr=8-10", "https://www.amazon.com/eeBoo-Mother-Jigsaw-Puzzle-Adults/dp/B07XDBY6DT/ref=sr_1_10?keywords=eeBoo+Piece+and+Love+Marrakesh+Jigsaw+Puzzle&amp;qid=1695588372&amp;sr=8-10")</f>
        <v/>
      </c>
      <c r="F117" t="inlineStr">
        <is>
          <t>B07XDBY6DT</t>
        </is>
      </c>
      <c r="G117">
        <f>_xlfn.IMAGE("https://images.toysrus.com/1285/689196511547_1.jpg")</f>
        <v/>
      </c>
      <c r="H117">
        <f>_xlfn.IMAGE("https://m.media-amazon.com/images/I/71U45ClxClL._AC_UL320_.jpg")</f>
        <v/>
      </c>
      <c r="K117" t="inlineStr">
        <is>
          <t>11.99</t>
        </is>
      </c>
      <c r="L117" t="n">
        <v>19.8</v>
      </c>
      <c r="M117" s="2" t="inlineStr">
        <is>
          <t>65.14%</t>
        </is>
      </c>
      <c r="N117" t="n">
        <v>4.5</v>
      </c>
      <c r="O117" t="n">
        <v>224</v>
      </c>
      <c r="Q117" t="inlineStr">
        <is>
          <t>InStock</t>
        </is>
      </c>
      <c r="R117" t="inlineStr">
        <is>
          <t>undefined</t>
        </is>
      </c>
      <c r="S117" t="inlineStr">
        <is>
          <t>G0689196511547</t>
        </is>
      </c>
    </row>
    <row r="118" ht="75" customHeight="1">
      <c r="A118" s="1">
        <f>HYPERLINK("https://www.toysrus.com/eeboo-piece-and-love-poets-garden-1000-piece-square-adult-jigsaw-puzzle-G689196511073.html", "https://www.toysrus.com/eeboo-piece-and-love-poets-garden-1000-piece-square-adult-jigsaw-puzzle-G689196511073.html")</f>
        <v/>
      </c>
      <c r="B118" s="1">
        <f>HYPERLINK("https://www.toysrus.com/eeboo-piece-and-love-poets-garden-1000-piece-square-adult-jigsaw-puzzle-G689196511073.html", "https://www.toysrus.com/eeboo-piece-and-love-poets-garden-1000-piece-square-adult-jigsaw-puzzle-G689196511073.html")</f>
        <v/>
      </c>
      <c r="C118" t="inlineStr">
        <is>
          <t>eeBoo Piece and Love Poet's Garden 1000 piece square adult Jigsaw Puzzle</t>
        </is>
      </c>
      <c r="D118" t="inlineStr">
        <is>
          <t>eeBoo: Piece and Love Amazon Rainforest 1000 piece square adult Jigsaw Puzzle, Jigsaw Puzzle for Adults and Families, Includes Glossy, Sturdy Pieces and Minimal Puzzle Dust</t>
        </is>
      </c>
      <c r="E118" s="1">
        <f>HYPERLINK("https://www.amazon.com/eeBoo-Amazon-Rainforest-Puzzle-Adults/dp/B0875XHFRN/ref=sr_1_8?keywords=eeBoo+Piece+and+Love+Poet%27s+Garden+1000+piece+square+adult+Jigsaw+Puzzle&amp;qid=1695588326&amp;sr=8-8", "https://www.amazon.com/eeBoo-Amazon-Rainforest-Puzzle-Adults/dp/B0875XHFRN/ref=sr_1_8?keywords=eeBoo+Piece+and+Love+Poet%27s+Garden+1000+piece+square+adult+Jigsaw+Puzzle&amp;qid=1695588326&amp;sr=8-8")</f>
        <v/>
      </c>
      <c r="F118" t="inlineStr">
        <is>
          <t>B0875XHFRN</t>
        </is>
      </c>
      <c r="G118">
        <f>_xlfn.IMAGE("https://images.toysrus.com/1285/689196511073_1.jpg")</f>
        <v/>
      </c>
      <c r="H118">
        <f>_xlfn.IMAGE("https://m.media-amazon.com/images/I/81CxGgCbd4L._AC_UL320_.jpg")</f>
        <v/>
      </c>
      <c r="K118" t="inlineStr">
        <is>
          <t>9.99</t>
        </is>
      </c>
      <c r="L118" t="n">
        <v>21.99</v>
      </c>
      <c r="M118" s="2" t="inlineStr">
        <is>
          <t>120.12%</t>
        </is>
      </c>
      <c r="N118" t="n">
        <v>4.8</v>
      </c>
      <c r="O118" t="n">
        <v>56</v>
      </c>
      <c r="Q118" t="inlineStr">
        <is>
          <t>InStock</t>
        </is>
      </c>
      <c r="R118" t="inlineStr">
        <is>
          <t>undefined</t>
        </is>
      </c>
      <c r="S118" t="inlineStr">
        <is>
          <t>G689196511073</t>
        </is>
      </c>
    </row>
    <row r="119" ht="75" customHeight="1">
      <c r="A119" s="1">
        <f>HYPERLINK("https://www.toysrus.com/eeboo-piece-and-love-poets-garden-1000-piece-square-adult-jigsaw-puzzle-G689196511073.html", "https://www.toysrus.com/eeboo-piece-and-love-poets-garden-1000-piece-square-adult-jigsaw-puzzle-G689196511073.html")</f>
        <v/>
      </c>
      <c r="B119" s="1">
        <f>HYPERLINK("https://www.toysrus.com/eeboo-piece-and-love-poets-garden-1000-piece-square-adult-jigsaw-puzzle-G689196511073.html", "https://www.toysrus.com/eeboo-piece-and-love-poets-garden-1000-piece-square-adult-jigsaw-puzzle-G689196511073.html")</f>
        <v/>
      </c>
      <c r="C119" t="inlineStr">
        <is>
          <t>eeBoo Piece and Love Poet's Garden 1000 piece square adult Jigsaw Puzzle</t>
        </is>
      </c>
      <c r="D119" t="inlineStr">
        <is>
          <t>eeBoo: Piece and Love Songbirds Tree 1000 Piece Square Adult Jigsaw Puzzle, Puzzle for Adults and Families, Glossy, Sturdy Pieces and Minimal Puzzle Dust</t>
        </is>
      </c>
      <c r="E119" s="1">
        <f>HYPERLINK("https://www.amazon.com/eeBoo-Songbirds-High-Quality-Families-Minimal/dp/B08N6BVQBD/ref=sr_1_9?keywords=eeBoo+Piece+and+Love+Poet%27s+Garden+1000+piece+square+adult+Jigsaw+Puzzle&amp;qid=1695588326&amp;sr=8-9", "https://www.amazon.com/eeBoo-Songbirds-High-Quality-Families-Minimal/dp/B08N6BVQBD/ref=sr_1_9?keywords=eeBoo+Piece+and+Love+Poet%27s+Garden+1000+piece+square+adult+Jigsaw+Puzzle&amp;qid=1695588326&amp;sr=8-9")</f>
        <v/>
      </c>
      <c r="F119" t="inlineStr">
        <is>
          <t>B08N6BVQBD</t>
        </is>
      </c>
      <c r="G119">
        <f>_xlfn.IMAGE("https://images.toysrus.com/1285/689196511073_1.jpg")</f>
        <v/>
      </c>
      <c r="H119">
        <f>_xlfn.IMAGE("https://m.media-amazon.com/images/I/91s8sTABt6L._AC_UL320_.jpg")</f>
        <v/>
      </c>
      <c r="K119" t="inlineStr">
        <is>
          <t>9.99</t>
        </is>
      </c>
      <c r="L119" t="n">
        <v>21.99</v>
      </c>
      <c r="M119" s="2" t="inlineStr">
        <is>
          <t>120.12%</t>
        </is>
      </c>
      <c r="N119" t="n">
        <v>4.8</v>
      </c>
      <c r="O119" t="n">
        <v>139</v>
      </c>
      <c r="Q119" t="inlineStr">
        <is>
          <t>InStock</t>
        </is>
      </c>
      <c r="R119" t="inlineStr">
        <is>
          <t>undefined</t>
        </is>
      </c>
      <c r="S119" t="inlineStr">
        <is>
          <t>G689196511073</t>
        </is>
      </c>
    </row>
    <row r="120" ht="75" customHeight="1">
      <c r="A120" s="1">
        <f>HYPERLINK("https://www.toysrus.com/eeboo-piece-and-love-poets-garden-1000-piece-square-adult-jigsaw-puzzle-G689196511073.html", "https://www.toysrus.com/eeboo-piece-and-love-poets-garden-1000-piece-square-adult-jigsaw-puzzle-G689196511073.html")</f>
        <v/>
      </c>
      <c r="B120" s="1">
        <f>HYPERLINK("https://www.toysrus.com/eeboo-piece-and-love-poets-garden-1000-piece-square-adult-jigsaw-puzzle-G689196511073.html", "https://www.toysrus.com/eeboo-piece-and-love-poets-garden-1000-piece-square-adult-jigsaw-puzzle-G689196511073.html")</f>
        <v/>
      </c>
      <c r="C120" t="inlineStr">
        <is>
          <t>eeBoo Piece and Love Poet's Garden 1000 piece square adult Jigsaw Puzzle</t>
        </is>
      </c>
      <c r="D120" t="inlineStr">
        <is>
          <t>eeBoo: Piece and Love Peacock Garden 1000-piece square adult Jigsaw Puzzle, Jigsaw Puzzle for Adults and Families, Includes Glossy, Sturdy Pieces and Minimal Puzzle Dust</t>
        </is>
      </c>
      <c r="E120" s="1">
        <f>HYPERLINK("https://www.amazon.com/eeBoo-Peacock-Garden-Family-Jigsaw/dp/B01FRGCQUS/ref=sr_1_2?keywords=eeBoo+Piece+and+Love+Poet%27s+Garden+1000+piece+square+adult+Jigsaw+Puzzle&amp;qid=1695588326&amp;sr=8-2", "https://www.amazon.com/eeBoo-Peacock-Garden-Family-Jigsaw/dp/B01FRGCQUS/ref=sr_1_2?keywords=eeBoo+Piece+and+Love+Poet%27s+Garden+1000+piece+square+adult+Jigsaw+Puzzle&amp;qid=1695588326&amp;sr=8-2")</f>
        <v/>
      </c>
      <c r="F120" t="inlineStr">
        <is>
          <t>B01FRGCQUS</t>
        </is>
      </c>
      <c r="G120">
        <f>_xlfn.IMAGE("https://images.toysrus.com/1285/689196511073_1.jpg")</f>
        <v/>
      </c>
      <c r="H120">
        <f>_xlfn.IMAGE("https://m.media-amazon.com/images/I/71RwwZOIHlL._AC_UL320_.jpg")</f>
        <v/>
      </c>
      <c r="K120" t="inlineStr">
        <is>
          <t>9.99</t>
        </is>
      </c>
      <c r="L120" t="n">
        <v>21.99</v>
      </c>
      <c r="M120" s="2" t="inlineStr">
        <is>
          <t>120.12%</t>
        </is>
      </c>
      <c r="N120" t="n">
        <v>4.6</v>
      </c>
      <c r="O120" t="n">
        <v>115</v>
      </c>
      <c r="Q120" t="inlineStr">
        <is>
          <t>InStock</t>
        </is>
      </c>
      <c r="R120" t="inlineStr">
        <is>
          <t>undefined</t>
        </is>
      </c>
      <c r="S120" t="inlineStr">
        <is>
          <t>G689196511073</t>
        </is>
      </c>
    </row>
    <row r="121" ht="75" customHeight="1">
      <c r="A121" s="1">
        <f>HYPERLINK("https://www.toysrus.com/eeboo-piece-and-love-poets-garden-1000-piece-square-adult-jigsaw-puzzle-G689196511073.html", "https://www.toysrus.com/eeboo-piece-and-love-poets-garden-1000-piece-square-adult-jigsaw-puzzle-G689196511073.html")</f>
        <v/>
      </c>
      <c r="B121" s="1">
        <f>HYPERLINK("https://www.toysrus.com/eeboo-piece-and-love-poets-garden-1000-piece-square-adult-jigsaw-puzzle-G689196511073.html", "https://www.toysrus.com/eeboo-piece-and-love-poets-garden-1000-piece-square-adult-jigsaw-puzzle-G689196511073.html")</f>
        <v/>
      </c>
      <c r="C121" t="inlineStr">
        <is>
          <t>eeBoo Piece and Love Poet's Garden 1000 piece square adult Jigsaw Puzzle</t>
        </is>
      </c>
      <c r="D121" t="inlineStr">
        <is>
          <t>eeBoo: Piece and Love New York Life 1000-piece square adult Jigsaw Puzzle, Jigsaw Puzzle for Adults and Families, Includes Glossy, Sturdy Pieces and Minimal Puzzle Dust</t>
        </is>
      </c>
      <c r="E121" s="1">
        <f>HYPERLINK("https://www.amazon.com/eeBoo-1000-piece-Quality-Families-Minimal/dp/B084H1GVN9/ref=sr_1_6?keywords=eeBoo+Piece+and+Love+Poet%27s+Garden+1000+piece+square+adult+Jigsaw+Puzzle&amp;qid=1695588326&amp;sr=8-6", "https://www.amazon.com/eeBoo-1000-piece-Quality-Families-Minimal/dp/B084H1GVN9/ref=sr_1_6?keywords=eeBoo+Piece+and+Love+Poet%27s+Garden+1000+piece+square+adult+Jigsaw+Puzzle&amp;qid=1695588326&amp;sr=8-6")</f>
        <v/>
      </c>
      <c r="F121" t="inlineStr">
        <is>
          <t>B084H1GVN9</t>
        </is>
      </c>
      <c r="G121">
        <f>_xlfn.IMAGE("https://images.toysrus.com/1285/689196511073_1.jpg")</f>
        <v/>
      </c>
      <c r="H121">
        <f>_xlfn.IMAGE("https://m.media-amazon.com/images/I/81STb8-wR5L._AC_UL320_.jpg")</f>
        <v/>
      </c>
      <c r="K121" t="inlineStr">
        <is>
          <t>9.99</t>
        </is>
      </c>
      <c r="L121" t="n">
        <v>19.89</v>
      </c>
      <c r="M121" s="2" t="inlineStr">
        <is>
          <t>99.10%</t>
        </is>
      </c>
      <c r="N121" t="n">
        <v>4.6</v>
      </c>
      <c r="O121" t="n">
        <v>122</v>
      </c>
      <c r="Q121" t="inlineStr">
        <is>
          <t>InStock</t>
        </is>
      </c>
      <c r="R121" t="inlineStr">
        <is>
          <t>undefined</t>
        </is>
      </c>
      <c r="S121" t="inlineStr">
        <is>
          <t>G689196511073</t>
        </is>
      </c>
    </row>
    <row r="122" ht="75" customHeight="1">
      <c r="A122" s="1">
        <f>HYPERLINK("https://www.toysrus.com/eeboo-piece-and-love-poets-garden-1000-piece-square-adult-jigsaw-puzzle-G689196511073.html", "https://www.toysrus.com/eeboo-piece-and-love-poets-garden-1000-piece-square-adult-jigsaw-puzzle-G689196511073.html")</f>
        <v/>
      </c>
      <c r="B122" s="1">
        <f>HYPERLINK("https://www.toysrus.com/eeboo-piece-and-love-poets-garden-1000-piece-square-adult-jigsaw-puzzle-G689196511073.html", "https://www.toysrus.com/eeboo-piece-and-love-poets-garden-1000-piece-square-adult-jigsaw-puzzle-G689196511073.html")</f>
        <v/>
      </c>
      <c r="C122" t="inlineStr">
        <is>
          <t>eeBoo Piece and Love Poet's Garden 1000 piece square adult Jigsaw Puzzle</t>
        </is>
      </c>
      <c r="D122" t="inlineStr">
        <is>
          <t>eeBoo: Piece and Love London Life 1000 Piece Square Adult Jigsaw Puzzle, Puzzle for Adults and Families, Glossy, Sturdy Pieces and Minimal Puzzle Dust</t>
        </is>
      </c>
      <c r="E122" s="1">
        <f>HYPERLINK("https://www.amazon.com/eeBoo-London-High-Quality-Families-Minimal/dp/B08N67NQR5/ref=sr_1_5?keywords=eeBoo+Piece+and+Love+Poet%27s+Garden+1000+piece+square+adult+Jigsaw+Puzzle&amp;qid=1695588326&amp;sr=8-5", "https://www.amazon.com/eeBoo-London-High-Quality-Families-Minimal/dp/B08N67NQR5/ref=sr_1_5?keywords=eeBoo+Piece+and+Love+Poet%27s+Garden+1000+piece+square+adult+Jigsaw+Puzzle&amp;qid=1695588326&amp;sr=8-5")</f>
        <v/>
      </c>
      <c r="F122" t="inlineStr">
        <is>
          <t>B08N67NQR5</t>
        </is>
      </c>
      <c r="G122">
        <f>_xlfn.IMAGE("https://images.toysrus.com/1285/689196511073_1.jpg")</f>
        <v/>
      </c>
      <c r="H122">
        <f>_xlfn.IMAGE("https://m.media-amazon.com/images/I/71bnQNzgHyL._AC_UL320_.jpg")</f>
        <v/>
      </c>
      <c r="K122" t="inlineStr">
        <is>
          <t>9.99</t>
        </is>
      </c>
      <c r="L122" t="n">
        <v>16.99</v>
      </c>
      <c r="M122" s="2" t="inlineStr">
        <is>
          <t>70.07%</t>
        </is>
      </c>
      <c r="N122" t="n">
        <v>4.7</v>
      </c>
      <c r="O122" t="n">
        <v>120</v>
      </c>
      <c r="Q122" t="inlineStr">
        <is>
          <t>InStock</t>
        </is>
      </c>
      <c r="R122" t="inlineStr">
        <is>
          <t>undefined</t>
        </is>
      </c>
      <c r="S122" t="inlineStr">
        <is>
          <t>G689196511073</t>
        </is>
      </c>
    </row>
    <row r="123" ht="75" customHeight="1">
      <c r="A123" s="1">
        <f>HYPERLINK("https://www.toysrus.com/eeboo-piece-and-love-poets-garden-1000-piece-square-adult-jigsaw-puzzle-G689196511073.html", "https://www.toysrus.com/eeboo-piece-and-love-poets-garden-1000-piece-square-adult-jigsaw-puzzle-G689196511073.html")</f>
        <v/>
      </c>
      <c r="B123" s="1">
        <f>HYPERLINK("https://www.toysrus.com/eeboo-piece-and-love-poets-garden-1000-piece-square-adult-jigsaw-puzzle-G689196511073.html", "https://www.toysrus.com/eeboo-piece-and-love-poets-garden-1000-piece-square-adult-jigsaw-puzzle-G689196511073.html")</f>
        <v/>
      </c>
      <c r="C123" t="inlineStr">
        <is>
          <t>eeBoo Piece and Love Poet's Garden 1000 piece square adult Jigsaw Puzzle</t>
        </is>
      </c>
      <c r="D123" t="inlineStr">
        <is>
          <t>eeBoo: Piece and Love Poet's Garden 1000 Piece Square Adult Jigsaw Puzzle, Puzzle for Adults and Families, Glossy, Sturdy Pieces and Minimal Puzzle Dust</t>
        </is>
      </c>
      <c r="E123" s="1">
        <f>HYPERLINK("https://www.amazon.com/eeBoo-Garden-High-Quality-Families-Minimal/dp/B08N67P4QB/ref=sr_1_1?keywords=eeBoo+Piece+and+Love+Poet%27s+Garden+1000+piece+square+adult+Jigsaw+Puzzle&amp;qid=1695588326&amp;sr=8-1", "https://www.amazon.com/eeBoo-Garden-High-Quality-Families-Minimal/dp/B08N67P4QB/ref=sr_1_1?keywords=eeBoo+Piece+and+Love+Poet%27s+Garden+1000+piece+square+adult+Jigsaw+Puzzle&amp;qid=1695588326&amp;sr=8-1")</f>
        <v/>
      </c>
      <c r="F123" t="inlineStr">
        <is>
          <t>B08N67P4QB</t>
        </is>
      </c>
      <c r="G123">
        <f>_xlfn.IMAGE("https://images.toysrus.com/1285/689196511073_1.jpg")</f>
        <v/>
      </c>
      <c r="H123">
        <f>_xlfn.IMAGE("https://m.media-amazon.com/images/I/81MWn+sVWIL._AC_UL320_.jpg")</f>
        <v/>
      </c>
      <c r="K123" t="inlineStr">
        <is>
          <t>9.99</t>
        </is>
      </c>
      <c r="L123" t="n">
        <v>16.99</v>
      </c>
      <c r="M123" s="2" t="inlineStr">
        <is>
          <t>70.07%</t>
        </is>
      </c>
      <c r="N123" t="n">
        <v>4.9</v>
      </c>
      <c r="O123" t="n">
        <v>21</v>
      </c>
      <c r="Q123" t="inlineStr">
        <is>
          <t>InStock</t>
        </is>
      </c>
      <c r="R123" t="inlineStr">
        <is>
          <t>undefined</t>
        </is>
      </c>
      <c r="S123" t="inlineStr">
        <is>
          <t>G689196511073</t>
        </is>
      </c>
    </row>
    <row r="124" ht="75" customHeight="1">
      <c r="A124" s="1">
        <f>HYPERLINK("https://www.toysrus.com/eeboo-piece-and-love-votes-for-women-jigsaw-puzzle-G689196508769.html", "https://www.toysrus.com/eeboo-piece-and-love-votes-for-women-jigsaw-puzzle-G689196508769.html")</f>
        <v/>
      </c>
      <c r="B124" s="1">
        <f>HYPERLINK("https://www.toysrus.com/eeboo-piece-and-love-votes-for-women-jigsaw-puzzle-G689196508769.html", "https://www.toysrus.com/eeboo-piece-and-love-votes-for-women-jigsaw-puzzle-G689196508769.html")</f>
        <v/>
      </c>
      <c r="C124" t="inlineStr">
        <is>
          <t>eeBoo Piece and Love Votes for Women Jigsaw Puzzle</t>
        </is>
      </c>
      <c r="D124" t="inlineStr">
        <is>
          <t>eeBoo: Piece and Love Planet Earth 1000-piece square adult Jigsaw Puzzle, Jigsaw Puzzle for Adults and Families, Includes Glossy, Sturdy Pieces and Minimal Puzzle Dust</t>
        </is>
      </c>
      <c r="E124" s="1">
        <f>HYPERLINK("https://www.amazon.com/eeBoo-1000-piece-Quality-Families-Minimal/dp/B086FNYG7T/ref=sr_1_9?keywords=eeBoo+Piece+and+Love+Votes+for+Women+Jigsaw+Puzzle&amp;qid=1695588358&amp;sr=8-9", "https://www.amazon.com/eeBoo-1000-piece-Quality-Families-Minimal/dp/B086FNYG7T/ref=sr_1_9?keywords=eeBoo+Piece+and+Love+Votes+for+Women+Jigsaw+Puzzle&amp;qid=1695588358&amp;sr=8-9")</f>
        <v/>
      </c>
      <c r="F124" t="inlineStr">
        <is>
          <t>B086FNYG7T</t>
        </is>
      </c>
      <c r="G124">
        <f>_xlfn.IMAGE("https://images.toysrus.com/1285/689196508769_1.jpg")</f>
        <v/>
      </c>
      <c r="H124">
        <f>_xlfn.IMAGE("https://m.media-amazon.com/images/I/A10WDfkRnhL._AC_UL320_.jpg")</f>
        <v/>
      </c>
      <c r="K124" t="inlineStr">
        <is>
          <t>9.99</t>
        </is>
      </c>
      <c r="L124" t="n">
        <v>21.99</v>
      </c>
      <c r="M124" s="2" t="inlineStr">
        <is>
          <t>120.12%</t>
        </is>
      </c>
      <c r="N124" t="n">
        <v>5</v>
      </c>
      <c r="O124" t="n">
        <v>10</v>
      </c>
      <c r="Q124" t="inlineStr">
        <is>
          <t>InStock</t>
        </is>
      </c>
      <c r="R124" t="inlineStr">
        <is>
          <t>undefined</t>
        </is>
      </c>
      <c r="S124" t="inlineStr">
        <is>
          <t>G689196508769</t>
        </is>
      </c>
    </row>
    <row r="125" ht="75" customHeight="1">
      <c r="A125" s="1">
        <f>HYPERLINK("https://www.toysrus.com/eeboo-piece-and-love-votes-for-women-jigsaw-puzzle-G689196508769.html", "https://www.toysrus.com/eeboo-piece-and-love-votes-for-women-jigsaw-puzzle-G689196508769.html")</f>
        <v/>
      </c>
      <c r="B125" s="1">
        <f>HYPERLINK("https://www.toysrus.com/eeboo-piece-and-love-votes-for-women-jigsaw-puzzle-G689196508769.html", "https://www.toysrus.com/eeboo-piece-and-love-votes-for-women-jigsaw-puzzle-G689196508769.html")</f>
        <v/>
      </c>
      <c r="C125" t="inlineStr">
        <is>
          <t>eeBoo Piece and Love Votes for Women Jigsaw Puzzle</t>
        </is>
      </c>
      <c r="D125" t="inlineStr">
        <is>
          <t>eeBoo: Piece and Love Plant Ladies 1000 Piece Square Adult Jigsaw Puzzle, Puzzle for Adults and Families, Glossy, Sturdy Pieces and Minimal Puzzle Dust</t>
        </is>
      </c>
      <c r="E125" s="1">
        <f>HYPERLINK("https://www.amazon.com/eeBoo-Plant-Ladies-Puzzle-Adults/dp/B0875W19JT/ref=sr_1_4?keywords=eeBoo+Piece+and+Love+Votes+for+Women+Jigsaw+Puzzle&amp;qid=1695588358&amp;sr=8-4", "https://www.amazon.com/eeBoo-Plant-Ladies-Puzzle-Adults/dp/B0875W19JT/ref=sr_1_4?keywords=eeBoo+Piece+and+Love+Votes+for+Women+Jigsaw+Puzzle&amp;qid=1695588358&amp;sr=8-4")</f>
        <v/>
      </c>
      <c r="F125" t="inlineStr">
        <is>
          <t>B0875W19JT</t>
        </is>
      </c>
      <c r="G125">
        <f>_xlfn.IMAGE("https://images.toysrus.com/1285/689196508769_1.jpg")</f>
        <v/>
      </c>
      <c r="H125">
        <f>_xlfn.IMAGE("https://m.media-amazon.com/images/I/91O1paGF2gL._AC_UL320_.jpg")</f>
        <v/>
      </c>
      <c r="K125" t="inlineStr">
        <is>
          <t>9.99</t>
        </is>
      </c>
      <c r="L125" t="n">
        <v>21.99</v>
      </c>
      <c r="M125" s="2" t="inlineStr">
        <is>
          <t>120.12%</t>
        </is>
      </c>
      <c r="N125" t="n">
        <v>4.9</v>
      </c>
      <c r="O125" t="n">
        <v>32</v>
      </c>
      <c r="Q125" t="inlineStr">
        <is>
          <t>InStock</t>
        </is>
      </c>
      <c r="R125" t="inlineStr">
        <is>
          <t>undefined</t>
        </is>
      </c>
      <c r="S125" t="inlineStr">
        <is>
          <t>G689196508769</t>
        </is>
      </c>
    </row>
    <row r="126" ht="75" customHeight="1">
      <c r="A126" s="1">
        <f>HYPERLINK("https://www.toysrus.com/eeboo-piece-and-love-votes-for-women-jigsaw-puzzle-G689196508769.html", "https://www.toysrus.com/eeboo-piece-and-love-votes-for-women-jigsaw-puzzle-G689196508769.html")</f>
        <v/>
      </c>
      <c r="B126" s="1">
        <f>HYPERLINK("https://www.toysrus.com/eeboo-piece-and-love-votes-for-women-jigsaw-puzzle-G689196508769.html", "https://www.toysrus.com/eeboo-piece-and-love-votes-for-women-jigsaw-puzzle-G689196508769.html")</f>
        <v/>
      </c>
      <c r="C126" t="inlineStr">
        <is>
          <t>eeBoo Piece and Love Votes for Women Jigsaw Puzzle</t>
        </is>
      </c>
      <c r="D126" t="inlineStr">
        <is>
          <t>eeBoo: Piece and Love Triangle Pattern 500 Piece Round Circle Jigsaw Puzzle, Jigsaw Puzzle for Adults and Families, Includes Glossy and Sturdy Pieces</t>
        </is>
      </c>
      <c r="E126" s="1">
        <f>HYPERLINK("https://www.amazon.com/eeBoo-Triangle-Pattern-Puzzle-Adults/dp/B0875XHFRP/ref=sr_1_8?keywords=eeBoo+Piece+and+Love+Votes+for+Women+Jigsaw+Puzzle&amp;qid=1695588358&amp;sr=8-8", "https://www.amazon.com/eeBoo-Triangle-Pattern-Puzzle-Adults/dp/B0875XHFRP/ref=sr_1_8?keywords=eeBoo+Piece+and+Love+Votes+for+Women+Jigsaw+Puzzle&amp;qid=1695588358&amp;sr=8-8")</f>
        <v/>
      </c>
      <c r="F126" t="inlineStr">
        <is>
          <t>B0875XHFRP</t>
        </is>
      </c>
      <c r="G126">
        <f>_xlfn.IMAGE("https://images.toysrus.com/1285/689196508769_1.jpg")</f>
        <v/>
      </c>
      <c r="H126">
        <f>_xlfn.IMAGE("https://m.media-amazon.com/images/I/A1uQhMXZr0L._AC_UL320_.jpg")</f>
        <v/>
      </c>
      <c r="K126" t="inlineStr">
        <is>
          <t>9.99</t>
        </is>
      </c>
      <c r="L126" t="n">
        <v>19.99</v>
      </c>
      <c r="M126" s="2" t="inlineStr">
        <is>
          <t>100.10%</t>
        </is>
      </c>
      <c r="N126" t="n">
        <v>4.8</v>
      </c>
      <c r="O126" t="n">
        <v>10</v>
      </c>
      <c r="Q126" t="inlineStr">
        <is>
          <t>InStock</t>
        </is>
      </c>
      <c r="R126" t="inlineStr">
        <is>
          <t>undefined</t>
        </is>
      </c>
      <c r="S126" t="inlineStr">
        <is>
          <t>G689196508769</t>
        </is>
      </c>
    </row>
    <row r="127" ht="75" customHeight="1">
      <c r="A127" s="1">
        <f>HYPERLINK("https://www.toysrus.com/eeboo-piece-and-love-votes-for-women-jigsaw-puzzle-G689196508769.html", "https://www.toysrus.com/eeboo-piece-and-love-votes-for-women-jigsaw-puzzle-G689196508769.html")</f>
        <v/>
      </c>
      <c r="B127" s="1">
        <f>HYPERLINK("https://www.toysrus.com/eeboo-piece-and-love-votes-for-women-jigsaw-puzzle-G689196508769.html", "https://www.toysrus.com/eeboo-piece-and-love-votes-for-women-jigsaw-puzzle-G689196508769.html")</f>
        <v/>
      </c>
      <c r="C127" t="inlineStr">
        <is>
          <t>eeBoo Piece and Love Votes for Women Jigsaw Puzzle</t>
        </is>
      </c>
      <c r="D127" t="inlineStr">
        <is>
          <t>eeBoo: Piece and Love Poet's Garden 1000 Piece Square Adult Jigsaw Puzzle, Puzzle for Adults and Families, Glossy, Sturdy Pieces and Minimal Puzzle Dust</t>
        </is>
      </c>
      <c r="E127" s="1">
        <f>HYPERLINK("https://www.amazon.com/eeBoo-Garden-High-Quality-Families-Minimal/dp/B08N67P4QB/ref=sr_1_5?keywords=eeBoo+Piece+and+Love+Votes+for+Women+Jigsaw+Puzzle&amp;qid=1695588358&amp;sr=8-5", "https://www.amazon.com/eeBoo-Garden-High-Quality-Families-Minimal/dp/B08N67P4QB/ref=sr_1_5?keywords=eeBoo+Piece+and+Love+Votes+for+Women+Jigsaw+Puzzle&amp;qid=1695588358&amp;sr=8-5")</f>
        <v/>
      </c>
      <c r="F127" t="inlineStr">
        <is>
          <t>B08N67P4QB</t>
        </is>
      </c>
      <c r="G127">
        <f>_xlfn.IMAGE("https://images.toysrus.com/1285/689196508769_1.jpg")</f>
        <v/>
      </c>
      <c r="H127">
        <f>_xlfn.IMAGE("https://m.media-amazon.com/images/I/81MWn+sVWIL._AC_UL320_.jpg")</f>
        <v/>
      </c>
      <c r="K127" t="inlineStr">
        <is>
          <t>9.99</t>
        </is>
      </c>
      <c r="L127" t="n">
        <v>16.99</v>
      </c>
      <c r="M127" s="2" t="inlineStr">
        <is>
          <t>70.07%</t>
        </is>
      </c>
      <c r="N127" t="n">
        <v>4.9</v>
      </c>
      <c r="O127" t="n">
        <v>21</v>
      </c>
      <c r="Q127" t="inlineStr">
        <is>
          <t>InStock</t>
        </is>
      </c>
      <c r="R127" t="inlineStr">
        <is>
          <t>undefined</t>
        </is>
      </c>
      <c r="S127" t="inlineStr">
        <is>
          <t>G689196508769</t>
        </is>
      </c>
    </row>
    <row r="128" ht="75" customHeight="1">
      <c r="A128" s="1">
        <f>HYPERLINK("https://www.toysrus.com/eeboo-piece-and-love-votes-for-women-jigsaw-puzzle-G689196508769.html", "https://www.toysrus.com/eeboo-piece-and-love-votes-for-women-jigsaw-puzzle-G689196508769.html")</f>
        <v/>
      </c>
      <c r="B128" s="1">
        <f>HYPERLINK("https://www.toysrus.com/eeboo-piece-and-love-votes-for-women-jigsaw-puzzle-G689196508769.html", "https://www.toysrus.com/eeboo-piece-and-love-votes-for-women-jigsaw-puzzle-G689196508769.html")</f>
        <v/>
      </c>
      <c r="C128" t="inlineStr">
        <is>
          <t>eeBoo Piece and Love Votes for Women Jigsaw Puzzle</t>
        </is>
      </c>
      <c r="D128" t="inlineStr">
        <is>
          <t>eeBoo: Piece and Love Climate Action 500 Piece Round adult Jigsaw Puzzle, Jigsaw Puzzle for Adults and Families, Includes Glossy and Sturdy Pieces</t>
        </is>
      </c>
      <c r="E128" s="1">
        <f>HYPERLINK("https://www.amazon.com/eeBoo-Climate-Action-Puzzle-Adults/dp/B0875Q8CK9/ref=sr_1_10?keywords=eeBoo+Piece+and+Love+Votes+for+Women+Jigsaw+Puzzle&amp;qid=1695588358&amp;sr=8-10", "https://www.amazon.com/eeBoo-Climate-Action-Puzzle-Adults/dp/B0875Q8CK9/ref=sr_1_10?keywords=eeBoo+Piece+and+Love+Votes+for+Women+Jigsaw+Puzzle&amp;qid=1695588358&amp;sr=8-10")</f>
        <v/>
      </c>
      <c r="F128" t="inlineStr">
        <is>
          <t>B0875Q8CK9</t>
        </is>
      </c>
      <c r="G128">
        <f>_xlfn.IMAGE("https://images.toysrus.com/1285/689196508769_1.jpg")</f>
        <v/>
      </c>
      <c r="H128">
        <f>_xlfn.IMAGE("https://m.media-amazon.com/images/I/91-Plh6XInL._AC_UL320_.jpg")</f>
        <v/>
      </c>
      <c r="K128" t="inlineStr">
        <is>
          <t>9.99</t>
        </is>
      </c>
      <c r="L128" t="n">
        <v>16.99</v>
      </c>
      <c r="M128" s="2" t="inlineStr">
        <is>
          <t>70.07%</t>
        </is>
      </c>
      <c r="N128" t="n">
        <v>4.8</v>
      </c>
      <c r="O128" t="n">
        <v>36</v>
      </c>
      <c r="Q128" t="inlineStr">
        <is>
          <t>InStock</t>
        </is>
      </c>
      <c r="R128" t="inlineStr">
        <is>
          <t>undefined</t>
        </is>
      </c>
      <c r="S128" t="inlineStr">
        <is>
          <t>G689196508769</t>
        </is>
      </c>
    </row>
    <row r="129" ht="75" customHeight="1">
      <c r="A129" s="1">
        <f>HYPERLINK("https://www.toysrus.com/eeboo-secret-sloth-hardcover-journal-with-lock-and-key-G689196507977.html", "https://www.toysrus.com/eeboo-secret-sloth-hardcover-journal-with-lock-and-key-G689196507977.html")</f>
        <v/>
      </c>
      <c r="B129" s="1">
        <f>HYPERLINK("https://www.toysrus.com/eeboo-secret-sloth-hardcover-journal-with-lock-and-key-G689196507977.html", "https://www.toysrus.com/eeboo-secret-sloth-hardcover-journal-with-lock-and-key-G689196507977.html")</f>
        <v/>
      </c>
      <c r="C129" t="inlineStr">
        <is>
          <t>eeBoo Secret Sloth Hardcover Journal with lock and key</t>
        </is>
      </c>
      <c r="D129" t="inlineStr">
        <is>
          <t>Diary with Lock and Key for Girls - Journal with Lock includes Secret Girls Diary for Journal Writing, Multicolored Pen, Bracelet &amp; Stainless-Steel Sloth Necklace</t>
        </is>
      </c>
      <c r="E129" s="1">
        <f>HYPERLINK("https://www.amazon.com/Life-Doodle-Diary-Girls-Sloth/dp/B092YQ9X1R/ref=sr_1_3?keywords=eeBoo+Secret+Sloth+Hardcover+Journal+with+lock+and+key&amp;qid=1695588529&amp;sr=8-3", "https://www.amazon.com/Life-Doodle-Diary-Girls-Sloth/dp/B092YQ9X1R/ref=sr_1_3?keywords=eeBoo+Secret+Sloth+Hardcover+Journal+with+lock+and+key&amp;qid=1695588529&amp;sr=8-3")</f>
        <v/>
      </c>
      <c r="F129" t="inlineStr">
        <is>
          <t>B092YQ9X1R</t>
        </is>
      </c>
      <c r="G129">
        <f>_xlfn.IMAGE("https://images.toysrus.com/28598/689196507977_1.jpg")</f>
        <v/>
      </c>
      <c r="H129">
        <f>_xlfn.IMAGE("https://m.media-amazon.com/images/I/71yG4bDN9+L._AC_UL320_.jpg")</f>
        <v/>
      </c>
      <c r="K129" t="inlineStr">
        <is>
          <t>12.99</t>
        </is>
      </c>
      <c r="L129" t="n">
        <v>28.99</v>
      </c>
      <c r="M129" s="2" t="inlineStr">
        <is>
          <t>123.17%</t>
        </is>
      </c>
      <c r="N129" t="n">
        <v>4.8</v>
      </c>
      <c r="O129" t="n">
        <v>251</v>
      </c>
      <c r="Q129" t="inlineStr">
        <is>
          <t>InStock</t>
        </is>
      </c>
      <c r="R129" t="inlineStr">
        <is>
          <t>undefined</t>
        </is>
      </c>
      <c r="S129" t="inlineStr">
        <is>
          <t>G689196507977</t>
        </is>
      </c>
    </row>
    <row r="130" ht="75" customHeight="1">
      <c r="A130" s="1">
        <f>HYPERLINK("https://www.toysrus.com/eeboos-piece-and-love-celebration-jigsaw-puzzle-G689196511059.html", "https://www.toysrus.com/eeboos-piece-and-love-celebration-jigsaw-puzzle-G689196511059.html")</f>
        <v/>
      </c>
      <c r="B130" s="1">
        <f>HYPERLINK("https://www.toysrus.com/eeboos-piece-and-love-celebration-jigsaw-puzzle-G689196511059.html", "https://www.toysrus.com/eeboos-piece-and-love-celebration-jigsaw-puzzle-G689196511059.html")</f>
        <v/>
      </c>
      <c r="C130" t="inlineStr">
        <is>
          <t>eeBoo's Piece and Love Celebration Jigsaw Puzzle</t>
        </is>
      </c>
      <c r="D130" t="inlineStr">
        <is>
          <t>eeBoo: Piece and Love Planet Earth 1000-piece square adult Jigsaw Puzzle, Jigsaw Puzzle for Adults and Families, Includes Glossy, Sturdy Pieces and Minimal Puzzle Dust</t>
        </is>
      </c>
      <c r="E130" s="1">
        <f>HYPERLINK("https://www.amazon.com/eeBoo-1000-piece-Quality-Families-Minimal/dp/B086FNYG7T/ref=sr_1_8?keywords=eeBoos+Piece+and+Love+Celebration+Jigsaw+Puzzle&amp;qid=1695588385&amp;sr=8-8", "https://www.amazon.com/eeBoo-1000-piece-Quality-Families-Minimal/dp/B086FNYG7T/ref=sr_1_8?keywords=eeBoos+Piece+and+Love+Celebration+Jigsaw+Puzzle&amp;qid=1695588385&amp;sr=8-8")</f>
        <v/>
      </c>
      <c r="F130" t="inlineStr">
        <is>
          <t>B086FNYG7T</t>
        </is>
      </c>
      <c r="G130">
        <f>_xlfn.IMAGE("https://images.toysrus.com/1285/689196511059_1.jpg")</f>
        <v/>
      </c>
      <c r="H130">
        <f>_xlfn.IMAGE("https://m.media-amazon.com/images/I/A10WDfkRnhL._AC_UL320_.jpg")</f>
        <v/>
      </c>
      <c r="K130" t="inlineStr">
        <is>
          <t>9.99</t>
        </is>
      </c>
      <c r="L130" t="n">
        <v>21.99</v>
      </c>
      <c r="M130" s="2" t="inlineStr">
        <is>
          <t>120.12%</t>
        </is>
      </c>
      <c r="N130" t="n">
        <v>5</v>
      </c>
      <c r="O130" t="n">
        <v>10</v>
      </c>
      <c r="Q130" t="inlineStr">
        <is>
          <t>InStock</t>
        </is>
      </c>
      <c r="R130" t="inlineStr">
        <is>
          <t>undefined</t>
        </is>
      </c>
      <c r="S130" t="inlineStr">
        <is>
          <t>G689196511059</t>
        </is>
      </c>
    </row>
    <row r="131" ht="75" customHeight="1">
      <c r="A131" s="1">
        <f>HYPERLINK("https://www.toysrus.com/eeboos-piece-and-love-celebration-jigsaw-puzzle-G689196511059.html", "https://www.toysrus.com/eeboos-piece-and-love-celebration-jigsaw-puzzle-G689196511059.html")</f>
        <v/>
      </c>
      <c r="B131" s="1">
        <f>HYPERLINK("https://www.toysrus.com/eeboos-piece-and-love-celebration-jigsaw-puzzle-G689196511059.html", "https://www.toysrus.com/eeboos-piece-and-love-celebration-jigsaw-puzzle-G689196511059.html")</f>
        <v/>
      </c>
      <c r="C131" t="inlineStr">
        <is>
          <t>eeBoo's Piece and Love Celebration Jigsaw Puzzle</t>
        </is>
      </c>
      <c r="D131" t="inlineStr">
        <is>
          <t>eeBoo: Piece and Love Bouquet and Birds 500 Piece adult Round Jigsaw Puzzle, Jigsaw Puzzle for Adults and Families, Includes Glossy and Sturdy Pieces</t>
        </is>
      </c>
      <c r="E131" s="1">
        <f>HYPERLINK("https://www.amazon.com/eeBoo-Bouquet-Jigsaw-Puzzle-Adults/dp/B07XDBZGP5/ref=sr_1_9?keywords=eeBoos+Piece+and+Love+Celebration+Jigsaw+Puzzle&amp;qid=1695588385&amp;sr=8-9", "https://www.amazon.com/eeBoo-Bouquet-Jigsaw-Puzzle-Adults/dp/B07XDBZGP5/ref=sr_1_9?keywords=eeBoos+Piece+and+Love+Celebration+Jigsaw+Puzzle&amp;qid=1695588385&amp;sr=8-9")</f>
        <v/>
      </c>
      <c r="F131" t="inlineStr">
        <is>
          <t>B07XDBZGP5</t>
        </is>
      </c>
      <c r="G131">
        <f>_xlfn.IMAGE("https://images.toysrus.com/1285/689196511059_1.jpg")</f>
        <v/>
      </c>
      <c r="H131">
        <f>_xlfn.IMAGE("https://m.media-amazon.com/images/I/81cYIYXdjaL._AC_UL320_.jpg")</f>
        <v/>
      </c>
      <c r="K131" t="inlineStr">
        <is>
          <t>9.99</t>
        </is>
      </c>
      <c r="L131" t="n">
        <v>21.99</v>
      </c>
      <c r="M131" s="2" t="inlineStr">
        <is>
          <t>120.12%</t>
        </is>
      </c>
      <c r="N131" t="n">
        <v>4.7</v>
      </c>
      <c r="O131" t="n">
        <v>45</v>
      </c>
      <c r="Q131" t="inlineStr">
        <is>
          <t>InStock</t>
        </is>
      </c>
      <c r="R131" t="inlineStr">
        <is>
          <t>undefined</t>
        </is>
      </c>
      <c r="S131" t="inlineStr">
        <is>
          <t>G689196511059</t>
        </is>
      </c>
    </row>
    <row r="132" ht="75" customHeight="1">
      <c r="A132" s="1">
        <f>HYPERLINK("https://www.toysrus.com/eeboos-piece-and-love-celebration-jigsaw-puzzle-G689196511059.html", "https://www.toysrus.com/eeboos-piece-and-love-celebration-jigsaw-puzzle-G689196511059.html")</f>
        <v/>
      </c>
      <c r="B132" s="1">
        <f>HYPERLINK("https://www.toysrus.com/eeboos-piece-and-love-celebration-jigsaw-puzzle-G689196511059.html", "https://www.toysrus.com/eeboos-piece-and-love-celebration-jigsaw-puzzle-G689196511059.html")</f>
        <v/>
      </c>
      <c r="C132" t="inlineStr">
        <is>
          <t>eeBoo's Piece and Love Celebration Jigsaw Puzzle</t>
        </is>
      </c>
      <c r="D132" t="inlineStr">
        <is>
          <t>eeBoo: Piece and Love Paris in a Day 1000 Piece Rectangular Adult Jigsaw Puzzle, Puzzle for Adults and Families, Glossy, Sturdy Pieces and Minimal Puzzle Dust</t>
        </is>
      </c>
      <c r="E132" s="1">
        <f>HYPERLINK("https://www.amazon.com/eeBoo-Rectangular-High-Quality-Families-Minimal/dp/B084H1335H/ref=sr_1_6?keywords=eeBoos+Piece+and+Love+Celebration+Jigsaw+Puzzle&amp;qid=1695588385&amp;sr=8-6", "https://www.amazon.com/eeBoo-Rectangular-High-Quality-Families-Minimal/dp/B084H1335H/ref=sr_1_6?keywords=eeBoos+Piece+and+Love+Celebration+Jigsaw+Puzzle&amp;qid=1695588385&amp;sr=8-6")</f>
        <v/>
      </c>
      <c r="F132" t="inlineStr">
        <is>
          <t>B084H1335H</t>
        </is>
      </c>
      <c r="G132">
        <f>_xlfn.IMAGE("https://images.toysrus.com/1285/689196511059_1.jpg")</f>
        <v/>
      </c>
      <c r="H132">
        <f>_xlfn.IMAGE("https://m.media-amazon.com/images/I/81AMt7HW7sL._AC_UL320_.jpg")</f>
        <v/>
      </c>
      <c r="K132" t="inlineStr">
        <is>
          <t>9.99</t>
        </is>
      </c>
      <c r="L132" t="n">
        <v>19.99</v>
      </c>
      <c r="M132" s="2" t="inlineStr">
        <is>
          <t>100.10%</t>
        </is>
      </c>
      <c r="N132" t="n">
        <v>4.7</v>
      </c>
      <c r="O132" t="n">
        <v>400</v>
      </c>
      <c r="Q132" t="inlineStr">
        <is>
          <t>InStock</t>
        </is>
      </c>
      <c r="R132" t="inlineStr">
        <is>
          <t>undefined</t>
        </is>
      </c>
      <c r="S132" t="inlineStr">
        <is>
          <t>G689196511059</t>
        </is>
      </c>
    </row>
    <row r="133" ht="75" customHeight="1">
      <c r="A133" s="1">
        <f>HYPERLINK("https://www.toysrus.com/eeboos-piece-and-love-celebration-jigsaw-puzzle-G689196511059.html", "https://www.toysrus.com/eeboos-piece-and-love-celebration-jigsaw-puzzle-G689196511059.html")</f>
        <v/>
      </c>
      <c r="B133" s="1">
        <f>HYPERLINK("https://www.toysrus.com/eeboos-piece-and-love-celebration-jigsaw-puzzle-G689196511059.html", "https://www.toysrus.com/eeboos-piece-and-love-celebration-jigsaw-puzzle-G689196511059.html")</f>
        <v/>
      </c>
      <c r="C133" t="inlineStr">
        <is>
          <t>eeBoo's Piece and Love Celebration Jigsaw Puzzle</t>
        </is>
      </c>
      <c r="D133" t="inlineStr">
        <is>
          <t>eeBoo's Piece and Love Unicorn Garden 500 Piece Round Circle Jigsaw Puzzle</t>
        </is>
      </c>
      <c r="E133" s="1">
        <f>HYPERLINK("https://www.amazon.com/eeBoos-Unicorn-Garden-Circle-Jigsaw/dp/B075FXF3GY/ref=sr_1_5?keywords=eeBoos+Piece+and+Love+Celebration+Jigsaw+Puzzle&amp;qid=1695588385&amp;sr=8-5", "https://www.amazon.com/eeBoos-Unicorn-Garden-Circle-Jigsaw/dp/B075FXF3GY/ref=sr_1_5?keywords=eeBoos+Piece+and+Love+Celebration+Jigsaw+Puzzle&amp;qid=1695588385&amp;sr=8-5")</f>
        <v/>
      </c>
      <c r="F133" t="inlineStr">
        <is>
          <t>B075FXF3GY</t>
        </is>
      </c>
      <c r="G133">
        <f>_xlfn.IMAGE("https://images.toysrus.com/1285/689196511059_1.jpg")</f>
        <v/>
      </c>
      <c r="H133">
        <f>_xlfn.IMAGE("https://m.media-amazon.com/images/I/91jCGAc867L._AC_UL320_.jpg")</f>
        <v/>
      </c>
      <c r="K133" t="inlineStr">
        <is>
          <t>9.99</t>
        </is>
      </c>
      <c r="L133" t="n">
        <v>19.94</v>
      </c>
      <c r="M133" s="2" t="inlineStr">
        <is>
          <t>99.60%</t>
        </is>
      </c>
      <c r="N133" t="n">
        <v>4.7</v>
      </c>
      <c r="O133" t="n">
        <v>82</v>
      </c>
      <c r="Q133" t="inlineStr">
        <is>
          <t>InStock</t>
        </is>
      </c>
      <c r="R133" t="inlineStr">
        <is>
          <t>undefined</t>
        </is>
      </c>
      <c r="S133" t="inlineStr">
        <is>
          <t>G689196511059</t>
        </is>
      </c>
    </row>
    <row r="134" ht="75" customHeight="1">
      <c r="A134" s="1">
        <f>HYPERLINK("https://www.toysrus.com/eeboos-piece-and-love-celebration-jigsaw-puzzle-G689196511059.html", "https://www.toysrus.com/eeboos-piece-and-love-celebration-jigsaw-puzzle-G689196511059.html")</f>
        <v/>
      </c>
      <c r="B134" s="1">
        <f>HYPERLINK("https://www.toysrus.com/eeboos-piece-and-love-celebration-jigsaw-puzzle-G689196511059.html", "https://www.toysrus.com/eeboos-piece-and-love-celebration-jigsaw-puzzle-G689196511059.html")</f>
        <v/>
      </c>
      <c r="C134" t="inlineStr">
        <is>
          <t>eeBoo's Piece and Love Celebration Jigsaw Puzzle</t>
        </is>
      </c>
      <c r="D134" t="inlineStr">
        <is>
          <t>eeBoo: Piece and Love Find Your Voice 1000-piece square adult Jigsaw Puzzle, Jigsaw Puzzle for Adults and Families, Includes Glossy, Sturdy Pieces and Minimal Puzzle Dust</t>
        </is>
      </c>
      <c r="E134" s="1">
        <f>HYPERLINK("https://www.amazon.com/eeBoo-1000-piece-Quality-Families-Minimal/dp/B08N67N8QC/ref=sr_1_10?keywords=eeBoos+Piece+and+Love+Celebration+Jigsaw+Puzzle&amp;qid=1695588385&amp;sr=8-10", "https://www.amazon.com/eeBoo-1000-piece-Quality-Families-Minimal/dp/B08N67N8QC/ref=sr_1_10?keywords=eeBoos+Piece+and+Love+Celebration+Jigsaw+Puzzle&amp;qid=1695588385&amp;sr=8-10")</f>
        <v/>
      </c>
      <c r="F134" t="inlineStr">
        <is>
          <t>B08N67N8QC</t>
        </is>
      </c>
      <c r="G134">
        <f>_xlfn.IMAGE("https://images.toysrus.com/1285/689196511059_1.jpg")</f>
        <v/>
      </c>
      <c r="H134">
        <f>_xlfn.IMAGE("https://m.media-amazon.com/images/I/715YgXpnbvL._AC_UL320_.jpg")</f>
        <v/>
      </c>
      <c r="K134" t="inlineStr">
        <is>
          <t>9.99</t>
        </is>
      </c>
      <c r="L134" t="n">
        <v>18.58</v>
      </c>
      <c r="M134" s="2" t="inlineStr">
        <is>
          <t>85.99%</t>
        </is>
      </c>
      <c r="N134" t="n">
        <v>5</v>
      </c>
      <c r="O134" t="n">
        <v>3</v>
      </c>
      <c r="Q134" t="inlineStr">
        <is>
          <t>InStock</t>
        </is>
      </c>
      <c r="R134" t="inlineStr">
        <is>
          <t>undefined</t>
        </is>
      </c>
      <c r="S134" t="inlineStr">
        <is>
          <t>G689196511059</t>
        </is>
      </c>
    </row>
    <row r="135" ht="75" customHeight="1">
      <c r="A135" s="1">
        <f>HYPERLINK("https://www.toysrus.com/eeboo-subtraction-educational-flash-cards-G689196876691.html", "https://www.toysrus.com/eeboo-subtraction-educational-flash-cards-G689196876691.html")</f>
        <v/>
      </c>
      <c r="B135" s="1">
        <f>HYPERLINK("https://www.toysrus.com/eeboo-subtraction-educational-flash-cards-G689196876691.html", "https://www.toysrus.com/eeboo-subtraction-educational-flash-cards-G689196876691.html")</f>
        <v/>
      </c>
      <c r="C135" t="inlineStr">
        <is>
          <t>eeBoo Subtraction Educational Flash Cards</t>
        </is>
      </c>
      <c r="D135" t="inlineStr">
        <is>
          <t>Channie’s Double Digit Addition and Subtraction Flash Cards, 30 Dry Erase Educational Math Flash Cards for Kids, Ideal for 1st to 3rd Grade, Level 2 Color-Coded Cards, 360 Two-Digit Problems</t>
        </is>
      </c>
      <c r="E135" s="1">
        <f>HYPERLINK("https://www.amazon.com/Channies-Subtraction-Educational-Color-Coded-Two-Digit/dp/B0B4TBDWN5/ref=sr_1_10?keywords=eeBoo+Subtraction+Educational+Flash+Cards&amp;qid=1695588344&amp;sr=8-10", "https://www.amazon.com/Channies-Subtraction-Educational-Color-Coded-Two-Digit/dp/B0B4TBDWN5/ref=sr_1_10?keywords=eeBoo+Subtraction+Educational+Flash+Cards&amp;qid=1695588344&amp;sr=8-10")</f>
        <v/>
      </c>
      <c r="F135" t="inlineStr">
        <is>
          <t>B0B4TBDWN5</t>
        </is>
      </c>
      <c r="G135">
        <f>_xlfn.IMAGE("https://images.toysrus.com/28598/689196876691_1.jpg")</f>
        <v/>
      </c>
      <c r="H135">
        <f>_xlfn.IMAGE("https://m.media-amazon.com/images/I/71qh63j+B2L._AC_UL320_.jpg")</f>
        <v/>
      </c>
      <c r="K135" t="inlineStr">
        <is>
          <t>7.99</t>
        </is>
      </c>
      <c r="L135" t="n">
        <v>15.95</v>
      </c>
      <c r="M135" s="2" t="inlineStr">
        <is>
          <t>99.62%</t>
        </is>
      </c>
      <c r="N135" t="n">
        <v>4.6</v>
      </c>
      <c r="O135" t="n">
        <v>155</v>
      </c>
      <c r="Q135" t="inlineStr">
        <is>
          <t>InStock</t>
        </is>
      </c>
      <c r="R135" t="inlineStr">
        <is>
          <t>undefined</t>
        </is>
      </c>
      <c r="S135" t="inlineStr">
        <is>
          <t>G689196876691</t>
        </is>
      </c>
    </row>
    <row r="136" ht="75" customHeight="1">
      <c r="A136" s="1">
        <f>HYPERLINK("https://www.toysrus.com/eeboo-votes-for-women-100-piece-puzzle-G689196510342.html", "https://www.toysrus.com/eeboo-votes-for-women-100-piece-puzzle-G689196510342.html")</f>
        <v/>
      </c>
      <c r="B136" s="1">
        <f>HYPERLINK("https://www.toysrus.com/eeboo-votes-for-women-100-piece-puzzle-G689196510342.html", "https://www.toysrus.com/eeboo-votes-for-women-100-piece-puzzle-G689196510342.html")</f>
        <v/>
      </c>
      <c r="C136" t="inlineStr">
        <is>
          <t>eeBoo Votes for Women 100 Piece Puzzle</t>
        </is>
      </c>
      <c r="D136" t="inlineStr">
        <is>
          <t>eeBoo: Planet Earth 100 Piece Puzzle, Perfect Project for Little Hands, Aids in Development of Pattern, Shape, and Color Recognition, Offers Children a Challenge, Perfect for Ages 5 and up</t>
        </is>
      </c>
      <c r="E136" s="1">
        <f>HYPERLINK("https://www.amazon.com/eeBoo-Planet-Earth-Piece-Puzzle/dp/B086FHTY1M/ref=sr_1_8?keywords=eeBoo+Votes+for+Women+100+Piece+Puzzle&amp;qid=1695588375&amp;sr=8-8", "https://www.amazon.com/eeBoo-Planet-Earth-Piece-Puzzle/dp/B086FHTY1M/ref=sr_1_8?keywords=eeBoo+Votes+for+Women+100+Piece+Puzzle&amp;qid=1695588375&amp;sr=8-8")</f>
        <v/>
      </c>
      <c r="F136" t="inlineStr">
        <is>
          <t>B086FHTY1M</t>
        </is>
      </c>
      <c r="G136">
        <f>_xlfn.IMAGE("https://images.toysrus.com/1285/689196510342_1.jpg")</f>
        <v/>
      </c>
      <c r="H136">
        <f>_xlfn.IMAGE("https://m.media-amazon.com/images/I/A1sto8dUkbL._AC_UL320_.jpg")</f>
        <v/>
      </c>
      <c r="K136" t="inlineStr">
        <is>
          <t>9.99</t>
        </is>
      </c>
      <c r="L136" t="n">
        <v>26.98</v>
      </c>
      <c r="M136" s="2" t="inlineStr">
        <is>
          <t>170.07%</t>
        </is>
      </c>
      <c r="N136" t="n">
        <v>4.6</v>
      </c>
      <c r="O136" t="n">
        <v>43</v>
      </c>
      <c r="Q136" t="inlineStr">
        <is>
          <t>InStock</t>
        </is>
      </c>
      <c r="R136" t="inlineStr">
        <is>
          <t>undefined</t>
        </is>
      </c>
      <c r="S136" t="inlineStr">
        <is>
          <t>G689196510342</t>
        </is>
      </c>
    </row>
    <row r="137" ht="75" customHeight="1">
      <c r="A137" s="1">
        <f>HYPERLINK("https://www.toysrus.com/eeboo-votes-for-women-100-piece-puzzle-G689196510342.html", "https://www.toysrus.com/eeboo-votes-for-women-100-piece-puzzle-G689196510342.html")</f>
        <v/>
      </c>
      <c r="B137" s="1">
        <f>HYPERLINK("https://www.toysrus.com/eeboo-votes-for-women-100-piece-puzzle-G689196510342.html", "https://www.toysrus.com/eeboo-votes-for-women-100-piece-puzzle-G689196510342.html")</f>
        <v/>
      </c>
      <c r="C137" t="inlineStr">
        <is>
          <t>eeBoo Votes for Women 100 Piece Puzzle</t>
        </is>
      </c>
      <c r="D137" t="inlineStr">
        <is>
          <t>eeBoo: Piece and Love International Women's Day 500 Piece Round Jigsaw Puzzle for Adults, Jigsaw Puzzle for Adults and Families, Includes Glossy, Sturdy Pieces and Minimal Puzzle Dust</t>
        </is>
      </c>
      <c r="E137" s="1">
        <f>HYPERLINK("https://www.amazon.com/eeBoo-International-Womens-Puzzle-Piece/dp/B0957ZJ3Y2/ref=sr_1_9?keywords=eeBoo+Votes+for+Women+100+Piece+Puzzle&amp;qid=1695588375&amp;sr=8-9", "https://www.amazon.com/eeBoo-International-Womens-Puzzle-Piece/dp/B0957ZJ3Y2/ref=sr_1_9?keywords=eeBoo+Votes+for+Women+100+Piece+Puzzle&amp;qid=1695588375&amp;sr=8-9")</f>
        <v/>
      </c>
      <c r="F137" t="inlineStr">
        <is>
          <t>B0957ZJ3Y2</t>
        </is>
      </c>
      <c r="G137">
        <f>_xlfn.IMAGE("https://images.toysrus.com/1285/689196510342_1.jpg")</f>
        <v/>
      </c>
      <c r="H137">
        <f>_xlfn.IMAGE("https://m.media-amazon.com/images/I/910IlEGElQL._AC_UL320_.jpg")</f>
        <v/>
      </c>
      <c r="K137" t="inlineStr">
        <is>
          <t>9.99</t>
        </is>
      </c>
      <c r="L137" t="n">
        <v>19.99</v>
      </c>
      <c r="M137" s="2" t="inlineStr">
        <is>
          <t>100.10%</t>
        </is>
      </c>
      <c r="N137" t="n">
        <v>4.8</v>
      </c>
      <c r="O137" t="n">
        <v>17</v>
      </c>
      <c r="Q137" t="inlineStr">
        <is>
          <t>InStock</t>
        </is>
      </c>
      <c r="R137" t="inlineStr">
        <is>
          <t>undefined</t>
        </is>
      </c>
      <c r="S137" t="inlineStr">
        <is>
          <t>G689196510342</t>
        </is>
      </c>
    </row>
    <row r="138" ht="75" customHeight="1">
      <c r="A138" s="1">
        <f>HYPERLINK("https://www.toysrus.com/eichhorn-train-wooden-train-signal-G4003046015201.html", "https://www.toysrus.com/eichhorn-train-wooden-train-signal-G4003046015201.html")</f>
        <v/>
      </c>
      <c r="B138" s="1">
        <f>HYPERLINK("https://www.toysrus.com/eichhorn-train-wooden-train-signal-G4003046015201.html", "https://www.toysrus.com/eichhorn-train-wooden-train-signal-G4003046015201.html")</f>
        <v/>
      </c>
      <c r="C138" t="inlineStr">
        <is>
          <t>Eichhorn Train Wooden Train Signal</t>
        </is>
      </c>
      <c r="D138" t="inlineStr">
        <is>
          <t>Brio World 33674 - Signal Station - 2 Piece Wooden Toy Train Accessory for Kids Age 3 and Up</t>
        </is>
      </c>
      <c r="E138" s="1">
        <f>HYPERLINK("https://www.amazon.com/Brio-33674-BRIO-Signal-Station/dp/B003AVMUVS/ref=sr_1_1?keywords=Eichhorn+Train+Wooden+Train+Signal&amp;qid=1695588354&amp;sr=8-1", "https://www.amazon.com/Brio-33674-BRIO-Signal-Station/dp/B003AVMUVS/ref=sr_1_1?keywords=Eichhorn+Train+Wooden+Train+Signal&amp;qid=1695588354&amp;sr=8-1")</f>
        <v/>
      </c>
      <c r="F138" t="inlineStr">
        <is>
          <t>B003AVMUVS</t>
        </is>
      </c>
      <c r="G138">
        <f>_xlfn.IMAGE("https://images.toysrus.com/1285/4003046015201_1.jpg")</f>
        <v/>
      </c>
      <c r="H138">
        <f>_xlfn.IMAGE("https://m.media-amazon.com/images/I/91XSgPXY2IL._AC_UL320_.jpg")</f>
        <v/>
      </c>
      <c r="K138" t="inlineStr">
        <is>
          <t>6.99</t>
        </is>
      </c>
      <c r="L138" t="n">
        <v>48.26</v>
      </c>
      <c r="M138" s="2" t="inlineStr">
        <is>
          <t>590.41%</t>
        </is>
      </c>
      <c r="N138" t="n">
        <v>4.8</v>
      </c>
      <c r="O138" t="n">
        <v>2741</v>
      </c>
      <c r="Q138" t="inlineStr">
        <is>
          <t>InStock</t>
        </is>
      </c>
      <c r="R138" t="inlineStr">
        <is>
          <t>undefined</t>
        </is>
      </c>
      <c r="S138" t="inlineStr">
        <is>
          <t>G4003046015201</t>
        </is>
      </c>
    </row>
    <row r="139" ht="75" customHeight="1">
      <c r="A139" s="1">
        <f>HYPERLINK("https://www.toysrus.com/eichhorn-train-wooden-train-signal-G4003046015201.html", "https://www.toysrus.com/eichhorn-train-wooden-train-signal-G4003046015201.html")</f>
        <v/>
      </c>
      <c r="B139" s="1">
        <f>HYPERLINK("https://www.toysrus.com/eichhorn-train-wooden-train-signal-G4003046015201.html", "https://www.toysrus.com/eichhorn-train-wooden-train-signal-G4003046015201.html")</f>
        <v/>
      </c>
      <c r="C139" t="inlineStr">
        <is>
          <t>Eichhorn Train Wooden Train Signal</t>
        </is>
      </c>
      <c r="D139" t="inlineStr">
        <is>
          <t>Eichhorn Wooden Soundstation for Trains Sets (4 Piece), Brown</t>
        </is>
      </c>
      <c r="E139" s="1">
        <f>HYPERLINK("https://www.amazon.com/Eichhorn-Wooden-Soundstation-Trains-Piece/dp/B007F0UYUE/ref=sr_1_4?keywords=Eichhorn+Train+Wooden+Train+Signal&amp;qid=1695588354&amp;sr=8-4", "https://www.amazon.com/Eichhorn-Wooden-Soundstation-Trains-Piece/dp/B007F0UYUE/ref=sr_1_4?keywords=Eichhorn+Train+Wooden+Train+Signal&amp;qid=1695588354&amp;sr=8-4")</f>
        <v/>
      </c>
      <c r="F139" t="inlineStr">
        <is>
          <t>B007F0UYUE</t>
        </is>
      </c>
      <c r="G139">
        <f>_xlfn.IMAGE("https://images.toysrus.com/1285/4003046015201_1.jpg")</f>
        <v/>
      </c>
      <c r="H139">
        <f>_xlfn.IMAGE("https://m.media-amazon.com/images/I/71uk05Dy29L._AC_UL320_.jpg")</f>
        <v/>
      </c>
      <c r="K139" t="inlineStr">
        <is>
          <t>6.99</t>
        </is>
      </c>
      <c r="L139" t="n">
        <v>39.99</v>
      </c>
      <c r="M139" s="2" t="inlineStr">
        <is>
          <t>472.10%</t>
        </is>
      </c>
      <c r="N139" t="n">
        <v>4.3</v>
      </c>
      <c r="O139" t="n">
        <v>95</v>
      </c>
      <c r="Q139" t="inlineStr">
        <is>
          <t>InStock</t>
        </is>
      </c>
      <c r="R139" t="inlineStr">
        <is>
          <t>undefined</t>
        </is>
      </c>
      <c r="S139" t="inlineStr">
        <is>
          <t>G4003046015201</t>
        </is>
      </c>
    </row>
    <row r="140" ht="75" customHeight="1">
      <c r="A140" s="1">
        <f>HYPERLINK("https://www.toysrus.com/epoch-games-super-mario-blow-up-shaky-tower-balancing-game-with-collectible-action-figures-15438530.html", "https://www.toysrus.com/epoch-games-super-mario-blow-up-shaky-tower-balancing-game-with-collectible-action-figures-15438530.html")</f>
        <v/>
      </c>
      <c r="B140" s="1">
        <f>HYPERLINK("https://www.toysrus.com/epoch-games-super-mario-blow-up-shaky-tower-balancing-game-with-collectible-action-figures-15438530.html", "https://www.toysrus.com/epoch-games-super-mario-blow-up-shaky-tower-balancing-game-with-collectible-action-figures-15438530.html")</f>
        <v/>
      </c>
      <c r="C140" t="inlineStr">
        <is>
          <t>Epoch Games Super Mario Blow Up Shaky Tower Balancing Game, with Collectible Action Figures</t>
        </is>
      </c>
      <c r="D140" t="inlineStr">
        <is>
          <t>EPOCH Games Super Mario Balancing Game Bundle, 3 Tabletop Action Games for Ages 4+ with 12 Collectible Super Mario Action Figures, Multi (7386)</t>
        </is>
      </c>
      <c r="E140" s="1">
        <f>HYPERLINK("https://www.amazon.com/EPOCH-Balancing-Tabletop-Collectible-Figures/dp/B08TTQMC6T/ref=sr_1_3?keywords=Epoch+Games+Super+Mario+Blow+Up+Shaky+Tower+Balancing+Game%2C+with+Collectible+Action+Figures&amp;qid=1695588564&amp;sr=8-3", "https://www.amazon.com/EPOCH-Balancing-Tabletop-Collectible-Figures/dp/B08TTQMC6T/ref=sr_1_3?keywords=Epoch+Games+Super+Mario+Blow+Up+Shaky+Tower+Balancing+Game%2C+with+Collectible+Action+Figures&amp;qid=1695588564&amp;sr=8-3")</f>
        <v/>
      </c>
      <c r="F140" t="inlineStr">
        <is>
          <t>B08TTQMC6T</t>
        </is>
      </c>
      <c r="G140">
        <f>_xlfn.IMAGE("http://slimages.macys.com/is/image/MCY/products/0/optimized/24125765_fpx.tif")</f>
        <v/>
      </c>
      <c r="H140">
        <f>_xlfn.IMAGE("https://m.media-amazon.com/images/I/715ryslBbYL._AC_UL320_.jpg")</f>
        <v/>
      </c>
      <c r="K140" t="inlineStr">
        <is>
          <t>19.99</t>
        </is>
      </c>
      <c r="L140" t="n">
        <v>34.99</v>
      </c>
      <c r="M140" s="2" t="inlineStr">
        <is>
          <t>75.04%</t>
        </is>
      </c>
      <c r="N140" t="n">
        <v>4.5</v>
      </c>
      <c r="O140" t="n">
        <v>165</v>
      </c>
      <c r="Q140" t="inlineStr">
        <is>
          <t>InStock</t>
        </is>
      </c>
      <c r="R140" t="inlineStr">
        <is>
          <t>undefined</t>
        </is>
      </c>
      <c r="S140" t="inlineStr">
        <is>
          <t>15438530</t>
        </is>
      </c>
    </row>
    <row r="141" ht="75" customHeight="1">
      <c r="A141" s="1">
        <f>HYPERLINK("https://www.toysrus.com/fairy-trails---enchanting-game-for-2-G0657814867604.html", "https://www.toysrus.com/fairy-trails---enchanting-game-for-2-G0657814867604.html")</f>
        <v/>
      </c>
      <c r="B141" s="1">
        <f>HYPERLINK("https://www.toysrus.com/fairy-trails---enchanting-game-for-2-G0657814867604.html", "https://www.toysrus.com/fairy-trails---enchanting-game-for-2-G0657814867604.html")</f>
        <v/>
      </c>
      <c r="C141" t="inlineStr">
        <is>
          <t>Fairy Trails - Enchanting Game for 2</t>
        </is>
      </c>
      <c r="D141" t="inlineStr">
        <is>
          <t>CMON Fairy Tale Inn Board Game | Family Board Game | Board Game for Adults and Kids | Fun Game for Family Game Night | Ages 8 and up | 2 Players | Average Playtime 15-20 Minutes | Made by CMON</t>
        </is>
      </c>
      <c r="E141" s="1">
        <f>HYPERLINK("https://www.amazon.com/CMON-Players-Average-Playtime-Minutes/dp/B08PTGFBYP/ref=sr_1_4?keywords=Fairy+Trails+-+Enchanting+Game+for+2&amp;qid=1695588225&amp;sr=8-4", "https://www.amazon.com/CMON-Players-Average-Playtime-Minutes/dp/B08PTGFBYP/ref=sr_1_4?keywords=Fairy+Trails+-+Enchanting+Game+for+2&amp;qid=1695588225&amp;sr=8-4")</f>
        <v/>
      </c>
      <c r="F141" t="inlineStr">
        <is>
          <t>B08PTGFBYP</t>
        </is>
      </c>
      <c r="G141">
        <f>_xlfn.IMAGE("https://images.toysrus.com/28598/657814867604_1.jpg")</f>
        <v/>
      </c>
      <c r="H141">
        <f>_xlfn.IMAGE("https://m.media-amazon.com/images/I/81VsuS+4jdS._AC_UL320_.jpg")</f>
        <v/>
      </c>
      <c r="K141" t="inlineStr">
        <is>
          <t>17.99</t>
        </is>
      </c>
      <c r="L141" t="n">
        <v>39.99</v>
      </c>
      <c r="M141" s="2" t="inlineStr">
        <is>
          <t>122.29%</t>
        </is>
      </c>
      <c r="N141" t="n">
        <v>4.7</v>
      </c>
      <c r="O141" t="n">
        <v>51</v>
      </c>
      <c r="Q141" t="inlineStr">
        <is>
          <t>InStock</t>
        </is>
      </c>
      <c r="R141" t="inlineStr">
        <is>
          <t>undefined</t>
        </is>
      </c>
      <c r="S141" t="inlineStr">
        <is>
          <t>G0657814867604</t>
        </is>
      </c>
    </row>
    <row r="142" ht="75" customHeight="1">
      <c r="A142" s="1">
        <f>HYPERLINK("https://www.toysrus.com/fantasma---deluxe-magic-grand-illusions-set-G0816344012629.html", "https://www.toysrus.com/fantasma---deluxe-magic-grand-illusions-set-G0816344012629.html")</f>
        <v/>
      </c>
      <c r="B142" s="1">
        <f>HYPERLINK("https://www.toysrus.com/fantasma---deluxe-magic-grand-illusions-set-G0816344012629.html", "https://www.toysrus.com/fantasma---deluxe-magic-grand-illusions-set-G0816344012629.html")</f>
        <v/>
      </c>
      <c r="C142" t="inlineStr">
        <is>
          <t>Fantasma - Deluxe Magic Grand Illusions Set</t>
        </is>
      </c>
      <c r="D142" t="inlineStr">
        <is>
          <t>Fantasma Deluxe Mesmerizing Magic Set with 375+ Tricks (810EUD) – Supersized Amateur’s Magic Kit for Boys &amp; Girls 7 Years and Older.</t>
        </is>
      </c>
      <c r="E142" s="1">
        <f>HYPERLINK("https://www.amazon.com/Fantasma-Deluxe-Mesmerizing-Set-375-Tricks/dp/B08P54Q8KS/ref=sr_1_5?keywords=Fantasma+-+Deluxe+Magic+Grand+Illusions+Set&amp;qid=1695588311&amp;sr=8-5", "https://www.amazon.com/Fantasma-Deluxe-Mesmerizing-Set-375-Tricks/dp/B08P54Q8KS/ref=sr_1_5?keywords=Fantasma+-+Deluxe+Magic+Grand+Illusions+Set&amp;qid=1695588311&amp;sr=8-5")</f>
        <v/>
      </c>
      <c r="F142" t="inlineStr">
        <is>
          <t>B08P54Q8KS</t>
        </is>
      </c>
      <c r="G142">
        <f>_xlfn.IMAGE("https://images.toysrus.com/1128598/816344012629_1.jpg")</f>
        <v/>
      </c>
      <c r="H142">
        <f>_xlfn.IMAGE("https://m.media-amazon.com/images/I/911OLlmJ2-L._AC_UL320_.jpg")</f>
        <v/>
      </c>
      <c r="K142" t="inlineStr">
        <is>
          <t>19.99</t>
        </is>
      </c>
      <c r="L142" t="n">
        <v>49.99</v>
      </c>
      <c r="M142" s="2" t="inlineStr">
        <is>
          <t>150.08%</t>
        </is>
      </c>
      <c r="N142" t="n">
        <v>3.9</v>
      </c>
      <c r="O142" t="n">
        <v>44</v>
      </c>
      <c r="Q142" t="inlineStr">
        <is>
          <t>InStock</t>
        </is>
      </c>
      <c r="R142" t="inlineStr">
        <is>
          <t>undefined</t>
        </is>
      </c>
      <c r="S142" t="inlineStr">
        <is>
          <t>G0816344012629</t>
        </is>
      </c>
    </row>
    <row r="143" ht="75" customHeight="1">
      <c r="A143" s="1">
        <f>HYPERLINK("https://www.toysrus.com/fantasma---deluxe-magic-grand-illusions-set-G0816344012629.html", "https://www.toysrus.com/fantasma---deluxe-magic-grand-illusions-set-G0816344012629.html")</f>
        <v/>
      </c>
      <c r="B143" s="1">
        <f>HYPERLINK("https://www.toysrus.com/fantasma---deluxe-magic-grand-illusions-set-G0816344012629.html", "https://www.toysrus.com/fantasma---deluxe-magic-grand-illusions-set-G0816344012629.html")</f>
        <v/>
      </c>
      <c r="C143" t="inlineStr">
        <is>
          <t>Fantasma - Deluxe Magic Grand Illusions Set</t>
        </is>
      </c>
      <c r="D143" t="inlineStr">
        <is>
          <t>Fantasma Deluxe Top Hat Magic Set – Over 175 Amazing Magic Tricks for Kids, Blue</t>
        </is>
      </c>
      <c r="E143" s="1">
        <f>HYPERLINK("https://www.amazon.com/Fantasma-Deluxe-Set-175-Tricks-423EUD/dp/B08NRJDM7H/ref=sr_1_10?keywords=Fantasma+-+Deluxe+Magic+Grand+Illusions+Set&amp;qid=1695588311&amp;sr=8-10", "https://www.amazon.com/Fantasma-Deluxe-Set-175-Tricks-423EUD/dp/B08NRJDM7H/ref=sr_1_10?keywords=Fantasma+-+Deluxe+Magic+Grand+Illusions+Set&amp;qid=1695588311&amp;sr=8-10")</f>
        <v/>
      </c>
      <c r="F143" t="inlineStr">
        <is>
          <t>B08NRJDM7H</t>
        </is>
      </c>
      <c r="G143">
        <f>_xlfn.IMAGE("https://images.toysrus.com/1128598/816344012629_1.jpg")</f>
        <v/>
      </c>
      <c r="H143">
        <f>_xlfn.IMAGE("https://m.media-amazon.com/images/I/91uaBzW-xaL._AC_UL320_.jpg")</f>
        <v/>
      </c>
      <c r="K143" t="inlineStr">
        <is>
          <t>19.99</t>
        </is>
      </c>
      <c r="L143" t="n">
        <v>34.99</v>
      </c>
      <c r="M143" s="2" t="inlineStr">
        <is>
          <t>75.04%</t>
        </is>
      </c>
      <c r="N143" t="n">
        <v>4.2</v>
      </c>
      <c r="O143" t="n">
        <v>214</v>
      </c>
      <c r="Q143" t="inlineStr">
        <is>
          <t>InStock</t>
        </is>
      </c>
      <c r="R143" t="inlineStr">
        <is>
          <t>undefined</t>
        </is>
      </c>
      <c r="S143" t="inlineStr">
        <is>
          <t>G0816344012629</t>
        </is>
      </c>
    </row>
    <row r="144" ht="75" customHeight="1">
      <c r="A144" s="1">
        <f>HYPERLINK("https://www.toysrus.com/fashion-designer-G0884920124202.html", "https://www.toysrus.com/fashion-designer-G0884920124202.html")</f>
        <v/>
      </c>
      <c r="B144" s="1">
        <f>HYPERLINK("https://www.toysrus.com/fashion-designer-G0884920124202.html", "https://www.toysrus.com/fashion-designer-G0884920124202.html")</f>
        <v/>
      </c>
      <c r="C144" t="inlineStr">
        <is>
          <t>Fashion Designer</t>
        </is>
      </c>
      <c r="D144" t="inlineStr">
        <is>
          <t>Fashion Designer Kits for Girls. Beginners Sewing Kit for Kids Ages 8-12. Learn to Use &amp; Re-Design Patterns &amp; Sew. Create Basic Outfits for The 8.5” Small Wooden Mannequin.</t>
        </is>
      </c>
      <c r="E144" s="1">
        <f>HYPERLINK("https://www.amazon.com/FABRIC-STITCH-Beginners-Re-Design-Mannequin/dp/B08FB5PRCK/ref=sr_1_9?keywords=Fashion+Designer&amp;qid=1695588621&amp;sr=8-9", "https://www.amazon.com/FABRIC-STITCH-Beginners-Re-Design-Mannequin/dp/B08FB5PRCK/ref=sr_1_9?keywords=Fashion+Designer&amp;qid=1695588621&amp;sr=8-9")</f>
        <v/>
      </c>
      <c r="F144" t="inlineStr">
        <is>
          <t>B08FB5PRCK</t>
        </is>
      </c>
      <c r="G144">
        <f>_xlfn.IMAGE("https://images.toysrus.com/28598/884920124202_1.jpg")</f>
        <v/>
      </c>
      <c r="H144">
        <f>_xlfn.IMAGE("https://m.media-amazon.com/images/I/71-SDUJ-17L._AC_UL320_.jpg")</f>
        <v/>
      </c>
      <c r="K144" t="inlineStr">
        <is>
          <t>9.99</t>
        </is>
      </c>
      <c r="L144" t="n">
        <v>31.95</v>
      </c>
      <c r="M144" s="2" t="inlineStr">
        <is>
          <t>219.82%</t>
        </is>
      </c>
      <c r="N144" t="n">
        <v>4.4</v>
      </c>
      <c r="O144" t="n">
        <v>165</v>
      </c>
      <c r="Q144" t="inlineStr">
        <is>
          <t>InStock</t>
        </is>
      </c>
      <c r="R144" t="inlineStr">
        <is>
          <t>undefined</t>
        </is>
      </c>
      <c r="S144" t="inlineStr">
        <is>
          <t>G0884920124202</t>
        </is>
      </c>
    </row>
    <row r="145" ht="75" customHeight="1">
      <c r="A145" s="1">
        <f>HYPERLINK("https://www.toysrus.com/fashion-designer-G0884920124202.html", "https://www.toysrus.com/fashion-designer-G0884920124202.html")</f>
        <v/>
      </c>
      <c r="B145" s="1">
        <f>HYPERLINK("https://www.toysrus.com/fashion-designer-G0884920124202.html", "https://www.toysrus.com/fashion-designer-G0884920124202.html")</f>
        <v/>
      </c>
      <c r="C145" t="inlineStr">
        <is>
          <t>Fashion Designer</t>
        </is>
      </c>
      <c r="D145" t="inlineStr">
        <is>
          <t>Fashion Designer: Concept to Collection (FASHION DESIGN SERIES)</t>
        </is>
      </c>
      <c r="E145" s="1">
        <f>HYPERLINK("https://www.amazon.com/Fashion-Designer-Concept-Collection-FASHION/dp/0958239126/ref=sr_1_2?keywords=Fashion+Designer&amp;qid=1695588621&amp;sr=8-2", "https://www.amazon.com/Fashion-Designer-Concept-Collection-FASHION/dp/0958239126/ref=sr_1_2?keywords=Fashion+Designer&amp;qid=1695588621&amp;sr=8-2")</f>
        <v/>
      </c>
      <c r="F145" t="inlineStr">
        <is>
          <t>0958239126</t>
        </is>
      </c>
      <c r="G145">
        <f>_xlfn.IMAGE("https://images.toysrus.com/28598/884920124202_1.jpg")</f>
        <v/>
      </c>
      <c r="H145">
        <f>_xlfn.IMAGE("https://m.media-amazon.com/images/I/6117+macNqL._AC_UL320_.jpg")</f>
        <v/>
      </c>
      <c r="K145" t="inlineStr">
        <is>
          <t>9.99</t>
        </is>
      </c>
      <c r="L145" t="n">
        <v>29.95</v>
      </c>
      <c r="M145" s="2" t="inlineStr">
        <is>
          <t>199.80%</t>
        </is>
      </c>
      <c r="N145" t="n">
        <v>4.2</v>
      </c>
      <c r="O145" t="n">
        <v>19</v>
      </c>
      <c r="Q145" t="inlineStr">
        <is>
          <t>InStock</t>
        </is>
      </c>
      <c r="R145" t="inlineStr">
        <is>
          <t>undefined</t>
        </is>
      </c>
      <c r="S145" t="inlineStr">
        <is>
          <t>G0884920124202</t>
        </is>
      </c>
    </row>
    <row r="146" ht="75" customHeight="1">
      <c r="A146" s="1">
        <f>HYPERLINK("https://www.toysrus.com/fashion-designer-G0884920124202.html", "https://www.toysrus.com/fashion-designer-G0884920124202.html")</f>
        <v/>
      </c>
      <c r="B146" s="1">
        <f>HYPERLINK("https://www.toysrus.com/fashion-designer-G0884920124202.html", "https://www.toysrus.com/fashion-designer-G0884920124202.html")</f>
        <v/>
      </c>
      <c r="C146" t="inlineStr">
        <is>
          <t>Fashion Designer</t>
        </is>
      </c>
      <c r="D146" t="inlineStr">
        <is>
          <t>Sticker Dolly Dressing Fashion Designer Summer Collection</t>
        </is>
      </c>
      <c r="E146" s="1">
        <f>HYPERLINK("https://www.amazon.com/Sticker-Dressing-Fashion-Designer-Collection/dp/1409563413/ref=sr_1_7?keywords=Fashion+Designer&amp;qid=1695588621&amp;sr=8-7", "https://www.amazon.com/Sticker-Dressing-Fashion-Designer-Collection/dp/1409563413/ref=sr_1_7?keywords=Fashion+Designer&amp;qid=1695588621&amp;sr=8-7")</f>
        <v/>
      </c>
      <c r="F146" t="inlineStr">
        <is>
          <t>1409563413</t>
        </is>
      </c>
      <c r="G146">
        <f>_xlfn.IMAGE("https://images.toysrus.com/28598/884920124202_1.jpg")</f>
        <v/>
      </c>
      <c r="H146">
        <f>_xlfn.IMAGE("https://m.media-amazon.com/images/I/81pTQ7jG3xL._AC_UL320_.jpg")</f>
        <v/>
      </c>
      <c r="K146" t="inlineStr">
        <is>
          <t>9.99</t>
        </is>
      </c>
      <c r="L146" t="n">
        <v>23.7</v>
      </c>
      <c r="M146" s="2" t="inlineStr">
        <is>
          <t>137.24%</t>
        </is>
      </c>
      <c r="N146" t="n">
        <v>4.6</v>
      </c>
      <c r="O146" t="n">
        <v>65</v>
      </c>
      <c r="Q146" t="inlineStr">
        <is>
          <t>InStock</t>
        </is>
      </c>
      <c r="R146" t="inlineStr">
        <is>
          <t>undefined</t>
        </is>
      </c>
      <c r="S146" t="inlineStr">
        <is>
          <t>G0884920124202</t>
        </is>
      </c>
    </row>
    <row r="147" ht="75" customHeight="1">
      <c r="A147" s="1">
        <f>HYPERLINK("https://www.toysrus.com/fashion-designer-G0884920124202.html", "https://www.toysrus.com/fashion-designer-G0884920124202.html")</f>
        <v/>
      </c>
      <c r="B147" s="1">
        <f>HYPERLINK("https://www.toysrus.com/fashion-designer-G0884920124202.html", "https://www.toysrus.com/fashion-designer-G0884920124202.html")</f>
        <v/>
      </c>
      <c r="C147" t="inlineStr">
        <is>
          <t>Fashion Designer</t>
        </is>
      </c>
      <c r="D147" t="inlineStr">
        <is>
          <t>Sticker Dolly Dressing Fashion Designer</t>
        </is>
      </c>
      <c r="E147" s="1">
        <f>HYPERLINK("https://www.amazon.com/Sticker-Dressing-Fashion-Designer-Collection/dp/1474935931/ref=sr_1_6?keywords=Fashion+Designer&amp;qid=1695588621&amp;sr=8-6", "https://www.amazon.com/Sticker-Dressing-Fashion-Designer-Collection/dp/1474935931/ref=sr_1_6?keywords=Fashion+Designer&amp;qid=1695588621&amp;sr=8-6")</f>
        <v/>
      </c>
      <c r="F147" t="inlineStr">
        <is>
          <t>1474935931</t>
        </is>
      </c>
      <c r="G147">
        <f>_xlfn.IMAGE("https://images.toysrus.com/28598/884920124202_1.jpg")</f>
        <v/>
      </c>
      <c r="H147">
        <f>_xlfn.IMAGE("https://m.media-amazon.com/images/I/61V+eeTttIL._AC_UL320_.jpg")</f>
        <v/>
      </c>
      <c r="K147" t="inlineStr">
        <is>
          <t>9.99</t>
        </is>
      </c>
      <c r="L147" t="n">
        <v>19.82</v>
      </c>
      <c r="M147" s="2" t="inlineStr">
        <is>
          <t>98.40%</t>
        </is>
      </c>
      <c r="N147" t="n">
        <v>4.8</v>
      </c>
      <c r="O147" t="n">
        <v>42</v>
      </c>
      <c r="Q147" t="inlineStr">
        <is>
          <t>InStock</t>
        </is>
      </c>
      <c r="R147" t="inlineStr">
        <is>
          <t>undefined</t>
        </is>
      </c>
      <c r="S147" t="inlineStr">
        <is>
          <t>G0884920124202</t>
        </is>
      </c>
    </row>
    <row r="148" ht="75" customHeight="1">
      <c r="A148" s="1">
        <f>HYPERLINK("https://www.toysrus.com/fashion-fidgets-surprise-doll-14396066.html", "https://www.toysrus.com/fashion-fidgets-surprise-doll-14396066.html")</f>
        <v/>
      </c>
      <c r="B148" s="1">
        <f>HYPERLINK("https://www.toysrus.com/fashion-fidgets-surprise-doll-14396066.html", "https://www.toysrus.com/fashion-fidgets-surprise-doll-14396066.html")</f>
        <v/>
      </c>
      <c r="C148" t="inlineStr">
        <is>
          <t>Fashion Fidgets Surprise Doll</t>
        </is>
      </c>
      <c r="D148" t="inlineStr">
        <is>
          <t>Sunny Days Entertainment Fidgie Friends Dandelion Wishes – Butterfly Wing Pop It with Stress Ball Skirt | 10.5 Inch Fashion Doll with Fidgets | Sensory Toys for Kids</t>
        </is>
      </c>
      <c r="E148" s="1">
        <f>HYPERLINK("https://www.amazon.com/Sunny-Days-Entertainment-Friends-Dandelion/dp/B0BGQP7RKF/ref=sr_1_4?keywords=Fashion+Fidgets+Surprise+Doll&amp;qid=1695588579&amp;sr=8-4", "https://www.amazon.com/Sunny-Days-Entertainment-Friends-Dandelion/dp/B0BGQP7RKF/ref=sr_1_4?keywords=Fashion+Fidgets+Surprise+Doll&amp;qid=1695588579&amp;sr=8-4")</f>
        <v/>
      </c>
      <c r="F148" t="inlineStr">
        <is>
          <t>B0BGQP7RKF</t>
        </is>
      </c>
      <c r="G148">
        <f>_xlfn.IMAGE("http://slimages.macys.com/is/image/MCY/products/0/optimized/22897062_fpx.tif")</f>
        <v/>
      </c>
      <c r="H148">
        <f>_xlfn.IMAGE("https://m.media-amazon.com/images/I/81ZhGiVTZtL._AC_UL320_.jpg")</f>
        <v/>
      </c>
      <c r="K148" t="inlineStr">
        <is>
          <t>9.99</t>
        </is>
      </c>
      <c r="L148" t="n">
        <v>19.97</v>
      </c>
      <c r="M148" s="2" t="inlineStr">
        <is>
          <t>99.90%</t>
        </is>
      </c>
      <c r="N148" t="n">
        <v>4.3</v>
      </c>
      <c r="O148" t="n">
        <v>84</v>
      </c>
      <c r="Q148" t="inlineStr">
        <is>
          <t>InStock</t>
        </is>
      </c>
      <c r="R148" t="inlineStr">
        <is>
          <t>undefined</t>
        </is>
      </c>
      <c r="S148" t="inlineStr">
        <is>
          <t>14396066</t>
        </is>
      </c>
    </row>
    <row r="149" ht="75" customHeight="1">
      <c r="A149" s="1">
        <f>HYPERLINK("https://www.toysrus.com/fashion-fidgets-surprise-doll-14396066.html", "https://www.toysrus.com/fashion-fidgets-surprise-doll-14396066.html")</f>
        <v/>
      </c>
      <c r="B149" s="1">
        <f>HYPERLINK("https://www.toysrus.com/fashion-fidgets-surprise-doll-14396066.html", "https://www.toysrus.com/fashion-fidgets-surprise-doll-14396066.html")</f>
        <v/>
      </c>
      <c r="C149" t="inlineStr">
        <is>
          <t>Fashion Fidgets Surprise Doll</t>
        </is>
      </c>
      <c r="D149" t="inlineStr">
        <is>
          <t>Sunny Days Entertainment Fidgie Friends Watermellow – Mermaid with Flip Sequin Tail | 10.5 Inch Fashion Doll with Fidgets | Sensory Toys for Kids</t>
        </is>
      </c>
      <c r="E149" s="1">
        <f>HYPERLINK("https://www.amazon.com/Sunny-Days-Entertainment-Friends-Watermellow/dp/B0BGQNHC2Q/ref=sr_1_7?keywords=Fashion+Fidgets+Surprise+Doll&amp;qid=1695588579&amp;sr=8-7", "https://www.amazon.com/Sunny-Days-Entertainment-Friends-Watermellow/dp/B0BGQNHC2Q/ref=sr_1_7?keywords=Fashion+Fidgets+Surprise+Doll&amp;qid=1695588579&amp;sr=8-7")</f>
        <v/>
      </c>
      <c r="F149" t="inlineStr">
        <is>
          <t>B0BGQNHC2Q</t>
        </is>
      </c>
      <c r="G149">
        <f>_xlfn.IMAGE("http://slimages.macys.com/is/image/MCY/products/0/optimized/22897062_fpx.tif")</f>
        <v/>
      </c>
      <c r="H149">
        <f>_xlfn.IMAGE("https://m.media-amazon.com/images/I/81uR2FJbpKL._AC_UL320_.jpg")</f>
        <v/>
      </c>
      <c r="K149" t="inlineStr">
        <is>
          <t>9.99</t>
        </is>
      </c>
      <c r="L149" t="n">
        <v>17</v>
      </c>
      <c r="M149" s="2" t="inlineStr">
        <is>
          <t>70.17%</t>
        </is>
      </c>
      <c r="N149" t="n">
        <v>3.9</v>
      </c>
      <c r="O149" t="n">
        <v>24</v>
      </c>
      <c r="Q149" t="inlineStr">
        <is>
          <t>InStock</t>
        </is>
      </c>
      <c r="R149" t="inlineStr">
        <is>
          <t>undefined</t>
        </is>
      </c>
      <c r="S149" t="inlineStr">
        <is>
          <t>14396066</t>
        </is>
      </c>
    </row>
    <row r="150" ht="75" customHeight="1">
      <c r="A150" s="1">
        <f>HYPERLINK("https://www.toysrus.com/fashion-fidgets-surprise-doll-14396066.html", "https://www.toysrus.com/fashion-fidgets-surprise-doll-14396066.html")</f>
        <v/>
      </c>
      <c r="B150" s="1">
        <f>HYPERLINK("https://www.toysrus.com/fashion-fidgets-surprise-doll-14396066.html", "https://www.toysrus.com/fashion-fidgets-surprise-doll-14396066.html")</f>
        <v/>
      </c>
      <c r="C150" t="inlineStr">
        <is>
          <t>Fashion Fidgets Surprise Doll</t>
        </is>
      </c>
      <c r="D150" t="inlineStr">
        <is>
          <t>Sunny Days Entertainment Fidgie Friends Boba Bubbles – Mermaid with Squishy Water Bead Tail | 10.5 Inch Fashion Doll with Fidgets | Sensory Toys for Kids</t>
        </is>
      </c>
      <c r="E150" s="1">
        <f>HYPERLINK("https://www.amazon.com/Sunny-Days-Entertainment-Friends-Bubbles/dp/B0BGQLYZSB/ref=sr_1_5?keywords=Fashion+Fidgets+Surprise+Doll&amp;qid=1695588579&amp;sr=8-5", "https://www.amazon.com/Sunny-Days-Entertainment-Friends-Bubbles/dp/B0BGQLYZSB/ref=sr_1_5?keywords=Fashion+Fidgets+Surprise+Doll&amp;qid=1695588579&amp;sr=8-5")</f>
        <v/>
      </c>
      <c r="F150" t="inlineStr">
        <is>
          <t>B0BGQLYZSB</t>
        </is>
      </c>
      <c r="G150">
        <f>_xlfn.IMAGE("http://slimages.macys.com/is/image/MCY/products/0/optimized/22897062_fpx.tif")</f>
        <v/>
      </c>
      <c r="H150">
        <f>_xlfn.IMAGE("https://m.media-amazon.com/images/I/81Mds1XzsxL._AC_UL320_.jpg")</f>
        <v/>
      </c>
      <c r="K150" t="inlineStr">
        <is>
          <t>9.99</t>
        </is>
      </c>
      <c r="L150" t="n">
        <v>17</v>
      </c>
      <c r="M150" s="2" t="inlineStr">
        <is>
          <t>70.17%</t>
        </is>
      </c>
      <c r="N150" t="n">
        <v>4.2</v>
      </c>
      <c r="O150" t="n">
        <v>20</v>
      </c>
      <c r="Q150" t="inlineStr">
        <is>
          <t>InStock</t>
        </is>
      </c>
      <c r="R150" t="inlineStr">
        <is>
          <t>undefined</t>
        </is>
      </c>
      <c r="S150" t="inlineStr">
        <is>
          <t>14396066</t>
        </is>
      </c>
    </row>
    <row r="151" ht="75" customHeight="1">
      <c r="A151" s="1">
        <f>HYPERLINK("https://www.toysrus.com/fashion-fidgets-surprise-doll-14396066.html", "https://www.toysrus.com/fashion-fidgets-surprise-doll-14396066.html")</f>
        <v/>
      </c>
      <c r="B151" s="1">
        <f>HYPERLINK("https://www.toysrus.com/fashion-fidgets-surprise-doll-14396066.html", "https://www.toysrus.com/fashion-fidgets-surprise-doll-14396066.html")</f>
        <v/>
      </c>
      <c r="C151" t="inlineStr">
        <is>
          <t>Fashion Fidgets Surprise Doll</t>
        </is>
      </c>
      <c r="D151" t="inlineStr">
        <is>
          <t>Sunny Days Entertainment Fidgie Friends Unicorn Sprinkles – Stretchy Noodle Hair with Slow Foam Donut Skirt | 10.5 Inch Fashion Doll with Fidgets | Sensory Toys for Kids</t>
        </is>
      </c>
      <c r="E151" s="1">
        <f>HYPERLINK("https://www.amazon.com/Sunny-Days-Entertainment-Friends-Sprinkles/dp/B0BGQP3BPJ/ref=sr_1_6?keywords=Fashion+Fidgets+Surprise+Doll&amp;qid=1695588579&amp;sr=8-6", "https://www.amazon.com/Sunny-Days-Entertainment-Friends-Sprinkles/dp/B0BGQP3BPJ/ref=sr_1_6?keywords=Fashion+Fidgets+Surprise+Doll&amp;qid=1695588579&amp;sr=8-6")</f>
        <v/>
      </c>
      <c r="F151" t="inlineStr">
        <is>
          <t>B0BGQP3BPJ</t>
        </is>
      </c>
      <c r="G151">
        <f>_xlfn.IMAGE("http://slimages.macys.com/is/image/MCY/products/0/optimized/22897062_fpx.tif")</f>
        <v/>
      </c>
      <c r="H151">
        <f>_xlfn.IMAGE("https://m.media-amazon.com/images/I/81u4e--MOCL._AC_UL320_.jpg")</f>
        <v/>
      </c>
      <c r="K151" t="inlineStr">
        <is>
          <t>9.99</t>
        </is>
      </c>
      <c r="L151" t="n">
        <v>17</v>
      </c>
      <c r="M151" s="2" t="inlineStr">
        <is>
          <t>70.17%</t>
        </is>
      </c>
      <c r="N151" t="n">
        <v>4.6</v>
      </c>
      <c r="O151" t="n">
        <v>63</v>
      </c>
      <c r="Q151" t="inlineStr">
        <is>
          <t>InStock</t>
        </is>
      </c>
      <c r="R151" t="inlineStr">
        <is>
          <t>undefined</t>
        </is>
      </c>
      <c r="S151" t="inlineStr">
        <is>
          <t>14396066</t>
        </is>
      </c>
    </row>
    <row r="152" ht="75" customHeight="1">
      <c r="A152" s="1">
        <f>HYPERLINK("https://www.toysrus.com/fisher-price-123-crawl-with-me-puppy-13942171.html", "https://www.toysrus.com/fisher-price-123-crawl-with-me-puppy-13942171.html")</f>
        <v/>
      </c>
      <c r="B152" s="1">
        <f>HYPERLINK("https://www.toysrus.com/fisher-price-123-crawl-with-me-puppy-13942171.html", "https://www.toysrus.com/fisher-price-123-crawl-with-me-puppy-13942171.html")</f>
        <v/>
      </c>
      <c r="C152" t="inlineStr">
        <is>
          <t>Fisher-Price 123 Crawl With Me Puppy</t>
        </is>
      </c>
      <c r="D152" t="inlineStr">
        <is>
          <t>Fisher-Price 123 Crawl with Me Puppy, Electronic Dog Infant Crawling Toy with Music and Smart Stages Learning Content for Infants and Toddlers</t>
        </is>
      </c>
      <c r="E152" s="1">
        <f>HYPERLINK("https://www.amazon.com/Fisher-Price-HHH14-123-Crawl-Puppy/dp/B09BW212LJ/ref=sr_1_2?keywords=Fisher-Price+123+Crawl+With+Me+Puppy&amp;qid=1695588822&amp;sr=8-2", "https://www.amazon.com/Fisher-Price-HHH14-123-Crawl-Puppy/dp/B09BW212LJ/ref=sr_1_2?keywords=Fisher-Price+123+Crawl+With+Me+Puppy&amp;qid=1695588822&amp;sr=8-2")</f>
        <v/>
      </c>
      <c r="F152" t="inlineStr">
        <is>
          <t>B09BW212LJ</t>
        </is>
      </c>
      <c r="G152">
        <f>_xlfn.IMAGE("http://slimages.macys.com/is/image/MCY/products/0/optimized/22375274_fpx.tif")</f>
        <v/>
      </c>
      <c r="H152">
        <f>_xlfn.IMAGE("https://m.media-amazon.com/images/I/516gkgde6EL._AC_UL320_.jpg")</f>
        <v/>
      </c>
      <c r="K152" t="inlineStr">
        <is>
          <t>29.99</t>
        </is>
      </c>
      <c r="L152" t="n">
        <v>50.97</v>
      </c>
      <c r="M152" s="2" t="inlineStr">
        <is>
          <t>69.96%</t>
        </is>
      </c>
      <c r="N152" t="n">
        <v>4.6</v>
      </c>
      <c r="O152" t="n">
        <v>220</v>
      </c>
      <c r="Q152" t="inlineStr">
        <is>
          <t>InStock</t>
        </is>
      </c>
      <c r="R152" t="inlineStr">
        <is>
          <t>undefined</t>
        </is>
      </c>
      <c r="S152" t="inlineStr">
        <is>
          <t>13942171</t>
        </is>
      </c>
    </row>
    <row r="153" ht="75" customHeight="1">
      <c r="A153" s="1">
        <f>HYPERLINK("https://www.toysrus.com/fisher-price-barbie-convertible-by-little-people-set-14461775.html", "https://www.toysrus.com/fisher-price-barbie-convertible-by-little-people-set-14461775.html")</f>
        <v/>
      </c>
      <c r="B153" s="1">
        <f>HYPERLINK("https://www.toysrus.com/fisher-price-barbie-convertible-by-little-people-set-14461775.html", "https://www.toysrus.com/fisher-price-barbie-convertible-by-little-people-set-14461775.html")</f>
        <v/>
      </c>
      <c r="C153" t="inlineStr">
        <is>
          <t>Fisher Price Barbie Convertible By Little People Set</t>
        </is>
      </c>
      <c r="D153" t="inlineStr">
        <is>
          <t>Fisher-Price Little People Barbie Toddler Toy Horse Stable Playset With Light Sounds &amp; Figures For Ages 18+ Months</t>
        </is>
      </c>
      <c r="E153" s="1">
        <f>HYPERLINK("https://www.amazon.com/Fisher-Price-Little-Playset-Toddlers-Figures/dp/B0BCDJCTQB/ref=sr_1_10?keywords=Fisher+Price+Barbie+Convertible+By+Little+People+Set&amp;qid=1695588815&amp;sr=8-10", "https://www.amazon.com/Fisher-Price-Little-Playset-Toddlers-Figures/dp/B0BCDJCTQB/ref=sr_1_10?keywords=Fisher+Price+Barbie+Convertible+By+Little+People+Set&amp;qid=1695588815&amp;sr=8-10")</f>
        <v/>
      </c>
      <c r="F153" t="inlineStr">
        <is>
          <t>B0BCDJCTQB</t>
        </is>
      </c>
      <c r="G153">
        <f>_xlfn.IMAGE("http://slimages.macys.com/is/image/MCY/products/0/optimized/22528765_fpx.tif")</f>
        <v/>
      </c>
      <c r="H153">
        <f>_xlfn.IMAGE("https://m.media-amazon.com/images/I/61IwtD-0hbL._AC_UL320_.jpg")</f>
        <v/>
      </c>
      <c r="K153" t="inlineStr">
        <is>
          <t>16.99</t>
        </is>
      </c>
      <c r="L153" t="n">
        <v>39.8</v>
      </c>
      <c r="M153" s="2" t="inlineStr">
        <is>
          <t>134.26%</t>
        </is>
      </c>
      <c r="N153" t="n">
        <v>5</v>
      </c>
      <c r="O153" t="n">
        <v>3</v>
      </c>
      <c r="Q153" t="inlineStr">
        <is>
          <t>InStock</t>
        </is>
      </c>
      <c r="R153" t="inlineStr">
        <is>
          <t>undefined</t>
        </is>
      </c>
      <c r="S153" t="inlineStr">
        <is>
          <t>Cody0608</t>
        </is>
      </c>
    </row>
    <row r="154" ht="75" customHeight="1">
      <c r="A154" s="1">
        <f>HYPERLINK("https://www.toysrus.com/fisher-price-barbie-convertible-by-little-people-set-14461775.html", "https://www.toysrus.com/fisher-price-barbie-convertible-by-little-people-set-14461775.html")</f>
        <v/>
      </c>
      <c r="B154" s="1">
        <f>HYPERLINK("https://www.toysrus.com/fisher-price-barbie-convertible-by-little-people-set-14461775.html", "https://www.toysrus.com/fisher-price-barbie-convertible-by-little-people-set-14461775.html")</f>
        <v/>
      </c>
      <c r="C154" t="inlineStr">
        <is>
          <t>Fisher Price Barbie Convertible By Little People Set</t>
        </is>
      </c>
      <c r="D154" t="inlineStr">
        <is>
          <t>Fisher-Price Little People Barbie Advent Calendar and Toddler Playset, 24 Christmas Figures and Play Pieces (Amazon Exclusive)</t>
        </is>
      </c>
      <c r="E154" s="1">
        <f>HYPERLINK("https://www.amazon.com/Fisher-Price-Calendar-Toddler-Christmas-Exclusive/dp/B0BLJSF9ND/ref=sr_1_9?keywords=Fisher+Price+Barbie+Convertible+By+Little+People+Set&amp;qid=1695588815&amp;sr=8-9", "https://www.amazon.com/Fisher-Price-Calendar-Toddler-Christmas-Exclusive/dp/B0BLJSF9ND/ref=sr_1_9?keywords=Fisher+Price+Barbie+Convertible+By+Little+People+Set&amp;qid=1695588815&amp;sr=8-9")</f>
        <v/>
      </c>
      <c r="F154" t="inlineStr">
        <is>
          <t>B0BLJSF9ND</t>
        </is>
      </c>
      <c r="G154">
        <f>_xlfn.IMAGE("http://slimages.macys.com/is/image/MCY/products/0/optimized/22528765_fpx.tif")</f>
        <v/>
      </c>
      <c r="H154">
        <f>_xlfn.IMAGE("https://m.media-amazon.com/images/I/71M8sXyd4yL._AC_UL320_.jpg")</f>
        <v/>
      </c>
      <c r="K154" t="inlineStr">
        <is>
          <t>16.99</t>
        </is>
      </c>
      <c r="L154" t="n">
        <v>29.99</v>
      </c>
      <c r="M154" s="2" t="inlineStr">
        <is>
          <t>76.52%</t>
        </is>
      </c>
      <c r="N154" t="n">
        <v>4.5</v>
      </c>
      <c r="O154" t="n">
        <v>65</v>
      </c>
      <c r="Q154" t="inlineStr">
        <is>
          <t>InStock</t>
        </is>
      </c>
      <c r="R154" t="inlineStr">
        <is>
          <t>undefined</t>
        </is>
      </c>
      <c r="S154" t="inlineStr">
        <is>
          <t>Cody0608</t>
        </is>
      </c>
    </row>
    <row r="155" ht="75" customHeight="1">
      <c r="A155" s="1">
        <f>HYPERLINK("https://www.toysrus.com/fisher-price-barbie-figure-by-little-people-set-14461781.html", "https://www.toysrus.com/fisher-price-barbie-figure-by-little-people-set-14461781.html")</f>
        <v/>
      </c>
      <c r="B155" s="1">
        <f>HYPERLINK("https://www.toysrus.com/fisher-price-barbie-figure-by-little-people-set-14461781.html", "https://www.toysrus.com/fisher-price-barbie-figure-by-little-people-set-14461781.html")</f>
        <v/>
      </c>
      <c r="C155" t="inlineStr">
        <is>
          <t>Fisher Price Barbie Figure By Little People Set</t>
        </is>
      </c>
      <c r="D155" t="inlineStr">
        <is>
          <t>Fisher-Price Little People Barbie Toddler Toy Little Dream Plane with Lights Music &amp; Figures for Pretend Play Ages 18+ Months</t>
        </is>
      </c>
      <c r="E155" s="1">
        <f>HYPERLINK("https://www.amazon.com/Little-People-Toddler-Figures-Pretend/dp/B0BSMSPWTQ/ref=sr_1_8?keywords=Fisher+Price+Barbie+Figure+By+Little+People+Set&amp;qid=1695588821&amp;sr=8-8", "https://www.amazon.com/Little-People-Toddler-Figures-Pretend/dp/B0BSMSPWTQ/ref=sr_1_8?keywords=Fisher+Price+Barbie+Figure+By+Little+People+Set&amp;qid=1695588821&amp;sr=8-8")</f>
        <v/>
      </c>
      <c r="F155" t="inlineStr">
        <is>
          <t>B0BSMSPWTQ</t>
        </is>
      </c>
      <c r="G155">
        <f>_xlfn.IMAGE("http://slimages.macys.com/is/image/MCY/products/0/optimized/22528944_fpx.tif")</f>
        <v/>
      </c>
      <c r="H155">
        <f>_xlfn.IMAGE("https://m.media-amazon.com/images/I/716aSqFvW3L._AC_UL320_.jpg")</f>
        <v/>
      </c>
      <c r="K155" t="inlineStr">
        <is>
          <t>18.99</t>
        </is>
      </c>
      <c r="L155" t="n">
        <v>31.49</v>
      </c>
      <c r="M155" s="2" t="inlineStr">
        <is>
          <t>65.82%</t>
        </is>
      </c>
      <c r="N155" t="n">
        <v>4.9</v>
      </c>
      <c r="O155" t="n">
        <v>39</v>
      </c>
      <c r="Q155" t="inlineStr">
        <is>
          <t>InStock</t>
        </is>
      </c>
      <c r="R155" t="inlineStr">
        <is>
          <t>undefined</t>
        </is>
      </c>
      <c r="S155" t="inlineStr">
        <is>
          <t>14461781</t>
        </is>
      </c>
    </row>
    <row r="156" ht="75" customHeight="1">
      <c r="A156" s="1">
        <f>HYPERLINK("https://www.toysrus.com/fisher-price-corn-popper-12888040.html", "https://www.toysrus.com/fisher-price-corn-popper-12888040.html")</f>
        <v/>
      </c>
      <c r="B156" s="1">
        <f>HYPERLINK("https://www.toysrus.com/fisher-price-corn-popper-12888040.html", "https://www.toysrus.com/fisher-price-corn-popper-12888040.html")</f>
        <v/>
      </c>
      <c r="C156" t="inlineStr">
        <is>
          <t>Fisher-Price Corn Popper</t>
        </is>
      </c>
      <c r="D156" t="inlineStr">
        <is>
          <t>Fisher-Price Ride-On Classic Pop-Corn Popper – Balls POP as You Ride! Ages 1-3</t>
        </is>
      </c>
      <c r="E156" s="1">
        <f>HYPERLINK("https://www.amazon.com/Fisher-Price-Corn-Popper-Ride-On/dp/B0876JH37W/ref=sr_1_3?keywords=Fisher-Price+Corn+Popper&amp;qid=1695588830&amp;sr=8-3", "https://www.amazon.com/Fisher-Price-Corn-Popper-Ride-On/dp/B0876JH37W/ref=sr_1_3?keywords=Fisher-Price+Corn+Popper&amp;qid=1695588830&amp;sr=8-3")</f>
        <v/>
      </c>
      <c r="F156" t="inlineStr">
        <is>
          <t>B0876JH37W</t>
        </is>
      </c>
      <c r="G156">
        <f>_xlfn.IMAGE("http://slimages.macys.com/is/image/MCY/products/0/optimized/20382094_fpx.tif")</f>
        <v/>
      </c>
      <c r="H156">
        <f>_xlfn.IMAGE("https://m.media-amazon.com/images/I/71TahdVMYgL._AC_UL320_.jpg")</f>
        <v/>
      </c>
      <c r="K156" t="inlineStr">
        <is>
          <t>13.99</t>
        </is>
      </c>
      <c r="L156" t="n">
        <v>24.99</v>
      </c>
      <c r="M156" s="2" t="inlineStr">
        <is>
          <t>78.63%</t>
        </is>
      </c>
      <c r="N156" t="n">
        <v>4.7</v>
      </c>
      <c r="O156" t="n">
        <v>547</v>
      </c>
      <c r="Q156" t="inlineStr">
        <is>
          <t>InStock</t>
        </is>
      </c>
      <c r="R156" t="inlineStr">
        <is>
          <t>undefined</t>
        </is>
      </c>
      <c r="S156" t="inlineStr">
        <is>
          <t>12888040</t>
        </is>
      </c>
    </row>
    <row r="157" ht="75" customHeight="1">
      <c r="A157" s="1">
        <f>HYPERLINK("https://www.toysrus.com/fisher-price-corn-popper-12888040.html", "https://www.toysrus.com/fisher-price-corn-popper-12888040.html")</f>
        <v/>
      </c>
      <c r="B157" s="1">
        <f>HYPERLINK("https://www.toysrus.com/fisher-price-corn-popper-12888040.html", "https://www.toysrus.com/fisher-price-corn-popper-12888040.html")</f>
        <v/>
      </c>
      <c r="C157" t="inlineStr">
        <is>
          <t>Fisher-Price Corn Popper</t>
        </is>
      </c>
      <c r="D157" t="inlineStr">
        <is>
          <t>Fisher-Price Special Edition Corn Popper - Purple, Removeable Handle</t>
        </is>
      </c>
      <c r="E157" s="1">
        <f>HYPERLINK("https://www.amazon.com/Fisher-Price-Special-Corn-Popper-Removeable/dp/B08QGYBZM5/ref=sr_1_2?keywords=Fisher-Price+Corn+Popper&amp;qid=1695588830&amp;sr=8-2", "https://www.amazon.com/Fisher-Price-Special-Corn-Popper-Removeable/dp/B08QGYBZM5/ref=sr_1_2?keywords=Fisher-Price+Corn+Popper&amp;qid=1695588830&amp;sr=8-2")</f>
        <v/>
      </c>
      <c r="F157" t="inlineStr">
        <is>
          <t>B08QGYBZM5</t>
        </is>
      </c>
      <c r="G157">
        <f>_xlfn.IMAGE("http://slimages.macys.com/is/image/MCY/products/0/optimized/20382094_fpx.tif")</f>
        <v/>
      </c>
      <c r="H157">
        <f>_xlfn.IMAGE("https://m.media-amazon.com/images/I/51mq04VttqL._AC_UL320_.jpg")</f>
        <v/>
      </c>
      <c r="K157" t="inlineStr">
        <is>
          <t>13.99</t>
        </is>
      </c>
      <c r="L157" t="n">
        <v>22.99</v>
      </c>
      <c r="M157" s="2" t="inlineStr">
        <is>
          <t>64.33%</t>
        </is>
      </c>
      <c r="N157" t="n">
        <v>4.6</v>
      </c>
      <c r="O157" t="n">
        <v>239</v>
      </c>
      <c r="Q157" t="inlineStr">
        <is>
          <t>InStock</t>
        </is>
      </c>
      <c r="R157" t="inlineStr">
        <is>
          <t>undefined</t>
        </is>
      </c>
      <c r="S157" t="inlineStr">
        <is>
          <t>12888040</t>
        </is>
      </c>
    </row>
    <row r="158" ht="75" customHeight="1">
      <c r="A158" s="1">
        <f>HYPERLINK("https://www.toysrus.com/fisher-price-laugh-and-learn-smart-stages-puppy-8976118.html", "https://www.toysrus.com/fisher-price-laugh-and-learn-smart-stages-puppy-8976118.html")</f>
        <v/>
      </c>
      <c r="B158" s="1">
        <f>HYPERLINK("https://www.toysrus.com/fisher-price-laugh-and-learn-smart-stages-puppy-8976118.html", "https://www.toysrus.com/fisher-price-laugh-and-learn-smart-stages-puppy-8976118.html")</f>
        <v/>
      </c>
      <c r="C158" t="inlineStr">
        <is>
          <t>Fisher-Price® Laugh &amp; Learn® Smart Stages? Puppy</t>
        </is>
      </c>
      <c r="D158" t="inlineStr">
        <is>
          <t>Fisher-Price Laugh &amp; Learn Smart Stages Puppy, 6 - 36 months</t>
        </is>
      </c>
      <c r="E158" s="1">
        <f>HYPERLINK("https://www.amazon.com/Fisher-Price-Laugh-Learn-Smart-Stages/dp/B00MYL9JU0/ref=sr_1_2?keywords=Fisher-Price%C2%AE+Laugh+%26+Learn%C2%AE+Smart+Stages%3F+Puppy&amp;qid=1695588835&amp;sr=8-2", "https://www.amazon.com/Fisher-Price-Laugh-Learn-Smart-Stages/dp/B00MYL9JU0/ref=sr_1_2?keywords=Fisher-Price%C2%AE+Laugh+%26+Learn%C2%AE+Smart+Stages%3F+Puppy&amp;qid=1695588835&amp;sr=8-2")</f>
        <v/>
      </c>
      <c r="F158" t="inlineStr">
        <is>
          <t>B00MYL9JU0</t>
        </is>
      </c>
      <c r="G158">
        <f>_xlfn.IMAGE("http://slimages.macys.com/is/image/MCY/products/0/optimized/12685003_fpx.tif")</f>
        <v/>
      </c>
      <c r="H158">
        <f>_xlfn.IMAGE("https://m.media-amazon.com/images/I/81PhzkBnR6L._AC_UL320_.jpg")</f>
        <v/>
      </c>
      <c r="K158" t="inlineStr">
        <is>
          <t>17.99</t>
        </is>
      </c>
      <c r="L158" t="n">
        <v>33.94</v>
      </c>
      <c r="M158" s="2" t="inlineStr">
        <is>
          <t>88.66%</t>
        </is>
      </c>
      <c r="N158" t="n">
        <v>4.6</v>
      </c>
      <c r="O158" t="n">
        <v>781</v>
      </c>
      <c r="Q158" t="inlineStr">
        <is>
          <t>OutOfStock</t>
        </is>
      </c>
      <c r="R158" t="inlineStr">
        <is>
          <t>undefined</t>
        </is>
      </c>
      <c r="S158" t="inlineStr">
        <is>
          <t>8976118</t>
        </is>
      </c>
    </row>
    <row r="159" ht="75" customHeight="1">
      <c r="A159" s="1">
        <f>HYPERLINK("https://www.toysrus.com/fisher-price-laugh-and-learn-smart-stages-puppy---sis-10256234.html", "https://www.toysrus.com/fisher-price-laugh-and-learn-smart-stages-puppy---sis-10256234.html")</f>
        <v/>
      </c>
      <c r="B159" s="1">
        <f>HYPERLINK("https://www.toysrus.com/fisher-price-laugh-and-learn-smart-stages-puppy---sis-10256234.html", "https://www.toysrus.com/fisher-price-laugh-and-learn-smart-stages-puppy---sis-10256234.html")</f>
        <v/>
      </c>
      <c r="C159" t="inlineStr">
        <is>
          <t>Fisher-Price Laugh and Learn Smart Stages Puppy - Sis</t>
        </is>
      </c>
      <c r="D159" t="inlineStr">
        <is>
          <t>Fisher-Price Laugh &amp; Learn Sis' Smart Stages Purse</t>
        </is>
      </c>
      <c r="E159" s="1">
        <f>HYPERLINK("https://www.amazon.com/Fisher-Price-Laugh-Learn-Smart-Stages/dp/B00SO7HF6I/ref=sr_1_4?keywords=Fisher-Price+Laugh+and+Learn+Smart+Stages+Puppy+-+Sis&amp;qid=1695588817&amp;sr=8-4", "https://www.amazon.com/Fisher-Price-Laugh-Learn-Smart-Stages/dp/B00SO7HF6I/ref=sr_1_4?keywords=Fisher-Price+Laugh+and+Learn+Smart+Stages+Puppy+-+Sis&amp;qid=1695588817&amp;sr=8-4")</f>
        <v/>
      </c>
      <c r="F159" t="inlineStr">
        <is>
          <t>B00SO7HF6I</t>
        </is>
      </c>
      <c r="G159">
        <f>_xlfn.IMAGE("http://slimages.macys.com/is/image/MCY/products/0/optimized/15439244_fpx.tif")</f>
        <v/>
      </c>
      <c r="H159">
        <f>_xlfn.IMAGE("https://m.media-amazon.com/images/I/81GG5hh48fL._AC_UL320_.jpg")</f>
        <v/>
      </c>
      <c r="K159" t="inlineStr">
        <is>
          <t>17.99</t>
        </is>
      </c>
      <c r="L159" t="n">
        <v>44.99</v>
      </c>
      <c r="M159" s="2" t="inlineStr">
        <is>
          <t>150.08%</t>
        </is>
      </c>
      <c r="N159" t="n">
        <v>4.5</v>
      </c>
      <c r="O159" t="n">
        <v>439</v>
      </c>
      <c r="Q159" t="inlineStr">
        <is>
          <t>OutOfStock</t>
        </is>
      </c>
      <c r="R159" t="inlineStr">
        <is>
          <t>undefined</t>
        </is>
      </c>
      <c r="S159" t="inlineStr">
        <is>
          <t>10256234</t>
        </is>
      </c>
    </row>
    <row r="160" ht="75" customHeight="1">
      <c r="A160" s="1">
        <f>HYPERLINK("https://www.toysrus.com/fisher-price-laugh-and-learn-smart-stages-puppy---sis-10256234.html", "https://www.toysrus.com/fisher-price-laugh-and-learn-smart-stages-puppy---sis-10256234.html")</f>
        <v/>
      </c>
      <c r="B160" s="1">
        <f>HYPERLINK("https://www.toysrus.com/fisher-price-laugh-and-learn-smart-stages-puppy---sis-10256234.html", "https://www.toysrus.com/fisher-price-laugh-and-learn-smart-stages-puppy---sis-10256234.html")</f>
        <v/>
      </c>
      <c r="C160" t="inlineStr">
        <is>
          <t>Fisher-Price Laugh and Learn Smart Stages Puppy - Sis</t>
        </is>
      </c>
      <c r="D160" t="inlineStr">
        <is>
          <t>Fisher-Price Laugh &amp; Learn Smart Stages Sis</t>
        </is>
      </c>
      <c r="E160" s="1">
        <f>HYPERLINK("https://www.amazon.com/Fisher-Price-Laugh-Learn-Smart-Stages/dp/B00MYL9EIW/ref=sr_1_3?keywords=Fisher-Price+Laugh+and+Learn+Smart+Stages+Puppy+-+Sis&amp;qid=1695588817&amp;sr=8-3", "https://www.amazon.com/Fisher-Price-Laugh-Learn-Smart-Stages/dp/B00MYL9EIW/ref=sr_1_3?keywords=Fisher-Price+Laugh+and+Learn+Smart+Stages+Puppy+-+Sis&amp;qid=1695588817&amp;sr=8-3")</f>
        <v/>
      </c>
      <c r="F160" t="inlineStr">
        <is>
          <t>B00MYL9EIW</t>
        </is>
      </c>
      <c r="G160">
        <f>_xlfn.IMAGE("http://slimages.macys.com/is/image/MCY/products/0/optimized/15439244_fpx.tif")</f>
        <v/>
      </c>
      <c r="H160">
        <f>_xlfn.IMAGE("https://m.media-amazon.com/images/I/81qyHrPZ+KL._AC_UL320_.jpg")</f>
        <v/>
      </c>
      <c r="K160" t="inlineStr">
        <is>
          <t>17.99</t>
        </is>
      </c>
      <c r="L160" t="n">
        <v>38.99</v>
      </c>
      <c r="M160" s="2" t="inlineStr">
        <is>
          <t>116.73%</t>
        </is>
      </c>
      <c r="N160" t="n">
        <v>4.6</v>
      </c>
      <c r="O160" t="n">
        <v>263</v>
      </c>
      <c r="Q160" t="inlineStr">
        <is>
          <t>OutOfStock</t>
        </is>
      </c>
      <c r="R160" t="inlineStr">
        <is>
          <t>undefined</t>
        </is>
      </c>
      <c r="S160" t="inlineStr">
        <is>
          <t>10256234</t>
        </is>
      </c>
    </row>
    <row r="161" ht="75" customHeight="1">
      <c r="A161" s="1">
        <f>HYPERLINK("https://www.toysrus.com/fisher-price-laugh-and-learn-smart-stages-puppy---sis-10256234.html", "https://www.toysrus.com/fisher-price-laugh-and-learn-smart-stages-puppy---sis-10256234.html")</f>
        <v/>
      </c>
      <c r="B161" s="1">
        <f>HYPERLINK("https://www.toysrus.com/fisher-price-laugh-and-learn-smart-stages-puppy---sis-10256234.html", "https://www.toysrus.com/fisher-price-laugh-and-learn-smart-stages-puppy---sis-10256234.html")</f>
        <v/>
      </c>
      <c r="C161" t="inlineStr">
        <is>
          <t>Fisher-Price Laugh and Learn Smart Stages Puppy - Sis</t>
        </is>
      </c>
      <c r="D161" t="inlineStr">
        <is>
          <t>Fisher-Price Laugh &amp; Learn So Big Sis, Large Musical Plush Puppy Toy with Learning Content for Infants and Toddlers</t>
        </is>
      </c>
      <c r="E161" s="1">
        <f>HYPERLINK("https://www.amazon.com/Fisher-Price-Laugh-Learn-Big-Sis/dp/B08HVWH31Z/ref=sr_1_2?keywords=Fisher-Price+Laugh+and+Learn+Smart+Stages+Puppy+-+Sis&amp;qid=1695588817&amp;sr=8-2", "https://www.amazon.com/Fisher-Price-Laugh-Learn-Big-Sis/dp/B08HVWH31Z/ref=sr_1_2?keywords=Fisher-Price+Laugh+and+Learn+Smart+Stages+Puppy+-+Sis&amp;qid=1695588817&amp;sr=8-2")</f>
        <v/>
      </c>
      <c r="F161" t="inlineStr">
        <is>
          <t>B08HVWH31Z</t>
        </is>
      </c>
      <c r="G161">
        <f>_xlfn.IMAGE("http://slimages.macys.com/is/image/MCY/products/0/optimized/15439244_fpx.tif")</f>
        <v/>
      </c>
      <c r="H161">
        <f>_xlfn.IMAGE("https://m.media-amazon.com/images/I/71GbQ4u7LIS._AC_UL320_.jpg")</f>
        <v/>
      </c>
      <c r="K161" t="inlineStr">
        <is>
          <t>17.99</t>
        </is>
      </c>
      <c r="L161" t="n">
        <v>29.99</v>
      </c>
      <c r="M161" s="2" t="inlineStr">
        <is>
          <t>66.70%</t>
        </is>
      </c>
      <c r="N161" t="n">
        <v>4.7</v>
      </c>
      <c r="O161" t="n">
        <v>866</v>
      </c>
      <c r="Q161" t="inlineStr">
        <is>
          <t>OutOfStock</t>
        </is>
      </c>
      <c r="R161" t="inlineStr">
        <is>
          <t>undefined</t>
        </is>
      </c>
      <c r="S161" t="inlineStr">
        <is>
          <t>10256234</t>
        </is>
      </c>
    </row>
    <row r="162" ht="75" customHeight="1">
      <c r="A162" s="1">
        <f>HYPERLINK("https://www.toysrus.com/fisher-price-little-people-a-frame-cabin-14084795.html", "https://www.toysrus.com/fisher-price-little-people-a-frame-cabin-14084795.html")</f>
        <v/>
      </c>
      <c r="B162" s="1">
        <f>HYPERLINK("https://www.toysrus.com/fisher-price-little-people-a-frame-cabin-14084795.html", "https://www.toysrus.com/fisher-price-little-people-a-frame-cabin-14084795.html")</f>
        <v/>
      </c>
      <c r="C162" t="inlineStr">
        <is>
          <t>Fisher Price Little People A-Frame Cabin</t>
        </is>
      </c>
      <c r="D162" t="inlineStr">
        <is>
          <t>Fisher-Price Little People Toddler Playset Light-Up Learning Garage with Smart Stages Plus Toy Car and Ramp for Ages 1+ Years</t>
        </is>
      </c>
      <c r="E162" s="1">
        <f>HYPERLINK("https://www.amazon.com/Fisher-Price-Toddler-Playset-Light-Up-Learning/dp/B0BLJT5M16/ref=sr_1_4?keywords=Fisher+Price+Little+People+A-Frame+Cabin&amp;qid=1695588870&amp;sr=8-4", "https://www.amazon.com/Fisher-Price-Toddler-Playset-Light-Up-Learning/dp/B0BLJT5M16/ref=sr_1_4?keywords=Fisher+Price+Little+People+A-Frame+Cabin&amp;qid=1695588870&amp;sr=8-4")</f>
        <v/>
      </c>
      <c r="F162" t="inlineStr">
        <is>
          <t>B0BLJT5M16</t>
        </is>
      </c>
      <c r="G162">
        <f>_xlfn.IMAGE("http://slimages.macys.com/is/image/MCY/products/0/optimized/22258981_fpx.tif")</f>
        <v/>
      </c>
      <c r="H162">
        <f>_xlfn.IMAGE("https://m.media-amazon.com/images/I/71OdxNI--yL._AC_UL320_.jpg")</f>
        <v/>
      </c>
      <c r="K162" t="inlineStr">
        <is>
          <t>11.99</t>
        </is>
      </c>
      <c r="L162" t="n">
        <v>44.99</v>
      </c>
      <c r="M162" s="2" t="inlineStr">
        <is>
          <t>275.23%</t>
        </is>
      </c>
      <c r="N162" t="n">
        <v>4.8</v>
      </c>
      <c r="O162" t="n">
        <v>25</v>
      </c>
      <c r="Q162" t="inlineStr">
        <is>
          <t>InStock</t>
        </is>
      </c>
      <c r="R162" t="inlineStr">
        <is>
          <t>undefined</t>
        </is>
      </c>
      <c r="S162" t="inlineStr">
        <is>
          <t>14084795</t>
        </is>
      </c>
    </row>
    <row r="163" ht="75" customHeight="1">
      <c r="A163" s="1">
        <f>HYPERLINK("https://www.toysrus.com/fisher-price-little-people-a-frame-cabin-14084795.html", "https://www.toysrus.com/fisher-price-little-people-a-frame-cabin-14084795.html")</f>
        <v/>
      </c>
      <c r="B163" s="1">
        <f>HYPERLINK("https://www.toysrus.com/fisher-price-little-people-a-frame-cabin-14084795.html", "https://www.toysrus.com/fisher-price-little-people-a-frame-cabin-14084795.html")</f>
        <v/>
      </c>
      <c r="C163" t="inlineStr">
        <is>
          <t>Fisher Price Little People A-Frame Cabin</t>
        </is>
      </c>
      <c r="D163" t="inlineStr">
        <is>
          <t>Fisher-Price Little People Toddler Playhouse Big Helpers Home Electronic Playset with Figures &amp; Accessories for Ages 1+ Years</t>
        </is>
      </c>
      <c r="E163" s="1">
        <f>HYPERLINK("https://www.amazon.com/Fisher-Price-Little-People-Helpers-Home/dp/B07CT6YGL5/ref=sr_1_9?keywords=Fisher+Price+Little+People+A-Frame+Cabin&amp;qid=1695588870&amp;sr=8-9", "https://www.amazon.com/Fisher-Price-Little-People-Helpers-Home/dp/B07CT6YGL5/ref=sr_1_9?keywords=Fisher+Price+Little+People+A-Frame+Cabin&amp;qid=1695588870&amp;sr=8-9")</f>
        <v/>
      </c>
      <c r="F163" t="inlineStr">
        <is>
          <t>B07CT6YGL5</t>
        </is>
      </c>
      <c r="G163">
        <f>_xlfn.IMAGE("http://slimages.macys.com/is/image/MCY/products/0/optimized/22258981_fpx.tif")</f>
        <v/>
      </c>
      <c r="H163">
        <f>_xlfn.IMAGE("https://m.media-amazon.com/images/I/71lkdXlc9hL._AC_UL320_.jpg")</f>
        <v/>
      </c>
      <c r="K163" t="inlineStr">
        <is>
          <t>11.99</t>
        </is>
      </c>
      <c r="L163" t="n">
        <v>42.99</v>
      </c>
      <c r="M163" s="2" t="inlineStr">
        <is>
          <t>258.55%</t>
        </is>
      </c>
      <c r="N163" t="n">
        <v>4.8</v>
      </c>
      <c r="O163" t="n">
        <v>2436</v>
      </c>
      <c r="Q163" t="inlineStr">
        <is>
          <t>InStock</t>
        </is>
      </c>
      <c r="R163" t="inlineStr">
        <is>
          <t>undefined</t>
        </is>
      </c>
      <c r="S163" t="inlineStr">
        <is>
          <t>14084795</t>
        </is>
      </c>
    </row>
    <row r="164" ht="75" customHeight="1">
      <c r="A164" s="1">
        <f>HYPERLINK("https://www.toysrus.com/fisher-price-little-people-a-frame-cabin-14084795.html", "https://www.toysrus.com/fisher-price-little-people-a-frame-cabin-14084795.html")</f>
        <v/>
      </c>
      <c r="B164" s="1">
        <f>HYPERLINK("https://www.toysrus.com/fisher-price-little-people-a-frame-cabin-14084795.html", "https://www.toysrus.com/fisher-price-little-people-a-frame-cabin-14084795.html")</f>
        <v/>
      </c>
      <c r="C164" t="inlineStr">
        <is>
          <t>Fisher Price Little People A-Frame Cabin</t>
        </is>
      </c>
      <c r="D164" t="inlineStr">
        <is>
          <t>Fisher-Price Replacement Figures for Little People Little People Big Helpers Home | FHF34 ~ Replacement Parts Bag - Contents: Emma, Jack and Dog Figures</t>
        </is>
      </c>
      <c r="E164" s="1">
        <f>HYPERLINK("https://www.amazon.com/Fisher-Price-Little-People-Helpers-Home/dp/B07J9NCPVL/ref=sr_1_8?keywords=Fisher+Price+Little+People+A-Frame+Cabin&amp;qid=1695588870&amp;sr=8-8", "https://www.amazon.com/Fisher-Price-Little-People-Helpers-Home/dp/B07J9NCPVL/ref=sr_1_8?keywords=Fisher+Price+Little+People+A-Frame+Cabin&amp;qid=1695588870&amp;sr=8-8")</f>
        <v/>
      </c>
      <c r="F164" t="inlineStr">
        <is>
          <t>B07J9NCPVL</t>
        </is>
      </c>
      <c r="G164">
        <f>_xlfn.IMAGE("http://slimages.macys.com/is/image/MCY/products/0/optimized/22258981_fpx.tif")</f>
        <v/>
      </c>
      <c r="H164">
        <f>_xlfn.IMAGE("https://m.media-amazon.com/images/I/51u10VwvvPL._AC_UL320_.jpg")</f>
        <v/>
      </c>
      <c r="K164" t="inlineStr">
        <is>
          <t>11.99</t>
        </is>
      </c>
      <c r="L164" t="n">
        <v>35.94</v>
      </c>
      <c r="M164" s="2" t="inlineStr">
        <is>
          <t>199.75%</t>
        </is>
      </c>
      <c r="N164" t="n">
        <v>5</v>
      </c>
      <c r="O164" t="n">
        <v>48</v>
      </c>
      <c r="Q164" t="inlineStr">
        <is>
          <t>InStock</t>
        </is>
      </c>
      <c r="R164" t="inlineStr">
        <is>
          <t>undefined</t>
        </is>
      </c>
      <c r="S164" t="inlineStr">
        <is>
          <t>14084795</t>
        </is>
      </c>
    </row>
    <row r="165" ht="75" customHeight="1">
      <c r="A165" s="1">
        <f>HYPERLINK("https://www.toysrus.com/fisher-price-little-people-a-frame-cabin-14084795.html", "https://www.toysrus.com/fisher-price-little-people-a-frame-cabin-14084795.html")</f>
        <v/>
      </c>
      <c r="B165" s="1">
        <f>HYPERLINK("https://www.toysrus.com/fisher-price-little-people-a-frame-cabin-14084795.html", "https://www.toysrus.com/fisher-price-little-people-a-frame-cabin-14084795.html")</f>
        <v/>
      </c>
      <c r="C165" t="inlineStr">
        <is>
          <t>Fisher Price Little People A-Frame Cabin</t>
        </is>
      </c>
      <c r="D165" t="inlineStr">
        <is>
          <t>Fisher-Price Little People Toddler Learning Toy Caring For Animals Farm Electronic Playset With Smart Stages For Ages 1+ Years</t>
        </is>
      </c>
      <c r="E165" s="1">
        <f>HYPERLINK("https://www.amazon.com/Fisher-Price-Little-People-Caring-Animals/dp/B084YNM9VF/ref=sr_1_7?keywords=Fisher+Price+Little+People+A-Frame+Cabin&amp;qid=1695588870&amp;sr=8-7", "https://www.amazon.com/Fisher-Price-Little-People-Caring-Animals/dp/B084YNM9VF/ref=sr_1_7?keywords=Fisher+Price+Little+People+A-Frame+Cabin&amp;qid=1695588870&amp;sr=8-7")</f>
        <v/>
      </c>
      <c r="F165" t="inlineStr">
        <is>
          <t>B084YNM9VF</t>
        </is>
      </c>
      <c r="G165">
        <f>_xlfn.IMAGE("http://slimages.macys.com/is/image/MCY/products/0/optimized/22258981_fpx.tif")</f>
        <v/>
      </c>
      <c r="H165">
        <f>_xlfn.IMAGE("https://m.media-amazon.com/images/I/71cgVYDaKIL._AC_UL320_.jpg")</f>
        <v/>
      </c>
      <c r="K165" t="inlineStr">
        <is>
          <t>11.99</t>
        </is>
      </c>
      <c r="L165" t="n">
        <v>33.99</v>
      </c>
      <c r="M165" s="2" t="inlineStr">
        <is>
          <t>183.49%</t>
        </is>
      </c>
      <c r="N165" t="n">
        <v>4.8</v>
      </c>
      <c r="O165" t="n">
        <v>13404</v>
      </c>
      <c r="Q165" t="inlineStr">
        <is>
          <t>InStock</t>
        </is>
      </c>
      <c r="R165" t="inlineStr">
        <is>
          <t>undefined</t>
        </is>
      </c>
      <c r="S165" t="inlineStr">
        <is>
          <t>14084795</t>
        </is>
      </c>
    </row>
    <row r="166" ht="75" customHeight="1">
      <c r="A166" s="1">
        <f>HYPERLINK("https://www.toysrus.com/fisher-price-little-people-a-frame-cabin-14084795.html", "https://www.toysrus.com/fisher-price-little-people-a-frame-cabin-14084795.html")</f>
        <v/>
      </c>
      <c r="B166" s="1">
        <f>HYPERLINK("https://www.toysrus.com/fisher-price-little-people-a-frame-cabin-14084795.html", "https://www.toysrus.com/fisher-price-little-people-a-frame-cabin-14084795.html")</f>
        <v/>
      </c>
      <c r="C166" t="inlineStr">
        <is>
          <t>Fisher Price Little People A-Frame Cabin</t>
        </is>
      </c>
      <c r="D166" t="inlineStr">
        <is>
          <t>Fisher-Price Little People Toddler Playset, Light-Up Learning Camper, Electronic Toy with Lights and Music for Ages 1-5 Years</t>
        </is>
      </c>
      <c r="E166" s="1">
        <f>HYPERLINK("https://www.amazon.com/Fisher-Price-Light-Up-Learning-Interactive-Educational/dp/B09P9QP9DL/ref=sr_1_3?keywords=Fisher+Price+Little+People+A-Frame+Cabin&amp;qid=1695588870&amp;sr=8-3", "https://www.amazon.com/Fisher-Price-Light-Up-Learning-Interactive-Educational/dp/B09P9QP9DL/ref=sr_1_3?keywords=Fisher+Price+Little+People+A-Frame+Cabin&amp;qid=1695588870&amp;sr=8-3")</f>
        <v/>
      </c>
      <c r="F166" t="inlineStr">
        <is>
          <t>B09P9QP9DL</t>
        </is>
      </c>
      <c r="G166">
        <f>_xlfn.IMAGE("http://slimages.macys.com/is/image/MCY/products/0/optimized/22258981_fpx.tif")</f>
        <v/>
      </c>
      <c r="H166">
        <f>_xlfn.IMAGE("https://m.media-amazon.com/images/I/71IsP3CGreL._AC_UL320_.jpg")</f>
        <v/>
      </c>
      <c r="K166" t="inlineStr">
        <is>
          <t>11.99</t>
        </is>
      </c>
      <c r="L166" t="n">
        <v>25.99</v>
      </c>
      <c r="M166" s="2" t="inlineStr">
        <is>
          <t>116.76%</t>
        </is>
      </c>
      <c r="N166" t="n">
        <v>4.9</v>
      </c>
      <c r="O166" t="n">
        <v>1415</v>
      </c>
      <c r="Q166" t="inlineStr">
        <is>
          <t>InStock</t>
        </is>
      </c>
      <c r="R166" t="inlineStr">
        <is>
          <t>undefined</t>
        </is>
      </c>
      <c r="S166" t="inlineStr">
        <is>
          <t>14084795</t>
        </is>
      </c>
    </row>
    <row r="167" ht="75" customHeight="1">
      <c r="A167" s="1">
        <f>HYPERLINK("https://www.toysrus.com/fisher-price-little-people-farmers-market-14084794.html", "https://www.toysrus.com/fisher-price-little-people-farmers-market-14084794.html")</f>
        <v/>
      </c>
      <c r="B167" s="1">
        <f>HYPERLINK("https://www.toysrus.com/fisher-price-little-people-farmers-market-14084794.html", "https://www.toysrus.com/fisher-price-little-people-farmers-market-14084794.html")</f>
        <v/>
      </c>
      <c r="C167" t="inlineStr">
        <is>
          <t>Fisher Price Little People Farmers Market</t>
        </is>
      </c>
      <c r="D167" t="inlineStr">
        <is>
          <t>Fisher-Price Little People Stable, Farmers Market, and A-Frame Cabin Bundle</t>
        </is>
      </c>
      <c r="E167" s="1">
        <f>HYPERLINK("https://www.amazon.com/Fisher-Price-Little-People-Stable-Farmers/dp/B0B89RMHK6/ref=sr_1_2?keywords=Fisher+Price+Little+People+Farmers+Market&amp;qid=1695588836&amp;sr=8-2", "https://www.amazon.com/Fisher-Price-Little-People-Stable-Farmers/dp/B0B89RMHK6/ref=sr_1_2?keywords=Fisher+Price+Little+People+Farmers+Market&amp;qid=1695588836&amp;sr=8-2")</f>
        <v/>
      </c>
      <c r="F167" t="inlineStr">
        <is>
          <t>B0B89RMHK6</t>
        </is>
      </c>
      <c r="G167">
        <f>_xlfn.IMAGE("http://slimages.macys.com/is/image/MCY/products/0/optimized/22258974_fpx.tif")</f>
        <v/>
      </c>
      <c r="H167">
        <f>_xlfn.IMAGE("https://m.media-amazon.com/images/I/61038UGWLPL._AC_UL320_.jpg")</f>
        <v/>
      </c>
      <c r="K167" t="inlineStr">
        <is>
          <t>11.99</t>
        </is>
      </c>
      <c r="L167" t="n">
        <v>28.3</v>
      </c>
      <c r="M167" s="2" t="inlineStr">
        <is>
          <t>136.03%</t>
        </is>
      </c>
      <c r="N167" t="n">
        <v>5</v>
      </c>
      <c r="O167" t="n">
        <v>13</v>
      </c>
      <c r="Q167" t="inlineStr">
        <is>
          <t>InStock</t>
        </is>
      </c>
      <c r="R167" t="inlineStr">
        <is>
          <t>undefined</t>
        </is>
      </c>
      <c r="S167" t="inlineStr">
        <is>
          <t>14084794</t>
        </is>
      </c>
    </row>
    <row r="168" ht="75" customHeight="1">
      <c r="A168" s="1">
        <f>HYPERLINK("https://www.toysrus.com/fisher-price-little-people-music-adventure-ride-on-12894051.html", "https://www.toysrus.com/fisher-price-little-people-music-adventure-ride-on-12894051.html")</f>
        <v/>
      </c>
      <c r="B168" s="1">
        <f>HYPERLINK("https://www.toysrus.com/fisher-price-little-people-music-adventure-ride-on-12894051.html", "https://www.toysrus.com/fisher-price-little-people-music-adventure-ride-on-12894051.html")</f>
        <v/>
      </c>
      <c r="C168" t="inlineStr">
        <is>
          <t>Fisher-Price Little People Music Adventure Ride On</t>
        </is>
      </c>
      <c r="D168" t="inlineStr">
        <is>
          <t>Fisher-Price Little People Music Parade Ride-On, Plays 5 Marching Tunes &amp; Other Sounds! Perfect for Toddler Boys &amp; Girls Ages 1, 2, &amp; 3 Years Old - Helps Foster Motor Skills [Amazon Exclusive]</t>
        </is>
      </c>
      <c r="E168" s="1">
        <f>HYPERLINK("https://www.amazon.com/Fisher-Price-Yellow-Music-Maker-Ride/dp/B07KXKK22V/ref=sr_1_3?keywords=Fisher-Price+Little+People+Music+Adventure+Ride+On&amp;qid=1695588812&amp;sr=8-3", "https://www.amazon.com/Fisher-Price-Yellow-Music-Maker-Ride/dp/B07KXKK22V/ref=sr_1_3?keywords=Fisher-Price+Little+People+Music+Adventure+Ride+On&amp;qid=1695588812&amp;sr=8-3")</f>
        <v/>
      </c>
      <c r="F168" t="inlineStr">
        <is>
          <t>B07KXKK22V</t>
        </is>
      </c>
      <c r="G168">
        <f>_xlfn.IMAGE("http://slimages.macys.com/is/image/MCY/products/0/optimized/20353677_fpx.tif")</f>
        <v/>
      </c>
      <c r="H168">
        <f>_xlfn.IMAGE("https://m.media-amazon.com/images/I/81-C6sZsl4L._AC_UL320_.jpg")</f>
        <v/>
      </c>
      <c r="K168" t="inlineStr">
        <is>
          <t>19.99</t>
        </is>
      </c>
      <c r="L168" t="n">
        <v>39.99</v>
      </c>
      <c r="M168" s="2" t="inlineStr">
        <is>
          <t>100.05%</t>
        </is>
      </c>
      <c r="N168" t="n">
        <v>4.6</v>
      </c>
      <c r="O168" t="n">
        <v>133</v>
      </c>
      <c r="Q168" t="inlineStr">
        <is>
          <t>InStock</t>
        </is>
      </c>
      <c r="R168" t="inlineStr">
        <is>
          <t>undefined</t>
        </is>
      </c>
      <c r="S168" t="inlineStr">
        <is>
          <t>12894051</t>
        </is>
      </c>
    </row>
    <row r="169" ht="75" customHeight="1">
      <c r="A169" s="1">
        <f>HYPERLINK("https://www.toysrus.com/fisher-price-little-people-music-adventure-ride-on-12894051.html", "https://www.toysrus.com/fisher-price-little-people-music-adventure-ride-on-12894051.html")</f>
        <v/>
      </c>
      <c r="B169" s="1">
        <f>HYPERLINK("https://www.toysrus.com/fisher-price-little-people-music-adventure-ride-on-12894051.html", "https://www.toysrus.com/fisher-price-little-people-music-adventure-ride-on-12894051.html")</f>
        <v/>
      </c>
      <c r="C169" t="inlineStr">
        <is>
          <t>Fisher-Price Little People Music Adventure Ride On</t>
        </is>
      </c>
      <c r="D169" t="inlineStr">
        <is>
          <t>Little People Fisher-Price Music Parade Ride On, Purple, Large, Helps Foster Motor Skills</t>
        </is>
      </c>
      <c r="E169" s="1">
        <f>HYPERLINK("https://www.amazon.com/Fisher-Price-Little-People-Parade-Purple/dp/B00GSXKWB0/ref=sr_1_2?keywords=Fisher-Price+Little+People+Music+Adventure+Ride+On&amp;qid=1695588812&amp;sr=8-2", "https://www.amazon.com/Fisher-Price-Little-People-Parade-Purple/dp/B00GSXKWB0/ref=sr_1_2?keywords=Fisher-Price+Little+People+Music+Adventure+Ride+On&amp;qid=1695588812&amp;sr=8-2")</f>
        <v/>
      </c>
      <c r="F169" t="inlineStr">
        <is>
          <t>B00GSXKWB0</t>
        </is>
      </c>
      <c r="G169">
        <f>_xlfn.IMAGE("http://slimages.macys.com/is/image/MCY/products/0/optimized/20353677_fpx.tif")</f>
        <v/>
      </c>
      <c r="H169">
        <f>_xlfn.IMAGE("https://m.media-amazon.com/images/I/71swPo6L4YL._AC_UL320_.jpg")</f>
        <v/>
      </c>
      <c r="K169" t="inlineStr">
        <is>
          <t>19.99</t>
        </is>
      </c>
      <c r="L169" t="n">
        <v>34.99</v>
      </c>
      <c r="M169" s="2" t="inlineStr">
        <is>
          <t>75.04%</t>
        </is>
      </c>
      <c r="N169" t="n">
        <v>4.7</v>
      </c>
      <c r="O169" t="n">
        <v>225</v>
      </c>
      <c r="Q169" t="inlineStr">
        <is>
          <t>InStock</t>
        </is>
      </c>
      <c r="R169" t="inlineStr">
        <is>
          <t>undefined</t>
        </is>
      </c>
      <c r="S169" t="inlineStr">
        <is>
          <t>12894051</t>
        </is>
      </c>
    </row>
    <row r="170" ht="75" customHeight="1">
      <c r="A170" s="1">
        <f>HYPERLINK("https://www.toysrus.com/fisher-price-little-people-stable-14084793.html", "https://www.toysrus.com/fisher-price-little-people-stable-14084793.html")</f>
        <v/>
      </c>
      <c r="B170" s="1">
        <f>HYPERLINK("https://www.toysrus.com/fisher-price-little-people-stable-14084793.html", "https://www.toysrus.com/fisher-price-little-people-stable-14084793.html")</f>
        <v/>
      </c>
      <c r="C170" t="inlineStr">
        <is>
          <t>Fisher Price Little People Stable</t>
        </is>
      </c>
      <c r="D170" t="inlineStr">
        <is>
          <t>Fisher-Price Little People Toddler Toy Nativity Set with Music Lights and 18 Pieces for Christmas Play Ages 1+ years</t>
        </is>
      </c>
      <c r="E170" s="1">
        <f>HYPERLINK("https://www.amazon.com/Fisher-Price-Little-Nativity-Toddler-Light-Up/dp/B0BLJSNSK8/ref=sr_1_10?keywords=Fisher+Price+Little+People+Stable&amp;qid=1695588829&amp;sr=8-10", "https://www.amazon.com/Fisher-Price-Little-Nativity-Toddler-Light-Up/dp/B0BLJSNSK8/ref=sr_1_10?keywords=Fisher+Price+Little+People+Stable&amp;qid=1695588829&amp;sr=8-10")</f>
        <v/>
      </c>
      <c r="F170" t="inlineStr">
        <is>
          <t>B0BLJSNSK8</t>
        </is>
      </c>
      <c r="G170">
        <f>_xlfn.IMAGE("http://slimages.macys.com/is/image/MCY/products/0/optimized/22117590_fpx.tif")</f>
        <v/>
      </c>
      <c r="H170">
        <f>_xlfn.IMAGE("https://m.media-amazon.com/images/I/71hneM9+CQL._AC_UL320_.jpg")</f>
        <v/>
      </c>
      <c r="K170" t="inlineStr">
        <is>
          <t>11.99</t>
        </is>
      </c>
      <c r="L170" t="n">
        <v>44.99</v>
      </c>
      <c r="M170" s="2" t="inlineStr">
        <is>
          <t>275.23%</t>
        </is>
      </c>
      <c r="N170" t="n">
        <v>4.6</v>
      </c>
      <c r="O170" t="n">
        <v>31</v>
      </c>
      <c r="Q170" t="inlineStr">
        <is>
          <t>InStock</t>
        </is>
      </c>
      <c r="R170" t="inlineStr">
        <is>
          <t>undefined</t>
        </is>
      </c>
      <c r="S170" t="inlineStr">
        <is>
          <t>14084793</t>
        </is>
      </c>
    </row>
    <row r="171" ht="75" customHeight="1">
      <c r="A171" s="1">
        <f>HYPERLINK("https://www.toysrus.com/fisher-price-little-people-stable-14084793.html", "https://www.toysrus.com/fisher-price-little-people-stable-14084793.html")</f>
        <v/>
      </c>
      <c r="B171" s="1">
        <f>HYPERLINK("https://www.toysrus.com/fisher-price-little-people-stable-14084793.html", "https://www.toysrus.com/fisher-price-little-people-stable-14084793.html")</f>
        <v/>
      </c>
      <c r="C171" t="inlineStr">
        <is>
          <t>Fisher Price Little People Stable</t>
        </is>
      </c>
      <c r="D171" t="inlineStr">
        <is>
          <t>Fisher-Price Little People Barbie Toddler Toy Horse Stable Playset With Light Sounds &amp; Figures For Ages 18+ Months</t>
        </is>
      </c>
      <c r="E171" s="1">
        <f>HYPERLINK("https://www.amazon.com/Fisher-Price-Little-Playset-Toddlers-Figures/dp/B0BCDJCTQB/ref=sr_1_2?keywords=Fisher+Price+Little+People+Stable&amp;qid=1695588829&amp;sr=8-2", "https://www.amazon.com/Fisher-Price-Little-Playset-Toddlers-Figures/dp/B0BCDJCTQB/ref=sr_1_2?keywords=Fisher+Price+Little+People+Stable&amp;qid=1695588829&amp;sr=8-2")</f>
        <v/>
      </c>
      <c r="F171" t="inlineStr">
        <is>
          <t>B0BCDJCTQB</t>
        </is>
      </c>
      <c r="G171">
        <f>_xlfn.IMAGE("http://slimages.macys.com/is/image/MCY/products/0/optimized/22117590_fpx.tif")</f>
        <v/>
      </c>
      <c r="H171">
        <f>_xlfn.IMAGE("https://m.media-amazon.com/images/I/61IwtD-0hbL._AC_UL320_.jpg")</f>
        <v/>
      </c>
      <c r="K171" t="inlineStr">
        <is>
          <t>11.99</t>
        </is>
      </c>
      <c r="L171" t="n">
        <v>39.8</v>
      </c>
      <c r="M171" s="2" t="inlineStr">
        <is>
          <t>231.94%</t>
        </is>
      </c>
      <c r="N171" t="n">
        <v>5</v>
      </c>
      <c r="O171" t="n">
        <v>3</v>
      </c>
      <c r="Q171" t="inlineStr">
        <is>
          <t>InStock</t>
        </is>
      </c>
      <c r="R171" t="inlineStr">
        <is>
          <t>undefined</t>
        </is>
      </c>
      <c r="S171" t="inlineStr">
        <is>
          <t>14084793</t>
        </is>
      </c>
    </row>
    <row r="172" ht="75" customHeight="1">
      <c r="A172" s="1">
        <f>HYPERLINK("https://www.toysrus.com/fisher-price-little-people-stable-14084793.html", "https://www.toysrus.com/fisher-price-little-people-stable-14084793.html")</f>
        <v/>
      </c>
      <c r="B172" s="1">
        <f>HYPERLINK("https://www.toysrus.com/fisher-price-little-people-stable-14084793.html", "https://www.toysrus.com/fisher-price-little-people-stable-14084793.html")</f>
        <v/>
      </c>
      <c r="C172" t="inlineStr">
        <is>
          <t>Fisher Price Little People Stable</t>
        </is>
      </c>
      <c r="D172" t="inlineStr">
        <is>
          <t>Fisher-Price Little People Nativity Playset, Toy Stable With Baby Jesus Mary &amp; Joseph Figures For Toddler And Preschool Pretend Play</t>
        </is>
      </c>
      <c r="E172" s="1">
        <f>HYPERLINK("https://www.amazon.com/Fisher-Price-DPX53-Little-People-Nativity/dp/B01FG96S0U/ref=sr_1_7?keywords=Fisher+Price+Little+People+Stable&amp;qid=1695588829&amp;sr=8-7", "https://www.amazon.com/Fisher-Price-DPX53-Little-People-Nativity/dp/B01FG96S0U/ref=sr_1_7?keywords=Fisher+Price+Little+People+Stable&amp;qid=1695588829&amp;sr=8-7")</f>
        <v/>
      </c>
      <c r="F172" t="inlineStr">
        <is>
          <t>B01FG96S0U</t>
        </is>
      </c>
      <c r="G172">
        <f>_xlfn.IMAGE("http://slimages.macys.com/is/image/MCY/products/0/optimized/22117590_fpx.tif")</f>
        <v/>
      </c>
      <c r="H172">
        <f>_xlfn.IMAGE("https://m.media-amazon.com/images/I/61xQtLyQKUL._AC_UL320_.jpg")</f>
        <v/>
      </c>
      <c r="K172" t="inlineStr">
        <is>
          <t>11.99</t>
        </is>
      </c>
      <c r="L172" t="n">
        <v>38.95</v>
      </c>
      <c r="M172" s="2" t="inlineStr">
        <is>
          <t>224.85%</t>
        </is>
      </c>
      <c r="N172" t="n">
        <v>4.9</v>
      </c>
      <c r="O172" t="n">
        <v>3135</v>
      </c>
      <c r="Q172" t="inlineStr">
        <is>
          <t>InStock</t>
        </is>
      </c>
      <c r="R172" t="inlineStr">
        <is>
          <t>undefined</t>
        </is>
      </c>
      <c r="S172" t="inlineStr">
        <is>
          <t>14084793</t>
        </is>
      </c>
    </row>
    <row r="173" ht="75" customHeight="1">
      <c r="A173" s="1">
        <f>HYPERLINK("https://www.toysrus.com/fisher-price-little-people-stable-14084793.html", "https://www.toysrus.com/fisher-price-little-people-stable-14084793.html")</f>
        <v/>
      </c>
      <c r="B173" s="1">
        <f>HYPERLINK("https://www.toysrus.com/fisher-price-little-people-stable-14084793.html", "https://www.toysrus.com/fisher-price-little-people-stable-14084793.html")</f>
        <v/>
      </c>
      <c r="C173" t="inlineStr">
        <is>
          <t>Fisher Price Little People Stable</t>
        </is>
      </c>
      <c r="D173" t="inlineStr">
        <is>
          <t>Replacement Part for Fisher-Price Little People Christmas Story Playset - J2404 ~ Replacement Stable / Barn with Light Up Star</t>
        </is>
      </c>
      <c r="E173" s="1">
        <f>HYPERLINK("https://www.amazon.com/Replacement-Fisher-Price-Little-Christmas-Playset/dp/B09R3SGQP9/ref=sr_1_4?keywords=Fisher+Price+Little+People+Stable&amp;qid=1695588829&amp;sr=8-4", "https://www.amazon.com/Replacement-Fisher-Price-Little-Christmas-Playset/dp/B09R3SGQP9/ref=sr_1_4?keywords=Fisher+Price+Little+People+Stable&amp;qid=1695588829&amp;sr=8-4")</f>
        <v/>
      </c>
      <c r="F173" t="inlineStr">
        <is>
          <t>B09R3SGQP9</t>
        </is>
      </c>
      <c r="G173">
        <f>_xlfn.IMAGE("http://slimages.macys.com/is/image/MCY/products/0/optimized/22117590_fpx.tif")</f>
        <v/>
      </c>
      <c r="H173">
        <f>_xlfn.IMAGE("https://m.media-amazon.com/images/I/41C5zme1YvL._AC_UL320_.jpg")</f>
        <v/>
      </c>
      <c r="K173" t="inlineStr">
        <is>
          <t>11.99</t>
        </is>
      </c>
      <c r="L173" t="n">
        <v>35.47</v>
      </c>
      <c r="M173" s="2" t="inlineStr">
        <is>
          <t>195.83%</t>
        </is>
      </c>
      <c r="N173" t="n">
        <v>4</v>
      </c>
      <c r="O173" t="n">
        <v>5</v>
      </c>
      <c r="Q173" t="inlineStr">
        <is>
          <t>InStock</t>
        </is>
      </c>
      <c r="R173" t="inlineStr">
        <is>
          <t>undefined</t>
        </is>
      </c>
      <c r="S173" t="inlineStr">
        <is>
          <t>14084793</t>
        </is>
      </c>
    </row>
    <row r="174" ht="75" customHeight="1">
      <c r="A174" s="1">
        <f>HYPERLINK("https://www.toysrus.com/fisher-price-little-people-stable-14084793.html", "https://www.toysrus.com/fisher-price-little-people-stable-14084793.html")</f>
        <v/>
      </c>
      <c r="B174" s="1">
        <f>HYPERLINK("https://www.toysrus.com/fisher-price-little-people-stable-14084793.html", "https://www.toysrus.com/fisher-price-little-people-stable-14084793.html")</f>
        <v/>
      </c>
      <c r="C174" t="inlineStr">
        <is>
          <t>Fisher Price Little People Stable</t>
        </is>
      </c>
      <c r="D174" t="inlineStr">
        <is>
          <t>Fisher-Price Little People Baby Animal: Stable</t>
        </is>
      </c>
      <c r="E174" s="1">
        <f>HYPERLINK("https://www.amazon.com/LIttle-People-Baby-Animal-Stable/dp/B0015GCK9W/ref=sr_1_6?keywords=Fisher+Price+Little+People+Stable&amp;qid=1695588829&amp;sr=8-6", "https://www.amazon.com/LIttle-People-Baby-Animal-Stable/dp/B0015GCK9W/ref=sr_1_6?keywords=Fisher+Price+Little+People+Stable&amp;qid=1695588829&amp;sr=8-6")</f>
        <v/>
      </c>
      <c r="F174" t="inlineStr">
        <is>
          <t>B0015GCK9W</t>
        </is>
      </c>
      <c r="G174">
        <f>_xlfn.IMAGE("http://slimages.macys.com/is/image/MCY/products/0/optimized/22117590_fpx.tif")</f>
        <v/>
      </c>
      <c r="H174">
        <f>_xlfn.IMAGE("https://m.media-amazon.com/images/I/61-sTTtVVGL._AC_UL320_.jpg")</f>
        <v/>
      </c>
      <c r="K174" t="inlineStr">
        <is>
          <t>11.99</t>
        </is>
      </c>
      <c r="L174" t="n">
        <v>29.99</v>
      </c>
      <c r="M174" s="2" t="inlineStr">
        <is>
          <t>150.13%</t>
        </is>
      </c>
      <c r="N174" t="n">
        <v>5</v>
      </c>
      <c r="O174" t="n">
        <v>1</v>
      </c>
      <c r="Q174" t="inlineStr">
        <is>
          <t>InStock</t>
        </is>
      </c>
      <c r="R174" t="inlineStr">
        <is>
          <t>undefined</t>
        </is>
      </c>
      <c r="S174" t="inlineStr">
        <is>
          <t>14084793</t>
        </is>
      </c>
    </row>
    <row r="175" ht="75" customHeight="1">
      <c r="A175" s="1">
        <f>HYPERLINK("https://www.toysrus.com/fisher-price-little-people-stable-14084793.html", "https://www.toysrus.com/fisher-price-little-people-stable-14084793.html")</f>
        <v/>
      </c>
      <c r="B175" s="1">
        <f>HYPERLINK("https://www.toysrus.com/fisher-price-little-people-stable-14084793.html", "https://www.toysrus.com/fisher-price-little-people-stable-14084793.html")</f>
        <v/>
      </c>
      <c r="C175" t="inlineStr">
        <is>
          <t>Fisher Price Little People Stable</t>
        </is>
      </c>
      <c r="D175" t="inlineStr">
        <is>
          <t>Fisher-Price Little People Stable, Farmers Market, and A-Frame Cabin Bundle</t>
        </is>
      </c>
      <c r="E175" s="1">
        <f>HYPERLINK("https://www.amazon.com/Fisher-Price-Little-People-Stable-Farmers/dp/B0B89RMHK6/ref=sr_1_3?keywords=Fisher+Price+Little+People+Stable&amp;qid=1695588829&amp;sr=8-3", "https://www.amazon.com/Fisher-Price-Little-People-Stable-Farmers/dp/B0B89RMHK6/ref=sr_1_3?keywords=Fisher+Price+Little+People+Stable&amp;qid=1695588829&amp;sr=8-3")</f>
        <v/>
      </c>
      <c r="F175" t="inlineStr">
        <is>
          <t>B0B89RMHK6</t>
        </is>
      </c>
      <c r="G175">
        <f>_xlfn.IMAGE("http://slimages.macys.com/is/image/MCY/products/0/optimized/22117590_fpx.tif")</f>
        <v/>
      </c>
      <c r="H175">
        <f>_xlfn.IMAGE("https://m.media-amazon.com/images/I/61038UGWLPL._AC_UL320_.jpg")</f>
        <v/>
      </c>
      <c r="K175" t="inlineStr">
        <is>
          <t>11.99</t>
        </is>
      </c>
      <c r="L175" t="n">
        <v>28.3</v>
      </c>
      <c r="M175" s="2" t="inlineStr">
        <is>
          <t>136.03%</t>
        </is>
      </c>
      <c r="N175" t="n">
        <v>5</v>
      </c>
      <c r="O175" t="n">
        <v>13</v>
      </c>
      <c r="Q175" t="inlineStr">
        <is>
          <t>InStock</t>
        </is>
      </c>
      <c r="R175" t="inlineStr">
        <is>
          <t>undefined</t>
        </is>
      </c>
      <c r="S175" t="inlineStr">
        <is>
          <t>14084793</t>
        </is>
      </c>
    </row>
    <row r="176" ht="75" customHeight="1">
      <c r="A176" s="1">
        <f>HYPERLINK("https://www.toysrus.com/fisher-price-little-people-stable-14084793.html", "https://www.toysrus.com/fisher-price-little-people-stable-14084793.html")</f>
        <v/>
      </c>
      <c r="B176" s="1">
        <f>HYPERLINK("https://www.toysrus.com/fisher-price-little-people-stable-14084793.html", "https://www.toysrus.com/fisher-price-little-people-stable-14084793.html")</f>
        <v/>
      </c>
      <c r="C176" t="inlineStr">
        <is>
          <t>Fisher Price Little People Stable</t>
        </is>
      </c>
      <c r="D176" t="inlineStr">
        <is>
          <t>Fisher-Price Little People Toddler Playset Nativity Scene with Baby Jesus Mary &amp; Joseph Figures for Christmas Play Ages 1+ Years</t>
        </is>
      </c>
      <c r="E176" s="1">
        <f>HYPERLINK("https://www.amazon.com/Fisher-Price-Toddler-Playset-Nativity-Christmas/dp/B0BSMWD8DW/ref=sr_1_9?keywords=Fisher+Price+Little+People+Stable&amp;qid=1695588829&amp;sr=8-9", "https://www.amazon.com/Fisher-Price-Toddler-Playset-Nativity-Christmas/dp/B0BSMWD8DW/ref=sr_1_9?keywords=Fisher+Price+Little+People+Stable&amp;qid=1695588829&amp;sr=8-9")</f>
        <v/>
      </c>
      <c r="F176" t="inlineStr">
        <is>
          <t>B0BSMWD8DW</t>
        </is>
      </c>
      <c r="G176">
        <f>_xlfn.IMAGE("http://slimages.macys.com/is/image/MCY/products/0/optimized/22117590_fpx.tif")</f>
        <v/>
      </c>
      <c r="H176">
        <f>_xlfn.IMAGE("https://m.media-amazon.com/images/I/715rs8POc8L._AC_UL320_.jpg")</f>
        <v/>
      </c>
      <c r="K176" t="inlineStr">
        <is>
          <t>11.99</t>
        </is>
      </c>
      <c r="L176" t="n">
        <v>25.19</v>
      </c>
      <c r="M176" s="2" t="inlineStr">
        <is>
          <t>110.09%</t>
        </is>
      </c>
      <c r="N176" t="n">
        <v>4.8</v>
      </c>
      <c r="O176" t="n">
        <v>26</v>
      </c>
      <c r="Q176" t="inlineStr">
        <is>
          <t>InStock</t>
        </is>
      </c>
      <c r="R176" t="inlineStr">
        <is>
          <t>undefined</t>
        </is>
      </c>
      <c r="S176" t="inlineStr">
        <is>
          <t>14084793</t>
        </is>
      </c>
    </row>
    <row r="177" ht="75" customHeight="1">
      <c r="A177" s="1">
        <f>HYPERLINK("https://www.toysrus.com/focke-wulf-fw-190-model-kit-G072365005020.html", "https://www.toysrus.com/focke-wulf-fw-190-model-kit-G072365005020.html")</f>
        <v/>
      </c>
      <c r="B177" s="1">
        <f>HYPERLINK("https://www.toysrus.com/focke-wulf-fw-190-model-kit-G072365005020.html", "https://www.toysrus.com/focke-wulf-fw-190-model-kit-G072365005020.html")</f>
        <v/>
      </c>
      <c r="C177" t="inlineStr">
        <is>
          <t>Focke-Wulf FW-190 Model Kit</t>
        </is>
      </c>
      <c r="D177" t="inlineStr">
        <is>
          <t>Trumpeter 1/24 Focke Wulf Fw190D9 Aircraft Model Kit</t>
        </is>
      </c>
      <c r="E177" s="1">
        <f>HYPERLINK("https://www.amazon.com/Trumpeter-Focke-Fw190D9-Aircraft-Model/dp/B004SKV638/ref=sr_1_4?keywords=Focke-Wulf+FW-190+Model+Kit&amp;qid=1695588779&amp;sr=8-4", "https://www.amazon.com/Trumpeter-Focke-Fw190D9-Aircraft-Model/dp/B004SKV638/ref=sr_1_4?keywords=Focke-Wulf+FW-190+Model+Kit&amp;qid=1695588779&amp;sr=8-4")</f>
        <v/>
      </c>
      <c r="F177" t="inlineStr">
        <is>
          <t>B004SKV638</t>
        </is>
      </c>
      <c r="G177">
        <f>_xlfn.IMAGE("https://images.toysrus.com/1285/072365005020_1.jpg")</f>
        <v/>
      </c>
      <c r="H177">
        <f>_xlfn.IMAGE("https://m.media-amazon.com/images/I/61XlKMpXa8L._AC_UL320_.jpg")</f>
        <v/>
      </c>
      <c r="K177" t="inlineStr">
        <is>
          <t>22.99</t>
        </is>
      </c>
      <c r="L177" t="n">
        <v>98.54000000000001</v>
      </c>
      <c r="M177" s="2" t="inlineStr">
        <is>
          <t>328.62%</t>
        </is>
      </c>
      <c r="N177" t="n">
        <v>5</v>
      </c>
      <c r="O177" t="n">
        <v>2</v>
      </c>
      <c r="Q177" t="inlineStr">
        <is>
          <t>InStock</t>
        </is>
      </c>
      <c r="R177" t="inlineStr">
        <is>
          <t>undefined</t>
        </is>
      </c>
      <c r="S177" t="inlineStr">
        <is>
          <t>G072365005020</t>
        </is>
      </c>
    </row>
    <row r="178" ht="75" customHeight="1">
      <c r="A178" s="1">
        <f>HYPERLINK("https://www.toysrus.com/focke-wulf-fw-190-model-kit-G072365005020.html", "https://www.toysrus.com/focke-wulf-fw-190-model-kit-G072365005020.html")</f>
        <v/>
      </c>
      <c r="B178" s="1">
        <f>HYPERLINK("https://www.toysrus.com/focke-wulf-fw-190-model-kit-G072365005020.html", "https://www.toysrus.com/focke-wulf-fw-190-model-kit-G072365005020.html")</f>
        <v/>
      </c>
      <c r="C178" t="inlineStr">
        <is>
          <t>Focke-Wulf FW-190 Model Kit</t>
        </is>
      </c>
      <c r="D178" t="inlineStr">
        <is>
          <t>Hasegawa Focke-Wulf Fw 190 1:32 Scale Military Model Kit</t>
        </is>
      </c>
      <c r="E178" s="1">
        <f>HYPERLINK("https://www.amazon.com/Hasegawa-Focke-Wulf-Fw-190-Military/dp/B0006NGNQQ/ref=sr_1_5?keywords=Focke-Wulf+FW-190+Model+Kit&amp;qid=1695588779&amp;sr=8-5", "https://www.amazon.com/Hasegawa-Focke-Wulf-Fw-190-Military/dp/B0006NGNQQ/ref=sr_1_5?keywords=Focke-Wulf+FW-190+Model+Kit&amp;qid=1695588779&amp;sr=8-5")</f>
        <v/>
      </c>
      <c r="F178" t="inlineStr">
        <is>
          <t>B0006NGNQQ</t>
        </is>
      </c>
      <c r="G178">
        <f>_xlfn.IMAGE("https://images.toysrus.com/1285/072365005020_1.jpg")</f>
        <v/>
      </c>
      <c r="H178">
        <f>_xlfn.IMAGE("https://m.media-amazon.com/images/I/41UD77T7CNL._AC_UL320_.jpg")</f>
        <v/>
      </c>
      <c r="K178" t="inlineStr">
        <is>
          <t>22.99</t>
        </is>
      </c>
      <c r="L178" t="n">
        <v>83.05</v>
      </c>
      <c r="M178" s="2" t="inlineStr">
        <is>
          <t>261.24%</t>
        </is>
      </c>
      <c r="N178" t="n">
        <v>4</v>
      </c>
      <c r="O178" t="n">
        <v>2</v>
      </c>
      <c r="Q178" t="inlineStr">
        <is>
          <t>InStock</t>
        </is>
      </c>
      <c r="R178" t="inlineStr">
        <is>
          <t>undefined</t>
        </is>
      </c>
      <c r="S178" t="inlineStr">
        <is>
          <t>G072365005020</t>
        </is>
      </c>
    </row>
    <row r="179" ht="75" customHeight="1">
      <c r="A179" s="1">
        <f>HYPERLINK("https://www.toysrus.com/focke-wulf-fw-190-model-kit-G072365005020.html", "https://www.toysrus.com/focke-wulf-fw-190-model-kit-G072365005020.html")</f>
        <v/>
      </c>
      <c r="B179" s="1">
        <f>HYPERLINK("https://www.toysrus.com/focke-wulf-fw-190-model-kit-G072365005020.html", "https://www.toysrus.com/focke-wulf-fw-190-model-kit-G072365005020.html")</f>
        <v/>
      </c>
      <c r="C179" t="inlineStr">
        <is>
          <t>Focke-Wulf FW-190 Model Kit</t>
        </is>
      </c>
      <c r="D179" t="inlineStr">
        <is>
          <t>Guillow's Focke-Wulf FW-190 Laser Cut Model Kit</t>
        </is>
      </c>
      <c r="E179" s="1">
        <f>HYPERLINK("https://www.amazon.com/Guillows-Focke-Wulf-FW-190-Laser-Model/dp/B004GGOY56/ref=sr_1_2?keywords=Focke-Wulf+FW-190+Model+Kit&amp;qid=1695588779&amp;sr=8-2", "https://www.amazon.com/Guillows-Focke-Wulf-FW-190-Laser-Model/dp/B004GGOY56/ref=sr_1_2?keywords=Focke-Wulf+FW-190+Model+Kit&amp;qid=1695588779&amp;sr=8-2")</f>
        <v/>
      </c>
      <c r="F179" t="inlineStr">
        <is>
          <t>B004GGOY56</t>
        </is>
      </c>
      <c r="G179">
        <f>_xlfn.IMAGE("https://images.toysrus.com/1285/072365005020_1.jpg")</f>
        <v/>
      </c>
      <c r="H179">
        <f>_xlfn.IMAGE("https://m.media-amazon.com/images/I/81PyeZabcBL._AC_UL320_.jpg")</f>
        <v/>
      </c>
      <c r="K179" t="inlineStr">
        <is>
          <t>22.99</t>
        </is>
      </c>
      <c r="L179" t="n">
        <v>60.49</v>
      </c>
      <c r="M179" s="2" t="inlineStr">
        <is>
          <t>163.11%</t>
        </is>
      </c>
      <c r="N179" t="n">
        <v>3.9</v>
      </c>
      <c r="O179" t="n">
        <v>17</v>
      </c>
      <c r="Q179" t="inlineStr">
        <is>
          <t>InStock</t>
        </is>
      </c>
      <c r="R179" t="inlineStr">
        <is>
          <t>undefined</t>
        </is>
      </c>
      <c r="S179" t="inlineStr">
        <is>
          <t>G072365005020</t>
        </is>
      </c>
    </row>
    <row r="180" ht="75" customHeight="1">
      <c r="A180" s="1">
        <f>HYPERLINK("https://www.toysrus.com/forever-collectibles---nba-team-gnome-los-angeles-lakers-G0681329802942.html", "https://www.toysrus.com/forever-collectibles---nba-team-gnome-los-angeles-lakers-G0681329802942.html")</f>
        <v/>
      </c>
      <c r="B180" s="1">
        <f>HYPERLINK("https://www.toysrus.com/forever-collectibles---nba-team-gnome-los-angeles-lakers-G0681329802942.html", "https://www.toysrus.com/forever-collectibles---nba-team-gnome-los-angeles-lakers-G0681329802942.html")</f>
        <v/>
      </c>
      <c r="C180" t="inlineStr">
        <is>
          <t>Forever Collectibles - NBA Team Gnome, Los Angeles Lakers</t>
        </is>
      </c>
      <c r="D180" t="inlineStr">
        <is>
          <t>FOCO Forever Collectibles - NBA Floppy Hat Gnome, Los Angeles Lakers</t>
        </is>
      </c>
      <c r="E180" s="1">
        <f>HYPERLINK("https://www.amazon.com/Forever-Collectibles-FOCO-Floppy-Angeles/dp/B098ZFNW42/ref=sr_1_3?keywords=Forever+Collectibles+-+NBA+Team+Gnome%2C+Los+Angeles+Lakers&amp;qid=1695588375&amp;sr=8-3", "https://www.amazon.com/Forever-Collectibles-FOCO-Floppy-Angeles/dp/B098ZFNW42/ref=sr_1_3?keywords=Forever+Collectibles+-+NBA+Team+Gnome%2C+Los+Angeles+Lakers&amp;qid=1695588375&amp;sr=8-3")</f>
        <v/>
      </c>
      <c r="F180" t="inlineStr">
        <is>
          <t>B098ZFNW42</t>
        </is>
      </c>
      <c r="G180">
        <f>_xlfn.IMAGE("https://images.toysrus.com/1285/681329802942_1.jpg")</f>
        <v/>
      </c>
      <c r="H180">
        <f>_xlfn.IMAGE("https://m.media-amazon.com/images/I/614jy5-Td6L._AC_UL320_.jpg")</f>
        <v/>
      </c>
      <c r="K180" t="inlineStr">
        <is>
          <t>9.99</t>
        </is>
      </c>
      <c r="L180" t="n">
        <v>23.99</v>
      </c>
      <c r="M180" s="2" t="inlineStr">
        <is>
          <t>140.14%</t>
        </is>
      </c>
      <c r="N180" t="n">
        <v>5</v>
      </c>
      <c r="O180" t="n">
        <v>1</v>
      </c>
      <c r="Q180" t="inlineStr">
        <is>
          <t>InStock</t>
        </is>
      </c>
      <c r="R180" t="inlineStr">
        <is>
          <t>24.99</t>
        </is>
      </c>
      <c r="S180" t="inlineStr">
        <is>
          <t>G0681329802942</t>
        </is>
      </c>
    </row>
    <row r="181" ht="75" customHeight="1">
      <c r="A181" s="1">
        <f>HYPERLINK("https://www.toysrus.com/for-the-king-and-me---iello-board-game-ages-10-2-5-players-30-min-G3760175518317.html", "https://www.toysrus.com/for-the-king-and-me---iello-board-game-ages-10-2-5-players-30-min-G3760175518317.html")</f>
        <v/>
      </c>
      <c r="B181" s="1">
        <f>HYPERLINK("https://www.toysrus.com/for-the-king-and-me---iello-board-game-ages-10-2-5-players-30-min-G3760175518317.html", "https://www.toysrus.com/for-the-king-and-me---iello-board-game-ages-10-2-5-players-30-min-G3760175518317.html")</f>
        <v/>
      </c>
      <c r="C181" t="inlineStr">
        <is>
          <t>For the King (and Me) - IELLO Board Game, Ages 10+, 2-5 Players, 30 Min</t>
        </is>
      </c>
      <c r="D181" t="inlineStr">
        <is>
          <t>IELLO: King of Tokyo, New Edition, Strategy Board Game, Space Penguin Included in the Box, For 2 to 6 Players, 30 Minute Play Time, For Ages 8 and Up</t>
        </is>
      </c>
      <c r="E181" s="1">
        <f>HYPERLINK("https://www.amazon.com/IELLO-King-Tokyo-Board-Game/dp/B01F46RPS4/ref=sr_1_6?keywords=For+the+King+%28and+Me%29+-+IELLO+Board+Game%2C+Ages+10+%2C+2-5+Players%2C+30+Min&amp;qid=1695588243&amp;sr=8-6", "https://www.amazon.com/IELLO-King-Tokyo-Board-Game/dp/B01F46RPS4/ref=sr_1_6?keywords=For+the+King+%28and+Me%29+-+IELLO+Board+Game%2C+Ages+10+%2C+2-5+Players%2C+30+Min&amp;qid=1695588243&amp;sr=8-6")</f>
        <v/>
      </c>
      <c r="F181" t="inlineStr">
        <is>
          <t>B01F46RPS4</t>
        </is>
      </c>
      <c r="G181">
        <f>_xlfn.IMAGE("https://images.toysrus.com/1285980/3760175518317_1.jpg")</f>
        <v/>
      </c>
      <c r="H181">
        <f>_xlfn.IMAGE("https://m.media-amazon.com/images/I/81fVDF-Gb8L._AC_UL320_.jpg")</f>
        <v/>
      </c>
      <c r="K181" t="inlineStr">
        <is>
          <t>14.99</t>
        </is>
      </c>
      <c r="L181" t="n">
        <v>37.94</v>
      </c>
      <c r="M181" s="2" t="inlineStr">
        <is>
          <t>153.10%</t>
        </is>
      </c>
      <c r="N181" t="n">
        <v>4.8</v>
      </c>
      <c r="O181" t="n">
        <v>3327</v>
      </c>
      <c r="Q181" t="inlineStr">
        <is>
          <t>InStock</t>
        </is>
      </c>
      <c r="R181" t="inlineStr">
        <is>
          <t>undefined</t>
        </is>
      </c>
      <c r="S181" t="inlineStr">
        <is>
          <t>G3760175518317</t>
        </is>
      </c>
    </row>
    <row r="182" ht="75" customHeight="1">
      <c r="A182" s="1">
        <f>HYPERLINK("https://www.toysrus.com/fun2give-pop-it-up-play-tent-foodtruck-G8716569029544.html", "https://www.toysrus.com/fun2give-pop-it-up-play-tent-foodtruck-G8716569029544.html")</f>
        <v/>
      </c>
      <c r="B182" s="1">
        <f>HYPERLINK("https://www.toysrus.com/fun2give-pop-it-up-play-tent-foodtruck-G8716569029544.html", "https://www.toysrus.com/fun2give-pop-it-up-play-tent-foodtruck-G8716569029544.html")</f>
        <v/>
      </c>
      <c r="C182" t="inlineStr">
        <is>
          <t>Fun2Give Pop-it-up Play Tent Foodtruck</t>
        </is>
      </c>
      <c r="D182" t="inlineStr">
        <is>
          <t>Fun2Give Pop-It-Up Dino Play Tent</t>
        </is>
      </c>
      <c r="E182" s="1">
        <f>HYPERLINK("https://www.amazon.com/Fun2Give-Pop-It-Up-Dino-Play-Tent/dp/B01CHAE7BI/ref=sr_1_7?keywords=fun2give+pop-it-up+play+tent+food+truck&amp;qid=1695588731&amp;sr=8-7", "https://www.amazon.com/Fun2Give-Pop-It-Up-Dino-Play-Tent/dp/B01CHAE7BI/ref=sr_1_7?keywords=fun2give+pop-it-up+play+tent+food+truck&amp;qid=1695588731&amp;sr=8-7")</f>
        <v/>
      </c>
      <c r="F182" t="inlineStr">
        <is>
          <t>B01CHAE7BI</t>
        </is>
      </c>
      <c r="G182">
        <f>_xlfn.IMAGE("https://images.toysrus.com/1128598/8716569029544_1.jpg")</f>
        <v/>
      </c>
      <c r="H182">
        <f>_xlfn.IMAGE("https://m.media-amazon.com/images/I/71fEWuVHgAL._AC_UL320_.jpg")</f>
        <v/>
      </c>
      <c r="K182" t="inlineStr">
        <is>
          <t>29.99</t>
        </is>
      </c>
      <c r="L182" t="n">
        <v>63.39</v>
      </c>
      <c r="M182" s="2" t="inlineStr">
        <is>
          <t>111.37%</t>
        </is>
      </c>
      <c r="N182" t="n">
        <v>4.3</v>
      </c>
      <c r="O182" t="n">
        <v>30</v>
      </c>
      <c r="Q182" t="inlineStr">
        <is>
          <t>InStock</t>
        </is>
      </c>
      <c r="R182" t="inlineStr">
        <is>
          <t>undefined</t>
        </is>
      </c>
      <c r="S182" t="inlineStr">
        <is>
          <t>G8716569029544</t>
        </is>
      </c>
    </row>
    <row r="183" ht="75" customHeight="1">
      <c r="A183" s="1">
        <f>HYPERLINK("https://www.toysrus.com/-gabbys-dollhouse-groovy-music-room-with-daniel-james-catnip-playset-13895291.html", "https://www.toysrus.com/-gabbys-dollhouse-groovy-music-room-with-daniel-james-catnip-playset-13895291.html")</f>
        <v/>
      </c>
      <c r="B183" s="1">
        <f>HYPERLINK("https://www.toysrus.com/-gabbys-dollhouse-groovy-music-room-with-daniel-james-catnip-playset-13895291.html", "https://www.toysrus.com/-gabbys-dollhouse-groovy-music-room-with-daniel-james-catnip-playset-13895291.html")</f>
        <v/>
      </c>
      <c r="C183" t="inlineStr">
        <is>
          <t>Gabby's Dollhouse Groovy Music Room with Daniel James Catnip Playset</t>
        </is>
      </c>
      <c r="D183" t="inlineStr">
        <is>
          <t>Groovy Music Room with Daniel James Catnip Figure, 2 Accessories, 2 Furniture Pieces and 2 Deliveries Limited Еdition</t>
        </is>
      </c>
      <c r="E183" s="1">
        <f>HYPERLINK("https://www.amazon.com/Accessories-Furniture-Deliveries-Limited-%D0%95dition/dp/B09S168GBR/ref=sr_1_2?keywords=Gabby%27s+Dollhouse+Groovy+Music+Room+with+Daniel+James+Catnip+Playset&amp;qid=1695588811&amp;sr=8-2", "https://www.amazon.com/Accessories-Furniture-Deliveries-Limited-%D0%95dition/dp/B09S168GBR/ref=sr_1_2?keywords=Gabby%27s+Dollhouse+Groovy+Music+Room+with+Daniel+James+Catnip+Playset&amp;qid=1695588811&amp;sr=8-2")</f>
        <v/>
      </c>
      <c r="F183" t="inlineStr">
        <is>
          <t>B09S168GBR</t>
        </is>
      </c>
      <c r="G183">
        <f>_xlfn.IMAGE("http://slimages.macys.com/is/image/MCY/products/0/optimized/21698693_fpx.tif")</f>
        <v/>
      </c>
      <c r="H183">
        <f>_xlfn.IMAGE("https://m.media-amazon.com/images/I/71dQRVzCySL._AC_UL320_.jpg")</f>
        <v/>
      </c>
      <c r="K183" t="inlineStr">
        <is>
          <t>17.99</t>
        </is>
      </c>
      <c r="L183" t="n">
        <v>35.87</v>
      </c>
      <c r="M183" s="2" t="inlineStr">
        <is>
          <t>99.39%</t>
        </is>
      </c>
      <c r="N183" t="n">
        <v>5</v>
      </c>
      <c r="O183" t="n">
        <v>6</v>
      </c>
      <c r="Q183" t="inlineStr">
        <is>
          <t>InStock</t>
        </is>
      </c>
      <c r="R183" t="inlineStr">
        <is>
          <t>undefined</t>
        </is>
      </c>
      <c r="S183" t="inlineStr">
        <is>
          <t>13895291</t>
        </is>
      </c>
    </row>
    <row r="184" ht="75" customHeight="1">
      <c r="A184" s="1">
        <f>HYPERLINK("https://www.toysrus.com/gasconys-legacy-board-game-G628176761015.html", "https://www.toysrus.com/gasconys-legacy-board-game-G628176761015.html")</f>
        <v/>
      </c>
      <c r="B184" s="1">
        <f>HYPERLINK("https://www.toysrus.com/gasconys-legacy-board-game-G628176761015.html", "https://www.toysrus.com/gasconys-legacy-board-game-G628176761015.html")</f>
        <v/>
      </c>
      <c r="C184" t="inlineStr">
        <is>
          <t>Gascony's Legacy Board Game</t>
        </is>
      </c>
      <c r="D184" t="inlineStr">
        <is>
          <t>Pandemic Legacy Season 1 Blue Edition Board Game for Adults and Family | Cooperative Board Game | Ages 13+ | 2 to 4 players | Average Playtime 60 minutes | Made by Z-Man Games</t>
        </is>
      </c>
      <c r="E184" s="1">
        <f>HYPERLINK("https://www.amazon.com/Pandemic-Cooperative-Playtime-Z-Man-Games/dp/B00TQ5SEAI/ref=sr_1_4?keywords=Gasconys+Legacy+Board+Game&amp;qid=1695588330&amp;sr=8-4", "https://www.amazon.com/Pandemic-Cooperative-Playtime-Z-Man-Games/dp/B00TQ5SEAI/ref=sr_1_4?keywords=Gasconys+Legacy+Board+Game&amp;qid=1695588330&amp;sr=8-4")</f>
        <v/>
      </c>
      <c r="F184" t="inlineStr">
        <is>
          <t>B00TQ5SEAI</t>
        </is>
      </c>
      <c r="G184">
        <f>_xlfn.IMAGE("https://images.toysrus.com/1285/628176761015_1.jpg")</f>
        <v/>
      </c>
      <c r="H184">
        <f>_xlfn.IMAGE("https://m.media-amazon.com/images/I/91GcxTzEKBL._AC_UL320_.jpg")</f>
        <v/>
      </c>
      <c r="K184" t="inlineStr">
        <is>
          <t>39.99</t>
        </is>
      </c>
      <c r="L184" t="n">
        <v>72</v>
      </c>
      <c r="M184" s="2" t="inlineStr">
        <is>
          <t>80.05%</t>
        </is>
      </c>
      <c r="N184" t="n">
        <v>4.8</v>
      </c>
      <c r="O184" t="n">
        <v>1646</v>
      </c>
      <c r="Q184" t="inlineStr">
        <is>
          <t>InStock</t>
        </is>
      </c>
      <c r="R184" t="inlineStr">
        <is>
          <t>undefined</t>
        </is>
      </c>
      <c r="S184" t="inlineStr">
        <is>
          <t>G628176761015</t>
        </is>
      </c>
    </row>
    <row r="185" ht="75" customHeight="1">
      <c r="A185" s="1">
        <f>HYPERLINK("https://www.toysrus.com/got2glow-fairy-finder---blue-jar-13995427.html", "https://www.toysrus.com/got2glow-fairy-finder---blue-jar-13995427.html")</f>
        <v/>
      </c>
      <c r="B185" s="1">
        <f>HYPERLINK("https://www.toysrus.com/got2glow-fairy-finder---blue-jar-13995427.html", "https://www.toysrus.com/got2glow-fairy-finder---blue-jar-13995427.html")</f>
        <v/>
      </c>
      <c r="C185" t="inlineStr">
        <is>
          <t>Got2Glow Fairy Finder - Blue Jar</t>
        </is>
      </c>
      <c r="D185" t="inlineStr">
        <is>
          <t>WowWee Got2Glow Fairy Finder - Electronic Fairy Jar Catches Virtual Fairies - Choose from Pink, Blue, or Glow in The Dark - Ages 5+ (Blue)</t>
        </is>
      </c>
      <c r="E185" s="1">
        <f>HYPERLINK("https://www.amazon.com/WowWee-Got2Glow-Fairy-Finder-Electronic/dp/B09N1SJQY2/ref=sr_1_2?keywords=Got2Glow+Fairy+Finder+-+Blue+Jar&amp;qid=1695588576&amp;sr=8-2", "https://www.amazon.com/WowWee-Got2Glow-Fairy-Finder-Electronic/dp/B09N1SJQY2/ref=sr_1_2?keywords=Got2Glow+Fairy+Finder+-+Blue+Jar&amp;qid=1695588576&amp;sr=8-2")</f>
        <v/>
      </c>
      <c r="F185" t="inlineStr">
        <is>
          <t>B09N1SJQY2</t>
        </is>
      </c>
      <c r="G185">
        <f>_xlfn.IMAGE("http://slimages.macys.com/is/image/MCY/products/0/optimized/20143461_fpx.tif")</f>
        <v/>
      </c>
      <c r="H185">
        <f>_xlfn.IMAGE("https://m.media-amazon.com/images/I/51Llrc7FX5L._AC_UL320_.jpg")</f>
        <v/>
      </c>
      <c r="K185" t="inlineStr">
        <is>
          <t>39.99</t>
        </is>
      </c>
      <c r="L185" t="n">
        <v>74.98</v>
      </c>
      <c r="M185" s="2" t="inlineStr">
        <is>
          <t>87.50%</t>
        </is>
      </c>
      <c r="N185" t="n">
        <v>5</v>
      </c>
      <c r="O185" t="n">
        <v>5</v>
      </c>
      <c r="Q185" t="inlineStr">
        <is>
          <t>InStock</t>
        </is>
      </c>
      <c r="R185" t="inlineStr">
        <is>
          <t>undefined</t>
        </is>
      </c>
      <c r="S185" t="inlineStr">
        <is>
          <t>13995427</t>
        </is>
      </c>
    </row>
    <row r="186" ht="75" customHeight="1">
      <c r="A186" s="1">
        <f>HYPERLINK("https://www.toysrus.com/greater-than-games-horizons-of-spirit-island-G0850008736308.html", "https://www.toysrus.com/greater-than-games-horizons-of-spirit-island-G0850008736308.html")</f>
        <v/>
      </c>
      <c r="B186" s="1">
        <f>HYPERLINK("https://www.toysrus.com/greater-than-games-horizons-of-spirit-island-G0850008736308.html", "https://www.toysrus.com/greater-than-games-horizons-of-spirit-island-G0850008736308.html")</f>
        <v/>
      </c>
      <c r="C186" t="inlineStr">
        <is>
          <t>Greater Than Games Horizons of Spirit Island</t>
        </is>
      </c>
      <c r="D186" t="inlineStr">
        <is>
          <t>Greater Than Games Spirit Island Core Board Game, 4 players</t>
        </is>
      </c>
      <c r="E186" s="1">
        <f>HYPERLINK("https://www.amazon.com/Greater-Than-Games-Spirit-Island/dp/B01MUHP51S/ref=sr_1_7?keywords=Greater+Than+Games+Horizons+of+Spirit+Island&amp;qid=1695588460&amp;sr=8-7", "https://www.amazon.com/Greater-Than-Games-Spirit-Island/dp/B01MUHP51S/ref=sr_1_7?keywords=Greater+Than+Games+Horizons+of+Spirit+Island&amp;qid=1695588460&amp;sr=8-7")</f>
        <v/>
      </c>
      <c r="F186" t="inlineStr">
        <is>
          <t>B01MUHP51S</t>
        </is>
      </c>
      <c r="G186">
        <f>_xlfn.IMAGE("https://images.toysrus.com/0128598/850008736308.jpg")</f>
        <v/>
      </c>
      <c r="H186">
        <f>_xlfn.IMAGE("https://m.media-amazon.com/images/I/71UVajCvcbL._AC_UL320_.jpg")</f>
        <v/>
      </c>
      <c r="K186" t="inlineStr">
        <is>
          <t>29.99</t>
        </is>
      </c>
      <c r="L186" t="n">
        <v>71.66</v>
      </c>
      <c r="M186" s="2" t="inlineStr">
        <is>
          <t>138.95%</t>
        </is>
      </c>
      <c r="N186" t="n">
        <v>4.8</v>
      </c>
      <c r="O186" t="n">
        <v>2317</v>
      </c>
      <c r="Q186" t="inlineStr">
        <is>
          <t>InStock</t>
        </is>
      </c>
      <c r="R186" t="inlineStr">
        <is>
          <t>undefined</t>
        </is>
      </c>
      <c r="S186" t="inlineStr">
        <is>
          <t>G0850008736308</t>
        </is>
      </c>
    </row>
    <row r="187" ht="75" customHeight="1">
      <c r="A187" s="1">
        <f>HYPERLINK("https://www.toysrus.com/greater-than-games-horizons-of-spirit-island-G0850008736308.html", "https://www.toysrus.com/greater-than-games-horizons-of-spirit-island-G0850008736308.html")</f>
        <v/>
      </c>
      <c r="B187" s="1">
        <f>HYPERLINK("https://www.toysrus.com/greater-than-games-horizons-of-spirit-island-G0850008736308.html", "https://www.toysrus.com/greater-than-games-horizons-of-spirit-island-G0850008736308.html")</f>
        <v/>
      </c>
      <c r="C187" t="inlineStr">
        <is>
          <t>Greater Than Games Horizons of Spirit Island</t>
        </is>
      </c>
      <c r="D187" t="inlineStr">
        <is>
          <t>Greater Than Games Spirit Island: Nature Incarnate - Expansion Board Game, New Spirits, Mechanics, Adversary &amp; More, Settler Destruction</t>
        </is>
      </c>
      <c r="E187" s="1">
        <f>HYPERLINK("https://www.amazon.com/Greater-Than-Games-Spirit-Island/dp/B0C6MT8WM9/ref=sr_1_4?keywords=Greater+Than+Games+Horizons+of+Spirit+Island&amp;qid=1695588460&amp;sr=8-4", "https://www.amazon.com/Greater-Than-Games-Spirit-Island/dp/B0C6MT8WM9/ref=sr_1_4?keywords=Greater+Than+Games+Horizons+of+Spirit+Island&amp;qid=1695588460&amp;sr=8-4")</f>
        <v/>
      </c>
      <c r="F187" t="inlineStr">
        <is>
          <t>B0C6MT8WM9</t>
        </is>
      </c>
      <c r="G187">
        <f>_xlfn.IMAGE("https://images.toysrus.com/0128598/850008736308.jpg")</f>
        <v/>
      </c>
      <c r="H187">
        <f>_xlfn.IMAGE("https://m.media-amazon.com/images/I/71GGWuAAt9L._AC_UL320_.jpg")</f>
        <v/>
      </c>
      <c r="K187" t="inlineStr">
        <is>
          <t>29.99</t>
        </is>
      </c>
      <c r="L187" t="n">
        <v>59.99</v>
      </c>
      <c r="M187" s="2" t="inlineStr">
        <is>
          <t>100.03%</t>
        </is>
      </c>
      <c r="N187" t="n">
        <v>4.1</v>
      </c>
      <c r="O187" t="n">
        <v>13</v>
      </c>
      <c r="Q187" t="inlineStr">
        <is>
          <t>InStock</t>
        </is>
      </c>
      <c r="R187" t="inlineStr">
        <is>
          <t>undefined</t>
        </is>
      </c>
      <c r="S187" t="inlineStr">
        <is>
          <t>G0850008736308</t>
        </is>
      </c>
    </row>
    <row r="188" ht="75" customHeight="1">
      <c r="A188" s="1">
        <f>HYPERLINK("https://www.toysrus.com/greater-than-games-horizons-of-spirit-island-G0850008736308.html", "https://www.toysrus.com/greater-than-games-horizons-of-spirit-island-G0850008736308.html")</f>
        <v/>
      </c>
      <c r="B188" s="1">
        <f>HYPERLINK("https://www.toysrus.com/greater-than-games-horizons-of-spirit-island-G0850008736308.html", "https://www.toysrus.com/greater-than-games-horizons-of-spirit-island-G0850008736308.html")</f>
        <v/>
      </c>
      <c r="C188" t="inlineStr">
        <is>
          <t>Greater Than Games Horizons of Spirit Island</t>
        </is>
      </c>
      <c r="D188" t="inlineStr">
        <is>
          <t>Greater Than Games Spirit Island: Jagged Earth Expansion</t>
        </is>
      </c>
      <c r="E188" s="1">
        <f>HYPERLINK("https://www.amazon.com/Spirit-Island-Jagged-Earth-Expansion/dp/B085DLZRFQ/ref=sr_1_3?keywords=Greater+Than+Games+Horizons+of+Spirit+Island&amp;qid=1695588460&amp;sr=8-3", "https://www.amazon.com/Spirit-Island-Jagged-Earth-Expansion/dp/B085DLZRFQ/ref=sr_1_3?keywords=Greater+Than+Games+Horizons+of+Spirit+Island&amp;qid=1695588460&amp;sr=8-3")</f>
        <v/>
      </c>
      <c r="F188" t="inlineStr">
        <is>
          <t>B085DLZRFQ</t>
        </is>
      </c>
      <c r="G188">
        <f>_xlfn.IMAGE("https://images.toysrus.com/0128598/850008736308.jpg")</f>
        <v/>
      </c>
      <c r="H188">
        <f>_xlfn.IMAGE("https://m.media-amazon.com/images/I/712YU5FYNTL._AC_UL320_.jpg")</f>
        <v/>
      </c>
      <c r="K188" t="inlineStr">
        <is>
          <t>29.99</t>
        </is>
      </c>
      <c r="L188" t="n">
        <v>54.27</v>
      </c>
      <c r="M188" s="2" t="inlineStr">
        <is>
          <t>80.96%</t>
        </is>
      </c>
      <c r="N188" t="n">
        <v>4.9</v>
      </c>
      <c r="O188" t="n">
        <v>508</v>
      </c>
      <c r="Q188" t="inlineStr">
        <is>
          <t>InStock</t>
        </is>
      </c>
      <c r="R188" t="inlineStr">
        <is>
          <t>undefined</t>
        </is>
      </c>
      <c r="S188" t="inlineStr">
        <is>
          <t>G0850008736308</t>
        </is>
      </c>
    </row>
    <row r="189" ht="75" customHeight="1">
      <c r="A189" s="1">
        <f>HYPERLINK("https://www.toysrus.com/grumman-tbf-avenger-model-kit-G072365005099.html", "https://www.toysrus.com/grumman-tbf-avenger-model-kit-G072365005099.html")</f>
        <v/>
      </c>
      <c r="B189" s="1">
        <f>HYPERLINK("https://www.toysrus.com/grumman-tbf-avenger-model-kit-G072365005099.html", "https://www.toysrus.com/grumman-tbf-avenger-model-kit-G072365005099.html")</f>
        <v/>
      </c>
      <c r="C189" t="inlineStr">
        <is>
          <t>Grumman TBF Avenger Model Kit</t>
        </is>
      </c>
      <c r="D189" t="inlineStr">
        <is>
          <t>Hobby Boss 80314 1/48 Grumman TBF-1C Avenger Torpedo Bomber Military Plane Assembly Building Model Kit</t>
        </is>
      </c>
      <c r="E189" s="1">
        <f>HYPERLINK("https://www.amazon.com/Hobby-Boss-Military-Assembly-Building/dp/B088GQBKRH/ref=sr_1_3?keywords=Grumman+TBF+Avenger+Model+Kit&amp;qid=1695588774&amp;sr=8-3", "https://www.amazon.com/Hobby-Boss-Military-Assembly-Building/dp/B088GQBKRH/ref=sr_1_3?keywords=Grumman+TBF+Avenger+Model+Kit&amp;qid=1695588774&amp;sr=8-3")</f>
        <v/>
      </c>
      <c r="F189" t="inlineStr">
        <is>
          <t>B088GQBKRH</t>
        </is>
      </c>
      <c r="G189">
        <f>_xlfn.IMAGE("https://images.toysrus.com/1285/072365005099_1.jpg")</f>
        <v/>
      </c>
      <c r="H189">
        <f>_xlfn.IMAGE("https://m.media-amazon.com/images/I/51f5dFQt8DL._AC_UL320_.jpg")</f>
        <v/>
      </c>
      <c r="K189" t="inlineStr">
        <is>
          <t>24.99</t>
        </is>
      </c>
      <c r="L189" t="n">
        <v>60.88</v>
      </c>
      <c r="M189" s="2" t="inlineStr">
        <is>
          <t>143.62%</t>
        </is>
      </c>
      <c r="N189" t="n">
        <v>4.5</v>
      </c>
      <c r="O189" t="n">
        <v>2</v>
      </c>
      <c r="Q189" t="inlineStr">
        <is>
          <t>InStock</t>
        </is>
      </c>
      <c r="R189" t="inlineStr">
        <is>
          <t>undefined</t>
        </is>
      </c>
      <c r="S189" t="inlineStr">
        <is>
          <t>G072365005099</t>
        </is>
      </c>
    </row>
    <row r="190" ht="75" customHeight="1">
      <c r="A190" s="1">
        <f>HYPERLINK("https://www.toysrus.com/grumman-tbf-avenger-model-kit-G072365005099.html", "https://www.toysrus.com/grumman-tbf-avenger-model-kit-G072365005099.html")</f>
        <v/>
      </c>
      <c r="B190" s="1">
        <f>HYPERLINK("https://www.toysrus.com/grumman-tbf-avenger-model-kit-G072365005099.html", "https://www.toysrus.com/grumman-tbf-avenger-model-kit-G072365005099.html")</f>
        <v/>
      </c>
      <c r="C190" t="inlineStr">
        <is>
          <t>Grumman TBF Avenger Model Kit</t>
        </is>
      </c>
      <c r="D190" t="inlineStr">
        <is>
          <t>Hobby Boss TBF-1C Avenger Airplane Model Building Kit</t>
        </is>
      </c>
      <c r="E190" s="1">
        <f>HYPERLINK("https://www.amazon.com/Hobby-Boss-Avenger-Airplane-Building/dp/B001I7W8F4/ref=sr_1_2?keywords=Grumman+TBF+Avenger+Model+Kit&amp;qid=1695588774&amp;sr=8-2", "https://www.amazon.com/Hobby-Boss-Avenger-Airplane-Building/dp/B001I7W8F4/ref=sr_1_2?keywords=Grumman+TBF+Avenger+Model+Kit&amp;qid=1695588774&amp;sr=8-2")</f>
        <v/>
      </c>
      <c r="F190" t="inlineStr">
        <is>
          <t>B001I7W8F4</t>
        </is>
      </c>
      <c r="G190">
        <f>_xlfn.IMAGE("https://images.toysrus.com/1285/072365005099_1.jpg")</f>
        <v/>
      </c>
      <c r="H190">
        <f>_xlfn.IMAGE("https://m.media-amazon.com/images/I/712xrYOPG7L._AC_UL320_.jpg")</f>
        <v/>
      </c>
      <c r="K190" t="inlineStr">
        <is>
          <t>24.99</t>
        </is>
      </c>
      <c r="L190" t="n">
        <v>46.2</v>
      </c>
      <c r="M190" s="2" t="inlineStr">
        <is>
          <t>84.87%</t>
        </is>
      </c>
      <c r="N190" t="n">
        <v>4.5</v>
      </c>
      <c r="O190" t="n">
        <v>7</v>
      </c>
      <c r="Q190" t="inlineStr">
        <is>
          <t>InStock</t>
        </is>
      </c>
      <c r="R190" t="inlineStr">
        <is>
          <t>undefined</t>
        </is>
      </c>
      <c r="S190" t="inlineStr">
        <is>
          <t>G072365005099</t>
        </is>
      </c>
    </row>
    <row r="191" ht="75" customHeight="1">
      <c r="A191" s="1">
        <f>HYPERLINK("https://www.toysrus.com/guillotine-G653569301981.html", "https://www.toysrus.com/guillotine-G653569301981.html")</f>
        <v/>
      </c>
      <c r="B191" s="1">
        <f>HYPERLINK("https://www.toysrus.com/guillotine-G653569301981.html", "https://www.toysrus.com/guillotine-G653569301981.html")</f>
        <v/>
      </c>
      <c r="C191" t="inlineStr">
        <is>
          <t>Guillotine</t>
        </is>
      </c>
      <c r="D191" t="inlineStr">
        <is>
          <t>The Guillotine - Special ArtBox Edition Doll &amp; Hobby Model Kit</t>
        </is>
      </c>
      <c r="E191" s="1">
        <f>HYPERLINK("https://www.amazon.com/Guillotine-Special-ArtBox-Hobby-Model/dp/B09RP9GM38/ref=sr_1_8?keywords=Guillotine&amp;qid=1695588192&amp;sr=8-8", "https://www.amazon.com/Guillotine-Special-ArtBox-Hobby-Model/dp/B09RP9GM38/ref=sr_1_8?keywords=Guillotine&amp;qid=1695588192&amp;sr=8-8")</f>
        <v/>
      </c>
      <c r="F191" t="inlineStr">
        <is>
          <t>B09RP9GM38</t>
        </is>
      </c>
      <c r="G191">
        <f>_xlfn.IMAGE("https://images.toysrus.com/28598/653569301981_1.jpg")</f>
        <v/>
      </c>
      <c r="H191">
        <f>_xlfn.IMAGE("https://m.media-amazon.com/images/I/61gi8w3PtWL._AC_UL320_.jpg")</f>
        <v/>
      </c>
      <c r="K191" t="inlineStr">
        <is>
          <t>14.99</t>
        </is>
      </c>
      <c r="L191" t="n">
        <v>49.98</v>
      </c>
      <c r="M191" s="2" t="inlineStr">
        <is>
          <t>233.42%</t>
        </is>
      </c>
      <c r="N191" t="n">
        <v>5</v>
      </c>
      <c r="O191" t="n">
        <v>1</v>
      </c>
      <c r="Q191" t="inlineStr">
        <is>
          <t>InStock</t>
        </is>
      </c>
      <c r="R191" t="inlineStr">
        <is>
          <t>undefined</t>
        </is>
      </c>
      <c r="S191" t="inlineStr">
        <is>
          <t>G653569301981</t>
        </is>
      </c>
    </row>
    <row r="192" ht="75" customHeight="1">
      <c r="A192" s="1">
        <f>HYPERLINK("https://www.toysrus.com/guillotine-G653569301981.html", "https://www.toysrus.com/guillotine-G653569301981.html")</f>
        <v/>
      </c>
      <c r="B192" s="1">
        <f>HYPERLINK("https://www.toysrus.com/guillotine-G653569301981.html", "https://www.toysrus.com/guillotine-G653569301981.html")</f>
        <v/>
      </c>
      <c r="C192" t="inlineStr">
        <is>
          <t>Guillotine</t>
        </is>
      </c>
      <c r="D192" t="inlineStr">
        <is>
          <t>X-ACTO Heavy Duty Wood Guillotine Trimmer, 15 Inches</t>
        </is>
      </c>
      <c r="E192" s="1">
        <f>HYPERLINK("https://www.amazon.com/X-ACTO-Heavy-Guillotine-Trimmer-Inches/dp/B0006HVQH8/ref=sr_1_4?keywords=Guillotine&amp;qid=1695588192&amp;sr=8-4", "https://www.amazon.com/X-ACTO-Heavy-Guillotine-Trimmer-Inches/dp/B0006HVQH8/ref=sr_1_4?keywords=Guillotine&amp;qid=1695588192&amp;sr=8-4")</f>
        <v/>
      </c>
      <c r="F192" t="inlineStr">
        <is>
          <t>B0006HVQH8</t>
        </is>
      </c>
      <c r="G192">
        <f>_xlfn.IMAGE("https://images.toysrus.com/28598/653569301981_1.jpg")</f>
        <v/>
      </c>
      <c r="H192">
        <f>_xlfn.IMAGE("https://m.media-amazon.com/images/I/71vozQfq2CL._AC_UL320_.jpg")</f>
        <v/>
      </c>
      <c r="K192" t="inlineStr">
        <is>
          <t>14.99</t>
        </is>
      </c>
      <c r="L192" t="n">
        <v>45.19</v>
      </c>
      <c r="M192" s="2" t="inlineStr">
        <is>
          <t>201.47%</t>
        </is>
      </c>
      <c r="N192" t="n">
        <v>4.5</v>
      </c>
      <c r="O192" t="n">
        <v>2988</v>
      </c>
      <c r="Q192" t="inlineStr">
        <is>
          <t>InStock</t>
        </is>
      </c>
      <c r="R192" t="inlineStr">
        <is>
          <t>undefined</t>
        </is>
      </c>
      <c r="S192" t="inlineStr">
        <is>
          <t>G653569301981</t>
        </is>
      </c>
    </row>
    <row r="193" ht="75" customHeight="1">
      <c r="A193" s="1">
        <f>HYPERLINK("https://www.toysrus.com/guillotine-G653569301981.html", "https://www.toysrus.com/guillotine-G653569301981.html")</f>
        <v/>
      </c>
      <c r="B193" s="1">
        <f>HYPERLINK("https://www.toysrus.com/guillotine-G653569301981.html", "https://www.toysrus.com/guillotine-G653569301981.html")</f>
        <v/>
      </c>
      <c r="C193" t="inlineStr">
        <is>
          <t>Guillotine</t>
        </is>
      </c>
      <c r="D193" t="inlineStr">
        <is>
          <t>A4 Paper Cutter, Stack Paper Trimmer Guillotine 13” Cutting Length, Commercial Grade Guillotine Paper Slicer Cutter, 10 Sheet Capacity, for Office Home or School</t>
        </is>
      </c>
      <c r="E193" s="1">
        <f>HYPERLINK("https://www.amazon.com/ZEQUAN-Guillotine-Commercial-Cutter%EF%BC%8C10-Capacity/dp/B0995RY2LL/ref=sr_1_5?keywords=Guillotine&amp;qid=1695588192&amp;sr=8-5", "https://www.amazon.com/ZEQUAN-Guillotine-Commercial-Cutter%EF%BC%8C10-Capacity/dp/B0995RY2LL/ref=sr_1_5?keywords=Guillotine&amp;qid=1695588192&amp;sr=8-5")</f>
        <v/>
      </c>
      <c r="F193" t="inlineStr">
        <is>
          <t>B0995RY2LL</t>
        </is>
      </c>
      <c r="G193">
        <f>_xlfn.IMAGE("https://images.toysrus.com/28598/653569301981_1.jpg")</f>
        <v/>
      </c>
      <c r="H193">
        <f>_xlfn.IMAGE("https://m.media-amazon.com/images/I/61hiBbRIinL._AC_UL320_.jpg")</f>
        <v/>
      </c>
      <c r="K193" t="inlineStr">
        <is>
          <t>14.99</t>
        </is>
      </c>
      <c r="L193" t="n">
        <v>26.99</v>
      </c>
      <c r="M193" s="2" t="inlineStr">
        <is>
          <t>80.05%</t>
        </is>
      </c>
      <c r="N193" t="n">
        <v>4.1</v>
      </c>
      <c r="O193" t="n">
        <v>708</v>
      </c>
      <c r="Q193" t="inlineStr">
        <is>
          <t>InStock</t>
        </is>
      </c>
      <c r="R193" t="inlineStr">
        <is>
          <t>undefined</t>
        </is>
      </c>
      <c r="S193" t="inlineStr">
        <is>
          <t>G653569301981</t>
        </is>
      </c>
    </row>
    <row r="194" ht="75" customHeight="1">
      <c r="A194" s="1">
        <f>HYPERLINK("https://www.toysrus.com/guillotine-G653569301981.html", "https://www.toysrus.com/guillotine-G653569301981.html")</f>
        <v/>
      </c>
      <c r="B194" s="1">
        <f>HYPERLINK("https://www.toysrus.com/guillotine-G653569301981.html", "https://www.toysrus.com/guillotine-G653569301981.html")</f>
        <v/>
      </c>
      <c r="C194" t="inlineStr">
        <is>
          <t>Guillotine</t>
        </is>
      </c>
      <c r="D194" t="inlineStr">
        <is>
          <t>Handmade Wooden French Guillotine Model Ancient Medieval Action Figure Accessories Creative halloween prop decoration</t>
        </is>
      </c>
      <c r="E194" s="1">
        <f>HYPERLINK("https://www.amazon.com/Handmade-Guillotine-Accessories-halloween-decoration/dp/B0B1WQ9HPF/ref=sr_1_9?keywords=Guillotine&amp;qid=1695588192&amp;sr=8-9", "https://www.amazon.com/Handmade-Guillotine-Accessories-halloween-decoration/dp/B0B1WQ9HPF/ref=sr_1_9?keywords=Guillotine&amp;qid=1695588192&amp;sr=8-9")</f>
        <v/>
      </c>
      <c r="F194" t="inlineStr">
        <is>
          <t>B0B1WQ9HPF</t>
        </is>
      </c>
      <c r="G194">
        <f>_xlfn.IMAGE("https://images.toysrus.com/28598/653569301981_1.jpg")</f>
        <v/>
      </c>
      <c r="H194">
        <f>_xlfn.IMAGE("https://m.media-amazon.com/images/I/61bBSrfoQRL._AC_UL320_.jpg")</f>
        <v/>
      </c>
      <c r="K194" t="inlineStr">
        <is>
          <t>14.99</t>
        </is>
      </c>
      <c r="L194" t="n">
        <v>24.79</v>
      </c>
      <c r="M194" s="2" t="inlineStr">
        <is>
          <t>65.38%</t>
        </is>
      </c>
      <c r="N194" t="n">
        <v>4.7</v>
      </c>
      <c r="O194" t="n">
        <v>10</v>
      </c>
      <c r="Q194" t="inlineStr">
        <is>
          <t>InStock</t>
        </is>
      </c>
      <c r="R194" t="inlineStr">
        <is>
          <t>undefined</t>
        </is>
      </c>
      <c r="S194" t="inlineStr">
        <is>
          <t>G653569301981</t>
        </is>
      </c>
    </row>
    <row r="195" ht="75" customHeight="1">
      <c r="A195" s="1">
        <f>HYPERLINK("https://www.toysrus.com/harry-potter-8-inch-harry-potter-doll-gift-set-with-invisibility-cloak-and-5-doll-accessories-14647197.html", "https://www.toysrus.com/harry-potter-8-inch-harry-potter-doll-gift-set-with-invisibility-cloak-and-5-doll-accessories-14647197.html")</f>
        <v/>
      </c>
      <c r="B195" s="1">
        <f>HYPERLINK("https://www.toysrus.com/harry-potter-8-inch-harry-potter-doll-gift-set-with-invisibility-cloak-and-5-doll-accessories-14647197.html", "https://www.toysrus.com/harry-potter-8-inch-harry-potter-doll-gift-set-with-invisibility-cloak-and-5-doll-accessories-14647197.html")</f>
        <v/>
      </c>
      <c r="C195" t="inlineStr">
        <is>
          <t>Harry Potter, 8-inch Harry Potter Doll Gift Set with Invisibility Cloak and 5 Doll Accessories</t>
        </is>
      </c>
      <c r="D195" t="inlineStr">
        <is>
          <t>Wizarding World Harry Potter, Hermione Granger &amp; Ginny Weasley Deluxe 8-inch Dolls &amp; Accessories Gift Set, Over 20 Pieces, Kids Toys for Ages 6 and Up</t>
        </is>
      </c>
      <c r="E195" s="1">
        <f>HYPERLINK("https://www.amazon.com/Wizarding-World-Hermione-Ginndy-Deluxe/dp/B09NLSB2T9/ref=sr_1_3?keywords=Harry+Potter%2C+8-inch+Harry+Potter+Doll+Gift+Set+with+Invisibility+Cloak+and+5+Doll+Accessories&amp;qid=1695588566&amp;sr=8-3", "https://www.amazon.com/Wizarding-World-Hermione-Ginndy-Deluxe/dp/B09NLSB2T9/ref=sr_1_3?keywords=Harry+Potter%2C+8-inch+Harry+Potter+Doll+Gift+Set+with+Invisibility+Cloak+and+5+Doll+Accessories&amp;qid=1695588566&amp;sr=8-3")</f>
        <v/>
      </c>
      <c r="F195" t="inlineStr">
        <is>
          <t>B09NLSB2T9</t>
        </is>
      </c>
      <c r="G195">
        <f>_xlfn.IMAGE("http://slimages.macys.com/is/image/MCY/products/0/optimized/22730748_fpx.tif")</f>
        <v/>
      </c>
      <c r="H195">
        <f>_xlfn.IMAGE("https://m.media-amazon.com/images/I/91GGGNmdzRL._AC_UL320_.jpg")</f>
        <v/>
      </c>
      <c r="K195" t="inlineStr">
        <is>
          <t>19.99</t>
        </is>
      </c>
      <c r="L195" t="n">
        <v>39.99</v>
      </c>
      <c r="M195" s="2" t="inlineStr">
        <is>
          <t>100.05%</t>
        </is>
      </c>
      <c r="N195" t="n">
        <v>4.8</v>
      </c>
      <c r="O195" t="n">
        <v>1370</v>
      </c>
      <c r="Q195" t="inlineStr">
        <is>
          <t>InStock</t>
        </is>
      </c>
      <c r="R195" t="inlineStr">
        <is>
          <t>undefined</t>
        </is>
      </c>
      <c r="S195" t="inlineStr">
        <is>
          <t>14647197</t>
        </is>
      </c>
    </row>
    <row r="196" ht="75" customHeight="1">
      <c r="A196" s="1">
        <f>HYPERLINK("https://www.toysrus.com/harry-potter-8-inch-harry-potter-doll-gift-set-with-invisibility-cloak-and-5-doll-accessories-14647197.html", "https://www.toysrus.com/harry-potter-8-inch-harry-potter-doll-gift-set-with-invisibility-cloak-and-5-doll-accessories-14647197.html")</f>
        <v/>
      </c>
      <c r="B196" s="1">
        <f>HYPERLINK("https://www.toysrus.com/harry-potter-8-inch-harry-potter-doll-gift-set-with-invisibility-cloak-and-5-doll-accessories-14647197.html", "https://www.toysrus.com/harry-potter-8-inch-harry-potter-doll-gift-set-with-invisibility-cloak-and-5-doll-accessories-14647197.html")</f>
        <v/>
      </c>
      <c r="C196" t="inlineStr">
        <is>
          <t>Harry Potter, 8-inch Harry Potter Doll Gift Set with Invisibility Cloak and 5 Doll Accessories</t>
        </is>
      </c>
      <c r="D196" t="inlineStr">
        <is>
          <t>Wizarding World Harry Potter, 8-inch Harry Potter &amp; Hermione Granger Dolls &amp; Accessories Gift Set, Over 20 Pieces, Kids Toys for Ages 6 and up</t>
        </is>
      </c>
      <c r="E196" s="1">
        <f>HYPERLINK("https://www.amazon.com/Wizarding-World-8in-HyHn-Tzrd/dp/B0BRQXSMSM/ref=sr_1_2?keywords=Harry+Potter%2C+8-inch+Harry+Potter+Doll+Gift+Set+with+Invisibility+Cloak+and+5+Doll+Accessories&amp;qid=1695588566&amp;sr=8-2", "https://www.amazon.com/Wizarding-World-8in-HyHn-Tzrd/dp/B0BRQXSMSM/ref=sr_1_2?keywords=Harry+Potter%2C+8-inch+Harry+Potter+Doll+Gift+Set+with+Invisibility+Cloak+and+5+Doll+Accessories&amp;qid=1695588566&amp;sr=8-2")</f>
        <v/>
      </c>
      <c r="F196" t="inlineStr">
        <is>
          <t>B0BRQXSMSM</t>
        </is>
      </c>
      <c r="G196">
        <f>_xlfn.IMAGE("http://slimages.macys.com/is/image/MCY/products/0/optimized/22730748_fpx.tif")</f>
        <v/>
      </c>
      <c r="H196">
        <f>_xlfn.IMAGE("https://m.media-amazon.com/images/I/9139EKGIawL._AC_UL320_.jpg")</f>
        <v/>
      </c>
      <c r="K196" t="inlineStr">
        <is>
          <t>19.99</t>
        </is>
      </c>
      <c r="L196" t="n">
        <v>39.99</v>
      </c>
      <c r="M196" s="2" t="inlineStr">
        <is>
          <t>100.05%</t>
        </is>
      </c>
      <c r="N196" t="n">
        <v>4.8</v>
      </c>
      <c r="O196" t="n">
        <v>26</v>
      </c>
      <c r="Q196" t="inlineStr">
        <is>
          <t>InStock</t>
        </is>
      </c>
      <c r="R196" t="inlineStr">
        <is>
          <t>undefined</t>
        </is>
      </c>
      <c r="S196" t="inlineStr">
        <is>
          <t>14647197</t>
        </is>
      </c>
    </row>
    <row r="197" ht="75" customHeight="1">
      <c r="A197" s="1">
        <f>HYPERLINK("https://www.toysrus.com/hedstrom---15-inch-hopper-paw-patrol-G0033149108382.html", "https://www.toysrus.com/hedstrom---15-inch-hopper-paw-patrol-G0033149108382.html")</f>
        <v/>
      </c>
      <c r="B197" s="1">
        <f>HYPERLINK("https://www.toysrus.com/hedstrom---15-inch-hopper-paw-patrol-G0033149108382.html", "https://www.toysrus.com/hedstrom---15-inch-hopper-paw-patrol-G0033149108382.html")</f>
        <v/>
      </c>
      <c r="C197" t="inlineStr">
        <is>
          <t>Hedstrom - 15 Inch Hopper, Paw Patrol</t>
        </is>
      </c>
      <c r="D197" t="inlineStr">
        <is>
          <t>Hedstrom 18-inch Musical Hopper, Paw Patrol (55-8883)</t>
        </is>
      </c>
      <c r="E197" s="1">
        <f>HYPERLINK("https://www.amazon.com/Hedstrom-18-inch-Musical-Hopper-55-8883/dp/B08P54L71N/ref=sr_1_2?keywords=Hedstrom+-+15+Inch+Hopper%2C+Paw+Patrol&amp;qid=1695588858&amp;sr=8-2", "https://www.amazon.com/Hedstrom-18-inch-Musical-Hopper-55-8883/dp/B08P54L71N/ref=sr_1_2?keywords=Hedstrom+-+15+Inch+Hopper%2C+Paw+Patrol&amp;qid=1695588858&amp;sr=8-2")</f>
        <v/>
      </c>
      <c r="F197" t="inlineStr">
        <is>
          <t>B08P54L71N</t>
        </is>
      </c>
      <c r="G197">
        <f>_xlfn.IMAGE("https://images.toysrus.com/1128598/033149108382_1.jpg")</f>
        <v/>
      </c>
      <c r="H197">
        <f>_xlfn.IMAGE("https://m.media-amazon.com/images/I/81z8P3NB8oL._AC_UL320_.jpg")</f>
        <v/>
      </c>
      <c r="K197" t="inlineStr">
        <is>
          <t>14.99</t>
        </is>
      </c>
      <c r="L197" t="n">
        <v>36.21</v>
      </c>
      <c r="M197" s="2" t="inlineStr">
        <is>
          <t>141.56%</t>
        </is>
      </c>
      <c r="N197" t="n">
        <v>4.5</v>
      </c>
      <c r="O197" t="n">
        <v>109</v>
      </c>
      <c r="Q197" t="inlineStr">
        <is>
          <t>OutOfStock</t>
        </is>
      </c>
      <c r="R197" t="inlineStr">
        <is>
          <t>undefined</t>
        </is>
      </c>
      <c r="S197" t="inlineStr">
        <is>
          <t>G0033149108382</t>
        </is>
      </c>
    </row>
    <row r="198" ht="75" customHeight="1">
      <c r="A198" s="1">
        <f>HYPERLINK("https://www.toysrus.com/hedstrom---18-inch-2-decal-hopper-unicorn-G0033149121886.html", "https://www.toysrus.com/hedstrom---18-inch-2-decal-hopper-unicorn-G0033149121886.html")</f>
        <v/>
      </c>
      <c r="B198" s="1">
        <f>HYPERLINK("https://www.toysrus.com/hedstrom---18-inch-2-decal-hopper-unicorn-G0033149121886.html", "https://www.toysrus.com/hedstrom---18-inch-2-decal-hopper-unicorn-G0033149121886.html")</f>
        <v/>
      </c>
      <c r="C198" t="inlineStr">
        <is>
          <t>Hedstrom - 18 Inch 2-Decal Hopper, Unicorn</t>
        </is>
      </c>
      <c r="D198" t="inlineStr">
        <is>
          <t>Hedstrom Disney Frozen 2 Musical Hopper, 18-inch (55-8881)</t>
        </is>
      </c>
      <c r="E198" s="1">
        <f>HYPERLINK("https://www.amazon.com/Hedstrom-18-inch-Musical-Hopper-55-8881/dp/B08P54LJWB/ref=sr_1_8?keywords=Hedstrom+-+18+Inch+2-Decal+Hopper%2C+Unicorn&amp;qid=1695588930&amp;sr=8-8", "https://www.amazon.com/Hedstrom-18-inch-Musical-Hopper-55-8881/dp/B08P54LJWB/ref=sr_1_8?keywords=Hedstrom+-+18+Inch+2-Decal+Hopper%2C+Unicorn&amp;qid=1695588930&amp;sr=8-8")</f>
        <v/>
      </c>
      <c r="F198" t="inlineStr">
        <is>
          <t>B08P54LJWB</t>
        </is>
      </c>
      <c r="G198">
        <f>_xlfn.IMAGE("https://images.toysrus.com/1128598/033149121886_1.jpg")</f>
        <v/>
      </c>
      <c r="H198">
        <f>_xlfn.IMAGE("https://m.media-amazon.com/images/I/81Eo9PmtGML._AC_UL320_.jpg")</f>
        <v/>
      </c>
      <c r="K198" t="inlineStr">
        <is>
          <t>14.99</t>
        </is>
      </c>
      <c r="L198" t="n">
        <v>31.22</v>
      </c>
      <c r="M198" s="2" t="inlineStr">
        <is>
          <t>108.27%</t>
        </is>
      </c>
      <c r="N198" t="n">
        <v>4.5</v>
      </c>
      <c r="O198" t="n">
        <v>109</v>
      </c>
      <c r="Q198" t="inlineStr">
        <is>
          <t>InStock</t>
        </is>
      </c>
      <c r="R198" t="inlineStr">
        <is>
          <t>undefined</t>
        </is>
      </c>
      <c r="S198" t="inlineStr">
        <is>
          <t>G0033149121886</t>
        </is>
      </c>
    </row>
    <row r="199" ht="75" customHeight="1">
      <c r="A199" s="1">
        <f>HYPERLINK("https://www.toysrus.com/hero-of--goo-jit-zu-aquaman-14056533.html", "https://www.toysrus.com/hero-of--goo-jit-zu-aquaman-14056533.html")</f>
        <v/>
      </c>
      <c r="B199" s="1">
        <f>HYPERLINK("https://www.toysrus.com/hero-of--goo-jit-zu-aquaman-14056533.html", "https://www.toysrus.com/hero-of--goo-jit-zu-aquaman-14056533.html")</f>
        <v/>
      </c>
      <c r="C199" t="inlineStr">
        <is>
          <t>Hero of Goo Jit Zu AQUAMAN</t>
        </is>
      </c>
      <c r="D199" t="inlineStr">
        <is>
          <t>Heroes of Goo Jit Zu Deep Goo Sea King Hydra Figure with Triple Attack 3 in 1 Goo Power. Plus Light and Sound Battle Action!</t>
        </is>
      </c>
      <c r="E199" s="1">
        <f>HYPERLINK("https://www.amazon.com/Heroes-Goo-Jit-Zu-Triple/dp/B0BQSJFS3H/ref=sr_1_4?keywords=Hero+of+Goo+Jit+Zu+AQUAMAN&amp;qid=1695588595&amp;sr=8-4", "https://www.amazon.com/Heroes-Goo-Jit-Zu-Triple/dp/B0BQSJFS3H/ref=sr_1_4?keywords=Hero+of+Goo+Jit+Zu+AQUAMAN&amp;qid=1695588595&amp;sr=8-4")</f>
        <v/>
      </c>
      <c r="F199" t="inlineStr">
        <is>
          <t>B0BQSJFS3H</t>
        </is>
      </c>
      <c r="G199">
        <f>_xlfn.IMAGE("http://slimages.macys.com/is/image/MCY/products/0/optimized/21909019_fpx.tif")</f>
        <v/>
      </c>
      <c r="H199">
        <f>_xlfn.IMAGE("https://m.media-amazon.com/images/I/81+LgXgfnCL._AC_UL320_.jpg")</f>
        <v/>
      </c>
      <c r="K199" t="inlineStr">
        <is>
          <t>16.99</t>
        </is>
      </c>
      <c r="L199" t="n">
        <v>39.97</v>
      </c>
      <c r="M199" s="2" t="inlineStr">
        <is>
          <t>135.26%</t>
        </is>
      </c>
      <c r="N199" t="n">
        <v>4.5</v>
      </c>
      <c r="O199" t="n">
        <v>55</v>
      </c>
      <c r="Q199" t="inlineStr">
        <is>
          <t>InStock</t>
        </is>
      </c>
      <c r="R199" t="inlineStr">
        <is>
          <t>undefined</t>
        </is>
      </c>
      <c r="S199" t="inlineStr">
        <is>
          <t>14056533</t>
        </is>
      </c>
    </row>
    <row r="200" ht="75" customHeight="1">
      <c r="A200" s="1">
        <f>HYPERLINK("https://www.toysrus.com/hero-of--goo-jit-zu-aquaman-14056533.html", "https://www.toysrus.com/hero-of--goo-jit-zu-aquaman-14056533.html")</f>
        <v/>
      </c>
      <c r="B200" s="1">
        <f>HYPERLINK("https://www.toysrus.com/hero-of--goo-jit-zu-aquaman-14056533.html", "https://www.toysrus.com/hero-of--goo-jit-zu-aquaman-14056533.html")</f>
        <v/>
      </c>
      <c r="C200" t="inlineStr">
        <is>
          <t>Hero of Goo Jit Zu AQUAMAN</t>
        </is>
      </c>
      <c r="D200" t="inlineStr">
        <is>
          <t>Heroes of Goo Jit Zu Goo Shifters DC Super Hero Stretchy Action Figure Night Power Batman. Incredibly Stretchy DC 4.2" Toy Figure. Crush The Core! Transform The Color of The Goo!</t>
        </is>
      </c>
      <c r="E200" s="1">
        <f>HYPERLINK("https://www.amazon.com/Heroes-Goo-Jit-Zu-Shifter/dp/B0BQNYVN1W/ref=sr_1_6?keywords=Hero+of+Goo+Jit+Zu+AQUAMAN&amp;qid=1695588595&amp;sr=8-6", "https://www.amazon.com/Heroes-Goo-Jit-Zu-Shifter/dp/B0BQNYVN1W/ref=sr_1_6?keywords=Hero+of+Goo+Jit+Zu+AQUAMAN&amp;qid=1695588595&amp;sr=8-6")</f>
        <v/>
      </c>
      <c r="F200" t="inlineStr">
        <is>
          <t>B0BQNYVN1W</t>
        </is>
      </c>
      <c r="G200">
        <f>_xlfn.IMAGE("http://slimages.macys.com/is/image/MCY/products/0/optimized/21909019_fpx.tif")</f>
        <v/>
      </c>
      <c r="H200">
        <f>_xlfn.IMAGE("https://m.media-amazon.com/images/I/61IY5dv0gjL._AC_UL320_.jpg")</f>
        <v/>
      </c>
      <c r="K200" t="inlineStr">
        <is>
          <t>16.99</t>
        </is>
      </c>
      <c r="L200" t="n">
        <v>27.98</v>
      </c>
      <c r="M200" s="2" t="inlineStr">
        <is>
          <t>64.69%</t>
        </is>
      </c>
      <c r="N200" t="n">
        <v>4.6</v>
      </c>
      <c r="O200" t="n">
        <v>12</v>
      </c>
      <c r="Q200" t="inlineStr">
        <is>
          <t>InStock</t>
        </is>
      </c>
      <c r="R200" t="inlineStr">
        <is>
          <t>undefined</t>
        </is>
      </c>
      <c r="S200" t="inlineStr">
        <is>
          <t>14056533</t>
        </is>
      </c>
    </row>
    <row r="201" ht="75" customHeight="1">
      <c r="A201" s="1">
        <f>HYPERLINK("https://www.toysrus.com/hero-of-goo-jit-zu-classic-batman-14056535.html", "https://www.toysrus.com/hero-of-goo-jit-zu-classic-batman-14056535.html")</f>
        <v/>
      </c>
      <c r="B201" s="1">
        <f>HYPERLINK("https://www.toysrus.com/hero-of-goo-jit-zu-classic-batman-14056535.html", "https://www.toysrus.com/hero-of-goo-jit-zu-classic-batman-14056535.html")</f>
        <v/>
      </c>
      <c r="C201" t="inlineStr">
        <is>
          <t>Hero of Goo Jit Zu CLASSIC BATMAN</t>
        </is>
      </c>
      <c r="D201" t="inlineStr">
        <is>
          <t>Heroes of Goo Jit Zu Deep Goo Sea King Hydra Figure with Triple Attack 3 in 1 Goo Power. Plus Light and Sound Battle Action!</t>
        </is>
      </c>
      <c r="E201" s="1">
        <f>HYPERLINK("https://www.amazon.com/Heroes-Goo-Jit-Zu-Triple/dp/B0BQSJFS3H/ref=sr_1_5?keywords=Hero+of+Goo+Jit+Zu+CLASSIC+BATMAN&amp;qid=1695588601&amp;sr=8-5", "https://www.amazon.com/Heroes-Goo-Jit-Zu-Triple/dp/B0BQSJFS3H/ref=sr_1_5?keywords=Hero+of+Goo+Jit+Zu+CLASSIC+BATMAN&amp;qid=1695588601&amp;sr=8-5")</f>
        <v/>
      </c>
      <c r="F201" t="inlineStr">
        <is>
          <t>B0BQSJFS3H</t>
        </is>
      </c>
      <c r="G201">
        <f>_xlfn.IMAGE("http://slimages.macys.com/is/image/MCY/products/0/optimized/21909028_fpx.tif")</f>
        <v/>
      </c>
      <c r="H201">
        <f>_xlfn.IMAGE("https://m.media-amazon.com/images/I/81+LgXgfnCL._AC_UL320_.jpg")</f>
        <v/>
      </c>
      <c r="K201" t="inlineStr">
        <is>
          <t>16.99</t>
        </is>
      </c>
      <c r="L201" t="n">
        <v>39.97</v>
      </c>
      <c r="M201" s="2" t="inlineStr">
        <is>
          <t>135.26%</t>
        </is>
      </c>
      <c r="N201" t="n">
        <v>4.5</v>
      </c>
      <c r="O201" t="n">
        <v>55</v>
      </c>
      <c r="Q201" t="inlineStr">
        <is>
          <t>InStock</t>
        </is>
      </c>
      <c r="R201" t="inlineStr">
        <is>
          <t>undefined</t>
        </is>
      </c>
      <c r="S201" t="inlineStr">
        <is>
          <t>14056535</t>
        </is>
      </c>
    </row>
    <row r="202" ht="75" customHeight="1">
      <c r="A202" s="1">
        <f>HYPERLINK("https://www.toysrus.com/hero-of-goo-jit-zu-classic-batman-14056535.html", "https://www.toysrus.com/hero-of-goo-jit-zu-classic-batman-14056535.html")</f>
        <v/>
      </c>
      <c r="B202" s="1">
        <f>HYPERLINK("https://www.toysrus.com/hero-of-goo-jit-zu-classic-batman-14056535.html", "https://www.toysrus.com/hero-of-goo-jit-zu-classic-batman-14056535.html")</f>
        <v/>
      </c>
      <c r="C202" t="inlineStr">
        <is>
          <t>Hero of Goo Jit Zu CLASSIC BATMAN</t>
        </is>
      </c>
      <c r="D202" t="inlineStr">
        <is>
          <t>Heroes of Goo Jit Zu Goo Shifters DC Super Hero Stretchy Action Figure Night Power Batman. Incredibly Stretchy DC 4.2" Toy Figure. Crush The Core! Transform The Color of The Goo!</t>
        </is>
      </c>
      <c r="E202" s="1">
        <f>HYPERLINK("https://www.amazon.com/Heroes-Goo-Jit-Zu-Shifter/dp/B0BQNYVN1W/ref=sr_1_6?keywords=Hero+of+Goo+Jit+Zu+CLASSIC+BATMAN&amp;qid=1695588601&amp;sr=8-6", "https://www.amazon.com/Heroes-Goo-Jit-Zu-Shifter/dp/B0BQNYVN1W/ref=sr_1_6?keywords=Hero+of+Goo+Jit+Zu+CLASSIC+BATMAN&amp;qid=1695588601&amp;sr=8-6")</f>
        <v/>
      </c>
      <c r="F202" t="inlineStr">
        <is>
          <t>B0BQNYVN1W</t>
        </is>
      </c>
      <c r="G202">
        <f>_xlfn.IMAGE("http://slimages.macys.com/is/image/MCY/products/0/optimized/21909028_fpx.tif")</f>
        <v/>
      </c>
      <c r="H202">
        <f>_xlfn.IMAGE("https://m.media-amazon.com/images/I/61IY5dv0gjL._AC_UL320_.jpg")</f>
        <v/>
      </c>
      <c r="K202" t="inlineStr">
        <is>
          <t>16.99</t>
        </is>
      </c>
      <c r="L202" t="n">
        <v>27.98</v>
      </c>
      <c r="M202" s="2" t="inlineStr">
        <is>
          <t>64.69%</t>
        </is>
      </c>
      <c r="N202" t="n">
        <v>4.6</v>
      </c>
      <c r="O202" t="n">
        <v>12</v>
      </c>
      <c r="Q202" t="inlineStr">
        <is>
          <t>InStock</t>
        </is>
      </c>
      <c r="R202" t="inlineStr">
        <is>
          <t>undefined</t>
        </is>
      </c>
      <c r="S202" t="inlineStr">
        <is>
          <t>14056535</t>
        </is>
      </c>
    </row>
    <row r="203" ht="75" customHeight="1">
      <c r="A203" s="1">
        <f>HYPERLINK("https://www.toysrus.com/hero-of-goo-jit-zu-flash-14056532.html", "https://www.toysrus.com/hero-of-goo-jit-zu-flash-14056532.html")</f>
        <v/>
      </c>
      <c r="B203" s="1">
        <f>HYPERLINK("https://www.toysrus.com/hero-of-goo-jit-zu-flash-14056532.html", "https://www.toysrus.com/hero-of-goo-jit-zu-flash-14056532.html")</f>
        <v/>
      </c>
      <c r="C203" t="inlineStr">
        <is>
          <t>Hero of Goo Jit Zu FLASH</t>
        </is>
      </c>
      <c r="D203" t="inlineStr">
        <is>
          <t>Heroes of Goo JIT Zu Minis DC Batman, The Flash, Superman, Cyborg and Aquaman 5 Piece Bundle and 2 My Outlet Mall Stickers</t>
        </is>
      </c>
      <c r="E203" s="1">
        <f>HYPERLINK("https://www.amazon.com/Heroes-Batman-Superman-Aquaman-Stickers/dp/B099N3MLMW/ref=sr_1_4?keywords=Hero+of+Goo+Jit+Zu+FLASH&amp;qid=1695588593&amp;sr=8-4", "https://www.amazon.com/Heroes-Batman-Superman-Aquaman-Stickers/dp/B099N3MLMW/ref=sr_1_4?keywords=Hero+of+Goo+Jit+Zu+FLASH&amp;qid=1695588593&amp;sr=8-4")</f>
        <v/>
      </c>
      <c r="F203" t="inlineStr">
        <is>
          <t>B099N3MLMW</t>
        </is>
      </c>
      <c r="G203">
        <f>_xlfn.IMAGE("http://slimages.macys.com/is/image/MCY/products/0/optimized/21909015_fpx.tif")</f>
        <v/>
      </c>
      <c r="H203">
        <f>_xlfn.IMAGE("https://m.media-amazon.com/images/I/71MhX4xTXgS._AC_UL320_.jpg")</f>
        <v/>
      </c>
      <c r="K203" t="inlineStr">
        <is>
          <t>16.99</t>
        </is>
      </c>
      <c r="L203" t="n">
        <v>53.28</v>
      </c>
      <c r="M203" s="2" t="inlineStr">
        <is>
          <t>213.60%</t>
        </is>
      </c>
      <c r="N203" t="n">
        <v>4.5</v>
      </c>
      <c r="O203" t="n">
        <v>4</v>
      </c>
      <c r="Q203" t="inlineStr">
        <is>
          <t>InStock</t>
        </is>
      </c>
      <c r="R203" t="inlineStr">
        <is>
          <t>undefined</t>
        </is>
      </c>
      <c r="S203" t="inlineStr">
        <is>
          <t>14056532</t>
        </is>
      </c>
    </row>
    <row r="204" ht="75" customHeight="1">
      <c r="A204" s="1">
        <f>HYPERLINK("https://www.toysrus.com/hero-of-goo-jit-zu-superman-14056531.html", "https://www.toysrus.com/hero-of-goo-jit-zu-superman-14056531.html")</f>
        <v/>
      </c>
      <c r="B204" s="1">
        <f>HYPERLINK("https://www.toysrus.com/hero-of-goo-jit-zu-superman-14056531.html", "https://www.toysrus.com/hero-of-goo-jit-zu-superman-14056531.html")</f>
        <v/>
      </c>
      <c r="C204" t="inlineStr">
        <is>
          <t>Hero of Goo Jit Zu SUPERMAN</t>
        </is>
      </c>
      <c r="D204" t="inlineStr">
        <is>
          <t>Heroes of Goo JIT Zu Minis DC Batman, The Flash, Superman, Cyborg and Aquaman 5 Piece Bundle and 2 My Outlet Mall Stickers</t>
        </is>
      </c>
      <c r="E204" s="1">
        <f>HYPERLINK("https://www.amazon.com/Heroes-Batman-Superman-Aquaman-Stickers/dp/B099N3MLMW/ref=sr_1_4?keywords=Hero+of+Goo+Jit+Zu+SUPERMAN&amp;qid=1695588570&amp;sr=8-4", "https://www.amazon.com/Heroes-Batman-Superman-Aquaman-Stickers/dp/B099N3MLMW/ref=sr_1_4?keywords=Hero+of+Goo+Jit+Zu+SUPERMAN&amp;qid=1695588570&amp;sr=8-4")</f>
        <v/>
      </c>
      <c r="F204" t="inlineStr">
        <is>
          <t>B099N3MLMW</t>
        </is>
      </c>
      <c r="G204">
        <f>_xlfn.IMAGE("http://slimages.macys.com/is/image/MCY/products/0/optimized/21909012_fpx.tif")</f>
        <v/>
      </c>
      <c r="H204">
        <f>_xlfn.IMAGE("https://m.media-amazon.com/images/I/71MhX4xTXgS._AC_UL320_.jpg")</f>
        <v/>
      </c>
      <c r="K204" t="inlineStr">
        <is>
          <t>16.99</t>
        </is>
      </c>
      <c r="L204" t="n">
        <v>53.28</v>
      </c>
      <c r="M204" s="2" t="inlineStr">
        <is>
          <t>213.60%</t>
        </is>
      </c>
      <c r="N204" t="n">
        <v>4.5</v>
      </c>
      <c r="O204" t="n">
        <v>4</v>
      </c>
      <c r="Q204" t="inlineStr">
        <is>
          <t>InStock</t>
        </is>
      </c>
      <c r="R204" t="inlineStr">
        <is>
          <t>undefined</t>
        </is>
      </c>
      <c r="S204" t="inlineStr">
        <is>
          <t>14056531</t>
        </is>
      </c>
    </row>
    <row r="205" ht="75" customHeight="1">
      <c r="A205" s="1">
        <f>HYPERLINK("https://www.toysrus.com/hero-of-goo-jit-zu-superman-14056531.html", "https://www.toysrus.com/hero-of-goo-jit-zu-superman-14056531.html")</f>
        <v/>
      </c>
      <c r="B205" s="1">
        <f>HYPERLINK("https://www.toysrus.com/hero-of-goo-jit-zu-superman-14056531.html", "https://www.toysrus.com/hero-of-goo-jit-zu-superman-14056531.html")</f>
        <v/>
      </c>
      <c r="C205" t="inlineStr">
        <is>
          <t>Hero of Goo Jit Zu SUPERMAN</t>
        </is>
      </c>
      <c r="D205" t="inlineStr">
        <is>
          <t>Heroes of Goo Jit Zu Deep Goo Sea King Hydra Figure with Triple Attack 3 in 1 Goo Power. Plus Light and Sound Battle Action!</t>
        </is>
      </c>
      <c r="E205" s="1">
        <f>HYPERLINK("https://www.amazon.com/Heroes-Goo-Jit-Zu-Triple/dp/B0BQSJFS3H/ref=sr_1_7?keywords=Hero+of+Goo+Jit+Zu+SUPERMAN&amp;qid=1695588570&amp;sr=8-7", "https://www.amazon.com/Heroes-Goo-Jit-Zu-Triple/dp/B0BQSJFS3H/ref=sr_1_7?keywords=Hero+of+Goo+Jit+Zu+SUPERMAN&amp;qid=1695588570&amp;sr=8-7")</f>
        <v/>
      </c>
      <c r="F205" t="inlineStr">
        <is>
          <t>B0BQSJFS3H</t>
        </is>
      </c>
      <c r="G205">
        <f>_xlfn.IMAGE("http://slimages.macys.com/is/image/MCY/products/0/optimized/21909012_fpx.tif")</f>
        <v/>
      </c>
      <c r="H205">
        <f>_xlfn.IMAGE("https://m.media-amazon.com/images/I/81+LgXgfnCL._AC_UL320_.jpg")</f>
        <v/>
      </c>
      <c r="K205" t="inlineStr">
        <is>
          <t>16.99</t>
        </is>
      </c>
      <c r="L205" t="n">
        <v>39.97</v>
      </c>
      <c r="M205" s="2" t="inlineStr">
        <is>
          <t>135.26%</t>
        </is>
      </c>
      <c r="N205" t="n">
        <v>4.5</v>
      </c>
      <c r="O205" t="n">
        <v>55</v>
      </c>
      <c r="Q205" t="inlineStr">
        <is>
          <t>InStock</t>
        </is>
      </c>
      <c r="R205" t="inlineStr">
        <is>
          <t>undefined</t>
        </is>
      </c>
      <c r="S205" t="inlineStr">
        <is>
          <t>14056531</t>
        </is>
      </c>
    </row>
    <row r="206" ht="75" customHeight="1">
      <c r="A206" s="1">
        <f>HYPERLINK("https://www.toysrus.com/hot-wheels-city-super-twist-tire-shop-14597030.html", "https://www.toysrus.com/hot-wheels-city-super-twist-tire-shop-14597030.html")</f>
        <v/>
      </c>
      <c r="B206" s="1">
        <f>HYPERLINK("https://www.toysrus.com/hot-wheels-city-super-twist-tire-shop-14597030.html", "https://www.toysrus.com/hot-wheels-city-super-twist-tire-shop-14597030.html")</f>
        <v/>
      </c>
      <c r="C206" t="inlineStr">
        <is>
          <t>Hot Wheels City Super Twist Tire Shop</t>
        </is>
      </c>
      <c r="D206" t="inlineStr">
        <is>
          <t>Hot Wheels Toy Car Track Set City Toxic Gorilla Slam Gas Station &amp; Tire Repair Shop, Truck Launcher, 1:64 Scale Car</t>
        </is>
      </c>
      <c r="E206" s="1">
        <f>HYPERLINK("https://www.amazon.com/Hot-Wheels-Gorilla-Adjustable-Launcher/dp/B08V4MLDD4/ref=sr_1_10?keywords=Hot+Wheels+City+Super+Twist+Tire+Shop&amp;qid=1695588712&amp;sr=8-10", "https://www.amazon.com/Hot-Wheels-Gorilla-Adjustable-Launcher/dp/B08V4MLDD4/ref=sr_1_10?keywords=Hot+Wheels+City+Super+Twist+Tire+Shop&amp;qid=1695588712&amp;sr=8-10")</f>
        <v/>
      </c>
      <c r="F206" t="inlineStr">
        <is>
          <t>B08V4MLDD4</t>
        </is>
      </c>
      <c r="G206">
        <f>_xlfn.IMAGE("http://slimages.macys.com/is/image/MCY/products/0/optimized/22879580_fpx.tif")</f>
        <v/>
      </c>
      <c r="H206">
        <f>_xlfn.IMAGE("https://m.media-amazon.com/images/I/71nOfcoUtML._AC_UL320_.jpg")</f>
        <v/>
      </c>
      <c r="K206" t="inlineStr">
        <is>
          <t>21.99</t>
        </is>
      </c>
      <c r="L206" t="n">
        <v>49</v>
      </c>
      <c r="M206" s="2" t="inlineStr">
        <is>
          <t>122.83%</t>
        </is>
      </c>
      <c r="N206" t="n">
        <v>4.8</v>
      </c>
      <c r="O206" t="n">
        <v>1495</v>
      </c>
      <c r="Q206" t="inlineStr">
        <is>
          <t>InStock</t>
        </is>
      </c>
      <c r="R206" t="inlineStr">
        <is>
          <t>undefined</t>
        </is>
      </c>
      <c r="S206" t="inlineStr">
        <is>
          <t>14597030</t>
        </is>
      </c>
    </row>
    <row r="207" ht="75" customHeight="1">
      <c r="A207" s="1">
        <f>HYPERLINK("https://www.toysrus.com/hot-wheels-robo-shark-frenzy-play-set-12874802.html", "https://www.toysrus.com/hot-wheels-robo-shark-frenzy-play-set-12874802.html")</f>
        <v/>
      </c>
      <c r="B207" s="1">
        <f>HYPERLINK("https://www.toysrus.com/hot-wheels-robo-shark-frenzy-play-set-12874802.html", "https://www.toysrus.com/hot-wheels-robo-shark-frenzy-play-set-12874802.html")</f>
        <v/>
      </c>
      <c r="C207" t="inlineStr">
        <is>
          <t>Hot Wheels Robo Shark Frenzy Play Set</t>
        </is>
      </c>
      <c r="D207" t="inlineStr">
        <is>
          <t>Hot Wheels Attacking Shark Escape Playset</t>
        </is>
      </c>
      <c r="E207" s="1">
        <f>HYPERLINK("https://www.amazon.com/Hot-Wheels-HDP06-Vehicle-Multicolour/dp/B09QLJB8QZ/ref=sr_1_8?keywords=Hot+Wheels+Robo+Shark+Frenzy+Play+Set&amp;qid=1695588710&amp;sr=8-8", "https://www.amazon.com/Hot-Wheels-HDP06-Vehicle-Multicolour/dp/B09QLJB8QZ/ref=sr_1_8?keywords=Hot+Wheels+Robo+Shark+Frenzy+Play+Set&amp;qid=1695588710&amp;sr=8-8")</f>
        <v/>
      </c>
      <c r="F207" t="inlineStr">
        <is>
          <t>B09QLJB8QZ</t>
        </is>
      </c>
      <c r="G207">
        <f>_xlfn.IMAGE("http://slimages.macys.com/is/image/MCY/products/0/optimized/19851432_fpx.tif")</f>
        <v/>
      </c>
      <c r="H207">
        <f>_xlfn.IMAGE("https://m.media-amazon.com/images/I/71WD43x0EqL._AC_UL320_.jpg")</f>
        <v/>
      </c>
      <c r="K207" t="inlineStr">
        <is>
          <t>26.99</t>
        </is>
      </c>
      <c r="L207" t="n">
        <v>53.99</v>
      </c>
      <c r="M207" s="2" t="inlineStr">
        <is>
          <t>100.04%</t>
        </is>
      </c>
      <c r="N207" t="n">
        <v>4.7</v>
      </c>
      <c r="O207" t="n">
        <v>496</v>
      </c>
      <c r="Q207" t="inlineStr">
        <is>
          <t>InStock</t>
        </is>
      </c>
      <c r="R207" t="inlineStr">
        <is>
          <t>undefined</t>
        </is>
      </c>
      <c r="S207" t="inlineStr">
        <is>
          <t>12874802</t>
        </is>
      </c>
    </row>
    <row r="208" ht="75" customHeight="1">
      <c r="A208" s="1">
        <f>HYPERLINK("https://www.toysrus.com/hot-wheels-robo-shark-frenzy-play-set-12874802.html", "https://www.toysrus.com/hot-wheels-robo-shark-frenzy-play-set-12874802.html")</f>
        <v/>
      </c>
      <c r="B208" s="1">
        <f>HYPERLINK("https://www.toysrus.com/hot-wheels-robo-shark-frenzy-play-set-12874802.html", "https://www.toysrus.com/hot-wheels-robo-shark-frenzy-play-set-12874802.html")</f>
        <v/>
      </c>
      <c r="C208" t="inlineStr">
        <is>
          <t>Hot Wheels Robo Shark Frenzy Play Set</t>
        </is>
      </c>
      <c r="D208" t="inlineStr">
        <is>
          <t>Hot Wheels City Toy Car Track Set Attacking Shark Escape Playset with 1:64 Scale Car, Race to Avoid Chomping Shark</t>
        </is>
      </c>
      <c r="E208" s="1">
        <f>HYPERLINK("https://www.amazon.com/Hot-Wheels-Playset-Nemesis-Based-Connects/dp/B09PB5VHC5/ref=sr_1_4?keywords=Hot+Wheels+Robo+Shark+Frenzy+Play+Set&amp;qid=1695588710&amp;sr=8-4", "https://www.amazon.com/Hot-Wheels-Playset-Nemesis-Based-Connects/dp/B09PB5VHC5/ref=sr_1_4?keywords=Hot+Wheels+Robo+Shark+Frenzy+Play+Set&amp;qid=1695588710&amp;sr=8-4")</f>
        <v/>
      </c>
      <c r="F208" t="inlineStr">
        <is>
          <t>B09PB5VHC5</t>
        </is>
      </c>
      <c r="G208">
        <f>_xlfn.IMAGE("http://slimages.macys.com/is/image/MCY/products/0/optimized/19851432_fpx.tif")</f>
        <v/>
      </c>
      <c r="H208">
        <f>_xlfn.IMAGE("https://m.media-amazon.com/images/I/8101QvxhuKL._AC_UL320_.jpg")</f>
        <v/>
      </c>
      <c r="K208" t="inlineStr">
        <is>
          <t>26.99</t>
        </is>
      </c>
      <c r="L208" t="n">
        <v>53.99</v>
      </c>
      <c r="M208" s="2" t="inlineStr">
        <is>
          <t>100.04%</t>
        </is>
      </c>
      <c r="N208" t="n">
        <v>4.7</v>
      </c>
      <c r="O208" t="n">
        <v>279</v>
      </c>
      <c r="Q208" t="inlineStr">
        <is>
          <t>InStock</t>
        </is>
      </c>
      <c r="R208" t="inlineStr">
        <is>
          <t>undefined</t>
        </is>
      </c>
      <c r="S208" t="inlineStr">
        <is>
          <t>12874802</t>
        </is>
      </c>
    </row>
    <row r="209" ht="75" customHeight="1">
      <c r="A209" s="1">
        <f>HYPERLINK("https://www.toysrus.com/hot-wheels-robo-shark-frenzy-play-set-12874802.html", "https://www.toysrus.com/hot-wheels-robo-shark-frenzy-play-set-12874802.html")</f>
        <v/>
      </c>
      <c r="B209" s="1">
        <f>HYPERLINK("https://www.toysrus.com/hot-wheels-robo-shark-frenzy-play-set-12874802.html", "https://www.toysrus.com/hot-wheels-robo-shark-frenzy-play-set-12874802.html")</f>
        <v/>
      </c>
      <c r="C209" t="inlineStr">
        <is>
          <t>Hot Wheels Robo Shark Frenzy Play Set</t>
        </is>
      </c>
      <c r="D209" t="inlineStr">
        <is>
          <t>Hot Wheels Sharkbait Play Set</t>
        </is>
      </c>
      <c r="E209" s="1">
        <f>HYPERLINK("https://www.amazon.com/Hot-Wheels-Sharkbait-Play-Set/dp/B06XL1KQLJ/ref=sr_1_6?keywords=Hot+Wheels+Robo+Shark+Frenzy+Play+Set&amp;qid=1695588710&amp;sr=8-6", "https://www.amazon.com/Hot-Wheels-Sharkbait-Play-Set/dp/B06XL1KQLJ/ref=sr_1_6?keywords=Hot+Wheels+Robo+Shark+Frenzy+Play+Set&amp;qid=1695588710&amp;sr=8-6")</f>
        <v/>
      </c>
      <c r="F209" t="inlineStr">
        <is>
          <t>B06XL1KQLJ</t>
        </is>
      </c>
      <c r="G209">
        <f>_xlfn.IMAGE("http://slimages.macys.com/is/image/MCY/products/0/optimized/19851432_fpx.tif")</f>
        <v/>
      </c>
      <c r="H209">
        <f>_xlfn.IMAGE("https://m.media-amazon.com/images/I/91aA2P8NknL._AC_UL320_.jpg")</f>
        <v/>
      </c>
      <c r="K209" t="inlineStr">
        <is>
          <t>26.99</t>
        </is>
      </c>
      <c r="L209" t="n">
        <v>49.26</v>
      </c>
      <c r="M209" s="2" t="inlineStr">
        <is>
          <t>82.51%</t>
        </is>
      </c>
      <c r="N209" t="n">
        <v>4.1</v>
      </c>
      <c r="O209" t="n">
        <v>293</v>
      </c>
      <c r="Q209" t="inlineStr">
        <is>
          <t>InStock</t>
        </is>
      </c>
      <c r="R209" t="inlineStr">
        <is>
          <t>undefined</t>
        </is>
      </c>
      <c r="S209" t="inlineStr">
        <is>
          <t>12874802</t>
        </is>
      </c>
    </row>
    <row r="210" ht="75" customHeight="1">
      <c r="A210" s="1">
        <f>HYPERLINK("https://www.toysrus.com/hot-wheels-track-builder-lightning-boost-pack-15864364.html", "https://www.toysrus.com/hot-wheels-track-builder-lightning-boost-pack-15864364.html")</f>
        <v/>
      </c>
      <c r="B210" s="1">
        <f>HYPERLINK("https://www.toysrus.com/hot-wheels-track-builder-lightning-boost-pack-15864364.html", "https://www.toysrus.com/hot-wheels-track-builder-lightning-boost-pack-15864364.html")</f>
        <v/>
      </c>
      <c r="C210" t="inlineStr">
        <is>
          <t>Hot Wheels Track Builder Lightning Boost Pack</t>
        </is>
      </c>
      <c r="D210" t="inlineStr">
        <is>
          <t>Hot Wheels Track Builder Unlimited Power Boost Box Compatible id Four Plus Builds 20 feet of Track Gift idea for Kids 6 7 8 9 10 and Older</t>
        </is>
      </c>
      <c r="E210" s="1">
        <f>HYPERLINK("https://www.amazon.com/Hot-Wheels-Power-Boost-Box/dp/B07Y94SBGX/ref=sr_1_4?keywords=Hot+Wheels+Track+Builder+Lightning+Boost+Pack&amp;qid=1695588724&amp;sr=8-4", "https://www.amazon.com/Hot-Wheels-Power-Boost-Box/dp/B07Y94SBGX/ref=sr_1_4?keywords=Hot+Wheels+Track+Builder+Lightning+Boost+Pack&amp;qid=1695588724&amp;sr=8-4")</f>
        <v/>
      </c>
      <c r="F210" t="inlineStr">
        <is>
          <t>B07Y94SBGX</t>
        </is>
      </c>
      <c r="G210">
        <f>_xlfn.IMAGE("http://slimages.macys.com/is/image/MCY/products/0/optimized/23938252_fpx.tif")</f>
        <v/>
      </c>
      <c r="H210">
        <f>_xlfn.IMAGE("https://m.media-amazon.com/images/I/71jiZFXTIOL._AC_UL320_.jpg")</f>
        <v/>
      </c>
      <c r="K210" t="inlineStr">
        <is>
          <t>19.99</t>
        </is>
      </c>
      <c r="L210" t="n">
        <v>76.98999999999999</v>
      </c>
      <c r="M210" s="2" t="inlineStr">
        <is>
          <t>285.14%</t>
        </is>
      </c>
      <c r="N210" t="n">
        <v>4.6</v>
      </c>
      <c r="O210" t="n">
        <v>1187</v>
      </c>
      <c r="Q210" t="inlineStr">
        <is>
          <t>InStock</t>
        </is>
      </c>
      <c r="R210" t="inlineStr">
        <is>
          <t>undefined</t>
        </is>
      </c>
      <c r="S210" t="inlineStr">
        <is>
          <t>HStockdale9217</t>
        </is>
      </c>
    </row>
    <row r="211" ht="75" customHeight="1">
      <c r="A211" s="1">
        <f>HYPERLINK("https://www.toysrus.com/hot-wheels-track-builder-lightning-boost-pack-15864364.html", "https://www.toysrus.com/hot-wheels-track-builder-lightning-boost-pack-15864364.html")</f>
        <v/>
      </c>
      <c r="B211" s="1">
        <f>HYPERLINK("https://www.toysrus.com/hot-wheels-track-builder-lightning-boost-pack-15864364.html", "https://www.toysrus.com/hot-wheels-track-builder-lightning-boost-pack-15864364.html")</f>
        <v/>
      </c>
      <c r="C211" t="inlineStr">
        <is>
          <t>Hot Wheels Track Builder Lightning Boost Pack</t>
        </is>
      </c>
      <c r="D211" t="inlineStr">
        <is>
          <t>Hot Wheels Track Builder Unlimited Ultra Boost Kit, Track Set</t>
        </is>
      </c>
      <c r="E211" s="1">
        <f>HYPERLINK("https://www.amazon.com/Hot-Wheels-Ultra-Boost-KIT/dp/B07Y956QC2/ref=sr_1_2?keywords=Hot+Wheels+Track+Builder+Lightning+Boost+Pack&amp;qid=1695588724&amp;sr=8-2", "https://www.amazon.com/Hot-Wheels-Ultra-Boost-KIT/dp/B07Y956QC2/ref=sr_1_2?keywords=Hot+Wheels+Track+Builder+Lightning+Boost+Pack&amp;qid=1695588724&amp;sr=8-2")</f>
        <v/>
      </c>
      <c r="F211" t="inlineStr">
        <is>
          <t>B07Y956QC2</t>
        </is>
      </c>
      <c r="G211">
        <f>_xlfn.IMAGE("http://slimages.macys.com/is/image/MCY/products/0/optimized/23938252_fpx.tif")</f>
        <v/>
      </c>
      <c r="H211">
        <f>_xlfn.IMAGE("https://m.media-amazon.com/images/I/71IMcDdX7KS._AC_UL320_.jpg")</f>
        <v/>
      </c>
      <c r="K211" t="inlineStr">
        <is>
          <t>19.99</t>
        </is>
      </c>
      <c r="L211" t="n">
        <v>48.89</v>
      </c>
      <c r="M211" s="2" t="inlineStr">
        <is>
          <t>144.57%</t>
        </is>
      </c>
      <c r="N211" t="n">
        <v>4.7</v>
      </c>
      <c r="O211" t="n">
        <v>2317</v>
      </c>
      <c r="Q211" t="inlineStr">
        <is>
          <t>InStock</t>
        </is>
      </c>
      <c r="R211" t="inlineStr">
        <is>
          <t>undefined</t>
        </is>
      </c>
      <c r="S211" t="inlineStr">
        <is>
          <t>HStockdale9217</t>
        </is>
      </c>
    </row>
    <row r="212" ht="75" customHeight="1">
      <c r="A212" s="1">
        <f>HYPERLINK("https://www.toysrus.com/imaginext-dc-super-friends-batman-xl---defender-13862630.html", "https://www.toysrus.com/imaginext-dc-super-friends-batman-xl---defender-13862630.html")</f>
        <v/>
      </c>
      <c r="B212" s="1">
        <f>HYPERLINK("https://www.toysrus.com/imaginext-dc-super-friends-batman-xl---defender-13862630.html", "https://www.toysrus.com/imaginext-dc-super-friends-batman-xl---defender-13862630.html")</f>
        <v/>
      </c>
      <c r="C212" t="inlineStr">
        <is>
          <t>Imaginext DC Super Friends Batman Xl - Defender</t>
        </is>
      </c>
      <c r="D212" t="inlineStr">
        <is>
          <t>Imaginext DC Super Friends Batman Playset Ultimate Headquarters 2-Ft Tall with Lights Sounds Figures &amp; Accessories for Ages 3+ Years</t>
        </is>
      </c>
      <c r="E212" s="1">
        <f>HYPERLINK("https://www.amazon.com/Fisher-Price-Imaginext-Friends-Ultimate-Headquarters/dp/B0BLJTBTZJ/ref=sr_1_7?keywords=Imaginext+DC+Super+Friends+Batman+Xl+-+Defender&amp;qid=1695588560&amp;sr=8-7", "https://www.amazon.com/Fisher-Price-Imaginext-Friends-Ultimate-Headquarters/dp/B0BLJTBTZJ/ref=sr_1_7?keywords=Imaginext+DC+Super+Friends+Batman+Xl+-+Defender&amp;qid=1695588560&amp;sr=8-7")</f>
        <v/>
      </c>
      <c r="F212" t="inlineStr">
        <is>
          <t>B0BLJTBTZJ</t>
        </is>
      </c>
      <c r="G212">
        <f>_xlfn.IMAGE("http://slimages.macys.com/is/image/MCY/products/0/optimized/22258978_fpx.tif")</f>
        <v/>
      </c>
      <c r="H212">
        <f>_xlfn.IMAGE("https://m.media-amazon.com/images/I/71h-LDy40UL._AC_UL320_.jpg")</f>
        <v/>
      </c>
      <c r="K212" t="inlineStr">
        <is>
          <t>5.43</t>
        </is>
      </c>
      <c r="L212" t="n">
        <v>99.98999999999999</v>
      </c>
      <c r="M212" s="2" t="inlineStr">
        <is>
          <t>1741.44%</t>
        </is>
      </c>
      <c r="N212" t="n">
        <v>4.9</v>
      </c>
      <c r="O212" t="n">
        <v>13</v>
      </c>
      <c r="Q212" t="inlineStr">
        <is>
          <t>InStock</t>
        </is>
      </c>
      <c r="R212" t="inlineStr">
        <is>
          <t>undefined</t>
        </is>
      </c>
      <c r="S212" t="inlineStr">
        <is>
          <t>13862630</t>
        </is>
      </c>
    </row>
    <row r="213" ht="75" customHeight="1">
      <c r="A213" s="1">
        <f>HYPERLINK("https://www.toysrus.com/imaginext-dc-super-friends-batman-xl---defender-13862630.html", "https://www.toysrus.com/imaginext-dc-super-friends-batman-xl---defender-13862630.html")</f>
        <v/>
      </c>
      <c r="B213" s="1">
        <f>HYPERLINK("https://www.toysrus.com/imaginext-dc-super-friends-batman-xl---defender-13862630.html", "https://www.toysrus.com/imaginext-dc-super-friends-batman-xl---defender-13862630.html")</f>
        <v/>
      </c>
      <c r="C213" t="inlineStr">
        <is>
          <t>Imaginext DC Super Friends Batman Xl - Defender</t>
        </is>
      </c>
      <c r="D213" t="inlineStr">
        <is>
          <t>Imaginext DC Super Friends Batman Toy, Wayne Manor Batcave Playset with Batman Figure &amp; Accessories (Amazon Exclusive)</t>
        </is>
      </c>
      <c r="E213" s="1">
        <f>HYPERLINK("https://www.amazon.com/Fisher-Price-Imaginext-Super-Friends-Batcave/dp/B079KDM7GW/ref=sr_1_3?keywords=Imaginext+DC+Super+Friends+Batman+Xl+-+Defender&amp;qid=1695588560&amp;sr=8-3", "https://www.amazon.com/Fisher-Price-Imaginext-Super-Friends-Batcave/dp/B079KDM7GW/ref=sr_1_3?keywords=Imaginext+DC+Super+Friends+Batman+Xl+-+Defender&amp;qid=1695588560&amp;sr=8-3")</f>
        <v/>
      </c>
      <c r="F213" t="inlineStr">
        <is>
          <t>B079KDM7GW</t>
        </is>
      </c>
      <c r="G213">
        <f>_xlfn.IMAGE("http://slimages.macys.com/is/image/MCY/products/0/optimized/22258978_fpx.tif")</f>
        <v/>
      </c>
      <c r="H213">
        <f>_xlfn.IMAGE("https://m.media-amazon.com/images/I/71954SzREzL._AC_UL320_.jpg")</f>
        <v/>
      </c>
      <c r="K213" t="inlineStr">
        <is>
          <t>5.43</t>
        </is>
      </c>
      <c r="L213" t="n">
        <v>49.68</v>
      </c>
      <c r="M213" s="2" t="inlineStr">
        <is>
          <t>814.92%</t>
        </is>
      </c>
      <c r="N213" t="n">
        <v>4.8</v>
      </c>
      <c r="O213" t="n">
        <v>2731</v>
      </c>
      <c r="Q213" t="inlineStr">
        <is>
          <t>InStock</t>
        </is>
      </c>
      <c r="R213" t="inlineStr">
        <is>
          <t>undefined</t>
        </is>
      </c>
      <c r="S213" t="inlineStr">
        <is>
          <t>13862630</t>
        </is>
      </c>
    </row>
    <row r="214" ht="75" customHeight="1">
      <c r="A214" s="1">
        <f>HYPERLINK("https://www.toysrus.com/imaginext-dc-super-friends-batman-xl---defender-13862630.html", "https://www.toysrus.com/imaginext-dc-super-friends-batman-xl---defender-13862630.html")</f>
        <v/>
      </c>
      <c r="B214" s="1">
        <f>HYPERLINK("https://www.toysrus.com/imaginext-dc-super-friends-batman-xl---defender-13862630.html", "https://www.toysrus.com/imaginext-dc-super-friends-batman-xl---defender-13862630.html")</f>
        <v/>
      </c>
      <c r="C214" t="inlineStr">
        <is>
          <t>Imaginext DC Super Friends Batman Xl - Defender</t>
        </is>
      </c>
      <c r="D214" t="inlineStr">
        <is>
          <t>Imaginext DC Super Friends Batman Toy Gotham City Jail Recharged Playset with 2 Figures for Pretend Play Ages 3+ Years</t>
        </is>
      </c>
      <c r="E214" s="1">
        <f>HYPERLINK("https://www.amazon.com/DC-Super-Friends-Fisher-Price-Imaginext/dp/B09BW4WG7Z/ref=sr_1_8?keywords=Imaginext+DC+Super+Friends+Batman+Xl+-+Defender&amp;qid=1695588560&amp;sr=8-8", "https://www.amazon.com/DC-Super-Friends-Fisher-Price-Imaginext/dp/B09BW4WG7Z/ref=sr_1_8?keywords=Imaginext+DC+Super+Friends+Batman+Xl+-+Defender&amp;qid=1695588560&amp;sr=8-8")</f>
        <v/>
      </c>
      <c r="F214" t="inlineStr">
        <is>
          <t>B09BW4WG7Z</t>
        </is>
      </c>
      <c r="G214">
        <f>_xlfn.IMAGE("http://slimages.macys.com/is/image/MCY/products/0/optimized/22258978_fpx.tif")</f>
        <v/>
      </c>
      <c r="H214">
        <f>_xlfn.IMAGE("https://m.media-amazon.com/images/I/61IYsMR2juL._AC_UL320_.jpg")</f>
        <v/>
      </c>
      <c r="K214" t="inlineStr">
        <is>
          <t>5.43</t>
        </is>
      </c>
      <c r="L214" t="n">
        <v>22</v>
      </c>
      <c r="M214" s="2" t="inlineStr">
        <is>
          <t>305.16%</t>
        </is>
      </c>
      <c r="N214" t="n">
        <v>4.8</v>
      </c>
      <c r="O214" t="n">
        <v>457</v>
      </c>
      <c r="Q214" t="inlineStr">
        <is>
          <t>InStock</t>
        </is>
      </c>
      <c r="R214" t="inlineStr">
        <is>
          <t>undefined</t>
        </is>
      </c>
      <c r="S214" t="inlineStr">
        <is>
          <t>13862630</t>
        </is>
      </c>
    </row>
    <row r="215" ht="75" customHeight="1">
      <c r="A215" s="1">
        <f>HYPERLINK("https://www.toysrus.com/inklings-baby-plush-chime-and-see-hanging-toy-ollie-the-oddball-oddbird-G0860473001986.html", "https://www.toysrus.com/inklings-baby-plush-chime-and-see-hanging-toy-ollie-the-oddball-oddbird-G0860473001986.html")</f>
        <v/>
      </c>
      <c r="B215" s="1">
        <f>HYPERLINK("https://www.toysrus.com/inklings-baby-plush-chime-and-see-hanging-toy-ollie-the-oddball-oddbird-G0860473001986.html", "https://www.toysrus.com/inklings-baby-plush-chime-and-see-hanging-toy-ollie-the-oddball-oddbird-G0860473001986.html")</f>
        <v/>
      </c>
      <c r="C215" t="inlineStr">
        <is>
          <t>Inklings Baby Plush Chime &amp; See Hanging Toy Ollie The Oddball Oddbird</t>
        </is>
      </c>
      <c r="D215" t="inlineStr">
        <is>
          <t>Inklings Baby &amp; Toddler Plush Soft Bean Bag Toy with Full Color Board Book Set, Inclusive Stories for All Families (Ollie The Oddball Oddbird)</t>
        </is>
      </c>
      <c r="E215" s="1">
        <f>HYPERLINK("https://www.amazon.com/Inklings-Baby-Toddler-Oddball-Oddbird/dp/B07HBPTZ93/ref=sr_1_6?keywords=Inklings+Baby+Plush+Chime&amp;qid=1695588895&amp;sr=8-6", "https://www.amazon.com/Inklings-Baby-Toddler-Oddball-Oddbird/dp/B07HBPTZ93/ref=sr_1_6?keywords=Inklings+Baby+Plush+Chime&amp;qid=1695588895&amp;sr=8-6")</f>
        <v/>
      </c>
      <c r="F215" t="inlineStr">
        <is>
          <t>B07HBPTZ93</t>
        </is>
      </c>
      <c r="G215">
        <f>_xlfn.IMAGE("https://images.toysrus.com/28598/860473001986_1.jpg")</f>
        <v/>
      </c>
      <c r="H215">
        <f>_xlfn.IMAGE("https://m.media-amazon.com/images/I/81ogqHWnawL._AC_UL320_.jpg")</f>
        <v/>
      </c>
      <c r="K215" t="inlineStr">
        <is>
          <t>9.99</t>
        </is>
      </c>
      <c r="L215" t="n">
        <v>24.35</v>
      </c>
      <c r="M215" s="2" t="inlineStr">
        <is>
          <t>143.74%</t>
        </is>
      </c>
      <c r="N215" t="n">
        <v>4.4</v>
      </c>
      <c r="O215" t="n">
        <v>19</v>
      </c>
      <c r="Q215" t="inlineStr">
        <is>
          <t>InStock</t>
        </is>
      </c>
      <c r="R215" t="inlineStr">
        <is>
          <t>undefined</t>
        </is>
      </c>
      <c r="S215" t="inlineStr">
        <is>
          <t>G0860473001986</t>
        </is>
      </c>
    </row>
    <row r="216" ht="75" customHeight="1">
      <c r="A216" s="1">
        <f>HYPERLINK("https://www.toysrus.com/inklings-baby-plush-chime-and-see-hanging-toy-ollie-the-oddball-oddbird-G0860473001986.html", "https://www.toysrus.com/inklings-baby-plush-chime-and-see-hanging-toy-ollie-the-oddball-oddbird-G0860473001986.html")</f>
        <v/>
      </c>
      <c r="B216" s="1">
        <f>HYPERLINK("https://www.toysrus.com/inklings-baby-plush-chime-and-see-hanging-toy-ollie-the-oddball-oddbird-G0860473001986.html", "https://www.toysrus.com/inklings-baby-plush-chime-and-see-hanging-toy-ollie-the-oddball-oddbird-G0860473001986.html")</f>
        <v/>
      </c>
      <c r="C216" t="inlineStr">
        <is>
          <t>Inklings Baby Plush Chime &amp; See Hanging Toy Ollie The Oddball Oddbird</t>
        </is>
      </c>
      <c r="D216" t="inlineStr">
        <is>
          <t>Inklings Baby &amp; Toddler 12" Plush Soft Bean Bag Toy, Ollie The Oddball Oddbird, Inclusive Kids Stuffed Animal for All Families</t>
        </is>
      </c>
      <c r="E216" s="1">
        <f>HYPERLINK("https://www.amazon.com/Inklings-Baby-Ollie-Oddball-Oddbird/dp/B07G3CR97F/ref=sr_1_1?keywords=Inklings+Baby+Plush+Chime&amp;qid=1695588895&amp;sr=8-1", "https://www.amazon.com/Inklings-Baby-Ollie-Oddball-Oddbird/dp/B07G3CR97F/ref=sr_1_1?keywords=Inklings+Baby+Plush+Chime&amp;qid=1695588895&amp;sr=8-1")</f>
        <v/>
      </c>
      <c r="F216" t="inlineStr">
        <is>
          <t>B07G3CR97F</t>
        </is>
      </c>
      <c r="G216">
        <f>_xlfn.IMAGE("https://images.toysrus.com/28598/860473001986_1.jpg")</f>
        <v/>
      </c>
      <c r="H216">
        <f>_xlfn.IMAGE("https://m.media-amazon.com/images/I/81gXPHEDg8L._AC_UL320_.jpg")</f>
        <v/>
      </c>
      <c r="K216" t="inlineStr">
        <is>
          <t>9.99</t>
        </is>
      </c>
      <c r="L216" t="n">
        <v>22.04</v>
      </c>
      <c r="M216" s="2" t="inlineStr">
        <is>
          <t>120.62%</t>
        </is>
      </c>
      <c r="N216" t="n">
        <v>5</v>
      </c>
      <c r="O216" t="n">
        <v>10</v>
      </c>
      <c r="Q216" t="inlineStr">
        <is>
          <t>InStock</t>
        </is>
      </c>
      <c r="R216" t="inlineStr">
        <is>
          <t>undefined</t>
        </is>
      </c>
      <c r="S216" t="inlineStr">
        <is>
          <t>G0860473001986</t>
        </is>
      </c>
    </row>
    <row r="217" ht="75" customHeight="1">
      <c r="A217" s="1">
        <f>HYPERLINK("https://www.toysrus.com/inner-compass---board-game-G729220070838.html", "https://www.toysrus.com/inner-compass---board-game-G729220070838.html")</f>
        <v/>
      </c>
      <c r="B217" s="1">
        <f>HYPERLINK("https://www.toysrus.com/inner-compass---board-game-G729220070838.html", "https://www.toysrus.com/inner-compass---board-game-G729220070838.html")</f>
        <v/>
      </c>
      <c r="C217" t="inlineStr">
        <is>
          <t>Inner Compass - Board Game</t>
        </is>
      </c>
      <c r="D217" t="inlineStr">
        <is>
          <t>Compass Games CPS: Granada: The Last Stand of The Moors,1482-1492 Board Game</t>
        </is>
      </c>
      <c r="E217" s="1">
        <f>HYPERLINK("https://www.amazon.com/CPS-Granada-Stand-Moors-1482-1492/dp/B09HP4H3ZK/ref=sr_1_5?keywords=Inner+Compass+-+Board+Game&amp;qid=1695588202&amp;sr=8-5", "https://www.amazon.com/CPS-Granada-Stand-Moors-1482-1492/dp/B09HP4H3ZK/ref=sr_1_5?keywords=Inner+Compass+-+Board+Game&amp;qid=1695588202&amp;sr=8-5")</f>
        <v/>
      </c>
      <c r="F217" t="inlineStr">
        <is>
          <t>B09HP4H3ZK</t>
        </is>
      </c>
      <c r="G217">
        <f>_xlfn.IMAGE("https://images.toysrus.com/1285980/729220070838_1.jpg")</f>
        <v/>
      </c>
      <c r="H217">
        <f>_xlfn.IMAGE("https://m.media-amazon.com/images/I/81r-Eu9EY1L._AC_UL320_.jpg")</f>
        <v/>
      </c>
      <c r="K217" t="inlineStr">
        <is>
          <t>9.99</t>
        </is>
      </c>
      <c r="L217" t="n">
        <v>119.95</v>
      </c>
      <c r="M217" s="2" t="inlineStr">
        <is>
          <t>1100.70%</t>
        </is>
      </c>
      <c r="N217" t="n">
        <v>5</v>
      </c>
      <c r="O217" t="n">
        <v>2</v>
      </c>
      <c r="Q217" t="inlineStr">
        <is>
          <t>InStock</t>
        </is>
      </c>
      <c r="R217" t="inlineStr">
        <is>
          <t>undefined</t>
        </is>
      </c>
      <c r="S217" t="inlineStr">
        <is>
          <t>G729220070838</t>
        </is>
      </c>
    </row>
    <row r="218" ht="75" customHeight="1">
      <c r="A218" s="1">
        <f>HYPERLINK("https://www.toysrus.com/inner-compass---board-game-G729220070838.html", "https://www.toysrus.com/inner-compass---board-game-G729220070838.html")</f>
        <v/>
      </c>
      <c r="B218" s="1">
        <f>HYPERLINK("https://www.toysrus.com/inner-compass---board-game-G729220070838.html", "https://www.toysrus.com/inner-compass---board-game-G729220070838.html")</f>
        <v/>
      </c>
      <c r="C218" t="inlineStr">
        <is>
          <t>Inner Compass - Board Game</t>
        </is>
      </c>
      <c r="D218" t="inlineStr">
        <is>
          <t>Inner Compass, Board Game, Explore Your Emotions and Create Memories to Win, 2 to 4 Players, 60 Minute Play Time, for Ages 14 and Up, Alderac Entertainment Group (AEG)</t>
        </is>
      </c>
      <c r="E218" s="1">
        <f>HYPERLINK("https://www.amazon.com/Alderac-Entertainment-Group-AEG-ALD07083/dp/B081BGBWTQ/ref=sr_1_1?keywords=Inner+Compass+-+Board+Game&amp;qid=1695588202&amp;sr=8-1", "https://www.amazon.com/Alderac-Entertainment-Group-AEG-ALD07083/dp/B081BGBWTQ/ref=sr_1_1?keywords=Inner+Compass+-+Board+Game&amp;qid=1695588202&amp;sr=8-1")</f>
        <v/>
      </c>
      <c r="F218" t="inlineStr">
        <is>
          <t>B081BGBWTQ</t>
        </is>
      </c>
      <c r="G218">
        <f>_xlfn.IMAGE("https://images.toysrus.com/1285980/729220070838_1.jpg")</f>
        <v/>
      </c>
      <c r="H218">
        <f>_xlfn.IMAGE("https://m.media-amazon.com/images/I/718znuOoRlL._AC_UL320_.jpg")</f>
        <v/>
      </c>
      <c r="K218" t="inlineStr">
        <is>
          <t>9.99</t>
        </is>
      </c>
      <c r="L218" t="n">
        <v>16.65</v>
      </c>
      <c r="M218" s="2" t="inlineStr">
        <is>
          <t>66.67%</t>
        </is>
      </c>
      <c r="N218" t="n">
        <v>4.8</v>
      </c>
      <c r="O218" t="n">
        <v>4</v>
      </c>
      <c r="Q218" t="inlineStr">
        <is>
          <t>InStock</t>
        </is>
      </c>
      <c r="R218" t="inlineStr">
        <is>
          <t>undefined</t>
        </is>
      </c>
      <c r="S218" t="inlineStr">
        <is>
          <t>G729220070838</t>
        </is>
      </c>
    </row>
    <row r="219" ht="75" customHeight="1">
      <c r="A219" s="1">
        <f>HYPERLINK("https://www.toysrus.com/intex---beanless-bag-chair-G0078257300846.html", "https://www.toysrus.com/intex---beanless-bag-chair-G0078257300846.html")</f>
        <v/>
      </c>
      <c r="B219" s="1">
        <f>HYPERLINK("https://www.toysrus.com/intex---beanless-bag-chair-G0078257300846.html", "https://www.toysrus.com/intex---beanless-bag-chair-G0078257300846.html")</f>
        <v/>
      </c>
      <c r="C219" t="inlineStr">
        <is>
          <t>Intex - Beanless Bag Chair</t>
        </is>
      </c>
      <c r="D219" t="inlineStr">
        <is>
          <t>Intex Inflatable Beanless Bag Chair, Grey &amp; Intex 120-Volt Electric Air Pump</t>
        </is>
      </c>
      <c r="E219" s="1">
        <f>HYPERLINK("https://www.amazon.com/Intex-Inflatable-Contoured-68579EPIntex-Quick-Fill/dp/B07KYRXM4K/ref=sr_1_1?keywords=Intex+-+Beanless+Bag+Chair&amp;qid=1695588491&amp;sr=8-1", "https://www.amazon.com/Intex-Inflatable-Contoured-68579EPIntex-Quick-Fill/dp/B07KYRXM4K/ref=sr_1_1?keywords=Intex+-+Beanless+Bag+Chair&amp;qid=1695588491&amp;sr=8-1")</f>
        <v/>
      </c>
      <c r="F219" t="inlineStr">
        <is>
          <t>B07KYRXM4K</t>
        </is>
      </c>
      <c r="G219">
        <f>_xlfn.IMAGE("https://images.toysrus.com/1128598/078257300846_1.jpg")</f>
        <v/>
      </c>
      <c r="H219">
        <f>_xlfn.IMAGE("https://m.media-amazon.com/images/I/612tOAgfZNL._AC_UL320_.jpg")</f>
        <v/>
      </c>
      <c r="K219" t="inlineStr">
        <is>
          <t>31.99</t>
        </is>
      </c>
      <c r="L219" t="n">
        <v>72.98999999999999</v>
      </c>
      <c r="M219" s="2" t="inlineStr">
        <is>
          <t>128.17%</t>
        </is>
      </c>
      <c r="N219" t="n">
        <v>5</v>
      </c>
      <c r="O219" t="n">
        <v>1</v>
      </c>
      <c r="Q219" t="inlineStr">
        <is>
          <t>InStock</t>
        </is>
      </c>
      <c r="R219" t="inlineStr">
        <is>
          <t>undefined</t>
        </is>
      </c>
      <c r="S219" t="inlineStr">
        <is>
          <t>G0078257300846</t>
        </is>
      </c>
    </row>
    <row r="220" ht="75" customHeight="1">
      <c r="A220" s="1">
        <f>HYPERLINK("https://www.toysrus.com/intex---beanless-bag-chair-G0078257300846.html", "https://www.toysrus.com/intex---beanless-bag-chair-G0078257300846.html")</f>
        <v/>
      </c>
      <c r="B220" s="1">
        <f>HYPERLINK("https://www.toysrus.com/intex---beanless-bag-chair-G0078257300846.html", "https://www.toysrus.com/intex---beanless-bag-chair-G0078257300846.html")</f>
        <v/>
      </c>
      <c r="C220" t="inlineStr">
        <is>
          <t>Intex - Beanless Bag Chair</t>
        </is>
      </c>
      <c r="D220" t="inlineStr">
        <is>
          <t>Intex 120V AC Electric Air Pump &amp; Inflatable Corduroy Beanless Bag Lounge Chair</t>
        </is>
      </c>
      <c r="E220" s="1">
        <f>HYPERLINK("https://www.amazon.com/Intex-Electric-Inflatable-Corduroy-Beanless/dp/B07KWHLMSK/ref=sr_1_2?keywords=Intex+-+Beanless+Bag+Chair&amp;qid=1695588491&amp;sr=8-2", "https://www.amazon.com/Intex-Electric-Inflatable-Corduroy-Beanless/dp/B07KWHLMSK/ref=sr_1_2?keywords=Intex+-+Beanless+Bag+Chair&amp;qid=1695588491&amp;sr=8-2")</f>
        <v/>
      </c>
      <c r="F220" t="inlineStr">
        <is>
          <t>B07KWHLMSK</t>
        </is>
      </c>
      <c r="G220">
        <f>_xlfn.IMAGE("https://images.toysrus.com/1128598/078257300846_1.jpg")</f>
        <v/>
      </c>
      <c r="H220">
        <f>_xlfn.IMAGE("https://m.media-amazon.com/images/I/616NvdOEfgL._AC_UL320_.jpg")</f>
        <v/>
      </c>
      <c r="K220" t="inlineStr">
        <is>
          <t>31.99</t>
        </is>
      </c>
      <c r="L220" t="n">
        <v>63.99</v>
      </c>
      <c r="M220" s="2" t="inlineStr">
        <is>
          <t>100.03%</t>
        </is>
      </c>
      <c r="N220" t="n">
        <v>5</v>
      </c>
      <c r="O220" t="n">
        <v>2</v>
      </c>
      <c r="Q220" t="inlineStr">
        <is>
          <t>InStock</t>
        </is>
      </c>
      <c r="R220" t="inlineStr">
        <is>
          <t>undefined</t>
        </is>
      </c>
      <c r="S220" t="inlineStr">
        <is>
          <t>G0078257300846</t>
        </is>
      </c>
    </row>
    <row r="221" ht="75" customHeight="1">
      <c r="A221" s="1">
        <f>HYPERLINK("https://www.toysrus.com/jada-toys---fast-and-furious-110-drift-r-c---mazda-rx-7-G0801310997000.html", "https://www.toysrus.com/jada-toys---fast-and-furious-110-drift-r-c---mazda-rx-7-G0801310997000.html")</f>
        <v/>
      </c>
      <c r="B221" s="1">
        <f>HYPERLINK("https://www.toysrus.com/jada-toys---fast-and-furious-110-drift-r-c---mazda-rx-7-G0801310997000.html", "https://www.toysrus.com/jada-toys---fast-and-furious-110-drift-r-c---mazda-rx-7-G0801310997000.html")</f>
        <v/>
      </c>
      <c r="C221" t="inlineStr">
        <is>
          <t>Jada toys - fast and furious 1:10 drift r/c - mazda rx-7</t>
        </is>
      </c>
      <c r="D221" t="inlineStr">
        <is>
          <t>Jada Toys Fast &amp; Furious Han’s Mazda RX-7 Drift RC Car, 1: 10 Scale 2.4Ghz Remote Control Orange &amp; Black, Ready to Run, USB Charging (Standard) (99700)</t>
        </is>
      </c>
      <c r="E221" s="1">
        <f>HYPERLINK("https://www.amazon.com/Jada-Toys-Furious-Mazda-Drift/dp/B07NPJ955J/ref=sr_1_1?keywords=Jada+toys+-+fast+and+furious+1%3A10+drift+r%2Fc+-+mazda+rx-7&amp;qid=1695588745&amp;sr=8-1", "https://www.amazon.com/Jada-Toys-Furious-Mazda-Drift/dp/B07NPJ955J/ref=sr_1_1?keywords=Jada+toys+-+fast+and+furious+1%3A10+drift+r%2Fc+-+mazda+rx-7&amp;qid=1695588745&amp;sr=8-1")</f>
        <v/>
      </c>
      <c r="F221" t="inlineStr">
        <is>
          <t>B07NPJ955J</t>
        </is>
      </c>
      <c r="G221">
        <f>_xlfn.IMAGE("https://images.toysrus.com/28598/801310997000_1.jpg")</f>
        <v/>
      </c>
      <c r="H221">
        <f>_xlfn.IMAGE("https://m.media-amazon.com/images/I/71mL-lcKaGL._AC_UL320_.jpg")</f>
        <v/>
      </c>
      <c r="K221" t="inlineStr">
        <is>
          <t>29.99</t>
        </is>
      </c>
      <c r="L221" t="n">
        <v>49.99</v>
      </c>
      <c r="M221" s="2" t="inlineStr">
        <is>
          <t>66.69%</t>
        </is>
      </c>
      <c r="N221" t="n">
        <v>4.5</v>
      </c>
      <c r="O221" t="n">
        <v>1253</v>
      </c>
      <c r="Q221" t="inlineStr">
        <is>
          <t>InStock</t>
        </is>
      </c>
      <c r="R221" t="inlineStr">
        <is>
          <t>undefined</t>
        </is>
      </c>
      <c r="S221" t="inlineStr">
        <is>
          <t>G0801310997000</t>
        </is>
      </c>
    </row>
    <row r="222" ht="75" customHeight="1">
      <c r="A222" s="1">
        <f>HYPERLINK("https://www.toysrus.com/jada-toys---fast-and-furious-110-drift-r-c---mazda-rx-7-G0801310997000.html", "https://www.toysrus.com/jada-toys---fast-and-furious-110-drift-r-c---mazda-rx-7-G0801310997000.html")</f>
        <v/>
      </c>
      <c r="B222" s="1">
        <f>HYPERLINK("https://www.toysrus.com/jada-toys---fast-and-furious-110-drift-r-c---mazda-rx-7-G0801310997000.html", "https://www.toysrus.com/jada-toys---fast-and-furious-110-drift-r-c---mazda-rx-7-G0801310997000.html")</f>
        <v/>
      </c>
      <c r="C222" t="inlineStr">
        <is>
          <t>Jada toys - fast and furious 1:10 drift r/c - mazda rx-7</t>
        </is>
      </c>
      <c r="D222" t="inlineStr">
        <is>
          <t>Jada Toys Fast &amp; Furious 1:10 Toyota Supra Remote Control Car Drift Slide RC with Extra Tires 2.4GHz, Toys for Kids and Adults, Orange,black</t>
        </is>
      </c>
      <c r="E222" s="1">
        <f>HYPERLINK("https://www.amazon.com/Jada-Toys-Fast-Furious-Control/dp/B08DLDYLGH/ref=sr_1_6?keywords=Jada+toys+-+fast+and+furious+1%3A10+drift+r%2Fc+-+mazda+rx-7&amp;qid=1695588745&amp;sr=8-6", "https://www.amazon.com/Jada-Toys-Fast-Furious-Control/dp/B08DLDYLGH/ref=sr_1_6?keywords=Jada+toys+-+fast+and+furious+1%3A10+drift+r%2Fc+-+mazda+rx-7&amp;qid=1695588745&amp;sr=8-6")</f>
        <v/>
      </c>
      <c r="F222" t="inlineStr">
        <is>
          <t>B08DLDYLGH</t>
        </is>
      </c>
      <c r="G222">
        <f>_xlfn.IMAGE("https://images.toysrus.com/28598/801310997000_1.jpg")</f>
        <v/>
      </c>
      <c r="H222">
        <f>_xlfn.IMAGE("https://m.media-amazon.com/images/I/71ZkwyvPx6L._AC_UL320_.jpg")</f>
        <v/>
      </c>
      <c r="K222" t="inlineStr">
        <is>
          <t>29.99</t>
        </is>
      </c>
      <c r="L222" t="n">
        <v>49.99</v>
      </c>
      <c r="M222" s="2" t="inlineStr">
        <is>
          <t>66.69%</t>
        </is>
      </c>
      <c r="N222" t="n">
        <v>4.5</v>
      </c>
      <c r="O222" t="n">
        <v>391</v>
      </c>
      <c r="Q222" t="inlineStr">
        <is>
          <t>InStock</t>
        </is>
      </c>
      <c r="R222" t="inlineStr">
        <is>
          <t>undefined</t>
        </is>
      </c>
      <c r="S222" t="inlineStr">
        <is>
          <t>G0801310997000</t>
        </is>
      </c>
    </row>
    <row r="223" ht="75" customHeight="1">
      <c r="A223" s="1">
        <f>HYPERLINK("https://www.toysrus.com/jada-toys---girlmazing-jeep-wrangler-r-c-vehicle-toy-G801310328651.html", "https://www.toysrus.com/jada-toys---girlmazing-jeep-wrangler-r-c-vehicle-toy-G801310328651.html")</f>
        <v/>
      </c>
      <c r="B223" s="1">
        <f>HYPERLINK("https://www.toysrus.com/jada-toys---girlmazing-jeep-wrangler-r-c-vehicle-toy-G801310328651.html", "https://www.toysrus.com/jada-toys---girlmazing-jeep-wrangler-r-c-vehicle-toy-G801310328651.html")</f>
        <v/>
      </c>
      <c r="C223" t="inlineStr">
        <is>
          <t>Jada Toys - GirlMazing Jeep Wrangler R/C Vehicle Toy</t>
        </is>
      </c>
      <c r="D223" t="inlineStr">
        <is>
          <t>DICKIE TOYS 251105000 Girlmazing Jeep Wrangler RC Toy Car with 2 Channel Radio Remote Control 2.4GHz Turbo Includes Sticker 6+ Years Old Metallic Pink Glossy</t>
        </is>
      </c>
      <c r="E223" s="1">
        <f>HYPERLINK("https://www.amazon.com/251105000-Girlmazing-Wrangler-Channel-Metallic/dp/B09BR9XWJ9/ref=sr_1_5?keywords=Jada+Toys+-+GirlMazing+Jeep+Wrangler+R%2FC+Vehicle+Toy&amp;qid=1695588740&amp;sr=8-5", "https://www.amazon.com/251105000-Girlmazing-Wrangler-Channel-Metallic/dp/B09BR9XWJ9/ref=sr_1_5?keywords=Jada+Toys+-+GirlMazing+Jeep+Wrangler+R%2FC+Vehicle+Toy&amp;qid=1695588740&amp;sr=8-5")</f>
        <v/>
      </c>
      <c r="F223" t="inlineStr">
        <is>
          <t>B09BR9XWJ9</t>
        </is>
      </c>
      <c r="G223">
        <f>_xlfn.IMAGE("https://images.toysrus.com/28598/801310328651_1.jpg")</f>
        <v/>
      </c>
      <c r="H223">
        <f>_xlfn.IMAGE("https://m.media-amazon.com/images/I/71jHuuNrzeL._AC_UL320_.jpg")</f>
        <v/>
      </c>
      <c r="K223" t="inlineStr">
        <is>
          <t>29.99</t>
        </is>
      </c>
      <c r="L223" t="n">
        <v>63.99</v>
      </c>
      <c r="M223" s="2" t="inlineStr">
        <is>
          <t>113.37%</t>
        </is>
      </c>
      <c r="N223" t="n">
        <v>4.2</v>
      </c>
      <c r="O223" t="n">
        <v>89</v>
      </c>
      <c r="Q223" t="inlineStr">
        <is>
          <t>InStock</t>
        </is>
      </c>
      <c r="R223" t="inlineStr">
        <is>
          <t>undefined</t>
        </is>
      </c>
      <c r="S223" t="inlineStr">
        <is>
          <t>G801310328651</t>
        </is>
      </c>
    </row>
    <row r="224" ht="75" customHeight="1">
      <c r="A224" s="1">
        <f>HYPERLINK("https://www.toysrus.com/jada-toys---hollywood-rides-116-black-panther-lykan-rc-G0801310305447.html", "https://www.toysrus.com/jada-toys---hollywood-rides-116-black-panther-lykan-rc-G0801310305447.html")</f>
        <v/>
      </c>
      <c r="B224" s="1">
        <f>HYPERLINK("https://www.toysrus.com/jada-toys---hollywood-rides-116-black-panther-lykan-rc-G0801310305447.html", "https://www.toysrus.com/jada-toys---hollywood-rides-116-black-panther-lykan-rc-G0801310305447.html")</f>
        <v/>
      </c>
      <c r="C224" t="inlineStr">
        <is>
          <t>Jada Toys - Hollywood Rides 1:16 Black Panther Lykan RC</t>
        </is>
      </c>
      <c r="D224" t="inlineStr">
        <is>
          <t>Jada Toys 253226001 Marvel Panther Lykan Hypersport Turbo RC Car with Remote Control, Forward/Backward/Left/Right, 1:16 Scale USB Charging Function, Black</t>
        </is>
      </c>
      <c r="E224" s="1">
        <f>HYPERLINK("https://www.amazon.com/Jada-Toys-253226001-Hypersport-Backward/dp/B088PB4GKG/ref=sr_1_2?keywords=Jada+Toys+-+Hollywood+Rides+1%3A16+Black+Panther+Lykan+RC&amp;qid=1695588264&amp;sr=8-2", "https://www.amazon.com/Jada-Toys-253226001-Hypersport-Backward/dp/B088PB4GKG/ref=sr_1_2?keywords=Jada+Toys+-+Hollywood+Rides+1%3A16+Black+Panther+Lykan+RC&amp;qid=1695588264&amp;sr=8-2")</f>
        <v/>
      </c>
      <c r="F224" t="inlineStr">
        <is>
          <t>B088PB4GKG</t>
        </is>
      </c>
      <c r="G224">
        <f>_xlfn.IMAGE("https://images.toysrus.com/1285/801310305447_1.jpg")</f>
        <v/>
      </c>
      <c r="H224">
        <f>_xlfn.IMAGE("https://m.media-amazon.com/images/I/611GCsT5yfL._AC_UL320_.jpg")</f>
        <v/>
      </c>
      <c r="I224" t="n">
        <v>0</v>
      </c>
      <c r="J224" t="inlineStr">
        <is>
          <t>low sales</t>
        </is>
      </c>
      <c r="K224" t="inlineStr">
        <is>
          <t>24.99</t>
        </is>
      </c>
      <c r="L224" t="n">
        <v>82.28</v>
      </c>
      <c r="M224" s="2" t="inlineStr">
        <is>
          <t>229.25%</t>
        </is>
      </c>
      <c r="N224" t="n">
        <v>4.4</v>
      </c>
      <c r="O224" t="n">
        <v>18</v>
      </c>
      <c r="Q224" t="inlineStr">
        <is>
          <t>InStock</t>
        </is>
      </c>
      <c r="R224" t="inlineStr">
        <is>
          <t>undefined</t>
        </is>
      </c>
      <c r="S224" t="inlineStr">
        <is>
          <t>G0801310305447</t>
        </is>
      </c>
    </row>
    <row r="225" ht="75" customHeight="1">
      <c r="A225" s="1">
        <f>HYPERLINK("https://www.toysrus.com/jada-toys---hollywood-rides-116-black-panther-lykan-rc-G0801310305447.html", "https://www.toysrus.com/jada-toys---hollywood-rides-116-black-panther-lykan-rc-G0801310305447.html")</f>
        <v/>
      </c>
      <c r="B225" s="1">
        <f>HYPERLINK("https://www.toysrus.com/jada-toys---hollywood-rides-116-black-panther-lykan-rc-G0801310305447.html", "https://www.toysrus.com/jada-toys---hollywood-rides-116-black-panther-lykan-rc-G0801310305447.html")</f>
        <v/>
      </c>
      <c r="C225" t="inlineStr">
        <is>
          <t>Jada Toys - Hollywood Rides 1:16 Black Panther Lykan RC</t>
        </is>
      </c>
      <c r="D225" t="inlineStr">
        <is>
          <t>Jada Toys 253226001 Marvel Panther Lykan Hypersport Turbo RC Car with Remote Control, Forward/Backward/Left/Right, 1:16 Scale USB Charging Function, Black</t>
        </is>
      </c>
      <c r="E225" s="1">
        <f>HYPERLINK("https://www.amazon.com/Jada-Toys-253226001-Hypersport-Backward/dp/B088PB4GKG/ref=sr_1_2?keywords=Jada+Toys+-+Hollywood+Rides+1%3A16+Black+Panther+Lykan+RC&amp;qid=1695588764&amp;sr=8-2", "https://www.amazon.com/Jada-Toys-253226001-Hypersport-Backward/dp/B088PB4GKG/ref=sr_1_2?keywords=Jada+Toys+-+Hollywood+Rides+1%3A16+Black+Panther+Lykan+RC&amp;qid=1695588764&amp;sr=8-2")</f>
        <v/>
      </c>
      <c r="F225" t="inlineStr">
        <is>
          <t>B088PB4GKG</t>
        </is>
      </c>
      <c r="G225">
        <f>_xlfn.IMAGE("https://images.toysrus.com/1285/801310305447_1.jpg")</f>
        <v/>
      </c>
      <c r="H225">
        <f>_xlfn.IMAGE("https://m.media-amazon.com/images/I/611GCsT5yfL._AC_UL320_.jpg")</f>
        <v/>
      </c>
      <c r="K225" t="inlineStr">
        <is>
          <t>24.99</t>
        </is>
      </c>
      <c r="L225" t="n">
        <v>82.28</v>
      </c>
      <c r="M225" s="2" t="inlineStr">
        <is>
          <t>229.25%</t>
        </is>
      </c>
      <c r="N225" t="n">
        <v>4.4</v>
      </c>
      <c r="O225" t="n">
        <v>18</v>
      </c>
      <c r="Q225" t="inlineStr">
        <is>
          <t>InStock</t>
        </is>
      </c>
      <c r="R225" t="inlineStr">
        <is>
          <t>undefined</t>
        </is>
      </c>
      <c r="S225" t="inlineStr">
        <is>
          <t>G0801310305447</t>
        </is>
      </c>
    </row>
    <row r="226" ht="75" customHeight="1">
      <c r="A226" s="1">
        <f>HYPERLINK("https://www.toysrus.com/jada-toys---hollywood-rides-116-iron-man-camaro-r-c-G0801310305430.html", "https://www.toysrus.com/jada-toys---hollywood-rides-116-iron-man-camaro-r-c-G0801310305430.html")</f>
        <v/>
      </c>
      <c r="B226" s="1">
        <f>HYPERLINK("https://www.toysrus.com/jada-toys---hollywood-rides-116-iron-man-camaro-r-c-G0801310305430.html", "https://www.toysrus.com/jada-toys---hollywood-rides-116-iron-man-camaro-r-c-G0801310305430.html")</f>
        <v/>
      </c>
      <c r="C226" t="inlineStr">
        <is>
          <t>Jada Toys - Hollywood Rides 1:16 Iron Man Camaro R/C</t>
        </is>
      </c>
      <c r="D226" t="inlineStr">
        <is>
          <t>Jada Toys Hollywood Rides 1:12 R/C - Transformers Camaro, Multi</t>
        </is>
      </c>
      <c r="E226" s="1">
        <f>HYPERLINK("https://www.amazon.com/Hollywood-Rides-12-Transformers-Camaro/dp/B09C9TB258/ref=sr_1_2?keywords=Jada+Toys+-+Hollywood+Rides+1%3A16+Iron+Man+Camaro+R%2FC&amp;qid=1695588747&amp;sr=8-2", "https://www.amazon.com/Hollywood-Rides-12-Transformers-Camaro/dp/B09C9TB258/ref=sr_1_2?keywords=Jada+Toys+-+Hollywood+Rides+1%3A16+Iron+Man+Camaro+R%2FC&amp;qid=1695588747&amp;sr=8-2")</f>
        <v/>
      </c>
      <c r="F226" t="inlineStr">
        <is>
          <t>B09C9TB258</t>
        </is>
      </c>
      <c r="G226">
        <f>_xlfn.IMAGE("https://images.toysrus.com/1128598/801310305430_1.jpg")</f>
        <v/>
      </c>
      <c r="H226">
        <f>_xlfn.IMAGE("https://m.media-amazon.com/images/I/71wblu8JZSL._AC_UL320_.jpg")</f>
        <v/>
      </c>
      <c r="K226" t="inlineStr">
        <is>
          <t>24.99</t>
        </is>
      </c>
      <c r="L226" t="n">
        <v>48.58</v>
      </c>
      <c r="M226" s="2" t="inlineStr">
        <is>
          <t>94.40%</t>
        </is>
      </c>
      <c r="N226" t="n">
        <v>4</v>
      </c>
      <c r="O226" t="n">
        <v>12</v>
      </c>
      <c r="Q226" t="inlineStr">
        <is>
          <t>InStock</t>
        </is>
      </c>
      <c r="R226" t="inlineStr">
        <is>
          <t>undefined</t>
        </is>
      </c>
      <c r="S226" t="inlineStr">
        <is>
          <t>G0801310305430</t>
        </is>
      </c>
    </row>
    <row r="227" ht="75" customHeight="1">
      <c r="A227" s="1">
        <f>HYPERLINK("https://www.toysrus.com/jada-toys---hollywood-rides-116-r-c-vehicle-toy-G801310325476.html", "https://www.toysrus.com/jada-toys---hollywood-rides-116-r-c-vehicle-toy-G801310325476.html")</f>
        <v/>
      </c>
      <c r="B227" s="1">
        <f>HYPERLINK("https://www.toysrus.com/jada-toys---hollywood-rides-116-r-c-vehicle-toy-G801310325476.html", "https://www.toysrus.com/jada-toys---hollywood-rides-116-r-c-vehicle-toy-G801310325476.html")</f>
        <v/>
      </c>
      <c r="C227" t="inlineStr">
        <is>
          <t>Jada Toys - Hollywood Rides 1:16 R/C Vehicle Toy</t>
        </is>
      </c>
      <c r="D227" t="inlineStr">
        <is>
          <t>Jada Toys Hollywood Rides 1:12 R/C - Teenage Mutant Ninja Turtle,Multi</t>
        </is>
      </c>
      <c r="E227" s="1">
        <f>HYPERLINK("https://www.amazon.com/Jada-Toys-Hollywood-Rides-Teenage/dp/B09FQCCTY6/ref=sr_1_4?keywords=Jada+Toys+-+Hollywood+Rides+1%3A16+R%2FC+Vehicle+Toy&amp;qid=1695588727&amp;sr=8-4", "https://www.amazon.com/Jada-Toys-Hollywood-Rides-Teenage/dp/B09FQCCTY6/ref=sr_1_4?keywords=Jada+Toys+-+Hollywood+Rides+1%3A16+R%2FC+Vehicle+Toy&amp;qid=1695588727&amp;sr=8-4")</f>
        <v/>
      </c>
      <c r="F227" t="inlineStr">
        <is>
          <t>B09FQCCTY6</t>
        </is>
      </c>
      <c r="G227">
        <f>_xlfn.IMAGE("https://images.toysrus.com/28598/801310325476_1.jpg")</f>
        <v/>
      </c>
      <c r="H227">
        <f>_xlfn.IMAGE("https://m.media-amazon.com/images/I/71Eq89TMmAL._AC_UL320_.jpg")</f>
        <v/>
      </c>
      <c r="K227" t="inlineStr">
        <is>
          <t>26.99</t>
        </is>
      </c>
      <c r="L227" t="n">
        <v>79.28</v>
      </c>
      <c r="M227" s="2" t="inlineStr">
        <is>
          <t>193.74%</t>
        </is>
      </c>
      <c r="N227" t="n">
        <v>4.5</v>
      </c>
      <c r="O227" t="n">
        <v>16</v>
      </c>
      <c r="Q227" t="inlineStr">
        <is>
          <t>InStock</t>
        </is>
      </c>
      <c r="R227" t="inlineStr">
        <is>
          <t>undefined</t>
        </is>
      </c>
      <c r="S227" t="inlineStr">
        <is>
          <t>G801310325476</t>
        </is>
      </c>
    </row>
    <row r="228" ht="75" customHeight="1">
      <c r="A228" s="1">
        <f>HYPERLINK("https://www.toysrus.com/jada-toys---hollywood-rides-116-r-c-vehicle-toy-G801310325476.html", "https://www.toysrus.com/jada-toys---hollywood-rides-116-r-c-vehicle-toy-G801310325476.html")</f>
        <v/>
      </c>
      <c r="B228" s="1">
        <f>HYPERLINK("https://www.toysrus.com/jada-toys---hollywood-rides-116-r-c-vehicle-toy-G801310325476.html", "https://www.toysrus.com/jada-toys---hollywood-rides-116-r-c-vehicle-toy-G801310325476.html")</f>
        <v/>
      </c>
      <c r="C228" t="inlineStr">
        <is>
          <t>Jada Toys - Hollywood Rides 1:16 R/C Vehicle Toy</t>
        </is>
      </c>
      <c r="D228" t="inlineStr">
        <is>
          <t>Jada Toys Hollywood Rides 1:12 R/C - Transformers Camaro, Multi</t>
        </is>
      </c>
      <c r="E228" s="1">
        <f>HYPERLINK("https://www.amazon.com/Hollywood-Rides-12-Transformers-Camaro/dp/B09C9TB258/ref=sr_1_3?keywords=Jada+Toys+-+Hollywood+Rides+1%3A16+R%2FC+Vehicle+Toy&amp;qid=1695588727&amp;sr=8-3", "https://www.amazon.com/Hollywood-Rides-12-Transformers-Camaro/dp/B09C9TB258/ref=sr_1_3?keywords=Jada+Toys+-+Hollywood+Rides+1%3A16+R%2FC+Vehicle+Toy&amp;qid=1695588727&amp;sr=8-3")</f>
        <v/>
      </c>
      <c r="F228" t="inlineStr">
        <is>
          <t>B09C9TB258</t>
        </is>
      </c>
      <c r="G228">
        <f>_xlfn.IMAGE("https://images.toysrus.com/28598/801310325476_1.jpg")</f>
        <v/>
      </c>
      <c r="H228">
        <f>_xlfn.IMAGE("https://m.media-amazon.com/images/I/71wblu8JZSL._AC_UL320_.jpg")</f>
        <v/>
      </c>
      <c r="K228" t="inlineStr">
        <is>
          <t>26.99</t>
        </is>
      </c>
      <c r="L228" t="n">
        <v>48.58</v>
      </c>
      <c r="M228" s="2" t="inlineStr">
        <is>
          <t>79.99%</t>
        </is>
      </c>
      <c r="N228" t="n">
        <v>4</v>
      </c>
      <c r="O228" t="n">
        <v>12</v>
      </c>
      <c r="Q228" t="inlineStr">
        <is>
          <t>InStock</t>
        </is>
      </c>
      <c r="R228" t="inlineStr">
        <is>
          <t>undefined</t>
        </is>
      </c>
      <c r="S228" t="inlineStr">
        <is>
          <t>G801310325476</t>
        </is>
      </c>
    </row>
    <row r="229" ht="75" customHeight="1">
      <c r="A229" s="1">
        <f>HYPERLINK("https://www.toysrus.com/jada-toys---remote-control-minnie-mouse-roadster-G0801310971611.html", "https://www.toysrus.com/jada-toys---remote-control-minnie-mouse-roadster-G0801310971611.html")</f>
        <v/>
      </c>
      <c r="B229" s="1">
        <f>HYPERLINK("https://www.toysrus.com/jada-toys---remote-control-minnie-mouse-roadster-G0801310971611.html", "https://www.toysrus.com/jada-toys---remote-control-minnie-mouse-roadster-G0801310971611.html")</f>
        <v/>
      </c>
      <c r="C229" t="inlineStr">
        <is>
          <t>Jada Toys - Remote Control Minnie Mouse Roadster</t>
        </is>
      </c>
      <c r="D229" t="inlineStr">
        <is>
          <t>Simba 253074001 Disney Minnie Mouse Remote Control Roadster in Pink 1:24</t>
        </is>
      </c>
      <c r="E229" s="1">
        <f>HYPERLINK("https://www.amazon.com/Simba-253074001-Minnie-Control-Roadster/dp/B09C2L2GY4/ref=sr_1_9?keywords=Jada+Toys+-+Remote+Control+Minnie+Mouse+Roadster&amp;qid=1695588715&amp;sr=8-9", "https://www.amazon.com/Simba-253074001-Minnie-Control-Roadster/dp/B09C2L2GY4/ref=sr_1_9?keywords=Jada+Toys+-+Remote+Control+Minnie+Mouse+Roadster&amp;qid=1695588715&amp;sr=8-9")</f>
        <v/>
      </c>
      <c r="F229" t="inlineStr">
        <is>
          <t>B09C2L2GY4</t>
        </is>
      </c>
      <c r="G229">
        <f>_xlfn.IMAGE("https://images.toysrus.com/28598/801310971611_1.jpg")</f>
        <v/>
      </c>
      <c r="H229">
        <f>_xlfn.IMAGE("https://m.media-amazon.com/images/I/61L8ot5mlWL._AC_UL320_.jpg")</f>
        <v/>
      </c>
      <c r="K229" t="inlineStr">
        <is>
          <t>31.99</t>
        </is>
      </c>
      <c r="L229" t="n">
        <v>63.51</v>
      </c>
      <c r="M229" s="2" t="inlineStr">
        <is>
          <t>98.53%</t>
        </is>
      </c>
      <c r="N229" t="n">
        <v>4</v>
      </c>
      <c r="O229" t="n">
        <v>141</v>
      </c>
      <c r="Q229" t="inlineStr">
        <is>
          <t>InStock</t>
        </is>
      </c>
      <c r="R229" t="inlineStr">
        <is>
          <t>undefined</t>
        </is>
      </c>
      <c r="S229" t="inlineStr">
        <is>
          <t>Jmal1886</t>
        </is>
      </c>
    </row>
    <row r="230" ht="75" customHeight="1">
      <c r="A230" s="1">
        <f>HYPERLINK("https://www.toysrus.com/john-deere---pedal-tractor-and-wagon-G0036881460886.html", "https://www.toysrus.com/john-deere---pedal-tractor-and-wagon-G0036881460886.html")</f>
        <v/>
      </c>
      <c r="B230" s="1">
        <f>HYPERLINK("https://www.toysrus.com/john-deere---pedal-tractor-and-wagon-G0036881460886.html", "https://www.toysrus.com/john-deere---pedal-tractor-and-wagon-G0036881460886.html")</f>
        <v/>
      </c>
      <c r="C230" t="inlineStr">
        <is>
          <t>John Deere - Pedal Tractor and Wagon</t>
        </is>
      </c>
      <c r="D230" t="inlineStr">
        <is>
          <t>rolly toys John Deere Pedal Tractor with Working Loader and Backhoe Digger, Youth Ages 3+</t>
        </is>
      </c>
      <c r="E230" s="1">
        <f>HYPERLINK("https://www.amazon.com/Tractor-Working-Loader-Backhoe-Digger/dp/B000FS9C4W/ref=sr_1_8?keywords=John+Deere+-+Pedal+Tractor+and+Wagon&amp;qid=1695588717&amp;sr=8-8", "https://www.amazon.com/Tractor-Working-Loader-Backhoe-Digger/dp/B000FS9C4W/ref=sr_1_8?keywords=John+Deere+-+Pedal+Tractor+and+Wagon&amp;qid=1695588717&amp;sr=8-8")</f>
        <v/>
      </c>
      <c r="F230" t="inlineStr">
        <is>
          <t>B000FS9C4W</t>
        </is>
      </c>
      <c r="G230">
        <f>_xlfn.IMAGE("https://images.toysrus.com/29580/036881460886_1.jpg")</f>
        <v/>
      </c>
      <c r="H230">
        <f>_xlfn.IMAGE("https://m.media-amazon.com/images/I/71NlnaXqaSS._AC_UL320_.jpg")</f>
        <v/>
      </c>
      <c r="K230" t="inlineStr">
        <is>
          <t>99.99</t>
        </is>
      </c>
      <c r="L230" t="n">
        <v>399.95</v>
      </c>
      <c r="M230" s="2" t="inlineStr">
        <is>
          <t>299.99%</t>
        </is>
      </c>
      <c r="N230" t="n">
        <v>4.2</v>
      </c>
      <c r="O230" t="n">
        <v>356</v>
      </c>
      <c r="Q230" t="inlineStr">
        <is>
          <t>InStock</t>
        </is>
      </c>
      <c r="R230" t="inlineStr">
        <is>
          <t>undefined</t>
        </is>
      </c>
      <c r="S230" t="inlineStr">
        <is>
          <t>G0036881460886</t>
        </is>
      </c>
    </row>
    <row r="231" ht="75" customHeight="1">
      <c r="A231" s="1">
        <f>HYPERLINK("https://www.toysrus.com/john-deere---pedal-tractor-and-wagon-G0036881460886.html", "https://www.toysrus.com/john-deere---pedal-tractor-and-wagon-G0036881460886.html")</f>
        <v/>
      </c>
      <c r="B231" s="1">
        <f>HYPERLINK("https://www.toysrus.com/john-deere---pedal-tractor-and-wagon-G0036881460886.html", "https://www.toysrus.com/john-deere---pedal-tractor-and-wagon-G0036881460886.html")</f>
        <v/>
      </c>
      <c r="C231" t="inlineStr">
        <is>
          <t>John Deere - Pedal Tractor and Wagon</t>
        </is>
      </c>
      <c r="D231" t="inlineStr">
        <is>
          <t>rolly toys John Deere Pedal Tractor with Working Front Loader and Detachable Trailer, Youth Ages 3+</t>
        </is>
      </c>
      <c r="E231" s="1">
        <f>HYPERLINK("https://www.amazon.com/Tractor-Working-Loader-Detachable-Trailer/dp/B0002HZPUG/ref=sr_1_6?keywords=John+Deere+-+Pedal+Tractor+and+Wagon&amp;qid=1695588717&amp;sr=8-6", "https://www.amazon.com/Tractor-Working-Loader-Detachable-Trailer/dp/B0002HZPUG/ref=sr_1_6?keywords=John+Deere+-+Pedal+Tractor+and+Wagon&amp;qid=1695588717&amp;sr=8-6")</f>
        <v/>
      </c>
      <c r="F231" t="inlineStr">
        <is>
          <t>B0002HZPUG</t>
        </is>
      </c>
      <c r="G231">
        <f>_xlfn.IMAGE("https://images.toysrus.com/29580/036881460886_1.jpg")</f>
        <v/>
      </c>
      <c r="H231">
        <f>_xlfn.IMAGE("https://m.media-amazon.com/images/I/71Zk2QVjg9L._AC_UL320_.jpg")</f>
        <v/>
      </c>
      <c r="K231" t="inlineStr">
        <is>
          <t>99.99</t>
        </is>
      </c>
      <c r="L231" t="n">
        <v>309.95</v>
      </c>
      <c r="M231" s="2" t="inlineStr">
        <is>
          <t>209.98%</t>
        </is>
      </c>
      <c r="N231" t="n">
        <v>4.5</v>
      </c>
      <c r="O231" t="n">
        <v>1710</v>
      </c>
      <c r="Q231" t="inlineStr">
        <is>
          <t>InStock</t>
        </is>
      </c>
      <c r="R231" t="inlineStr">
        <is>
          <t>undefined</t>
        </is>
      </c>
      <c r="S231" t="inlineStr">
        <is>
          <t>G0036881460886</t>
        </is>
      </c>
    </row>
    <row r="232" ht="75" customHeight="1">
      <c r="A232" s="1">
        <f>HYPERLINK("https://www.toysrus.com/john-deere---pedal-tractor-and-wagon-G0036881460886.html", "https://www.toysrus.com/john-deere---pedal-tractor-and-wagon-G0036881460886.html")</f>
        <v/>
      </c>
      <c r="B232" s="1">
        <f>HYPERLINK("https://www.toysrus.com/john-deere---pedal-tractor-and-wagon-G0036881460886.html", "https://www.toysrus.com/john-deere---pedal-tractor-and-wagon-G0036881460886.html")</f>
        <v/>
      </c>
      <c r="C232" t="inlineStr">
        <is>
          <t>John Deere - Pedal Tractor and Wagon</t>
        </is>
      </c>
      <c r="D232" t="inlineStr">
        <is>
          <t>John Deere 8R 410 Pedal Tractor - LP73968</t>
        </is>
      </c>
      <c r="E232" s="1">
        <f>HYPERLINK("https://www.amazon.com/John-Deere-410-Pedal-Tractor/dp/B0831P45RX/ref=sr_1_3?keywords=John+Deere+-+Pedal+Tractor+and+Wagon&amp;qid=1695588717&amp;sr=8-3", "https://www.amazon.com/John-Deere-410-Pedal-Tractor/dp/B0831P45RX/ref=sr_1_3?keywords=John+Deere+-+Pedal+Tractor+and+Wagon&amp;qid=1695588717&amp;sr=8-3")</f>
        <v/>
      </c>
      <c r="F232" t="inlineStr">
        <is>
          <t>B0831P45RX</t>
        </is>
      </c>
      <c r="G232">
        <f>_xlfn.IMAGE("https://images.toysrus.com/29580/036881460886_1.jpg")</f>
        <v/>
      </c>
      <c r="H232">
        <f>_xlfn.IMAGE("https://m.media-amazon.com/images/I/6177o8VWQ9L._AC_UL320_.jpg")</f>
        <v/>
      </c>
      <c r="K232" t="inlineStr">
        <is>
          <t>99.99</t>
        </is>
      </c>
      <c r="L232" t="n">
        <v>301.94</v>
      </c>
      <c r="M232" s="2" t="inlineStr">
        <is>
          <t>201.97%</t>
        </is>
      </c>
      <c r="N232" t="n">
        <v>5</v>
      </c>
      <c r="O232" t="n">
        <v>12</v>
      </c>
      <c r="Q232" t="inlineStr">
        <is>
          <t>InStock</t>
        </is>
      </c>
      <c r="R232" t="inlineStr">
        <is>
          <t>undefined</t>
        </is>
      </c>
      <c r="S232" t="inlineStr">
        <is>
          <t>G0036881460886</t>
        </is>
      </c>
    </row>
    <row r="233" ht="75" customHeight="1">
      <c r="A233" s="1">
        <f>HYPERLINK("https://www.toysrus.com/joysway-super-153-usb-power-slot-car-racing-set-G6949762220148.html", "https://www.toysrus.com/joysway-super-153-usb-power-slot-car-racing-set-G6949762220148.html")</f>
        <v/>
      </c>
      <c r="B233" s="1">
        <f>HYPERLINK("https://www.toysrus.com/joysway-super-153-usb-power-slot-car-racing-set-G6949762220148.html", "https://www.toysrus.com/joysway-super-153-usb-power-slot-car-racing-set-G6949762220148.html")</f>
        <v/>
      </c>
      <c r="C233" t="inlineStr">
        <is>
          <t>JOYSWAY Super 153 USB Power Slot Car Racing set</t>
        </is>
      </c>
      <c r="D233" t="inlineStr">
        <is>
          <t>Joysway Superior 551 USB Power Slot Car Racing Set</t>
        </is>
      </c>
      <c r="E233" s="1">
        <f>HYPERLINK("https://www.amazon.com/Joysway-Superior-Power-Slot-Racing/dp/B08B9W5YBF/ref=sr_1_5?keywords=JOYSWAY+Super+153+USB+Power+Slot+Car+Racing+set&amp;qid=1695588328&amp;sr=8-5", "https://www.amazon.com/Joysway-Superior-Power-Slot-Racing/dp/B08B9W5YBF/ref=sr_1_5?keywords=JOYSWAY+Super+153+USB+Power+Slot+Car+Racing+set&amp;qid=1695588328&amp;sr=8-5")</f>
        <v/>
      </c>
      <c r="F233" t="inlineStr">
        <is>
          <t>B08B9W5YBF</t>
        </is>
      </c>
      <c r="G233">
        <f>_xlfn.IMAGE("https://images.toysrus.com/1285/6949762220148_1.jpg")</f>
        <v/>
      </c>
      <c r="H233">
        <f>_xlfn.IMAGE("https://m.media-amazon.com/images/I/81Beph4W5qL._AC_UL320_.jpg")</f>
        <v/>
      </c>
      <c r="K233" t="inlineStr">
        <is>
          <t>24.99</t>
        </is>
      </c>
      <c r="L233" t="n">
        <v>72.06999999999999</v>
      </c>
      <c r="M233" s="2" t="inlineStr">
        <is>
          <t>188.40%</t>
        </is>
      </c>
      <c r="N233" t="n">
        <v>4.1</v>
      </c>
      <c r="O233" t="n">
        <v>170</v>
      </c>
      <c r="Q233" t="inlineStr">
        <is>
          <t>InStock</t>
        </is>
      </c>
      <c r="R233" t="inlineStr">
        <is>
          <t>undefined</t>
        </is>
      </c>
      <c r="S233" t="inlineStr">
        <is>
          <t>G6949762220148</t>
        </is>
      </c>
    </row>
    <row r="234" ht="75" customHeight="1">
      <c r="A234" s="1">
        <f>HYPERLINK("https://www.toysrus.com/joysway-super-153-usb-power-slot-car-racing-set-G6949762220148.html", "https://www.toysrus.com/joysway-super-153-usb-power-slot-car-racing-set-G6949762220148.html")</f>
        <v/>
      </c>
      <c r="B234" s="1">
        <f>HYPERLINK("https://www.toysrus.com/joysway-super-153-usb-power-slot-car-racing-set-G6949762220148.html", "https://www.toysrus.com/joysway-super-153-usb-power-slot-car-racing-set-G6949762220148.html")</f>
        <v/>
      </c>
      <c r="C234" t="inlineStr">
        <is>
          <t>JOYSWAY Super 153 USB Power Slot Car Racing set</t>
        </is>
      </c>
      <c r="D234" t="inlineStr">
        <is>
          <t>Joysway Super 255 USB Power Slot Car Racing Set</t>
        </is>
      </c>
      <c r="E234" s="1">
        <f>HYPERLINK("https://www.amazon.com/Joysway-Super-Power-Slot-Racing/dp/B08B9XFVKG/ref=sr_1_3?keywords=JOYSWAY+Super+153+USB+Power+Slot+Car+Racing+set&amp;qid=1695588328&amp;sr=8-3", "https://www.amazon.com/Joysway-Super-Power-Slot-Racing/dp/B08B9XFVKG/ref=sr_1_3?keywords=JOYSWAY+Super+153+USB+Power+Slot+Car+Racing+set&amp;qid=1695588328&amp;sr=8-3")</f>
        <v/>
      </c>
      <c r="F234" t="inlineStr">
        <is>
          <t>B08B9XFVKG</t>
        </is>
      </c>
      <c r="G234">
        <f>_xlfn.IMAGE("https://images.toysrus.com/1285/6949762220148_1.jpg")</f>
        <v/>
      </c>
      <c r="H234">
        <f>_xlfn.IMAGE("https://m.media-amazon.com/images/I/81VJSXiOJXL._AC_UL320_.jpg")</f>
        <v/>
      </c>
      <c r="K234" t="inlineStr">
        <is>
          <t>24.99</t>
        </is>
      </c>
      <c r="L234" t="n">
        <v>69.98999999999999</v>
      </c>
      <c r="M234" s="2" t="inlineStr">
        <is>
          <t>180.07%</t>
        </is>
      </c>
      <c r="N234" t="n">
        <v>4.3</v>
      </c>
      <c r="O234" t="n">
        <v>1267</v>
      </c>
      <c r="Q234" t="inlineStr">
        <is>
          <t>InStock</t>
        </is>
      </c>
      <c r="R234" t="inlineStr">
        <is>
          <t>undefined</t>
        </is>
      </c>
      <c r="S234" t="inlineStr">
        <is>
          <t>G6949762220148</t>
        </is>
      </c>
    </row>
    <row r="235" ht="75" customHeight="1">
      <c r="A235" s="1">
        <f>HYPERLINK("https://www.toysrus.com/joysway-super-153-usb-power-slot-car-racing-set-G6949762220148.html", "https://www.toysrus.com/joysway-super-153-usb-power-slot-car-racing-set-G6949762220148.html")</f>
        <v/>
      </c>
      <c r="B235" s="1">
        <f>HYPERLINK("https://www.toysrus.com/joysway-super-153-usb-power-slot-car-racing-set-G6949762220148.html", "https://www.toysrus.com/joysway-super-153-usb-power-slot-car-racing-set-G6949762220148.html")</f>
        <v/>
      </c>
      <c r="C235" t="inlineStr">
        <is>
          <t>JOYSWAY Super 153 USB Power Slot Car Racing set</t>
        </is>
      </c>
      <c r="D235" t="inlineStr">
        <is>
          <t>Joysway Superior 551 USB Power Slot Car Racing Set</t>
        </is>
      </c>
      <c r="E235" s="1">
        <f>HYPERLINK("https://www.amazon.com/Joysway-Superior-Power-Slot-Racing/dp/B08B9W5YBF/ref=sr_1_5?keywords=JOYSWAY+Super+153+USB+Power+Slot+Car+Racing+set&amp;qid=1695588770&amp;sr=8-5", "https://www.amazon.com/Joysway-Superior-Power-Slot-Racing/dp/B08B9W5YBF/ref=sr_1_5?keywords=JOYSWAY+Super+153+USB+Power+Slot+Car+Racing+set&amp;qid=1695588770&amp;sr=8-5")</f>
        <v/>
      </c>
      <c r="F235" t="inlineStr">
        <is>
          <t>B08B9W5YBF</t>
        </is>
      </c>
      <c r="G235">
        <f>_xlfn.IMAGE("https://images.toysrus.com/1285/6949762220148_1.jpg")</f>
        <v/>
      </c>
      <c r="H235">
        <f>_xlfn.IMAGE("https://m.media-amazon.com/images/I/81Beph4W5qL._AC_UL320_.jpg")</f>
        <v/>
      </c>
      <c r="K235" t="inlineStr">
        <is>
          <t>24.99</t>
        </is>
      </c>
      <c r="L235" t="n">
        <v>72.06999999999999</v>
      </c>
      <c r="M235" s="2" t="inlineStr">
        <is>
          <t>188.40%</t>
        </is>
      </c>
      <c r="N235" t="n">
        <v>4.1</v>
      </c>
      <c r="O235" t="n">
        <v>170</v>
      </c>
      <c r="Q235" t="inlineStr">
        <is>
          <t>InStock</t>
        </is>
      </c>
      <c r="R235" t="inlineStr">
        <is>
          <t>undefined</t>
        </is>
      </c>
      <c r="S235" t="inlineStr">
        <is>
          <t>G6949762220148</t>
        </is>
      </c>
    </row>
    <row r="236" ht="75" customHeight="1">
      <c r="A236" s="1">
        <f>HYPERLINK("https://www.toysrus.com/joysway-super-153-usb-power-slot-car-racing-set-G6949762220148.html", "https://www.toysrus.com/joysway-super-153-usb-power-slot-car-racing-set-G6949762220148.html")</f>
        <v/>
      </c>
      <c r="B236" s="1">
        <f>HYPERLINK("https://www.toysrus.com/joysway-super-153-usb-power-slot-car-racing-set-G6949762220148.html", "https://www.toysrus.com/joysway-super-153-usb-power-slot-car-racing-set-G6949762220148.html")</f>
        <v/>
      </c>
      <c r="C236" t="inlineStr">
        <is>
          <t>JOYSWAY Super 153 USB Power Slot Car Racing set</t>
        </is>
      </c>
      <c r="D236" t="inlineStr">
        <is>
          <t>Joysway Super 255 USB Power Slot Car Racing Set</t>
        </is>
      </c>
      <c r="E236" s="1">
        <f>HYPERLINK("https://www.amazon.com/Joysway-Super-Power-Slot-Racing/dp/B08B9XFVKG/ref=sr_1_3?keywords=JOYSWAY+Super+153+USB+Power+Slot+Car+Racing+set&amp;qid=1695588770&amp;sr=8-3", "https://www.amazon.com/Joysway-Super-Power-Slot-Racing/dp/B08B9XFVKG/ref=sr_1_3?keywords=JOYSWAY+Super+153+USB+Power+Slot+Car+Racing+set&amp;qid=1695588770&amp;sr=8-3")</f>
        <v/>
      </c>
      <c r="F236" t="inlineStr">
        <is>
          <t>B08B9XFVKG</t>
        </is>
      </c>
      <c r="G236">
        <f>_xlfn.IMAGE("https://images.toysrus.com/1285/6949762220148_1.jpg")</f>
        <v/>
      </c>
      <c r="H236">
        <f>_xlfn.IMAGE("https://m.media-amazon.com/images/I/81VJSXiOJXL._AC_UL320_.jpg")</f>
        <v/>
      </c>
      <c r="K236" t="inlineStr">
        <is>
          <t>24.99</t>
        </is>
      </c>
      <c r="L236" t="n">
        <v>69.98999999999999</v>
      </c>
      <c r="M236" s="2" t="inlineStr">
        <is>
          <t>180.07%</t>
        </is>
      </c>
      <c r="N236" t="n">
        <v>4.3</v>
      </c>
      <c r="O236" t="n">
        <v>1267</v>
      </c>
      <c r="Q236" t="inlineStr">
        <is>
          <t>InStock</t>
        </is>
      </c>
      <c r="R236" t="inlineStr">
        <is>
          <t>undefined</t>
        </is>
      </c>
      <c r="S236" t="inlineStr">
        <is>
          <t>G6949762220148</t>
        </is>
      </c>
    </row>
    <row r="237" ht="75" customHeight="1">
      <c r="A237" s="1">
        <f>HYPERLINK("https://www.toysrus.com/juicy-couture-fashion-exchange-G0695929044169.html", "https://www.toysrus.com/juicy-couture-fashion-exchange-G0695929044169.html")</f>
        <v/>
      </c>
      <c r="B237" s="1">
        <f>HYPERLINK("https://www.toysrus.com/juicy-couture-fashion-exchange-G0695929044169.html", "https://www.toysrus.com/juicy-couture-fashion-exchange-G0695929044169.html")</f>
        <v/>
      </c>
      <c r="C237" t="inlineStr">
        <is>
          <t>Juicy Couture Fashion Exchange</t>
        </is>
      </c>
      <c r="D237" t="inlineStr">
        <is>
          <t>Juicy Couture Women Fashion Sneaker Womens Casual Shoes, Tennis Shoes All White, Chunky Sneakers, Walking Shoes</t>
        </is>
      </c>
      <c r="E237" s="1">
        <f>HYPERLINK("https://www.amazon.com/Juicy-Couture-Fashion-Sneaker-Casual/dp/B0BFGRV3Y8/ref=sr_1_2?keywords=Juicy+Couture+Fashion+Exchange&amp;qid=1695588641&amp;sr=8-2", "https://www.amazon.com/Juicy-Couture-Fashion-Sneaker-Casual/dp/B0BFGRV3Y8/ref=sr_1_2?keywords=Juicy+Couture+Fashion+Exchange&amp;qid=1695588641&amp;sr=8-2")</f>
        <v/>
      </c>
      <c r="F237" t="inlineStr">
        <is>
          <t>B0BFGRV3Y8</t>
        </is>
      </c>
      <c r="G237">
        <f>_xlfn.IMAGE("https://images.toysrus.com/0128598/695929044169.jpg")</f>
        <v/>
      </c>
      <c r="H237">
        <f>_xlfn.IMAGE("https://m.media-amazon.com/images/I/61PXsqe7giL._AC_UL320_.jpg")</f>
        <v/>
      </c>
      <c r="K237" t="inlineStr">
        <is>
          <t>24.99</t>
        </is>
      </c>
      <c r="L237" t="n">
        <v>42.98</v>
      </c>
      <c r="M237" s="2" t="inlineStr">
        <is>
          <t>71.99%</t>
        </is>
      </c>
      <c r="N237" t="n">
        <v>4.2</v>
      </c>
      <c r="O237" t="n">
        <v>983</v>
      </c>
      <c r="Q237" t="inlineStr">
        <is>
          <t>InStock</t>
        </is>
      </c>
      <c r="R237" t="inlineStr">
        <is>
          <t>undefined</t>
        </is>
      </c>
      <c r="S237" t="inlineStr">
        <is>
          <t>G0695929044169</t>
        </is>
      </c>
    </row>
    <row r="238" ht="75" customHeight="1">
      <c r="A238" s="1">
        <f>HYPERLINK("https://www.toysrus.com/juicy-couture-mini-crystal-sunshine-bracelets-kit-G0695929044336.html", "https://www.toysrus.com/juicy-couture-mini-crystal-sunshine-bracelets-kit-G0695929044336.html")</f>
        <v/>
      </c>
      <c r="B238" s="1">
        <f>HYPERLINK("https://www.toysrus.com/juicy-couture-mini-crystal-sunshine-bracelets-kit-G0695929044336.html", "https://www.toysrus.com/juicy-couture-mini-crystal-sunshine-bracelets-kit-G0695929044336.html")</f>
        <v/>
      </c>
      <c r="C238" t="inlineStr">
        <is>
          <t>Juicy Couture: Mini Crystal Sunshine Bracelets Kit</t>
        </is>
      </c>
      <c r="D238" t="inlineStr">
        <is>
          <t>Make It Real - Juicy Couture 2 in 1 - Crystal Starlight &amp; Crystal Sunshine Bracelet Kits Bundle - DIY Charm Bracelet Making Kit for Girls with Swarovski Crystal Charms &amp; Beads - Makes 15 Bracelets</t>
        </is>
      </c>
      <c r="E238" s="1">
        <f>HYPERLINK("https://www.amazon.com/Make-Real-Starlight-Swarovski-Bracelets/dp/B094Q1PHSQ/ref=sr_1_4?keywords=Juicy+Couture%3A+Mini+Crystal+Sunshine+Bracelets+Kit&amp;qid=1695588647&amp;sr=8-4", "https://www.amazon.com/Make-Real-Starlight-Swarovski-Bracelets/dp/B094Q1PHSQ/ref=sr_1_4?keywords=Juicy+Couture%3A+Mini+Crystal+Sunshine+Bracelets+Kit&amp;qid=1695588647&amp;sr=8-4")</f>
        <v/>
      </c>
      <c r="F238" t="inlineStr">
        <is>
          <t>B094Q1PHSQ</t>
        </is>
      </c>
      <c r="G238">
        <f>_xlfn.IMAGE("https://images.toysrus.com/28598/695929044336_1.jpg")</f>
        <v/>
      </c>
      <c r="H238">
        <f>_xlfn.IMAGE("https://m.media-amazon.com/images/I/81OFVNpSfwL._AC_UL320_.jpg")</f>
        <v/>
      </c>
      <c r="K238" t="inlineStr">
        <is>
          <t>12.99</t>
        </is>
      </c>
      <c r="L238" t="n">
        <v>23.99</v>
      </c>
      <c r="M238" s="2" t="inlineStr">
        <is>
          <t>84.68%</t>
        </is>
      </c>
      <c r="N238" t="n">
        <v>4.3</v>
      </c>
      <c r="O238" t="n">
        <v>77</v>
      </c>
      <c r="Q238" t="inlineStr">
        <is>
          <t>InStock</t>
        </is>
      </c>
      <c r="R238" t="inlineStr">
        <is>
          <t>undefined</t>
        </is>
      </c>
      <c r="S238" t="inlineStr">
        <is>
          <t>G0695929044336</t>
        </is>
      </c>
    </row>
    <row r="239" ht="75" customHeight="1">
      <c r="A239" s="1">
        <f>HYPERLINK("https://www.toysrus.com/junior-learning-counting-cubes-educational-learning-set-G850010476476.html", "https://www.toysrus.com/junior-learning-counting-cubes-educational-learning-set-G850010476476.html")</f>
        <v/>
      </c>
      <c r="B239" s="1">
        <f>HYPERLINK("https://www.toysrus.com/junior-learning-counting-cubes-educational-learning-set-G850010476476.html", "https://www.toysrus.com/junior-learning-counting-cubes-educational-learning-set-G850010476476.html")</f>
        <v/>
      </c>
      <c r="C239" t="inlineStr">
        <is>
          <t>Junior Learning Counting Cubes Educational Learning Set</t>
        </is>
      </c>
      <c r="D239" t="inlineStr">
        <is>
          <t>Learning Resources Snap Cubes, Set of 500 Cubes, Ages 5+, Educational Counting Toy,Back to School Supplies,Teacher Supplies for Classroom</t>
        </is>
      </c>
      <c r="E239" s="1">
        <f>HYPERLINK("https://www.amazon.com/Learning-Resources-Snap-Cubes-Set/dp/B000G3LRA8/ref=sr_1_7?keywords=Junior+Learning+Counting+Cubes+Educational+Learning+Set&amp;qid=1695588293&amp;sr=8-7", "https://www.amazon.com/Learning-Resources-Snap-Cubes-Set/dp/B000G3LRA8/ref=sr_1_7?keywords=Junior+Learning+Counting+Cubes+Educational+Learning+Set&amp;qid=1695588293&amp;sr=8-7")</f>
        <v/>
      </c>
      <c r="F239" t="inlineStr">
        <is>
          <t>B000G3LRA8</t>
        </is>
      </c>
      <c r="G239">
        <f>_xlfn.IMAGE("https://images.toysrus.com/1285980/850010476476_1.jpg")</f>
        <v/>
      </c>
      <c r="H239">
        <f>_xlfn.IMAGE("https://m.media-amazon.com/images/I/813fMhLBGGL._AC_UL320_.jpg")</f>
        <v/>
      </c>
      <c r="K239" t="inlineStr">
        <is>
          <t>10.99</t>
        </is>
      </c>
      <c r="L239" t="n">
        <v>53.24</v>
      </c>
      <c r="M239" s="2" t="inlineStr">
        <is>
          <t>384.44%</t>
        </is>
      </c>
      <c r="N239" t="n">
        <v>4.6</v>
      </c>
      <c r="O239" t="n">
        <v>359</v>
      </c>
      <c r="Q239" t="inlineStr">
        <is>
          <t>InStock</t>
        </is>
      </c>
      <c r="R239" t="inlineStr">
        <is>
          <t>undefined</t>
        </is>
      </c>
      <c r="S239" t="inlineStr">
        <is>
          <t>G850010476476</t>
        </is>
      </c>
    </row>
    <row r="240" ht="75" customHeight="1">
      <c r="A240" s="1">
        <f>HYPERLINK("https://www.toysrus.com/junior-learning-letters-and-sounds-phase-2-set-2-non-fiction-educational-learning-set-G850010476223.html", "https://www.toysrus.com/junior-learning-letters-and-sounds-phase-2-set-2-non-fiction-educational-learning-set-G850010476223.html")</f>
        <v/>
      </c>
      <c r="B240" s="1">
        <f>HYPERLINK("https://www.toysrus.com/junior-learning-letters-and-sounds-phase-2-set-2-non-fiction-educational-learning-set-G850010476223.html", "https://www.toysrus.com/junior-learning-letters-and-sounds-phase-2-set-2-non-fiction-educational-learning-set-G850010476223.html")</f>
        <v/>
      </c>
      <c r="C240" t="inlineStr">
        <is>
          <t>Junior Learning Letters &amp; Sounds Phase 2 Set 2 Non-Fiction Educational Learning Set</t>
        </is>
      </c>
      <c r="D240" t="inlineStr">
        <is>
          <t>Junior Learning Letters &amp; Sounds Set 2 Non-Fiction Boxed Set</t>
        </is>
      </c>
      <c r="E240" s="1">
        <f>HYPERLINK("https://www.amazon.com/Beanstalk-Letters-Sounds-Non-Fiction-Decodables/dp/B08WR1Q1C3/ref=sr_1_4?keywords=Junior+Learning+Letters+%26+Sounds+Phase+2+Set+2+Non-Fiction+Educational+Learning+Set&amp;qid=1695588325&amp;sr=8-4", "https://www.amazon.com/Beanstalk-Letters-Sounds-Non-Fiction-Decodables/dp/B08WR1Q1C3/ref=sr_1_4?keywords=Junior+Learning+Letters+%26+Sounds+Phase+2+Set+2+Non-Fiction+Educational+Learning+Set&amp;qid=1695588325&amp;sr=8-4")</f>
        <v/>
      </c>
      <c r="F240" t="inlineStr">
        <is>
          <t>B08WR1Q1C3</t>
        </is>
      </c>
      <c r="G240">
        <f>_xlfn.IMAGE("https://images.toysrus.com/1285980/850010476223_1.jpg")</f>
        <v/>
      </c>
      <c r="H240">
        <f>_xlfn.IMAGE("https://m.media-amazon.com/images/I/81ZD8usVZoS._AC_UL320_.jpg")</f>
        <v/>
      </c>
      <c r="K240" t="inlineStr">
        <is>
          <t>24.99</t>
        </is>
      </c>
      <c r="L240" t="n">
        <v>116.87</v>
      </c>
      <c r="M240" s="2" t="inlineStr">
        <is>
          <t>367.67%</t>
        </is>
      </c>
      <c r="N240" t="n">
        <v>5</v>
      </c>
      <c r="O240" t="n">
        <v>1</v>
      </c>
      <c r="Q240" t="inlineStr">
        <is>
          <t>InStock</t>
        </is>
      </c>
      <c r="R240" t="inlineStr">
        <is>
          <t>undefined</t>
        </is>
      </c>
      <c r="S240" t="inlineStr">
        <is>
          <t>G850010476223</t>
        </is>
      </c>
    </row>
    <row r="241" ht="75" customHeight="1">
      <c r="A241" s="1">
        <f>HYPERLINK("https://www.toysrus.com/junior-learning-letters-and-sounds-phase-3-set-2-non-fiction-educational-learning-set-G850010476230.html", "https://www.toysrus.com/junior-learning-letters-and-sounds-phase-3-set-2-non-fiction-educational-learning-set-G850010476230.html")</f>
        <v/>
      </c>
      <c r="B241" s="1">
        <f>HYPERLINK("https://www.toysrus.com/junior-learning-letters-and-sounds-phase-3-set-2-non-fiction-educational-learning-set-G850010476230.html", "https://www.toysrus.com/junior-learning-letters-and-sounds-phase-3-set-2-non-fiction-educational-learning-set-G850010476230.html")</f>
        <v/>
      </c>
      <c r="C241" t="inlineStr">
        <is>
          <t>Junior Learning Letters &amp; Sounds Phase 3 Set 2 Non-Fiction Educational Learning Set</t>
        </is>
      </c>
      <c r="D241" t="inlineStr">
        <is>
          <t>Junior Learning Beanstalk Books Letters &amp; Sounds Science Decodables Non-Fiction Boxed Set, Multi</t>
        </is>
      </c>
      <c r="E241" s="1">
        <f>HYPERLINK("https://www.amazon.com/Beanstalk-Letters-Science-Decodables-Non-Fiction/dp/B08WR71TLZ/ref=sr_1_2?keywords=Junior+Learning+Letters&amp;qid=1695588325&amp;sr=8-2", "https://www.amazon.com/Beanstalk-Letters-Science-Decodables-Non-Fiction/dp/B08WR71TLZ/ref=sr_1_2?keywords=Junior+Learning+Letters&amp;qid=1695588325&amp;sr=8-2")</f>
        <v/>
      </c>
      <c r="F241" t="inlineStr">
        <is>
          <t>B08WR71TLZ</t>
        </is>
      </c>
      <c r="G241">
        <f>_xlfn.IMAGE("https://images.toysrus.com/1285980/850010476230_1.jpg")</f>
        <v/>
      </c>
      <c r="H241">
        <f>_xlfn.IMAGE("https://m.media-amazon.com/images/I/81zNTc7KTUS._AC_UL320_.jpg")</f>
        <v/>
      </c>
      <c r="K241" t="inlineStr">
        <is>
          <t>24.99</t>
        </is>
      </c>
      <c r="L241" t="n">
        <v>94.98999999999999</v>
      </c>
      <c r="M241" s="2" t="inlineStr">
        <is>
          <t>280.11%</t>
        </is>
      </c>
      <c r="N241" t="n">
        <v>4.8</v>
      </c>
      <c r="O241" t="n">
        <v>7</v>
      </c>
      <c r="Q241" t="inlineStr">
        <is>
          <t>InStock</t>
        </is>
      </c>
      <c r="R241" t="inlineStr">
        <is>
          <t>undefined</t>
        </is>
      </c>
      <c r="S241" t="inlineStr">
        <is>
          <t>G850010476230</t>
        </is>
      </c>
    </row>
    <row r="242" ht="75" customHeight="1">
      <c r="A242" s="1">
        <f>HYPERLINK("https://www.toysrus.com/junior-learning-letters-and-sounds-phase-4-set-2-non-fiction-educational-learning-set---life-science-G850010476759.html", "https://www.toysrus.com/junior-learning-letters-and-sounds-phase-4-set-2-non-fiction-educational-learning-set---life-science-G850010476759.html")</f>
        <v/>
      </c>
      <c r="B242" s="1">
        <f>HYPERLINK("https://www.toysrus.com/junior-learning-letters-and-sounds-phase-4-set-2-non-fiction-educational-learning-set---life-science-G850010476759.html", "https://www.toysrus.com/junior-learning-letters-and-sounds-phase-4-set-2-non-fiction-educational-learning-set---life-science-G850010476759.html")</f>
        <v/>
      </c>
      <c r="C242" t="inlineStr">
        <is>
          <t>Junior Learning Letters &amp; Sounds Phase 4 Set 2 Non-Fiction Educational Learning Set - Life Science</t>
        </is>
      </c>
      <c r="D242" t="inlineStr">
        <is>
          <t>Junior Learning Beanstalk Books Letters &amp; Sounds Science Decodables Non-Fiction Boxed Set, Multi</t>
        </is>
      </c>
      <c r="E242" s="1">
        <f>HYPERLINK("https://www.amazon.com/Beanstalk-Letters-Science-Decodables-Non-Fiction/dp/B08WR71TLZ/ref=sr_1_3?keywords=Junior+Learning+Letters&amp;qid=1695588401&amp;sr=8-3", "https://www.amazon.com/Beanstalk-Letters-Science-Decodables-Non-Fiction/dp/B08WR71TLZ/ref=sr_1_3?keywords=Junior+Learning+Letters&amp;qid=1695588401&amp;sr=8-3")</f>
        <v/>
      </c>
      <c r="F242" t="inlineStr">
        <is>
          <t>B08WR71TLZ</t>
        </is>
      </c>
      <c r="G242">
        <f>_xlfn.IMAGE("https://images.toysrus.com/1285980/850010476759_1.jpg")</f>
        <v/>
      </c>
      <c r="H242">
        <f>_xlfn.IMAGE("https://m.media-amazon.com/images/I/81zNTc7KTUS._AC_UL320_.jpg")</f>
        <v/>
      </c>
      <c r="K242" t="inlineStr">
        <is>
          <t>24.99</t>
        </is>
      </c>
      <c r="L242" t="n">
        <v>94.98999999999999</v>
      </c>
      <c r="M242" s="2" t="inlineStr">
        <is>
          <t>280.11%</t>
        </is>
      </c>
      <c r="N242" t="n">
        <v>4.8</v>
      </c>
      <c r="O242" t="n">
        <v>7</v>
      </c>
      <c r="Q242" t="inlineStr">
        <is>
          <t>InStock</t>
        </is>
      </c>
      <c r="R242" t="inlineStr">
        <is>
          <t>undefined</t>
        </is>
      </c>
      <c r="S242" t="inlineStr">
        <is>
          <t>G850010476759</t>
        </is>
      </c>
    </row>
    <row r="243" ht="75" customHeight="1">
      <c r="A243" s="1">
        <f>HYPERLINK("https://www.toysrus.com/junior-learning-letters-and-sounds-phase-5-set-2-non-fiction-educational-learning-set-G850010476766.html", "https://www.toysrus.com/junior-learning-letters-and-sounds-phase-5-set-2-non-fiction-educational-learning-set-G850010476766.html")</f>
        <v/>
      </c>
      <c r="B243" s="1">
        <f>HYPERLINK("https://www.toysrus.com/junior-learning-letters-and-sounds-phase-5-set-2-non-fiction-educational-learning-set-G850010476766.html", "https://www.toysrus.com/junior-learning-letters-and-sounds-phase-5-set-2-non-fiction-educational-learning-set-G850010476766.html")</f>
        <v/>
      </c>
      <c r="C243" t="inlineStr">
        <is>
          <t>Junior Learning Letters &amp; Sounds Phase 5 Set 2 Non-Fiction Educational Learning Set</t>
        </is>
      </c>
      <c r="D243" t="inlineStr">
        <is>
          <t>Junior Learning Beanstalk Books Letters &amp; Sounds Science Decodables Non-Fiction Boxed Set, Multi</t>
        </is>
      </c>
      <c r="E243" s="1">
        <f>HYPERLINK("https://www.amazon.com/Beanstalk-Letters-Science-Decodables-Non-Fiction/dp/B08WR71TLZ/ref=sr_1_2?keywords=Junior+Learning+Letters&amp;qid=1695588209&amp;sr=8-2", "https://www.amazon.com/Beanstalk-Letters-Science-Decodables-Non-Fiction/dp/B08WR71TLZ/ref=sr_1_2?keywords=Junior+Learning+Letters&amp;qid=1695588209&amp;sr=8-2")</f>
        <v/>
      </c>
      <c r="F243" t="inlineStr">
        <is>
          <t>B08WR71TLZ</t>
        </is>
      </c>
      <c r="G243">
        <f>_xlfn.IMAGE("https://images.toysrus.com/1285980/850010476766_1.jpg")</f>
        <v/>
      </c>
      <c r="H243">
        <f>_xlfn.IMAGE("https://m.media-amazon.com/images/I/81zNTc7KTUS._AC_UL320_.jpg")</f>
        <v/>
      </c>
      <c r="K243" t="inlineStr">
        <is>
          <t>24.99</t>
        </is>
      </c>
      <c r="L243" t="n">
        <v>94.98999999999999</v>
      </c>
      <c r="M243" s="2" t="inlineStr">
        <is>
          <t>280.11%</t>
        </is>
      </c>
      <c r="N243" t="n">
        <v>4.8</v>
      </c>
      <c r="O243" t="n">
        <v>7</v>
      </c>
      <c r="Q243" t="inlineStr">
        <is>
          <t>InStock</t>
        </is>
      </c>
      <c r="R243" t="inlineStr">
        <is>
          <t>undefined</t>
        </is>
      </c>
      <c r="S243" t="inlineStr">
        <is>
          <t>G850010476766</t>
        </is>
      </c>
    </row>
    <row r="244" ht="75" customHeight="1">
      <c r="A244" s="1">
        <f>HYPERLINK("https://www.toysrus.com/junior-learning-life-cycle-science-learning-puzzles-G0850010476995.html", "https://www.toysrus.com/junior-learning-life-cycle-science-learning-puzzles-G0850010476995.html")</f>
        <v/>
      </c>
      <c r="B244" s="1">
        <f>HYPERLINK("https://www.toysrus.com/junior-learning-life-cycle-science-learning-puzzles-G0850010476995.html", "https://www.toysrus.com/junior-learning-life-cycle-science-learning-puzzles-G0850010476995.html")</f>
        <v/>
      </c>
      <c r="C244" t="inlineStr">
        <is>
          <t>Junior Learning Life Cycle Science Learning Puzzles</t>
        </is>
      </c>
      <c r="D244" t="inlineStr">
        <is>
          <t>Life Cycle Learning &amp; Education Montessori Toys, 25 Pieces Animal Figurines of Frog, Butterfly, Chicken, Mantis, Bee, Plants For Toddler Preschool Science Learning, Age 3 4 5 6 7 8+</t>
        </is>
      </c>
      <c r="E244" s="1" t="n"/>
      <c r="F244" t="inlineStr">
        <is>
          <t>B0BRKTHM2T</t>
        </is>
      </c>
      <c r="G244">
        <f>_xlfn.IMAGE("https://images.toysrus.com/1285980/850010476995_1.jpg")</f>
        <v/>
      </c>
      <c r="H244">
        <f>_xlfn.IMAGE("https://m.media-amazon.com/images/I/71qMBf7cfbL._AC_UL320_.jpg")</f>
        <v/>
      </c>
      <c r="K244" t="inlineStr">
        <is>
          <t>12.99</t>
        </is>
      </c>
      <c r="L244" t="n">
        <v>35.99</v>
      </c>
      <c r="M244" s="2" t="inlineStr">
        <is>
          <t>177.06%</t>
        </is>
      </c>
      <c r="N244" t="n">
        <v>4.8</v>
      </c>
      <c r="O244" t="n">
        <v>135</v>
      </c>
      <c r="Q244" t="inlineStr">
        <is>
          <t>InStock</t>
        </is>
      </c>
      <c r="R244" t="inlineStr">
        <is>
          <t>undefined</t>
        </is>
      </c>
      <c r="S244" t="inlineStr">
        <is>
          <t>G0850010476995</t>
        </is>
      </c>
    </row>
    <row r="245" ht="75" customHeight="1">
      <c r="A245" s="1">
        <f>HYPERLINK("https://www.toysrus.com/junior-learning-playing-cards-G858426007598.html", "https://www.toysrus.com/junior-learning-playing-cards-G858426007598.html")</f>
        <v/>
      </c>
      <c r="B245" s="1">
        <f>HYPERLINK("https://www.toysrus.com/junior-learning-playing-cards-G858426007598.html", "https://www.toysrus.com/junior-learning-playing-cards-G858426007598.html")</f>
        <v/>
      </c>
      <c r="C245" t="inlineStr">
        <is>
          <t>Junior Learning Playing Cards</t>
        </is>
      </c>
      <c r="D245" t="inlineStr">
        <is>
          <t>edxeducation School Friendly Playing Cards - In Home Learning Game - Set of 8 Decks - 448 Cards - Multicolored Patterned Cards Numbered 0-13 - Teach Counting and Probability</t>
        </is>
      </c>
      <c r="E245" s="1">
        <f>HYPERLINK("https://www.amazon.com/edx-education-School-Friendly-Playing/dp/B01AXCEZX2/ref=sr_1_8?keywords=Junior+Learning+Playing+Cards&amp;qid=1695588213&amp;sr=8-8", "https://www.amazon.com/edx-education-School-Friendly-Playing/dp/B01AXCEZX2/ref=sr_1_8?keywords=Junior+Learning+Playing+Cards&amp;qid=1695588213&amp;sr=8-8")</f>
        <v/>
      </c>
      <c r="F245" t="inlineStr">
        <is>
          <t>B01AXCEZX2</t>
        </is>
      </c>
      <c r="G245">
        <f>_xlfn.IMAGE("https://images.toysrus.com/1285980/858426007598_1.jpg")</f>
        <v/>
      </c>
      <c r="H245">
        <f>_xlfn.IMAGE("https://m.media-amazon.com/images/I/81LouxtJ1iL._AC_UL320_.jpg")</f>
        <v/>
      </c>
      <c r="K245" t="inlineStr">
        <is>
          <t>14.29</t>
        </is>
      </c>
      <c r="L245" t="n">
        <v>33.45</v>
      </c>
      <c r="M245" s="2" t="inlineStr">
        <is>
          <t>134.08%</t>
        </is>
      </c>
      <c r="N245" t="n">
        <v>4.8</v>
      </c>
      <c r="O245" t="n">
        <v>84</v>
      </c>
      <c r="Q245" t="inlineStr">
        <is>
          <t>InStock</t>
        </is>
      </c>
      <c r="R245" t="inlineStr">
        <is>
          <t>undefined</t>
        </is>
      </c>
      <c r="S245" t="inlineStr">
        <is>
          <t>G858426007598</t>
        </is>
      </c>
    </row>
    <row r="246" ht="75" customHeight="1">
      <c r="A246" s="1">
        <f>HYPERLINK("https://www.toysrus.com/junior-learning-tricky-word-bingo-educational-learning-game-G850010476605.html", "https://www.toysrus.com/junior-learning-tricky-word-bingo-educational-learning-game-G850010476605.html")</f>
        <v/>
      </c>
      <c r="B246" s="1">
        <f>HYPERLINK("https://www.toysrus.com/junior-learning-tricky-word-bingo-educational-learning-game-G850010476605.html", "https://www.toysrus.com/junior-learning-tricky-word-bingo-educational-learning-game-G850010476605.html")</f>
        <v/>
      </c>
      <c r="C246" t="inlineStr">
        <is>
          <t>Junior Learning Tricky Word Bingo Educational Learning Game</t>
        </is>
      </c>
      <c r="D246" t="inlineStr">
        <is>
          <t>Sight Word Bingo Game Level 1 and Level 2 - Learn to Read Vocabulary for Preschool Kids Kindergarten First Grade - Learning Dolch's Fry's Words Lists - Children's Reading Educational Flash Cards</t>
        </is>
      </c>
      <c r="E246" s="1">
        <f>HYPERLINK("https://www.amazon.com/Sight-Word-Bingo-Game-Kindergarten/dp/B08XZGZV2J/ref=sr_1_2?keywords=Junior+Learning+Tricky+Word+Bingo+Educational+Learning+Game&amp;qid=1695588402&amp;sr=8-2", "https://www.amazon.com/Sight-Word-Bingo-Game-Kindergarten/dp/B08XZGZV2J/ref=sr_1_2?keywords=Junior+Learning+Tricky+Word+Bingo+Educational+Learning+Game&amp;qid=1695588402&amp;sr=8-2")</f>
        <v/>
      </c>
      <c r="F246" t="inlineStr">
        <is>
          <t>B08XZGZV2J</t>
        </is>
      </c>
      <c r="G246">
        <f>_xlfn.IMAGE("https://images.toysrus.com/1285980/850010476605_1.jpg")</f>
        <v/>
      </c>
      <c r="H246">
        <f>_xlfn.IMAGE("https://m.media-amazon.com/images/I/81CMz29tSmL._AC_UL320_.jpg")</f>
        <v/>
      </c>
      <c r="K246" t="inlineStr">
        <is>
          <t>10.99</t>
        </is>
      </c>
      <c r="L246" t="n">
        <v>21.99</v>
      </c>
      <c r="M246" s="2" t="inlineStr">
        <is>
          <t>100.09%</t>
        </is>
      </c>
      <c r="N246" t="n">
        <v>4.7</v>
      </c>
      <c r="O246" t="n">
        <v>1096</v>
      </c>
      <c r="Q246" t="inlineStr">
        <is>
          <t>InStock</t>
        </is>
      </c>
      <c r="R246" t="inlineStr">
        <is>
          <t>undefined</t>
        </is>
      </c>
      <c r="S246" t="inlineStr">
        <is>
          <t>G850010476605</t>
        </is>
      </c>
    </row>
    <row r="247" ht="75" customHeight="1">
      <c r="A247" s="1">
        <f>HYPERLINK("https://www.toysrus.com/kiddieland-lights-n-sounds-elephant-ride-on-G661148612755.html", "https://www.toysrus.com/kiddieland-lights-n-sounds-elephant-ride-on-G661148612755.html")</f>
        <v/>
      </c>
      <c r="B247" s="1">
        <f>HYPERLINK("https://www.toysrus.com/kiddieland-lights-n-sounds-elephant-ride-on-G661148612755.html", "https://www.toysrus.com/kiddieland-lights-n-sounds-elephant-ride-on-G661148612755.html")</f>
        <v/>
      </c>
      <c r="C247" t="inlineStr">
        <is>
          <t>Kiddieland Lights N Sounds Elephant Ride-On</t>
        </is>
      </c>
      <c r="D247" t="inlineStr">
        <is>
          <t>Kiddieland Toys Limited: Minnie Dancing Ride On, Interactive Electronic Activites to Play Rewarding Lights and Fun Sounds, Sturdy and Durable, For Ages 2 and up</t>
        </is>
      </c>
      <c r="E247" s="1">
        <f>HYPERLINK("https://www.amazon.com/Kiddieland-Toys-Limited-Minnie-Dancing/dp/B06VTC15TT/ref=sr_1_7?keywords=Kiddieland+Lights+N+Sounds+Elephant+Ride-On&amp;qid=1695588906&amp;sr=8-7", "https://www.amazon.com/Kiddieland-Toys-Limited-Minnie-Dancing/dp/B06VTC15TT/ref=sr_1_7?keywords=Kiddieland+Lights+N+Sounds+Elephant+Ride-On&amp;qid=1695588906&amp;sr=8-7")</f>
        <v/>
      </c>
      <c r="F247" t="inlineStr">
        <is>
          <t>B06VTC15TT</t>
        </is>
      </c>
      <c r="G247">
        <f>_xlfn.IMAGE("https://images.toysrus.com/1285/661148612755_1.jpg")</f>
        <v/>
      </c>
      <c r="H247">
        <f>_xlfn.IMAGE("https://m.media-amazon.com/images/I/811aUoY-7VS._AC_UL320_.jpg")</f>
        <v/>
      </c>
      <c r="K247" t="inlineStr">
        <is>
          <t>29.99</t>
        </is>
      </c>
      <c r="L247" t="n">
        <v>55.99</v>
      </c>
      <c r="M247" s="2" t="inlineStr">
        <is>
          <t>86.70%</t>
        </is>
      </c>
      <c r="N247" t="n">
        <v>4.8</v>
      </c>
      <c r="O247" t="n">
        <v>1132</v>
      </c>
      <c r="Q247" t="inlineStr">
        <is>
          <t>InStock</t>
        </is>
      </c>
      <c r="R247" t="inlineStr">
        <is>
          <t>undefined</t>
        </is>
      </c>
      <c r="S247" t="inlineStr">
        <is>
          <t>G661148612755</t>
        </is>
      </c>
    </row>
    <row r="248" ht="75" customHeight="1">
      <c r="A248" s="1">
        <f>HYPERLINK("https://www.toysrus.com/kiddieland-lights-n-sounds-elephant-ride-on-G661148612755.html", "https://www.toysrus.com/kiddieland-lights-n-sounds-elephant-ride-on-G661148612755.html")</f>
        <v/>
      </c>
      <c r="B248" s="1">
        <f>HYPERLINK("https://www.toysrus.com/kiddieland-lights-n-sounds-elephant-ride-on-G661148612755.html", "https://www.toysrus.com/kiddieland-lights-n-sounds-elephant-ride-on-G661148612755.html")</f>
        <v/>
      </c>
      <c r="C248" t="inlineStr">
        <is>
          <t>Kiddieland Lights N Sounds Elephant Ride-On</t>
        </is>
      </c>
      <c r="D248" t="inlineStr">
        <is>
          <t>Kiddieland: My First Buzz Ride On, Plays Music and has Flashing Lights, Dashboard has Interactive Electronic Activites with fun Sounds, Sturdy and Durable, For Ages 2 and up</t>
        </is>
      </c>
      <c r="E248" s="1">
        <f>HYPERLINK("https://www.amazon.com/Kiddieland-Toys-Limited-First-Buzz/dp/B07P8B2PYR/ref=sr_1_6?keywords=Kiddieland+Lights+N+Sounds+Elephant+Ride-On&amp;qid=1695588906&amp;sr=8-6", "https://www.amazon.com/Kiddieland-Toys-Limited-First-Buzz/dp/B07P8B2PYR/ref=sr_1_6?keywords=Kiddieland+Lights+N+Sounds+Elephant+Ride-On&amp;qid=1695588906&amp;sr=8-6")</f>
        <v/>
      </c>
      <c r="F248" t="inlineStr">
        <is>
          <t>B07P8B2PYR</t>
        </is>
      </c>
      <c r="G248">
        <f>_xlfn.IMAGE("https://images.toysrus.com/1285/661148612755_1.jpg")</f>
        <v/>
      </c>
      <c r="H248">
        <f>_xlfn.IMAGE("https://m.media-amazon.com/images/I/71Rmx3AWcML._AC_UL320_.jpg")</f>
        <v/>
      </c>
      <c r="K248" t="inlineStr">
        <is>
          <t>29.99</t>
        </is>
      </c>
      <c r="L248" t="n">
        <v>50.48</v>
      </c>
      <c r="M248" s="2" t="inlineStr">
        <is>
          <t>68.32%</t>
        </is>
      </c>
      <c r="N248" t="n">
        <v>4.8</v>
      </c>
      <c r="O248" t="n">
        <v>466</v>
      </c>
      <c r="Q248" t="inlineStr">
        <is>
          <t>InStock</t>
        </is>
      </c>
      <c r="R248" t="inlineStr">
        <is>
          <t>undefined</t>
        </is>
      </c>
      <c r="S248" t="inlineStr">
        <is>
          <t>G661148612755</t>
        </is>
      </c>
    </row>
    <row r="249" ht="75" customHeight="1">
      <c r="A249" s="1">
        <f>HYPERLINK("https://www.toysrus.com/kiddieland-lights-n-sounds-elephant-ride-on-G661148612755.html", "https://www.toysrus.com/kiddieland-lights-n-sounds-elephant-ride-on-G661148612755.html")</f>
        <v/>
      </c>
      <c r="B249" s="1">
        <f>HYPERLINK("https://www.toysrus.com/kiddieland-lights-n-sounds-elephant-ride-on-G661148612755.html", "https://www.toysrus.com/kiddieland-lights-n-sounds-elephant-ride-on-G661148612755.html")</f>
        <v/>
      </c>
      <c r="C249" t="inlineStr">
        <is>
          <t>Kiddieland Lights N Sounds Elephant Ride-On</t>
        </is>
      </c>
      <c r="D249" t="inlineStr">
        <is>
          <t>Kiddieland Light N Sounds Magical Ride-on Unicorn 22inchesx13.50inchesx18inches</t>
        </is>
      </c>
      <c r="E249" s="1">
        <f>HYPERLINK("https://www.amazon.com/Kiddieland-Light-Sounds-Magical-Unicorn/dp/B085TC358M/ref=sr_1_2?keywords=Kiddieland+Lights+N+Sounds+Elephant+Ride-On&amp;qid=1695588906&amp;sr=8-2", "https://www.amazon.com/Kiddieland-Light-Sounds-Magical-Unicorn/dp/B085TC358M/ref=sr_1_2?keywords=Kiddieland+Lights+N+Sounds+Elephant+Ride-On&amp;qid=1695588906&amp;sr=8-2")</f>
        <v/>
      </c>
      <c r="F249" t="inlineStr">
        <is>
          <t>B085TC358M</t>
        </is>
      </c>
      <c r="G249">
        <f>_xlfn.IMAGE("https://images.toysrus.com/1285/661148612755_1.jpg")</f>
        <v/>
      </c>
      <c r="H249">
        <f>_xlfn.IMAGE("https://m.media-amazon.com/images/I/81D+DquvAjL._AC_UL320_.jpg")</f>
        <v/>
      </c>
      <c r="K249" t="inlineStr">
        <is>
          <t>29.99</t>
        </is>
      </c>
      <c r="L249" t="n">
        <v>49.99</v>
      </c>
      <c r="M249" s="2" t="inlineStr">
        <is>
          <t>66.69%</t>
        </is>
      </c>
      <c r="N249" t="n">
        <v>4.6</v>
      </c>
      <c r="O249" t="n">
        <v>163</v>
      </c>
      <c r="Q249" t="inlineStr">
        <is>
          <t>InStock</t>
        </is>
      </c>
      <c r="R249" t="inlineStr">
        <is>
          <t>undefined</t>
        </is>
      </c>
      <c r="S249" t="inlineStr">
        <is>
          <t>G661148612755</t>
        </is>
      </c>
    </row>
    <row r="250" ht="75" customHeight="1">
      <c r="A250" s="1">
        <f>HYPERLINK("https://www.toysrus.com/kiddieland-lights-n-sounds-elephant-ride-on-G661148612755.html", "https://www.toysrus.com/kiddieland-lights-n-sounds-elephant-ride-on-G661148612755.html")</f>
        <v/>
      </c>
      <c r="B250" s="1">
        <f>HYPERLINK("https://www.toysrus.com/kiddieland-lights-n-sounds-elephant-ride-on-G661148612755.html", "https://www.toysrus.com/kiddieland-lights-n-sounds-elephant-ride-on-G661148612755.html")</f>
        <v/>
      </c>
      <c r="C250" t="inlineStr">
        <is>
          <t>Kiddieland Lights N Sounds Elephant Ride-On</t>
        </is>
      </c>
      <c r="D250" t="inlineStr">
        <is>
          <t>Kiddieland Lights 'N' Sounds Elephant Rider, Multi, Medium</t>
        </is>
      </c>
      <c r="E250" s="1">
        <f>HYPERLINK("https://www.amazon.com/Lights-N-Sounds-Elephant-Rider/dp/B08WRGF55P/ref=sr_1_1?keywords=Kiddieland+Lights+N+Sounds+Elephant+Ride-On&amp;qid=1695588906&amp;sr=8-1", "https://www.amazon.com/Lights-N-Sounds-Elephant-Rider/dp/B08WRGF55P/ref=sr_1_1?keywords=Kiddieland+Lights+N+Sounds+Elephant+Ride-On&amp;qid=1695588906&amp;sr=8-1")</f>
        <v/>
      </c>
      <c r="F250" t="inlineStr">
        <is>
          <t>B08WRGF55P</t>
        </is>
      </c>
      <c r="G250">
        <f>_xlfn.IMAGE("https://images.toysrus.com/1285/661148612755_1.jpg")</f>
        <v/>
      </c>
      <c r="H250">
        <f>_xlfn.IMAGE("https://m.media-amazon.com/images/I/71dif3kb+1L._AC_UL320_.jpg")</f>
        <v/>
      </c>
      <c r="K250" t="inlineStr">
        <is>
          <t>29.99</t>
        </is>
      </c>
      <c r="L250" t="n">
        <v>49.88</v>
      </c>
      <c r="M250" s="2" t="inlineStr">
        <is>
          <t>66.32%</t>
        </is>
      </c>
      <c r="N250" t="n">
        <v>5</v>
      </c>
      <c r="O250" t="n">
        <v>1</v>
      </c>
      <c r="Q250" t="inlineStr">
        <is>
          <t>InStock</t>
        </is>
      </c>
      <c r="R250" t="inlineStr">
        <is>
          <t>undefined</t>
        </is>
      </c>
      <c r="S250" t="inlineStr">
        <is>
          <t>G661148612755</t>
        </is>
      </c>
    </row>
    <row r="251" ht="75" customHeight="1">
      <c r="A251" s="1">
        <f>HYPERLINK("https://www.toysrus.com/kiddieland-lights-n-sounds-space-blaster-ride-on-G661148612595.html", "https://www.toysrus.com/kiddieland-lights-n-sounds-space-blaster-ride-on-G661148612595.html")</f>
        <v/>
      </c>
      <c r="B251" s="1">
        <f>HYPERLINK("https://www.toysrus.com/kiddieland-lights-n-sounds-space-blaster-ride-on-G661148612595.html", "https://www.toysrus.com/kiddieland-lights-n-sounds-space-blaster-ride-on-G661148612595.html")</f>
        <v/>
      </c>
      <c r="C251" t="inlineStr">
        <is>
          <t>Kiddieland Lights 'N' Sounds Space Blaster Ride-On</t>
        </is>
      </c>
      <c r="D251" t="inlineStr">
        <is>
          <t>Kiddieland Lights 'N' Sounds Space Blaster,Multi</t>
        </is>
      </c>
      <c r="E251" s="1">
        <f>HYPERLINK("https://www.amazon.com/Lights-N-Sounds-Space-Blaster/dp/B08WRG2CQD/ref=sr_1_1?keywords=Kiddieland+Lights+%27N%27+Sounds+Space+Blaster+Ride-On&amp;qid=1695588904&amp;sr=8-1", "https://www.amazon.com/Lights-N-Sounds-Space-Blaster/dp/B08WRG2CQD/ref=sr_1_1?keywords=Kiddieland+Lights+%27N%27+Sounds+Space+Blaster+Ride-On&amp;qid=1695588904&amp;sr=8-1")</f>
        <v/>
      </c>
      <c r="F251" t="inlineStr">
        <is>
          <t>B08WRG2CQD</t>
        </is>
      </c>
      <c r="G251">
        <f>_xlfn.IMAGE("https://images.toysrus.com/1285/661148612595_1.jpg")</f>
        <v/>
      </c>
      <c r="H251">
        <f>_xlfn.IMAGE("https://m.media-amazon.com/images/I/71j4ccB3qmL._AC_UL320_.jpg")</f>
        <v/>
      </c>
      <c r="K251" t="inlineStr">
        <is>
          <t>21.99</t>
        </is>
      </c>
      <c r="L251" t="n">
        <v>48.88</v>
      </c>
      <c r="M251" s="2" t="inlineStr">
        <is>
          <t>122.28%</t>
        </is>
      </c>
      <c r="N251" t="n">
        <v>4.8</v>
      </c>
      <c r="O251" t="n">
        <v>21</v>
      </c>
      <c r="Q251" t="inlineStr">
        <is>
          <t>InStock</t>
        </is>
      </c>
      <c r="R251" t="inlineStr">
        <is>
          <t>undefined</t>
        </is>
      </c>
      <c r="S251" t="inlineStr">
        <is>
          <t>G661148612595</t>
        </is>
      </c>
    </row>
    <row r="252" ht="75" customHeight="1">
      <c r="A252" s="1">
        <f>HYPERLINK("https://www.toysrus.com/kinetic-sand-squish-n-create-with-blue-yellow-and-pink-play-sand-5-tools-15507951.html", "https://www.toysrus.com/kinetic-sand-squish-n-create-with-blue-yellow-and-pink-play-sand-5-tools-15507951.html")</f>
        <v/>
      </c>
      <c r="B252" s="1">
        <f>HYPERLINK("https://www.toysrus.com/kinetic-sand-squish-n-create-with-blue-yellow-and-pink-play-sand-5-tools-15507951.html", "https://www.toysrus.com/kinetic-sand-squish-n-create-with-blue-yellow-and-pink-play-sand-5-tools-15507951.html")</f>
        <v/>
      </c>
      <c r="C252" t="inlineStr">
        <is>
          <t>Kinetic Sand, Squish N Create with Blue, Yellow, and Pink Play Sand, 5 Tools</t>
        </is>
      </c>
      <c r="D252" t="inlineStr">
        <is>
          <t>Kinetic Sand, Deluxe Swirl N’ Surprise Playset, 2.5lbs of Play Sand (Red, Blue, Green, Yellow, White and Purple), 4 Tools, Sensory Toys for Kids 3 and up</t>
        </is>
      </c>
      <c r="E252" s="1">
        <f>HYPERLINK("https://www.amazon.com/Kinetic-Sand-Swirl-Surprise-Kit/dp/B09NLQN1PH/ref=sr_1_5?keywords=Kinetic+Sand%2C+Squish+N+Create+with+Blue%2C+Yellow%2C+and+Pink+Play+Sand%2C+5+Tools&amp;qid=1695588625&amp;sr=8-5", "https://www.amazon.com/Kinetic-Sand-Swirl-Surprise-Kit/dp/B09NLQN1PH/ref=sr_1_5?keywords=Kinetic+Sand%2C+Squish+N+Create+with+Blue%2C+Yellow%2C+and+Pink+Play+Sand%2C+5+Tools&amp;qid=1695588625&amp;sr=8-5")</f>
        <v/>
      </c>
      <c r="F252" t="inlineStr">
        <is>
          <t>B09NLQN1PH</t>
        </is>
      </c>
      <c r="G252">
        <f>_xlfn.IMAGE("http://slimages.macys.com/is/image/MCY/products/0/optimized/24151753_fpx.tif")</f>
        <v/>
      </c>
      <c r="H252">
        <f>_xlfn.IMAGE("https://m.media-amazon.com/images/I/91aenlejjBL._AC_UL320_.jpg")</f>
        <v/>
      </c>
      <c r="K252" t="inlineStr">
        <is>
          <t>12.99</t>
        </is>
      </c>
      <c r="L252" t="n">
        <v>29.99</v>
      </c>
      <c r="M252" s="2" t="inlineStr">
        <is>
          <t>130.87%</t>
        </is>
      </c>
      <c r="N252" t="n">
        <v>4.5</v>
      </c>
      <c r="O252" t="n">
        <v>456</v>
      </c>
      <c r="Q252" t="inlineStr">
        <is>
          <t>InStock</t>
        </is>
      </c>
      <c r="R252" t="inlineStr">
        <is>
          <t>undefined</t>
        </is>
      </c>
      <c r="S252" t="inlineStr">
        <is>
          <t>15507951</t>
        </is>
      </c>
    </row>
    <row r="253" ht="75" customHeight="1">
      <c r="A253" s="1">
        <f>HYPERLINK("https://www.toysrus.com/king-of-new-york-power-up-board-game-G3760175512902.html", "https://www.toysrus.com/king-of-new-york-power-up-board-game-G3760175512902.html")</f>
        <v/>
      </c>
      <c r="B253" s="1">
        <f>HYPERLINK("https://www.toysrus.com/king-of-new-york-power-up-board-game-G3760175512902.html", "https://www.toysrus.com/king-of-new-york-power-up-board-game-G3760175512902.html")</f>
        <v/>
      </c>
      <c r="C253" t="inlineStr">
        <is>
          <t>King of New York Power Up Board Game</t>
        </is>
      </c>
      <c r="D253" t="inlineStr">
        <is>
          <t>IELLO: King of New York, 6 Monsters, Enthralling Theme, Simple, Fast-Paced, Strategy Board Game, for 2 to 6 Players, Ages 10 and Up</t>
        </is>
      </c>
      <c r="E253" s="1">
        <f>HYPERLINK("https://www.amazon.com/IELLO-Monsters-Enthralling-Fast-Paced-Strategy/dp/B00KU9LQUO/ref=sr_1_2?keywords=King+of+New+York+Power+Up+Board+Game&amp;qid=1695588299&amp;sr=8-2", "https://www.amazon.com/IELLO-Monsters-Enthralling-Fast-Paced-Strategy/dp/B00KU9LQUO/ref=sr_1_2?keywords=King+of+New+York+Power+Up+Board+Game&amp;qid=1695588299&amp;sr=8-2")</f>
        <v/>
      </c>
      <c r="F253" t="inlineStr">
        <is>
          <t>B00KU9LQUO</t>
        </is>
      </c>
      <c r="G253">
        <f>_xlfn.IMAGE("https://images.toysrus.com/1285980/3760175512902_1.jpg")</f>
        <v/>
      </c>
      <c r="H253">
        <f>_xlfn.IMAGE("https://m.media-amazon.com/images/I/91LvAfOGcIL._AC_UL320_.jpg")</f>
        <v/>
      </c>
      <c r="K253" t="inlineStr">
        <is>
          <t>19.99</t>
        </is>
      </c>
      <c r="L253" t="n">
        <v>36.26</v>
      </c>
      <c r="M253" s="2" t="inlineStr">
        <is>
          <t>81.39%</t>
        </is>
      </c>
      <c r="N253" t="n">
        <v>4.8</v>
      </c>
      <c r="O253" t="n">
        <v>958</v>
      </c>
      <c r="Q253" t="inlineStr">
        <is>
          <t>InStock</t>
        </is>
      </c>
      <c r="R253" t="inlineStr">
        <is>
          <t>undefined</t>
        </is>
      </c>
      <c r="S253" t="inlineStr">
        <is>
          <t>G3760175512902</t>
        </is>
      </c>
    </row>
    <row r="254" ht="75" customHeight="1">
      <c r="A254" s="1">
        <f>HYPERLINK("https://www.toysrus.com/kraken-attack---loki-childrens-board-game-ages-7-1-4-players-25-min-G3760175516870.html", "https://www.toysrus.com/kraken-attack---loki-childrens-board-game-ages-7-1-4-players-25-min-G3760175516870.html")</f>
        <v/>
      </c>
      <c r="B254" s="1">
        <f>HYPERLINK("https://www.toysrus.com/kraken-attack---loki-childrens-board-game-ages-7-1-4-players-25-min-G3760175516870.html", "https://www.toysrus.com/kraken-attack---loki-childrens-board-game-ages-7-1-4-players-25-min-G3760175516870.html")</f>
        <v/>
      </c>
      <c r="C254" t="inlineStr">
        <is>
          <t>Kraken Attack - LOKI Childrens Board Game, Ages 7+, 1-4 Players, 25 Min</t>
        </is>
      </c>
      <c r="D254" t="inlineStr">
        <is>
          <t>IELLO Loki: Kraken Attack, Strategy Board Game, Cooperative Play, Ideal to Introduce Children to Tower Defence Games, 1 to 4 Players, for Ages 7 and Up</t>
        </is>
      </c>
      <c r="E254" s="1">
        <f>HYPERLINK("https://www.amazon.com/IELLO-Strategy-Cooperative-Introduce-Children/dp/B083KY54RF/ref=sr_1_1?keywords=Kraken+Attack+-+LOKI+Childrens+Board+Game%2C+Ages+7+%2C+1-4+Players%2C+25+Min&amp;qid=1695588453&amp;sr=8-1", "https://www.amazon.com/IELLO-Strategy-Cooperative-Introduce-Children/dp/B083KY54RF/ref=sr_1_1?keywords=Kraken+Attack+-+LOKI+Childrens+Board+Game%2C+Ages+7+%2C+1-4+Players%2C+25+Min&amp;qid=1695588453&amp;sr=8-1")</f>
        <v/>
      </c>
      <c r="F254" t="inlineStr">
        <is>
          <t>B083KY54RF</t>
        </is>
      </c>
      <c r="G254">
        <f>_xlfn.IMAGE("https://images.toysrus.com/1285/3760175516870_1.jpg")</f>
        <v/>
      </c>
      <c r="H254">
        <f>_xlfn.IMAGE("https://m.media-amazon.com/images/I/715WW1y-FDL._AC_UL320_.jpg")</f>
        <v/>
      </c>
      <c r="K254" t="inlineStr">
        <is>
          <t>17.99</t>
        </is>
      </c>
      <c r="L254" t="n">
        <v>30.49</v>
      </c>
      <c r="M254" s="2" t="inlineStr">
        <is>
          <t>69.48%</t>
        </is>
      </c>
      <c r="N254" t="n">
        <v>4.6</v>
      </c>
      <c r="O254" t="n">
        <v>146</v>
      </c>
      <c r="Q254" t="inlineStr">
        <is>
          <t>InStock</t>
        </is>
      </c>
      <c r="R254" t="inlineStr">
        <is>
          <t>undefined</t>
        </is>
      </c>
      <c r="S254" t="inlineStr">
        <is>
          <t>G3760175516870</t>
        </is>
      </c>
    </row>
    <row r="255" ht="75" customHeight="1">
      <c r="A255" s="1">
        <f>HYPERLINK("https://www.toysrus.com/late-for-the-sky---wisconsin-opoly-board-game-G730799009938.html", "https://www.toysrus.com/late-for-the-sky---wisconsin-opoly-board-game-G730799009938.html")</f>
        <v/>
      </c>
      <c r="B255" s="1">
        <f>HYPERLINK("https://www.toysrus.com/late-for-the-sky---wisconsin-opoly-board-game-G730799009938.html", "https://www.toysrus.com/late-for-the-sky---wisconsin-opoly-board-game-G730799009938.html")</f>
        <v/>
      </c>
      <c r="C255" t="inlineStr">
        <is>
          <t>Late For The Sky - Wisconsin-opoly Board Game</t>
        </is>
      </c>
      <c r="D255" t="inlineStr">
        <is>
          <t>Late for the Sky Camo-opoly Board Game</t>
        </is>
      </c>
      <c r="E255" s="1">
        <f>HYPERLINK("https://www.amazon.com/Late-for-the-Sky-CAMO/dp/B013C6OZS6/ref=sr_1_8?keywords=Late+For+The+Sky+-+Wisconsin-opoly+Board+Game&amp;qid=1695588385&amp;sr=8-8", "https://www.amazon.com/Late-for-the-Sky-CAMO/dp/B013C6OZS6/ref=sr_1_8?keywords=Late+For+The+Sky+-+Wisconsin-opoly+Board+Game&amp;qid=1695588385&amp;sr=8-8")</f>
        <v/>
      </c>
      <c r="F255" t="inlineStr">
        <is>
          <t>B013C6OZS6</t>
        </is>
      </c>
      <c r="G255">
        <f>_xlfn.IMAGE("https://images.toysrus.com/1285980/730799009938_1.jpg")</f>
        <v/>
      </c>
      <c r="H255">
        <f>_xlfn.IMAGE("https://m.media-amazon.com/images/I/51brDOfnFBL._AC_UL320_.jpg")</f>
        <v/>
      </c>
      <c r="K255" t="inlineStr">
        <is>
          <t>24.99</t>
        </is>
      </c>
      <c r="L255" t="n">
        <v>42.99</v>
      </c>
      <c r="M255" s="2" t="inlineStr">
        <is>
          <t>72.03%</t>
        </is>
      </c>
      <c r="N255" t="n">
        <v>4.7</v>
      </c>
      <c r="O255" t="n">
        <v>3</v>
      </c>
      <c r="Q255" t="inlineStr">
        <is>
          <t>InStock</t>
        </is>
      </c>
      <c r="R255" t="inlineStr">
        <is>
          <t>undefined</t>
        </is>
      </c>
      <c r="S255" t="inlineStr">
        <is>
          <t>G730799009938</t>
        </is>
      </c>
    </row>
    <row r="256" ht="75" customHeight="1">
      <c r="A256" s="1">
        <f>HYPERLINK("https://www.toysrus.com/league-of-legends-6-thresh-collectible-figure--15615917.html", "https://www.toysrus.com/league-of-legends-6-thresh-collectible-figure--15615917.html")</f>
        <v/>
      </c>
      <c r="B256" s="1">
        <f>HYPERLINK("https://www.toysrus.com/league-of-legends-6-thresh-collectible-figure--15615917.html", "https://www.toysrus.com/league-of-legends-6-thresh-collectible-figure--15615917.html")</f>
        <v/>
      </c>
      <c r="C256" t="inlineStr">
        <is>
          <t>League of Legends, 6" Thresh Collectible Figure</t>
        </is>
      </c>
      <c r="D256" t="inlineStr">
        <is>
          <t>League of Legends, Official 8.5-Inch Blitzcrank Collectible Figure with Base, Premium Details, Champion Collection, Collector Grade, Ages 14 and Up</t>
        </is>
      </c>
      <c r="E256" s="1">
        <f>HYPERLINK("https://www.amazon.com/League-Legends-Blitzcrank-Collectible-Collection/dp/B0B9T9QZNT/ref=sr_1_5?keywords=League+of+Legends%2C+6%22+Thresh+Collectible+Figure&amp;qid=1695588595&amp;sr=8-5", "https://www.amazon.com/League-Legends-Blitzcrank-Collectible-Collection/dp/B0B9T9QZNT/ref=sr_1_5?keywords=League+of+Legends%2C+6%22+Thresh+Collectible+Figure&amp;qid=1695588595&amp;sr=8-5")</f>
        <v/>
      </c>
      <c r="F256" t="inlineStr">
        <is>
          <t>B0B9T9QZNT</t>
        </is>
      </c>
      <c r="G256">
        <f>_xlfn.IMAGE("http://slimages.macys.com/is/image/MCY/products/0/optimized/23844878_fpx.tif")</f>
        <v/>
      </c>
      <c r="H256">
        <f>_xlfn.IMAGE("https://m.media-amazon.com/images/I/81Lg7sjPI0L._AC_UL320_.jpg")</f>
        <v/>
      </c>
      <c r="K256" t="inlineStr">
        <is>
          <t>20.99</t>
        </is>
      </c>
      <c r="L256" t="n">
        <v>39.99</v>
      </c>
      <c r="M256" s="2" t="inlineStr">
        <is>
          <t>90.52%</t>
        </is>
      </c>
      <c r="N256" t="n">
        <v>4.6</v>
      </c>
      <c r="O256" t="n">
        <v>42</v>
      </c>
      <c r="Q256" t="inlineStr">
        <is>
          <t>InStock</t>
        </is>
      </c>
      <c r="R256" t="inlineStr">
        <is>
          <t>undefined</t>
        </is>
      </c>
      <c r="S256" t="inlineStr">
        <is>
          <t>15615917</t>
        </is>
      </c>
    </row>
    <row r="257" ht="75" customHeight="1">
      <c r="A257" s="1">
        <f>HYPERLINK("https://www.toysrus.com/league-of-legends-6-zed-collectible-figure--15615918.html", "https://www.toysrus.com/league-of-legends-6-zed-collectible-figure--15615918.html")</f>
        <v/>
      </c>
      <c r="B257" s="1">
        <f>HYPERLINK("https://www.toysrus.com/league-of-legends-6-zed-collectible-figure--15615918.html", "https://www.toysrus.com/league-of-legends-6-zed-collectible-figure--15615918.html")</f>
        <v/>
      </c>
      <c r="C257" t="inlineStr">
        <is>
          <t>League of Legends, 6" Zed Collectible Figure</t>
        </is>
      </c>
      <c r="D257" t="inlineStr">
        <is>
          <t>League of Legends, Official 8.5-Inch Blitzcrank Collectible Figure with Base, Premium Details, Champion Collection, Collector Grade, Ages 14 and Up</t>
        </is>
      </c>
      <c r="E257" s="1">
        <f>HYPERLINK("https://www.amazon.com/League-Legends-Blitzcrank-Collectible-Collection/dp/B0B9T9QZNT/ref=sr_1_5?keywords=League+of+Legends%2C+6%22+Zed+Collectible+Figure&amp;qid=1695588588&amp;sr=8-5", "https://www.amazon.com/League-Legends-Blitzcrank-Collectible-Collection/dp/B0B9T9QZNT/ref=sr_1_5?keywords=League+of+Legends%2C+6%22+Zed+Collectible+Figure&amp;qid=1695588588&amp;sr=8-5")</f>
        <v/>
      </c>
      <c r="F257" t="inlineStr">
        <is>
          <t>B0B9T9QZNT</t>
        </is>
      </c>
      <c r="G257">
        <f>_xlfn.IMAGE("http://slimages.macys.com/is/image/MCY/products/0/optimized/23844888_fpx.tif")</f>
        <v/>
      </c>
      <c r="H257">
        <f>_xlfn.IMAGE("https://m.media-amazon.com/images/I/81Lg7sjPI0L._AC_UL320_.jpg")</f>
        <v/>
      </c>
      <c r="K257" t="inlineStr">
        <is>
          <t>20.99</t>
        </is>
      </c>
      <c r="L257" t="n">
        <v>39.99</v>
      </c>
      <c r="M257" s="2" t="inlineStr">
        <is>
          <t>90.52%</t>
        </is>
      </c>
      <c r="N257" t="n">
        <v>4.6</v>
      </c>
      <c r="O257" t="n">
        <v>42</v>
      </c>
      <c r="Q257" t="inlineStr">
        <is>
          <t>InStock</t>
        </is>
      </c>
      <c r="R257" t="inlineStr">
        <is>
          <t>undefined</t>
        </is>
      </c>
      <c r="S257" t="inlineStr">
        <is>
          <t>mike9583</t>
        </is>
      </c>
    </row>
    <row r="258" ht="75" customHeight="1">
      <c r="A258" s="1">
        <f>HYPERLINK("https://www.toysrus.com/league-of-legends-figure-6-figure-garen-15615926.html", "https://www.toysrus.com/league-of-legends-figure-6-figure-garen-15615926.html")</f>
        <v/>
      </c>
      <c r="B258" s="1">
        <f>HYPERLINK("https://www.toysrus.com/league-of-legends-figure-6-figure-garen-15615926.html", "https://www.toysrus.com/league-of-legends-figure-6-figure-garen-15615926.html")</f>
        <v/>
      </c>
      <c r="C258" t="inlineStr">
        <is>
          <t>League of Legends Figure 6" Figure Garen</t>
        </is>
      </c>
      <c r="D258" t="inlineStr">
        <is>
          <t>POP MART League of Legends Classic Characters Blind Box Figures, Random Design Mystery Toys for Modern Home Decor, Collectible Toy Set for Desk Accessories, 12PC</t>
        </is>
      </c>
      <c r="E258" s="1">
        <f>HYPERLINK("https://www.amazon.com/POP-MART-Characters-Collectible-Accessories/dp/B0C2PX1CX5/ref=sr_1_8?keywords=League+of+Legends+Figure+6%22+Figure+Garen&amp;qid=1695588595&amp;sr=8-8", "https://www.amazon.com/POP-MART-Characters-Collectible-Accessories/dp/B0C2PX1CX5/ref=sr_1_8?keywords=League+of+Legends+Figure+6%22+Figure+Garen&amp;qid=1695588595&amp;sr=8-8")</f>
        <v/>
      </c>
      <c r="F258" t="inlineStr">
        <is>
          <t>B0C2PX1CX5</t>
        </is>
      </c>
      <c r="G258">
        <f>_xlfn.IMAGE("http://slimages.macys.com/is/image/MCY/products/0/optimized/24153862_fpx.tif")</f>
        <v/>
      </c>
      <c r="H258">
        <f>_xlfn.IMAGE("https://m.media-amazon.com/images/I/71lDAXp82EL._AC_UL320_.jpg")</f>
        <v/>
      </c>
      <c r="K258" t="inlineStr">
        <is>
          <t>20.99</t>
        </is>
      </c>
      <c r="L258" t="n">
        <v>191.88</v>
      </c>
      <c r="M258" s="2" t="inlineStr">
        <is>
          <t>814.15%</t>
        </is>
      </c>
      <c r="N258" t="n">
        <v>4.4</v>
      </c>
      <c r="O258" t="n">
        <v>4</v>
      </c>
      <c r="Q258" t="inlineStr">
        <is>
          <t>InStock</t>
        </is>
      </c>
      <c r="R258" t="inlineStr">
        <is>
          <t>undefined</t>
        </is>
      </c>
      <c r="S258" t="inlineStr">
        <is>
          <t>15615926</t>
        </is>
      </c>
    </row>
    <row r="259" ht="75" customHeight="1">
      <c r="A259" s="1">
        <f>HYPERLINK("https://www.toysrus.com/league-of-legends-figure-6-figure-garen-15615926.html", "https://www.toysrus.com/league-of-legends-figure-6-figure-garen-15615926.html")</f>
        <v/>
      </c>
      <c r="B259" s="1">
        <f>HYPERLINK("https://www.toysrus.com/league-of-legends-figure-6-figure-garen-15615926.html", "https://www.toysrus.com/league-of-legends-figure-6-figure-garen-15615926.html")</f>
        <v/>
      </c>
      <c r="C259" t="inlineStr">
        <is>
          <t>League of Legends Figure 6" Figure Garen</t>
        </is>
      </c>
      <c r="D259" t="inlineStr">
        <is>
          <t>Good Smile League of Legends: Sona Nendoroid Action Figure, Multicolor</t>
        </is>
      </c>
      <c r="E259" s="1">
        <f>HYPERLINK("https://www.amazon.com/Good-Smile-League-Legends-Multicolor/dp/B095S7L5RK/ref=sr_1_10?keywords=League+of+Legends+Figure+6%22+Figure+Garen&amp;qid=1695588595&amp;sr=8-10", "https://www.amazon.com/Good-Smile-League-Legends-Multicolor/dp/B095S7L5RK/ref=sr_1_10?keywords=League+of+Legends+Figure+6%22+Figure+Garen&amp;qid=1695588595&amp;sr=8-10")</f>
        <v/>
      </c>
      <c r="F259" t="inlineStr">
        <is>
          <t>B095S7L5RK</t>
        </is>
      </c>
      <c r="G259">
        <f>_xlfn.IMAGE("http://slimages.macys.com/is/image/MCY/products/0/optimized/24153862_fpx.tif")</f>
        <v/>
      </c>
      <c r="H259">
        <f>_xlfn.IMAGE("https://m.media-amazon.com/images/I/71oLX8MwtAS._AC_UL320_.jpg")</f>
        <v/>
      </c>
      <c r="K259" t="inlineStr">
        <is>
          <t>20.99</t>
        </is>
      </c>
      <c r="L259" t="n">
        <v>73.66</v>
      </c>
      <c r="M259" s="2" t="inlineStr">
        <is>
          <t>250.93%</t>
        </is>
      </c>
      <c r="N259" t="n">
        <v>4.6</v>
      </c>
      <c r="O259" t="n">
        <v>33</v>
      </c>
      <c r="Q259" t="inlineStr">
        <is>
          <t>InStock</t>
        </is>
      </c>
      <c r="R259" t="inlineStr">
        <is>
          <t>undefined</t>
        </is>
      </c>
      <c r="S259" t="inlineStr">
        <is>
          <t>15615926</t>
        </is>
      </c>
    </row>
    <row r="260" ht="75" customHeight="1">
      <c r="A260" s="1">
        <f>HYPERLINK("https://www.toysrus.com/league-of-legends-figure-6-figure-garen-15615926.html", "https://www.toysrus.com/league-of-legends-figure-6-figure-garen-15615926.html")</f>
        <v/>
      </c>
      <c r="B260" s="1">
        <f>HYPERLINK("https://www.toysrus.com/league-of-legends-figure-6-figure-garen-15615926.html", "https://www.toysrus.com/league-of-legends-figure-6-figure-garen-15615926.html")</f>
        <v/>
      </c>
      <c r="C260" t="inlineStr">
        <is>
          <t>League of Legends Figure 6" Figure Garen</t>
        </is>
      </c>
      <c r="D260" t="inlineStr">
        <is>
          <t>League of Legends, Official 8.5-Inch Blitzcrank Collectible Figure with Base, Premium Details, Champion Collection, Collector Grade, Ages 14 and Up</t>
        </is>
      </c>
      <c r="E260" s="1">
        <f>HYPERLINK("https://www.amazon.com/League-Legends-Blitzcrank-Collectible-Collection/dp/B0B9T9QZNT/ref=sr_1_5?keywords=League+of+Legends+Figure+6%22+Figure+Garen&amp;qid=1695588595&amp;sr=8-5", "https://www.amazon.com/League-Legends-Blitzcrank-Collectible-Collection/dp/B0B9T9QZNT/ref=sr_1_5?keywords=League+of+Legends+Figure+6%22+Figure+Garen&amp;qid=1695588595&amp;sr=8-5")</f>
        <v/>
      </c>
      <c r="F260" t="inlineStr">
        <is>
          <t>B0B9T9QZNT</t>
        </is>
      </c>
      <c r="G260">
        <f>_xlfn.IMAGE("http://slimages.macys.com/is/image/MCY/products/0/optimized/24153862_fpx.tif")</f>
        <v/>
      </c>
      <c r="H260">
        <f>_xlfn.IMAGE("https://m.media-amazon.com/images/I/81Lg7sjPI0L._AC_UL320_.jpg")</f>
        <v/>
      </c>
      <c r="K260" t="inlineStr">
        <is>
          <t>20.99</t>
        </is>
      </c>
      <c r="L260" t="n">
        <v>39.99</v>
      </c>
      <c r="M260" s="2" t="inlineStr">
        <is>
          <t>90.52%</t>
        </is>
      </c>
      <c r="N260" t="n">
        <v>4.6</v>
      </c>
      <c r="O260" t="n">
        <v>42</v>
      </c>
      <c r="Q260" t="inlineStr">
        <is>
          <t>InStock</t>
        </is>
      </c>
      <c r="R260" t="inlineStr">
        <is>
          <t>undefined</t>
        </is>
      </c>
      <c r="S260" t="inlineStr">
        <is>
          <t>15615926</t>
        </is>
      </c>
    </row>
    <row r="261" ht="75" customHeight="1">
      <c r="A261" s="1">
        <f>HYPERLINK("https://www.toysrus.com/league-of-legends-figure-6-figure-garen-15615926.html", "https://www.toysrus.com/league-of-legends-figure-6-figure-garen-15615926.html")</f>
        <v/>
      </c>
      <c r="B261" s="1">
        <f>HYPERLINK("https://www.toysrus.com/league-of-legends-figure-6-figure-garen-15615926.html", "https://www.toysrus.com/league-of-legends-figure-6-figure-garen-15615926.html")</f>
        <v/>
      </c>
      <c r="C261" t="inlineStr">
        <is>
          <t>League of Legends Figure 6" Figure Garen</t>
        </is>
      </c>
      <c r="D261" t="inlineStr">
        <is>
          <t>Funko Pop Games League of Legends Braum Vinyl Figure Action Figure</t>
        </is>
      </c>
      <c r="E261" s="1">
        <f>HYPERLINK("https://www.amazon.com/Funko-League-Legends-Figure-Action/dp/B01M11SI6H/ref=sr_1_7?keywords=League+of+Legends+Figure+6%22+Figure+Garen&amp;qid=1695588595&amp;sr=8-7", "https://www.amazon.com/Funko-League-Legends-Figure-Action/dp/B01M11SI6H/ref=sr_1_7?keywords=League+of+Legends+Figure+6%22+Figure+Garen&amp;qid=1695588595&amp;sr=8-7")</f>
        <v/>
      </c>
      <c r="F261" t="inlineStr">
        <is>
          <t>B01M11SI6H</t>
        </is>
      </c>
      <c r="G261">
        <f>_xlfn.IMAGE("http://slimages.macys.com/is/image/MCY/products/0/optimized/24153862_fpx.tif")</f>
        <v/>
      </c>
      <c r="H261">
        <f>_xlfn.IMAGE("https://m.media-amazon.com/images/I/71+Zh2AB19L._AC_UL320_.jpg")</f>
        <v/>
      </c>
      <c r="K261" t="inlineStr">
        <is>
          <t>20.99</t>
        </is>
      </c>
      <c r="L261" t="n">
        <v>35</v>
      </c>
      <c r="M261" s="2" t="inlineStr">
        <is>
          <t>66.75%</t>
        </is>
      </c>
      <c r="N261" t="n">
        <v>4.7</v>
      </c>
      <c r="O261" t="n">
        <v>152</v>
      </c>
      <c r="Q261" t="inlineStr">
        <is>
          <t>InStock</t>
        </is>
      </c>
      <c r="R261" t="inlineStr">
        <is>
          <t>undefined</t>
        </is>
      </c>
      <c r="S261" t="inlineStr">
        <is>
          <t>15615926</t>
        </is>
      </c>
    </row>
    <row r="262" ht="75" customHeight="1">
      <c r="A262" s="1">
        <f>HYPERLINK("https://www.toysrus.com/league-of-legends-figure-6-figure-senna-15615927.html", "https://www.toysrus.com/league-of-legends-figure-6-figure-senna-15615927.html")</f>
        <v/>
      </c>
      <c r="B262" s="1">
        <f>HYPERLINK("https://www.toysrus.com/league-of-legends-figure-6-figure-senna-15615927.html", "https://www.toysrus.com/league-of-legends-figure-6-figure-senna-15615927.html")</f>
        <v/>
      </c>
      <c r="C262" t="inlineStr">
        <is>
          <t>League of Legends Figure 6" Figure Senna</t>
        </is>
      </c>
      <c r="D262" t="inlineStr">
        <is>
          <t>POP MART League of Legends Classic Characters Blind Box Figures, Random Design Mystery Toys for Modern Home Decor, Collectible Toy Set for Desk Accessories, 12PC</t>
        </is>
      </c>
      <c r="E262" s="1">
        <f>HYPERLINK("https://www.amazon.com/POP-MART-Characters-Collectible-Accessories/dp/B0C2PX1CX5/ref=sr_1_9?keywords=League+of+Legends+Figure+6%22+Figure+Senna&amp;qid=1695588597&amp;sr=8-9", "https://www.amazon.com/POP-MART-Characters-Collectible-Accessories/dp/B0C2PX1CX5/ref=sr_1_9?keywords=League+of+Legends+Figure+6%22+Figure+Senna&amp;qid=1695588597&amp;sr=8-9")</f>
        <v/>
      </c>
      <c r="F262" t="inlineStr">
        <is>
          <t>B0C2PX1CX5</t>
        </is>
      </c>
      <c r="G262">
        <f>_xlfn.IMAGE("http://slimages.macys.com/is/image/MCY/products/0/optimized/24153763_fpx.tif")</f>
        <v/>
      </c>
      <c r="H262">
        <f>_xlfn.IMAGE("https://m.media-amazon.com/images/I/71lDAXp82EL._AC_UL320_.jpg")</f>
        <v/>
      </c>
      <c r="K262" t="inlineStr">
        <is>
          <t>20.99</t>
        </is>
      </c>
      <c r="L262" t="n">
        <v>191.88</v>
      </c>
      <c r="M262" s="2" t="inlineStr">
        <is>
          <t>814.15%</t>
        </is>
      </c>
      <c r="N262" t="n">
        <v>4.4</v>
      </c>
      <c r="O262" t="n">
        <v>4</v>
      </c>
      <c r="Q262" t="inlineStr">
        <is>
          <t>InStock</t>
        </is>
      </c>
      <c r="R262" t="inlineStr">
        <is>
          <t>undefined</t>
        </is>
      </c>
      <c r="S262" t="inlineStr">
        <is>
          <t>15615927</t>
        </is>
      </c>
    </row>
    <row r="263" ht="75" customHeight="1">
      <c r="A263" s="1">
        <f>HYPERLINK("https://www.toysrus.com/league-of-legends-figure-6-figure-senna-15615927.html", "https://www.toysrus.com/league-of-legends-figure-6-figure-senna-15615927.html")</f>
        <v/>
      </c>
      <c r="B263" s="1">
        <f>HYPERLINK("https://www.toysrus.com/league-of-legends-figure-6-figure-senna-15615927.html", "https://www.toysrus.com/league-of-legends-figure-6-figure-senna-15615927.html")</f>
        <v/>
      </c>
      <c r="C263" t="inlineStr">
        <is>
          <t>League of Legends Figure 6" Figure Senna</t>
        </is>
      </c>
      <c r="D263" t="inlineStr">
        <is>
          <t>Funko Pop Games League of Legends Vi Vinyl Figure Action Figure</t>
        </is>
      </c>
      <c r="E263" s="1">
        <f>HYPERLINK("https://www.amazon.com/Funko-League-Legends-Figure-Action/dp/B01LZFRIU9/ref=sr_1_10?keywords=League+of+Legends+Figure+6%22+Figure+Senna&amp;qid=1695588597&amp;sr=8-10", "https://www.amazon.com/Funko-League-Legends-Figure-Action/dp/B01LZFRIU9/ref=sr_1_10?keywords=League+of+Legends+Figure+6%22+Figure+Senna&amp;qid=1695588597&amp;sr=8-10")</f>
        <v/>
      </c>
      <c r="F263" t="inlineStr">
        <is>
          <t>B01LZFRIU9</t>
        </is>
      </c>
      <c r="G263">
        <f>_xlfn.IMAGE("http://slimages.macys.com/is/image/MCY/products/0/optimized/24153763_fpx.tif")</f>
        <v/>
      </c>
      <c r="H263">
        <f>_xlfn.IMAGE("https://m.media-amazon.com/images/I/81KhabUX5LL._AC_UL320_.jpg")</f>
        <v/>
      </c>
      <c r="K263" t="inlineStr">
        <is>
          <t>20.99</t>
        </is>
      </c>
      <c r="L263" t="n">
        <v>86.93000000000001</v>
      </c>
      <c r="M263" s="2" t="inlineStr">
        <is>
          <t>314.15%</t>
        </is>
      </c>
      <c r="N263" t="n">
        <v>4.6</v>
      </c>
      <c r="O263" t="n">
        <v>240</v>
      </c>
      <c r="Q263" t="inlineStr">
        <is>
          <t>InStock</t>
        </is>
      </c>
      <c r="R263" t="inlineStr">
        <is>
          <t>undefined</t>
        </is>
      </c>
      <c r="S263" t="inlineStr">
        <is>
          <t>15615927</t>
        </is>
      </c>
    </row>
    <row r="264" ht="75" customHeight="1">
      <c r="A264" s="1">
        <f>HYPERLINK("https://www.toysrus.com/league-of-legends-figure-6-figure-senna-15615927.html", "https://www.toysrus.com/league-of-legends-figure-6-figure-senna-15615927.html")</f>
        <v/>
      </c>
      <c r="B264" s="1">
        <f>HYPERLINK("https://www.toysrus.com/league-of-legends-figure-6-figure-senna-15615927.html", "https://www.toysrus.com/league-of-legends-figure-6-figure-senna-15615927.html")</f>
        <v/>
      </c>
      <c r="C264" t="inlineStr">
        <is>
          <t>League of Legends Figure 6" Figure Senna</t>
        </is>
      </c>
      <c r="D264" t="inlineStr">
        <is>
          <t>League of Legends, Official 8.5-Inch Blitzcrank Collectible Figure with Base, Premium Details, Champion Collection, Collector Grade, Ages 14 and Up</t>
        </is>
      </c>
      <c r="E264" s="1">
        <f>HYPERLINK("https://www.amazon.com/League-Legends-Blitzcrank-Collectible-Collection/dp/B0B9T9QZNT/ref=sr_1_3?keywords=League+of+Legends+Figure+6%22+Figure+Senna&amp;qid=1695588597&amp;sr=8-3", "https://www.amazon.com/League-Legends-Blitzcrank-Collectible-Collection/dp/B0B9T9QZNT/ref=sr_1_3?keywords=League+of+Legends+Figure+6%22+Figure+Senna&amp;qid=1695588597&amp;sr=8-3")</f>
        <v/>
      </c>
      <c r="F264" t="inlineStr">
        <is>
          <t>B0B9T9QZNT</t>
        </is>
      </c>
      <c r="G264">
        <f>_xlfn.IMAGE("http://slimages.macys.com/is/image/MCY/products/0/optimized/24153763_fpx.tif")</f>
        <v/>
      </c>
      <c r="H264">
        <f>_xlfn.IMAGE("https://m.media-amazon.com/images/I/81Lg7sjPI0L._AC_UL320_.jpg")</f>
        <v/>
      </c>
      <c r="K264" t="inlineStr">
        <is>
          <t>20.99</t>
        </is>
      </c>
      <c r="L264" t="n">
        <v>39.99</v>
      </c>
      <c r="M264" s="2" t="inlineStr">
        <is>
          <t>90.52%</t>
        </is>
      </c>
      <c r="N264" t="n">
        <v>4.6</v>
      </c>
      <c r="O264" t="n">
        <v>42</v>
      </c>
      <c r="Q264" t="inlineStr">
        <is>
          <t>InStock</t>
        </is>
      </c>
      <c r="R264" t="inlineStr">
        <is>
          <t>undefined</t>
        </is>
      </c>
      <c r="S264" t="inlineStr">
        <is>
          <t>15615927</t>
        </is>
      </c>
    </row>
    <row r="265" ht="75" customHeight="1">
      <c r="A265" s="1">
        <f>HYPERLINK("https://www.toysrus.com/league-of-legends-official-6-ashe-collectible-figure-15615921.html", "https://www.toysrus.com/league-of-legends-official-6-ashe-collectible-figure-15615921.html")</f>
        <v/>
      </c>
      <c r="B265" s="1">
        <f>HYPERLINK("https://www.toysrus.com/league-of-legends-official-6-ashe-collectible-figure-15615921.html", "https://www.toysrus.com/league-of-legends-official-6-ashe-collectible-figure-15615921.html")</f>
        <v/>
      </c>
      <c r="C265" t="inlineStr">
        <is>
          <t>League of Legends, Official 6" Ashe Collectible Figure</t>
        </is>
      </c>
      <c r="D265" t="inlineStr">
        <is>
          <t>League of Legends, Official 8.5-Inch Blitzcrank Collectible Figure with Base, Premium Details, Champion Collection, Collector Grade, Ages 14 and Up</t>
        </is>
      </c>
      <c r="E265" s="1">
        <f>HYPERLINK("https://www.amazon.com/League-Legends-Blitzcrank-Collectible-Collection/dp/B0B9T9QZNT/ref=sr_1_3?keywords=League+of+Legends%2C+Official+6%22+Ashe+Collectible+Figure&amp;qid=1695588594&amp;sr=8-3", "https://www.amazon.com/League-Legends-Blitzcrank-Collectible-Collection/dp/B0B9T9QZNT/ref=sr_1_3?keywords=League+of+Legends%2C+Official+6%22+Ashe+Collectible+Figure&amp;qid=1695588594&amp;sr=8-3")</f>
        <v/>
      </c>
      <c r="F265" t="inlineStr">
        <is>
          <t>B0B9T9QZNT</t>
        </is>
      </c>
      <c r="G265">
        <f>_xlfn.IMAGE("http://slimages.macys.com/is/image/MCY/products/0/optimized/23844864_fpx.tif")</f>
        <v/>
      </c>
      <c r="H265">
        <f>_xlfn.IMAGE("https://m.media-amazon.com/images/I/81Lg7sjPI0L._AC_UL320_.jpg")</f>
        <v/>
      </c>
      <c r="K265" t="inlineStr">
        <is>
          <t>20.99</t>
        </is>
      </c>
      <c r="L265" t="n">
        <v>39.99</v>
      </c>
      <c r="M265" s="2" t="inlineStr">
        <is>
          <t>90.52%</t>
        </is>
      </c>
      <c r="N265" t="n">
        <v>4.6</v>
      </c>
      <c r="O265" t="n">
        <v>42</v>
      </c>
      <c r="Q265" t="inlineStr">
        <is>
          <t>InStock</t>
        </is>
      </c>
      <c r="R265" t="inlineStr">
        <is>
          <t>undefined</t>
        </is>
      </c>
      <c r="S265" t="inlineStr">
        <is>
          <t>15615921</t>
        </is>
      </c>
    </row>
    <row r="266" ht="75" customHeight="1">
      <c r="A266" s="1">
        <f>HYPERLINK("https://www.toysrus.com/lego-storage-brick-2-black-G848442025201.html", "https://www.toysrus.com/lego-storage-brick-2-black-G848442025201.html")</f>
        <v/>
      </c>
      <c r="B266" s="1">
        <f>HYPERLINK("https://www.toysrus.com/lego-storage-brick-2-black-G848442025201.html", "https://www.toysrus.com/lego-storage-brick-2-black-G848442025201.html")</f>
        <v/>
      </c>
      <c r="C266" t="inlineStr">
        <is>
          <t>LEGO Storage Brick 2, Black</t>
        </is>
      </c>
      <c r="D266" t="inlineStr">
        <is>
          <t>LEGO Black Storage Box Brick 4, 250×250×180mm</t>
        </is>
      </c>
      <c r="E266" s="1">
        <f>HYPERLINK("https://www.amazon.com/LEGO-Storage-Brick-4-Black/dp/B003NE5LBI/ref=sr_1_4?keywords=LEGO+Storage+Brick+2%2C+Black&amp;qid=1695588415&amp;sr=8-4", "https://www.amazon.com/LEGO-Storage-Brick-4-Black/dp/B003NE5LBI/ref=sr_1_4?keywords=LEGO+Storage+Brick+2%2C+Black&amp;qid=1695588415&amp;sr=8-4")</f>
        <v/>
      </c>
      <c r="F266" t="inlineStr">
        <is>
          <t>B003NE5LBI</t>
        </is>
      </c>
      <c r="G266">
        <f>_xlfn.IMAGE("https://images.toysrus.com/1285/848442025201_1.jpg")</f>
        <v/>
      </c>
      <c r="H266">
        <f>_xlfn.IMAGE("https://m.media-amazon.com/images/I/51H1YEev5rL._AC_UL320_.jpg")</f>
        <v/>
      </c>
      <c r="K266" t="inlineStr">
        <is>
          <t>19.99</t>
        </is>
      </c>
      <c r="L266" t="n">
        <v>60.51</v>
      </c>
      <c r="M266" s="2" t="inlineStr">
        <is>
          <t>202.70%</t>
        </is>
      </c>
      <c r="N266" t="n">
        <v>4.6</v>
      </c>
      <c r="O266" t="n">
        <v>291</v>
      </c>
      <c r="Q266" t="inlineStr">
        <is>
          <t>InStock</t>
        </is>
      </c>
      <c r="R266" t="inlineStr">
        <is>
          <t>undefined</t>
        </is>
      </c>
      <c r="S266" t="inlineStr">
        <is>
          <t>G848442025201</t>
        </is>
      </c>
    </row>
    <row r="267" ht="75" customHeight="1">
      <c r="A267" s="1">
        <f>HYPERLINK("https://www.toysrus.com/lego-storage-brick-2-black-G848442025201.html", "https://www.toysrus.com/lego-storage-brick-2-black-G848442025201.html")</f>
        <v/>
      </c>
      <c r="B267" s="1">
        <f>HYPERLINK("https://www.toysrus.com/lego-storage-brick-2-black-G848442025201.html", "https://www.toysrus.com/lego-storage-brick-2-black-G848442025201.html")</f>
        <v/>
      </c>
      <c r="C267" t="inlineStr">
        <is>
          <t>LEGO Storage Brick 2, Black</t>
        </is>
      </c>
      <c r="D267" t="inlineStr">
        <is>
          <t>Room Copenhagen, Lego Brick Shelf Box - Stackable or Mountable Storage Compartment - 8 Stud, Black</t>
        </is>
      </c>
      <c r="E267" s="1">
        <f>HYPERLINK("https://www.amazon.com/Room-Copenhagen-Lego-Brick-Shelf/dp/B085QXF3XX/ref=sr_1_5?keywords=LEGO+Storage+Brick+2%2C+Black&amp;qid=1695588415&amp;sr=8-5", "https://www.amazon.com/Room-Copenhagen-Lego-Brick-Shelf/dp/B085QXF3XX/ref=sr_1_5?keywords=LEGO+Storage+Brick+2%2C+Black&amp;qid=1695588415&amp;sr=8-5")</f>
        <v/>
      </c>
      <c r="F267" t="inlineStr">
        <is>
          <t>B085QXF3XX</t>
        </is>
      </c>
      <c r="G267">
        <f>_xlfn.IMAGE("https://images.toysrus.com/1285/848442025201_1.jpg")</f>
        <v/>
      </c>
      <c r="H267">
        <f>_xlfn.IMAGE("https://m.media-amazon.com/images/I/51Q89JPM0NL._AC_UL320_.jpg")</f>
        <v/>
      </c>
      <c r="K267" t="inlineStr">
        <is>
          <t>19.99</t>
        </is>
      </c>
      <c r="L267" t="n">
        <v>34.99</v>
      </c>
      <c r="M267" s="2" t="inlineStr">
        <is>
          <t>75.04%</t>
        </is>
      </c>
      <c r="N267" t="n">
        <v>4.6</v>
      </c>
      <c r="O267" t="n">
        <v>210</v>
      </c>
      <c r="Q267" t="inlineStr">
        <is>
          <t>InStock</t>
        </is>
      </c>
      <c r="R267" t="inlineStr">
        <is>
          <t>undefined</t>
        </is>
      </c>
      <c r="S267" t="inlineStr">
        <is>
          <t>G848442025201</t>
        </is>
      </c>
    </row>
    <row r="268" ht="75" customHeight="1">
      <c r="A268" s="1">
        <f>HYPERLINK("https://www.toysrus.com/lego-storage-brick-2-bright-blue-G848442025188.html", "https://www.toysrus.com/lego-storage-brick-2-bright-blue-G848442025188.html")</f>
        <v/>
      </c>
      <c r="B268" s="1">
        <f>HYPERLINK("https://www.toysrus.com/lego-storage-brick-2-bright-blue-G848442025188.html", "https://www.toysrus.com/lego-storage-brick-2-bright-blue-G848442025188.html")</f>
        <v/>
      </c>
      <c r="C268" t="inlineStr">
        <is>
          <t>LEGO Storage Brick 2, Bright Blue</t>
        </is>
      </c>
      <c r="D268" t="inlineStr">
        <is>
          <t>LEGO Blue Storage Box Brick 2 Bright, 2 Knobs</t>
        </is>
      </c>
      <c r="E268" s="1">
        <f>HYPERLINK("https://www.amazon.com/LEGO-Storage-Brick-Bright-Blue/dp/B003NE5LCW/ref=sr_1_1?keywords=LEGO+Storage+Brick+2%2C+Bright+Blue&amp;qid=1695588382&amp;sr=8-1", "https://www.amazon.com/LEGO-Storage-Brick-Bright-Blue/dp/B003NE5LCW/ref=sr_1_1?keywords=LEGO+Storage+Brick+2%2C+Bright+Blue&amp;qid=1695588382&amp;sr=8-1")</f>
        <v/>
      </c>
      <c r="F268" t="inlineStr">
        <is>
          <t>B003NE5LCW</t>
        </is>
      </c>
      <c r="G268">
        <f>_xlfn.IMAGE("https://images.toysrus.com/1285/848442025188_1.jpg")</f>
        <v/>
      </c>
      <c r="H268">
        <f>_xlfn.IMAGE("https://m.media-amazon.com/images/I/411+D12ag3L._AC_UL320_.jpg")</f>
        <v/>
      </c>
      <c r="K268" t="inlineStr">
        <is>
          <t>19.99</t>
        </is>
      </c>
      <c r="L268" t="n">
        <v>41.57</v>
      </c>
      <c r="M268" s="2" t="inlineStr">
        <is>
          <t>107.95%</t>
        </is>
      </c>
      <c r="N268" t="n">
        <v>4.7</v>
      </c>
      <c r="O268" t="n">
        <v>233</v>
      </c>
      <c r="Q268" t="inlineStr">
        <is>
          <t>InStock</t>
        </is>
      </c>
      <c r="R268" t="inlineStr">
        <is>
          <t>undefined</t>
        </is>
      </c>
      <c r="S268" t="inlineStr">
        <is>
          <t>G848442025188</t>
        </is>
      </c>
    </row>
    <row r="269" ht="75" customHeight="1">
      <c r="A269" s="1">
        <f>HYPERLINK("https://www.toysrus.com/lego-storage-head---small-boy-G887988010791.html", "https://www.toysrus.com/lego-storage-head---small-boy-G887988010791.html")</f>
        <v/>
      </c>
      <c r="B269" s="1">
        <f>HYPERLINK("https://www.toysrus.com/lego-storage-head---small-boy-G887988010791.html", "https://www.toysrus.com/lego-storage-head---small-boy-G887988010791.html")</f>
        <v/>
      </c>
      <c r="C269" t="inlineStr">
        <is>
          <t>LEGO Storage Head - Small Boy</t>
        </is>
      </c>
      <c r="D269" t="inlineStr">
        <is>
          <t>Room Copenhagen Lego Storage Head, Large, Boy, 9-1/2 x 9-1/2 x 10-3/4 Inches, Yellow (4032)</t>
        </is>
      </c>
      <c r="E269" s="1">
        <f>HYPERLINK("https://www.amazon.com/LEGO-Storage-Head-Large-Yellow/dp/B003NE5L86/ref=sr_1_1?keywords=LEGO+Storage+Head+-+Small+Boy&amp;qid=1695588370&amp;sr=8-1", "https://www.amazon.com/LEGO-Storage-Head-Large-Yellow/dp/B003NE5L86/ref=sr_1_1?keywords=LEGO+Storage+Head+-+Small+Boy&amp;qid=1695588370&amp;sr=8-1")</f>
        <v/>
      </c>
      <c r="F269" t="inlineStr">
        <is>
          <t>B003NE5L86</t>
        </is>
      </c>
      <c r="G269">
        <f>_xlfn.IMAGE("https://images.toysrus.com/1285/856522005272_1.jpg")</f>
        <v/>
      </c>
      <c r="H269">
        <f>_xlfn.IMAGE("https://m.media-amazon.com/images/I/51Pr6AG6slL._AC_UL320_.jpg")</f>
        <v/>
      </c>
      <c r="K269" t="inlineStr">
        <is>
          <t>15.99</t>
        </is>
      </c>
      <c r="L269" t="n">
        <v>34.99</v>
      </c>
      <c r="M269" s="2" t="inlineStr">
        <is>
          <t>118.82%</t>
        </is>
      </c>
      <c r="N269" t="n">
        <v>4.8</v>
      </c>
      <c r="O269" t="n">
        <v>5696</v>
      </c>
      <c r="Q269" t="inlineStr">
        <is>
          <t>InStock</t>
        </is>
      </c>
      <c r="R269" t="inlineStr">
        <is>
          <t>undefined</t>
        </is>
      </c>
      <c r="S269" t="inlineStr">
        <is>
          <t>G887988010791</t>
        </is>
      </c>
    </row>
    <row r="270" ht="75" customHeight="1">
      <c r="A270" s="1">
        <f>HYPERLINK("https://www.toysrus.com/lelly---national-geographic-basic-collection-plush-black-bear-G8004332708582.html", "https://www.toysrus.com/lelly---national-geographic-basic-collection-plush-black-bear-G8004332708582.html")</f>
        <v/>
      </c>
      <c r="B270" s="1">
        <f>HYPERLINK("https://www.toysrus.com/lelly---national-geographic-basic-collection-plush-black-bear-G8004332708582.html", "https://www.toysrus.com/lelly---national-geographic-basic-collection-plush-black-bear-G8004332708582.html")</f>
        <v/>
      </c>
      <c r="C270" t="inlineStr">
        <is>
          <t>Lelly - National Geographic Basic Collection Plush, Black Bear</t>
        </is>
      </c>
      <c r="D270" t="inlineStr">
        <is>
          <t>NATIONAL GEOGRAPHIC Lelly Basic Plush, Panda Bear, Black</t>
        </is>
      </c>
      <c r="E270" s="1">
        <f>HYPERLINK("https://www.amazon.com/VENTURELLI-Basic-Plush-Panda-Bear/dp/B07B3WW13H/ref=sr_1_2?keywords=Lelly+-+National+Geographic+Basic+Collection+Plush%2C+Black+Bear&amp;qid=1695588420&amp;sr=8-2", "https://www.amazon.com/VENTURELLI-Basic-Plush-Panda-Bear/dp/B07B3WW13H/ref=sr_1_2?keywords=Lelly+-+National+Geographic+Basic+Collection+Plush%2C+Black+Bear&amp;qid=1695588420&amp;sr=8-2")</f>
        <v/>
      </c>
      <c r="F270" t="inlineStr">
        <is>
          <t>B07B3WW13H</t>
        </is>
      </c>
      <c r="G270">
        <f>_xlfn.IMAGE("https://images.toysrus.com/1285/8004332708582_1.jpg")</f>
        <v/>
      </c>
      <c r="H270">
        <f>_xlfn.IMAGE("https://m.media-amazon.com/images/I/81z3iDg8vJL._AC_UL320_.jpg")</f>
        <v/>
      </c>
      <c r="K270" t="inlineStr">
        <is>
          <t>9.99</t>
        </is>
      </c>
      <c r="L270" t="n">
        <v>30.95</v>
      </c>
      <c r="M270" s="2" t="inlineStr">
        <is>
          <t>209.81%</t>
        </is>
      </c>
      <c r="N270" t="n">
        <v>4.7</v>
      </c>
      <c r="O270" t="n">
        <v>156</v>
      </c>
      <c r="Q270" t="inlineStr">
        <is>
          <t>InStock</t>
        </is>
      </c>
      <c r="R270" t="inlineStr">
        <is>
          <t>undefined</t>
        </is>
      </c>
      <c r="S270" t="inlineStr">
        <is>
          <t>G8004332708582</t>
        </is>
      </c>
    </row>
    <row r="271" ht="75" customHeight="1">
      <c r="A271" s="1">
        <f>HYPERLINK("https://www.toysrus.com/lelly---national-geographic-basic-collection-plush-black-bear-G8004332708582.html", "https://www.toysrus.com/lelly---national-geographic-basic-collection-plush-black-bear-G8004332708582.html")</f>
        <v/>
      </c>
      <c r="B271" s="1">
        <f>HYPERLINK("https://www.toysrus.com/lelly---national-geographic-basic-collection-plush-black-bear-G8004332708582.html", "https://www.toysrus.com/lelly---national-geographic-basic-collection-plush-black-bear-G8004332708582.html")</f>
        <v/>
      </c>
      <c r="C271" t="inlineStr">
        <is>
          <t>Lelly - National Geographic Basic Collection Plush, Black Bear</t>
        </is>
      </c>
      <c r="D271" t="inlineStr">
        <is>
          <t>NATIONAL GEOGRAPHIC Lelly Basic Collection Plush, Black Bear</t>
        </is>
      </c>
      <c r="E271" s="1">
        <f>HYPERLINK("https://www.amazon.com/Lelly-National-Geographic-Collection-Multi-Colour/dp/B07MVRRDCN/ref=sr_1_1?keywords=Lelly+-+National+Geographic+Basic+Collection+Plush%2C+Black+Bear&amp;qid=1695588420&amp;sr=8-1", "https://www.amazon.com/Lelly-National-Geographic-Collection-Multi-Colour/dp/B07MVRRDCN/ref=sr_1_1?keywords=Lelly+-+National+Geographic+Basic+Collection+Plush%2C+Black+Bear&amp;qid=1695588420&amp;sr=8-1")</f>
        <v/>
      </c>
      <c r="F271" t="inlineStr">
        <is>
          <t>B07MVRRDCN</t>
        </is>
      </c>
      <c r="G271">
        <f>_xlfn.IMAGE("https://images.toysrus.com/1285/8004332708582_1.jpg")</f>
        <v/>
      </c>
      <c r="H271">
        <f>_xlfn.IMAGE("https://m.media-amazon.com/images/I/71uRe-7j1rL._AC_UL320_.jpg")</f>
        <v/>
      </c>
      <c r="K271" t="inlineStr">
        <is>
          <t>9.99</t>
        </is>
      </c>
      <c r="L271" t="n">
        <v>17.99</v>
      </c>
      <c r="M271" s="2" t="inlineStr">
        <is>
          <t>80.08%</t>
        </is>
      </c>
      <c r="N271" t="n">
        <v>4.8</v>
      </c>
      <c r="O271" t="n">
        <v>8</v>
      </c>
      <c r="Q271" t="inlineStr">
        <is>
          <t>InStock</t>
        </is>
      </c>
      <c r="R271" t="inlineStr">
        <is>
          <t>undefined</t>
        </is>
      </c>
      <c r="S271" t="inlineStr">
        <is>
          <t>G8004332708582</t>
        </is>
      </c>
    </row>
    <row r="272" ht="75" customHeight="1">
      <c r="A272" s="1">
        <f>HYPERLINK("https://www.toysrus.com/linkimals-counting-koala-14543392.html", "https://www.toysrus.com/linkimals-counting-koala-14543392.html")</f>
        <v/>
      </c>
      <c r="B272" s="1">
        <f>HYPERLINK("https://www.toysrus.com/linkimals-counting-koala-14543392.html", "https://www.toysrus.com/linkimals-counting-koala-14543392.html")</f>
        <v/>
      </c>
      <c r="C272" t="inlineStr">
        <is>
          <t>Linkimals Counting Koala</t>
        </is>
      </c>
      <c r="D272" t="inlineStr">
        <is>
          <t>Fisher-Price Linkimals Counting Koala - UK English Edition, Animal-Themed Musical Learning Toy for Baby and Toddler Ages 9 Months and Older</t>
        </is>
      </c>
      <c r="E272" s="1">
        <f>HYPERLINK("https://www.amazon.com/Fisher-Price-GRG61-Linkimals-Counting-Koala/dp/B089TQ3DWS/ref=sr_1_2?keywords=Linkimals+Counting+Koala&amp;qid=1695588812&amp;sr=8-2", "https://www.amazon.com/Fisher-Price-GRG61-Linkimals-Counting-Koala/dp/B089TQ3DWS/ref=sr_1_2?keywords=Linkimals+Counting+Koala&amp;qid=1695588812&amp;sr=8-2")</f>
        <v/>
      </c>
      <c r="F272" t="inlineStr">
        <is>
          <t>B089TQ3DWS</t>
        </is>
      </c>
      <c r="G272">
        <f>_xlfn.IMAGE("http://slimages.macys.com/is/image/MCY/products/0/optimized/22519469_fpx.tif")</f>
        <v/>
      </c>
      <c r="H272">
        <f>_xlfn.IMAGE("https://m.media-amazon.com/images/I/61AsnlFyKFL._AC_UL320_.jpg")</f>
        <v/>
      </c>
      <c r="K272" t="inlineStr">
        <is>
          <t>26.99</t>
        </is>
      </c>
      <c r="L272" t="n">
        <v>53.14</v>
      </c>
      <c r="M272" s="2" t="inlineStr">
        <is>
          <t>96.89%</t>
        </is>
      </c>
      <c r="N272" t="n">
        <v>4.4</v>
      </c>
      <c r="O272" t="n">
        <v>1826</v>
      </c>
      <c r="Q272" t="inlineStr">
        <is>
          <t>InStock</t>
        </is>
      </c>
      <c r="R272" t="inlineStr">
        <is>
          <t>undefined</t>
        </is>
      </c>
      <c r="S272" t="inlineStr">
        <is>
          <t>14543392</t>
        </is>
      </c>
    </row>
    <row r="273" ht="75" customHeight="1">
      <c r="A273" s="1">
        <f>HYPERLINK("https://www.toysrus.com/lissi-pippi---drink-and-wet-baby-doll-G0744459904167.html", "https://www.toysrus.com/lissi-pippi---drink-and-wet-baby-doll-G0744459904167.html")</f>
        <v/>
      </c>
      <c r="B273" s="1">
        <f>HYPERLINK("https://www.toysrus.com/lissi-pippi---drink-and-wet-baby-doll-G0744459904167.html", "https://www.toysrus.com/lissi-pippi---drink-and-wet-baby-doll-G0744459904167.html")</f>
        <v/>
      </c>
      <c r="C273" t="inlineStr">
        <is>
          <t>Lissi PIPPI - Drink and Wet Baby Doll</t>
        </is>
      </c>
      <c r="D273" t="inlineStr">
        <is>
          <t>Corolle Drink and Wet Bath Baby Emma - 14” Girl Baby Doll with 3 Accessories - Bottle, Potty, and Pacifier - Really Drinks and Goes Potty, for Kids Ages 2 Years and up</t>
        </is>
      </c>
      <c r="E273" s="1">
        <f>HYPERLINK("https://www.amazon.com/Corolle-Drink-Bath-Baby-Emma/dp/B0BQYW132G/ref=sr_1_5?keywords=Lissi+PIPPI+-+Drink+and+Wet+Baby+Doll&amp;qid=1695588373&amp;sr=8-5", "https://www.amazon.com/Corolle-Drink-Bath-Baby-Emma/dp/B0BQYW132G/ref=sr_1_5?keywords=Lissi+PIPPI+-+Drink+and+Wet+Baby+Doll&amp;qid=1695588373&amp;sr=8-5")</f>
        <v/>
      </c>
      <c r="F273" t="inlineStr">
        <is>
          <t>B0BQYW132G</t>
        </is>
      </c>
      <c r="G273">
        <f>_xlfn.IMAGE("https://images.toysrus.com/1285/744459904167_1.jpg")</f>
        <v/>
      </c>
      <c r="H273">
        <f>_xlfn.IMAGE("https://m.media-amazon.com/images/I/71vcAuDkMDL._AC_UL320_.jpg")</f>
        <v/>
      </c>
      <c r="K273" t="inlineStr">
        <is>
          <t>14.99</t>
        </is>
      </c>
      <c r="L273" t="n">
        <v>62.64</v>
      </c>
      <c r="M273" s="2" t="inlineStr">
        <is>
          <t>317.88%</t>
        </is>
      </c>
      <c r="N273" t="n">
        <v>4.6</v>
      </c>
      <c r="O273" t="n">
        <v>3</v>
      </c>
      <c r="Q273" t="inlineStr">
        <is>
          <t>InStock</t>
        </is>
      </c>
      <c r="R273" t="inlineStr">
        <is>
          <t>undefined</t>
        </is>
      </c>
      <c r="S273" t="inlineStr">
        <is>
          <t>G0744459904167</t>
        </is>
      </c>
    </row>
    <row r="274" ht="75" customHeight="1">
      <c r="A274" s="1">
        <f>HYPERLINK("https://www.toysrus.com/lissi-pippi---drink-and-wet-baby-doll-G0744459904167.html", "https://www.toysrus.com/lissi-pippi---drink-and-wet-baby-doll-G0744459904167.html")</f>
        <v/>
      </c>
      <c r="B274" s="1">
        <f>HYPERLINK("https://www.toysrus.com/lissi-pippi---drink-and-wet-baby-doll-G0744459904167.html", "https://www.toysrus.com/lissi-pippi---drink-and-wet-baby-doll-G0744459904167.html")</f>
        <v/>
      </c>
      <c r="C274" t="inlineStr">
        <is>
          <t>Lissi PIPPI - Drink and Wet Baby Doll</t>
        </is>
      </c>
      <c r="D274" t="inlineStr">
        <is>
          <t>Baby Alive Magical Mixer Baby Doll Blueberry Blast with Blender Accessories, Drinks, Wets, Eats, Black Hair Toy for Kids Ages 3 and Up</t>
        </is>
      </c>
      <c r="E274" s="1">
        <f>HYPERLINK("https://www.amazon.com/BA-Magical-Mixer-Baby-Berry/dp/B09C9RHPWV/ref=sr_1_7?keywords=Lissi+PIPPI+-+Drink+and+Wet+Baby+Doll&amp;qid=1695588373&amp;sr=8-7", "https://www.amazon.com/BA-Magical-Mixer-Baby-Berry/dp/B09C9RHPWV/ref=sr_1_7?keywords=Lissi+PIPPI+-+Drink+and+Wet+Baby+Doll&amp;qid=1695588373&amp;sr=8-7")</f>
        <v/>
      </c>
      <c r="F274" t="inlineStr">
        <is>
          <t>B09C9RHPWV</t>
        </is>
      </c>
      <c r="G274">
        <f>_xlfn.IMAGE("https://images.toysrus.com/1285/744459904167_1.jpg")</f>
        <v/>
      </c>
      <c r="H274">
        <f>_xlfn.IMAGE("https://m.media-amazon.com/images/I/8145V3zMEvL._AC_UL320_.jpg")</f>
        <v/>
      </c>
      <c r="K274" t="inlineStr">
        <is>
          <t>14.99</t>
        </is>
      </c>
      <c r="L274" t="n">
        <v>43.8</v>
      </c>
      <c r="M274" s="2" t="inlineStr">
        <is>
          <t>192.19%</t>
        </is>
      </c>
      <c r="N274" t="n">
        <v>4.7</v>
      </c>
      <c r="O274" t="n">
        <v>602</v>
      </c>
      <c r="Q274" t="inlineStr">
        <is>
          <t>InStock</t>
        </is>
      </c>
      <c r="R274" t="inlineStr">
        <is>
          <t>undefined</t>
        </is>
      </c>
      <c r="S274" t="inlineStr">
        <is>
          <t>G0744459904167</t>
        </is>
      </c>
    </row>
    <row r="275" ht="75" customHeight="1">
      <c r="A275" s="1">
        <f>HYPERLINK("https://www.toysrus.com/lissi-pippi---drink-and-wet-baby-doll-G0744459904167.html", "https://www.toysrus.com/lissi-pippi---drink-and-wet-baby-doll-G0744459904167.html")</f>
        <v/>
      </c>
      <c r="B275" s="1">
        <f>HYPERLINK("https://www.toysrus.com/lissi-pippi---drink-and-wet-baby-doll-G0744459904167.html", "https://www.toysrus.com/lissi-pippi---drink-and-wet-baby-doll-G0744459904167.html")</f>
        <v/>
      </c>
      <c r="C275" t="inlineStr">
        <is>
          <t>Lissi PIPPI - Drink and Wet Baby Doll</t>
        </is>
      </c>
      <c r="D275" t="inlineStr">
        <is>
          <t>Baby Alive Mix My Medicine Baby Doll, Dinosaur Pajamas, Drinks and Wets, Doctor Accessories, Brown Hair Toy for Kids Ages 3 and Up</t>
        </is>
      </c>
      <c r="E275" s="1">
        <f>HYPERLINK("https://www.amazon.com/Baby-Alive-Medicine-Dinosaur-Accessories/dp/B07VZKGDKT/ref=sr_1_8?keywords=Lissi+PIPPI+-+Drink+and+Wet+Baby+Doll&amp;qid=1695588373&amp;sr=8-8", "https://www.amazon.com/Baby-Alive-Medicine-Dinosaur-Accessories/dp/B07VZKGDKT/ref=sr_1_8?keywords=Lissi+PIPPI+-+Drink+and+Wet+Baby+Doll&amp;qid=1695588373&amp;sr=8-8")</f>
        <v/>
      </c>
      <c r="F275" t="inlineStr">
        <is>
          <t>B07VZKGDKT</t>
        </is>
      </c>
      <c r="G275">
        <f>_xlfn.IMAGE("https://images.toysrus.com/1285/744459904167_1.jpg")</f>
        <v/>
      </c>
      <c r="H275">
        <f>_xlfn.IMAGE("https://m.media-amazon.com/images/I/81m8oyiKL0L._AC_UL320_.jpg")</f>
        <v/>
      </c>
      <c r="K275" t="inlineStr">
        <is>
          <t>14.99</t>
        </is>
      </c>
      <c r="L275" t="n">
        <v>32.79</v>
      </c>
      <c r="M275" s="2" t="inlineStr">
        <is>
          <t>118.75%</t>
        </is>
      </c>
      <c r="N275" t="n">
        <v>4.7</v>
      </c>
      <c r="O275" t="n">
        <v>2575</v>
      </c>
      <c r="Q275" t="inlineStr">
        <is>
          <t>InStock</t>
        </is>
      </c>
      <c r="R275" t="inlineStr">
        <is>
          <t>undefined</t>
        </is>
      </c>
      <c r="S275" t="inlineStr">
        <is>
          <t>G0744459904167</t>
        </is>
      </c>
    </row>
    <row r="276" ht="75" customHeight="1">
      <c r="A276" s="1">
        <f>HYPERLINK("https://www.toysrus.com/lissi-pippi---drink-and-wet-baby-doll-G0744459904167.html", "https://www.toysrus.com/lissi-pippi---drink-and-wet-baby-doll-G0744459904167.html")</f>
        <v/>
      </c>
      <c r="B276" s="1">
        <f>HYPERLINK("https://www.toysrus.com/lissi-pippi---drink-and-wet-baby-doll-G0744459904167.html", "https://www.toysrus.com/lissi-pippi---drink-and-wet-baby-doll-G0744459904167.html")</f>
        <v/>
      </c>
      <c r="C276" t="inlineStr">
        <is>
          <t>Lissi PIPPI - Drink and Wet Baby Doll</t>
        </is>
      </c>
      <c r="D276" t="inlineStr">
        <is>
          <t>Drink and Wet Potty Training Baby Doll posable Dolls with Pacifier, Bottle, and Diapers - Helps Toilet Training for Kids (Hispanic)</t>
        </is>
      </c>
      <c r="E276" s="1">
        <f>HYPERLINK("https://www.amazon.com/Training-Doll-posable-Pacifier-Diapers/dp/B08N2KS9WK/ref=sr_1_2?keywords=Lissi+PIPPI+-+Drink+and+Wet+Baby+Doll&amp;qid=1695588373&amp;sr=8-2", "https://www.amazon.com/Training-Doll-posable-Pacifier-Diapers/dp/B08N2KS9WK/ref=sr_1_2?keywords=Lissi+PIPPI+-+Drink+and+Wet+Baby+Doll&amp;qid=1695588373&amp;sr=8-2")</f>
        <v/>
      </c>
      <c r="F276" t="inlineStr">
        <is>
          <t>B08N2KS9WK</t>
        </is>
      </c>
      <c r="G276">
        <f>_xlfn.IMAGE("https://images.toysrus.com/1285/744459904167_1.jpg")</f>
        <v/>
      </c>
      <c r="H276">
        <f>_xlfn.IMAGE("https://m.media-amazon.com/images/I/71imR35jBkL._AC_UL320_.jpg")</f>
        <v/>
      </c>
      <c r="K276" t="inlineStr">
        <is>
          <t>14.99</t>
        </is>
      </c>
      <c r="L276" t="n">
        <v>25.99</v>
      </c>
      <c r="M276" s="2" t="inlineStr">
        <is>
          <t>73.38%</t>
        </is>
      </c>
      <c r="N276" t="n">
        <v>4</v>
      </c>
      <c r="O276" t="n">
        <v>738</v>
      </c>
      <c r="Q276" t="inlineStr">
        <is>
          <t>InStock</t>
        </is>
      </c>
      <c r="R276" t="inlineStr">
        <is>
          <t>undefined</t>
        </is>
      </c>
      <c r="S276" t="inlineStr">
        <is>
          <t>G0744459904167</t>
        </is>
      </c>
    </row>
    <row r="277" ht="75" customHeight="1">
      <c r="A277" s="1">
        <f>HYPERLINK("https://www.toysrus.com/loaded-questions-on-the-go-card-game-G635975200973.html", "https://www.toysrus.com/loaded-questions-on-the-go-card-game-G635975200973.html")</f>
        <v/>
      </c>
      <c r="B277" s="1">
        <f>HYPERLINK("https://www.toysrus.com/loaded-questions-on-the-go-card-game-G635975200973.html", "https://www.toysrus.com/loaded-questions-on-the-go-card-game-G635975200973.html")</f>
        <v/>
      </c>
      <c r="C277" t="inlineStr">
        <is>
          <t>Loaded Questions On The Go Card Game</t>
        </is>
      </c>
      <c r="D277" t="inlineStr">
        <is>
          <t>{THE AND} Couples Edition - 199 Meaningful Conversation Cards for Couples - Questions to Deepen Connection &amp; Build Relationships - Intimate &amp; Romantic Couples Card Game on Date Night by The Skin Deep</t>
        </is>
      </c>
      <c r="E277" s="1">
        <f>HYPERLINK("https://www.amazon.com/Couples-Meaningful-Conversation-Connection-Relationships/dp/B0BKQYYQCS/ref=sr_1_10?keywords=Loaded+Questions+On+The+Go+Card+Game&amp;qid=1695588325&amp;sr=8-10", "https://www.amazon.com/Couples-Meaningful-Conversation-Connection-Relationships/dp/B0BKQYYQCS/ref=sr_1_10?keywords=Loaded+Questions+On+The+Go+Card+Game&amp;qid=1695588325&amp;sr=8-10")</f>
        <v/>
      </c>
      <c r="F277" t="inlineStr">
        <is>
          <t>B0BKQYYQCS</t>
        </is>
      </c>
      <c r="G277">
        <f>_xlfn.IMAGE("https://images.toysrus.com/1285980/635975200973_1.jpg")</f>
        <v/>
      </c>
      <c r="H277">
        <f>_xlfn.IMAGE("https://m.media-amazon.com/images/I/71m2RbT-lnL._AC_UL320_.jpg")</f>
        <v/>
      </c>
      <c r="K277" t="inlineStr">
        <is>
          <t>11.99</t>
        </is>
      </c>
      <c r="L277" t="n">
        <v>29.99</v>
      </c>
      <c r="M277" s="2" t="inlineStr">
        <is>
          <t>150.13%</t>
        </is>
      </c>
      <c r="N277" t="n">
        <v>4.7</v>
      </c>
      <c r="O277" t="n">
        <v>1010</v>
      </c>
      <c r="Q277" t="inlineStr">
        <is>
          <t>InStock</t>
        </is>
      </c>
      <c r="R277" t="inlineStr">
        <is>
          <t>undefined</t>
        </is>
      </c>
      <c r="S277" t="inlineStr">
        <is>
          <t>G635975200973</t>
        </is>
      </c>
    </row>
    <row r="278" ht="75" customHeight="1">
      <c r="A278" s="1">
        <f>HYPERLINK("https://www.toysrus.com/loko-toys---baby-pink-premium-doll-G4897011195384.html", "https://www.toysrus.com/loko-toys---baby-pink-premium-doll-G4897011195384.html")</f>
        <v/>
      </c>
      <c r="B278" s="1">
        <f>HYPERLINK("https://www.toysrus.com/loko-toys---baby-pink-premium-doll-G4897011195384.html", "https://www.toysrus.com/loko-toys---baby-pink-premium-doll-G4897011195384.html")</f>
        <v/>
      </c>
      <c r="C278" t="inlineStr">
        <is>
          <t>Loko Toys - Baby Pink Premium Doll</t>
        </is>
      </c>
      <c r="D278" t="inlineStr">
        <is>
          <t>Real Girl Baby Doll 15" | Anatomically Correct | JC Toys - La Newborn | Made in Spain | Pink Knit Outfit &amp; Accessories | Ages 2+</t>
        </is>
      </c>
      <c r="E278" s="1">
        <f>HYPERLINK("https://www.amazon.com/JC-Toys-All-Vinyl-Anatomically-Accessories-Berenguer/dp/B00TVNN2G6/ref=sr_1_7?keywords=Loko+Toys+-+Baby+Pink+Premium+Doll&amp;qid=1695588268&amp;sr=8-7", "https://www.amazon.com/JC-Toys-All-Vinyl-Anatomically-Accessories-Berenguer/dp/B00TVNN2G6/ref=sr_1_7?keywords=Loko+Toys+-+Baby+Pink+Premium+Doll&amp;qid=1695588268&amp;sr=8-7")</f>
        <v/>
      </c>
      <c r="F278" t="inlineStr">
        <is>
          <t>B00TVNN2G6</t>
        </is>
      </c>
      <c r="G278">
        <f>_xlfn.IMAGE("https://images.toysrus.com/1285/4897011195384_1.jpg")</f>
        <v/>
      </c>
      <c r="H278">
        <f>_xlfn.IMAGE("https://m.media-amazon.com/images/I/718fLU+H5LL._AC_UL320_.jpg")</f>
        <v/>
      </c>
      <c r="K278" t="inlineStr">
        <is>
          <t>14.99</t>
        </is>
      </c>
      <c r="L278" t="n">
        <v>41.99</v>
      </c>
      <c r="M278" s="2" t="inlineStr">
        <is>
          <t>180.12%</t>
        </is>
      </c>
      <c r="N278" t="n">
        <v>4.7</v>
      </c>
      <c r="O278" t="n">
        <v>8009</v>
      </c>
      <c r="Q278" t="inlineStr">
        <is>
          <t>InStock</t>
        </is>
      </c>
      <c r="R278" t="inlineStr">
        <is>
          <t>undefined</t>
        </is>
      </c>
      <c r="S278" t="inlineStr">
        <is>
          <t>G4897011195384</t>
        </is>
      </c>
    </row>
    <row r="279" ht="75" customHeight="1">
      <c r="A279" s="1">
        <f>HYPERLINK("https://www.toysrus.com/loko-toys---baby-pink-premium-doll-G4897011195384.html", "https://www.toysrus.com/loko-toys---baby-pink-premium-doll-G4897011195384.html")</f>
        <v/>
      </c>
      <c r="B279" s="1">
        <f>HYPERLINK("https://www.toysrus.com/loko-toys---baby-pink-premium-doll-G4897011195384.html", "https://www.toysrus.com/loko-toys---baby-pink-premium-doll-G4897011195384.html")</f>
        <v/>
      </c>
      <c r="C279" t="inlineStr">
        <is>
          <t>Loko Toys - Baby Pink Premium Doll</t>
        </is>
      </c>
      <c r="D279" t="inlineStr">
        <is>
          <t>JC Toys La Newborn Baby Play Dolls, Pink, 17"</t>
        </is>
      </c>
      <c r="E279" s="1">
        <f>HYPERLINK("https://www.amazon.com/JC-Toys-Newborn-Baby-Dolls/dp/B07CNDM26J/ref=sr_1_8?keywords=Loko+Toys+-+Baby+Pink+Premium+Doll&amp;qid=1695588268&amp;sr=8-8", "https://www.amazon.com/JC-Toys-Newborn-Baby-Dolls/dp/B07CNDM26J/ref=sr_1_8?keywords=Loko+Toys+-+Baby+Pink+Premium+Doll&amp;qid=1695588268&amp;sr=8-8")</f>
        <v/>
      </c>
      <c r="F279" t="inlineStr">
        <is>
          <t>B07CNDM26J</t>
        </is>
      </c>
      <c r="G279">
        <f>_xlfn.IMAGE("https://images.toysrus.com/1285/4897011195384_1.jpg")</f>
        <v/>
      </c>
      <c r="H279">
        <f>_xlfn.IMAGE("https://m.media-amazon.com/images/I/61ZYFmhmlaL._AC_UL320_.jpg")</f>
        <v/>
      </c>
      <c r="K279" t="inlineStr">
        <is>
          <t>14.99</t>
        </is>
      </c>
      <c r="L279" t="n">
        <v>39.99</v>
      </c>
      <c r="M279" s="2" t="inlineStr">
        <is>
          <t>166.78%</t>
        </is>
      </c>
      <c r="N279" t="n">
        <v>4.4</v>
      </c>
      <c r="O279" t="n">
        <v>187</v>
      </c>
      <c r="Q279" t="inlineStr">
        <is>
          <t>InStock</t>
        </is>
      </c>
      <c r="R279" t="inlineStr">
        <is>
          <t>undefined</t>
        </is>
      </c>
      <c r="S279" t="inlineStr">
        <is>
          <t>G4897011195384</t>
        </is>
      </c>
    </row>
    <row r="280" ht="75" customHeight="1">
      <c r="A280" s="1">
        <f>HYPERLINK("https://www.toysrus.com/loko-toys---baby-pink-premium-doll-G4897011195384.html", "https://www.toysrus.com/loko-toys---baby-pink-premium-doll-G4897011195384.html")</f>
        <v/>
      </c>
      <c r="B280" s="1">
        <f>HYPERLINK("https://www.toysrus.com/loko-toys---baby-pink-premium-doll-G4897011195384.html", "https://www.toysrus.com/loko-toys---baby-pink-premium-doll-G4897011195384.html")</f>
        <v/>
      </c>
      <c r="C280" t="inlineStr">
        <is>
          <t>Loko Toys - Baby Pink Premium Doll</t>
        </is>
      </c>
      <c r="D280" t="inlineStr">
        <is>
          <t>Tikiri Toys Bonikka Baby Aria - Organic Baby Doll (Dusty Pink)</t>
        </is>
      </c>
      <c r="E280" s="1">
        <f>HYPERLINK("https://www.amazon.com/Tikiri-Toys-Bonikka-Baby-Aria/dp/B08MLGVJFP/ref=sr_1_10?keywords=Loko+Toys+-+Baby+Pink+Premium+Doll&amp;qid=1695588268&amp;sr=8-10", "https://www.amazon.com/Tikiri-Toys-Bonikka-Baby-Aria/dp/B08MLGVJFP/ref=sr_1_10?keywords=Loko+Toys+-+Baby+Pink+Premium+Doll&amp;qid=1695588268&amp;sr=8-10")</f>
        <v/>
      </c>
      <c r="F280" t="inlineStr">
        <is>
          <t>B08MLGVJFP</t>
        </is>
      </c>
      <c r="G280">
        <f>_xlfn.IMAGE("https://images.toysrus.com/1285/4897011195384_1.jpg")</f>
        <v/>
      </c>
      <c r="H280">
        <f>_xlfn.IMAGE("https://m.media-amazon.com/images/I/61KBZnj6YmL._AC_UL320_.jpg")</f>
        <v/>
      </c>
      <c r="K280" t="inlineStr">
        <is>
          <t>14.99</t>
        </is>
      </c>
      <c r="L280" t="n">
        <v>38</v>
      </c>
      <c r="M280" s="2" t="inlineStr">
        <is>
          <t>153.50%</t>
        </is>
      </c>
      <c r="N280" t="n">
        <v>4.7</v>
      </c>
      <c r="O280" t="n">
        <v>115</v>
      </c>
      <c r="Q280" t="inlineStr">
        <is>
          <t>InStock</t>
        </is>
      </c>
      <c r="R280" t="inlineStr">
        <is>
          <t>undefined</t>
        </is>
      </c>
      <c r="S280" t="inlineStr">
        <is>
          <t>G4897011195384</t>
        </is>
      </c>
    </row>
    <row r="281" ht="75" customHeight="1">
      <c r="A281" s="1">
        <f>HYPERLINK("https://www.toysrus.com/loko-toys---baby-pink-premium-doll-G4897011195384.html", "https://www.toysrus.com/loko-toys---baby-pink-premium-doll-G4897011195384.html")</f>
        <v/>
      </c>
      <c r="B281" s="1">
        <f>HYPERLINK("https://www.toysrus.com/loko-toys---baby-pink-premium-doll-G4897011195384.html", "https://www.toysrus.com/loko-toys---baby-pink-premium-doll-G4897011195384.html")</f>
        <v/>
      </c>
      <c r="C281" t="inlineStr">
        <is>
          <t>Loko Toys - Baby Pink Premium Doll</t>
        </is>
      </c>
      <c r="D281" t="inlineStr">
        <is>
          <t>JC Toys La Baby Caucasian 16-inch Small Soft Body Baby Doll La Baby | Washable |Removable Pink Floral Outfit w/Hat, Pacifier &amp; Magic Bottle | for Children 12 Months +</t>
        </is>
      </c>
      <c r="E281" s="1">
        <f>HYPERLINK("https://www.amazon.com/JC-Toys-Caucasian-Washable-Removable/dp/B0BJ34R8Z1/ref=sr_1_2?keywords=Loko+Toys+-+Baby+Pink+Premium+Doll&amp;qid=1695588268&amp;sr=8-2", "https://www.amazon.com/JC-Toys-Caucasian-Washable-Removable/dp/B0BJ34R8Z1/ref=sr_1_2?keywords=Loko+Toys+-+Baby+Pink+Premium+Doll&amp;qid=1695588268&amp;sr=8-2")</f>
        <v/>
      </c>
      <c r="F281" t="inlineStr">
        <is>
          <t>B0BJ34R8Z1</t>
        </is>
      </c>
      <c r="G281">
        <f>_xlfn.IMAGE("https://images.toysrus.com/1285/4897011195384_1.jpg")</f>
        <v/>
      </c>
      <c r="H281">
        <f>_xlfn.IMAGE("https://m.media-amazon.com/images/I/714D5SdompL._AC_UL320_.jpg")</f>
        <v/>
      </c>
      <c r="K281" t="inlineStr">
        <is>
          <t>14.99</t>
        </is>
      </c>
      <c r="L281" t="n">
        <v>34.2</v>
      </c>
      <c r="M281" s="2" t="inlineStr">
        <is>
          <t>128.15%</t>
        </is>
      </c>
      <c r="N281" t="n">
        <v>4.8</v>
      </c>
      <c r="O281" t="n">
        <v>8045</v>
      </c>
      <c r="Q281" t="inlineStr">
        <is>
          <t>InStock</t>
        </is>
      </c>
      <c r="R281" t="inlineStr">
        <is>
          <t>undefined</t>
        </is>
      </c>
      <c r="S281" t="inlineStr">
        <is>
          <t>G4897011195384</t>
        </is>
      </c>
    </row>
    <row r="282" ht="75" customHeight="1">
      <c r="A282" s="1">
        <f>HYPERLINK("https://www.toysrus.com/mack-tool-truck-4-in-1-set---theo-klein-G4009847035011.html", "https://www.toysrus.com/mack-tool-truck-4-in-1-set---theo-klein-G4009847035011.html")</f>
        <v/>
      </c>
      <c r="B282" s="1">
        <f>HYPERLINK("https://www.toysrus.com/mack-tool-truck-4-in-1-set---theo-klein-G4009847035011.html", "https://www.toysrus.com/mack-tool-truck-4-in-1-set---theo-klein-G4009847035011.html")</f>
        <v/>
      </c>
      <c r="C282" t="inlineStr">
        <is>
          <t>Mack: Tool Truck 4-In-1 Set - Theo Klein</t>
        </is>
      </c>
      <c r="D282" t="inlineStr">
        <is>
          <t>Theo Klein 8640 Bosch Screw Truck Play Set with Ixolino I Construction Toys with Tools, Forklift and Crane I Toys for Children Aged 3 and Over</t>
        </is>
      </c>
      <c r="E282" s="1">
        <f>HYPERLINK("https://www.amazon.com/Theo-Klein-8640-Bosch-Ixolino/dp/B003WO08WQ/ref=sr_1_10?keywords=Mack%3A+Tool+Truck+4-In-1+Set+-+Theo+Klein&amp;qid=1695588424&amp;sr=8-10", "https://www.amazon.com/Theo-Klein-8640-Bosch-Ixolino/dp/B003WO08WQ/ref=sr_1_10?keywords=Mack%3A+Tool+Truck+4-In-1+Set+-+Theo+Klein&amp;qid=1695588424&amp;sr=8-10")</f>
        <v/>
      </c>
      <c r="F282" t="inlineStr">
        <is>
          <t>B003WO08WQ</t>
        </is>
      </c>
      <c r="G282">
        <f>_xlfn.IMAGE("https://images.toysrus.com/1285/4009847035011_1.jpg")</f>
        <v/>
      </c>
      <c r="H282">
        <f>_xlfn.IMAGE("https://m.media-amazon.com/images/I/71a2raOWPnL._AC_UL320_.jpg")</f>
        <v/>
      </c>
      <c r="K282" t="inlineStr">
        <is>
          <t>34.99</t>
        </is>
      </c>
      <c r="L282" t="n">
        <v>77.91</v>
      </c>
      <c r="M282" s="2" t="inlineStr">
        <is>
          <t>122.66%</t>
        </is>
      </c>
      <c r="N282" t="n">
        <v>4.3</v>
      </c>
      <c r="O282" t="n">
        <v>144</v>
      </c>
      <c r="Q282" t="inlineStr">
        <is>
          <t>InStock</t>
        </is>
      </c>
      <c r="R282" t="inlineStr">
        <is>
          <t>undefined</t>
        </is>
      </c>
      <c r="S282" t="inlineStr">
        <is>
          <t>G4009847035011</t>
        </is>
      </c>
    </row>
    <row r="283" ht="75" customHeight="1">
      <c r="A283" s="1">
        <f>HYPERLINK("https://www.toysrus.com/mack-tool-truck-4-in-1-set---theo-klein-G4009847035011.html", "https://www.toysrus.com/mack-tool-truck-4-in-1-set---theo-klein-G4009847035011.html")</f>
        <v/>
      </c>
      <c r="B283" s="1">
        <f>HYPERLINK("https://www.toysrus.com/mack-tool-truck-4-in-1-set---theo-klein-G4009847035011.html", "https://www.toysrus.com/mack-tool-truck-4-in-1-set---theo-klein-G4009847035011.html")</f>
        <v/>
      </c>
      <c r="C283" t="inlineStr">
        <is>
          <t>Mack: Tool Truck 4-In-1 Set - Theo Klein</t>
        </is>
      </c>
      <c r="D283" t="inlineStr">
        <is>
          <t>Theo Klein 8640 Bosch Screw Truck Play Set with Ixolino I Construction Toys with Tools, Forklift and Crane I Toys for Children Aged 3 and Over</t>
        </is>
      </c>
      <c r="E283" s="1">
        <f>HYPERLINK("https://www.amazon.com/Theo-Klein-8640-Bosch-Ixolino/dp/B003WO08WQ/ref=sr_1_10?keywords=Mack%3A+Tool+Truck+4-In-1+Set+-+Theo+Klein&amp;qid=1695588776&amp;sr=8-10", "https://www.amazon.com/Theo-Klein-8640-Bosch-Ixolino/dp/B003WO08WQ/ref=sr_1_10?keywords=Mack%3A+Tool+Truck+4-In-1+Set+-+Theo+Klein&amp;qid=1695588776&amp;sr=8-10")</f>
        <v/>
      </c>
      <c r="F283" t="inlineStr">
        <is>
          <t>B003WO08WQ</t>
        </is>
      </c>
      <c r="G283">
        <f>_xlfn.IMAGE("https://images.toysrus.com/1285/4009847035011_1.jpg")</f>
        <v/>
      </c>
      <c r="H283">
        <f>_xlfn.IMAGE("https://m.media-amazon.com/images/I/71a2raOWPnL._AC_UL320_.jpg")</f>
        <v/>
      </c>
      <c r="K283" t="inlineStr">
        <is>
          <t>34.99</t>
        </is>
      </c>
      <c r="L283" t="n">
        <v>77.91</v>
      </c>
      <c r="M283" s="2" t="inlineStr">
        <is>
          <t>122.66%</t>
        </is>
      </c>
      <c r="N283" t="n">
        <v>4.3</v>
      </c>
      <c r="O283" t="n">
        <v>144</v>
      </c>
      <c r="Q283" t="inlineStr">
        <is>
          <t>InStock</t>
        </is>
      </c>
      <c r="R283" t="inlineStr">
        <is>
          <t>undefined</t>
        </is>
      </c>
      <c r="S283" t="inlineStr">
        <is>
          <t>G4009847035011</t>
        </is>
      </c>
    </row>
    <row r="284" ht="75" customHeight="1">
      <c r="A284" s="1">
        <f>HYPERLINK("https://www.toysrus.com/magic-market----loki-childrens-board-game-ages-6-2-4-players-30-min-G3760175518195.html", "https://www.toysrus.com/magic-market----loki-childrens-board-game-ages-6-2-4-players-30-min-G3760175518195.html")</f>
        <v/>
      </c>
      <c r="B284" s="1">
        <f>HYPERLINK("https://www.toysrus.com/magic-market----loki-childrens-board-game-ages-6-2-4-players-30-min-G3760175518195.html", "https://www.toysrus.com/magic-market----loki-childrens-board-game-ages-6-2-4-players-30-min-G3760175518195.html")</f>
        <v/>
      </c>
      <c r="C284" t="inlineStr">
        <is>
          <t>Magic Market - LOKI Childrens Board Game, Ages 6+, 2-4 Players, 30 Min</t>
        </is>
      </c>
      <c r="D284" t="inlineStr">
        <is>
          <t>Loki: Magic Market, Strategy Board Game, Immersive Gameplay for Children, Easy to Learn in Minutes, 2 to 4 Players, for Ages 6 and Up</t>
        </is>
      </c>
      <c r="E284" s="1">
        <f>HYPERLINK("https://www.amazon.com/Loki-Strategy-Immersive-Gameplay-Children/dp/B0915GWQZK/ref=sr_1_1?keywords=Magic+Market+-+LOKI+Childrens+Board+Game%2C+Ages+6%2B%2C+2-4+Players%2C+30+Min&amp;qid=1695588452&amp;sr=8-1", "https://www.amazon.com/Loki-Strategy-Immersive-Gameplay-Children/dp/B0915GWQZK/ref=sr_1_1?keywords=Magic+Market+-+LOKI+Childrens+Board+Game%2C+Ages+6%2B%2C+2-4+Players%2C+30+Min&amp;qid=1695588452&amp;sr=8-1")</f>
        <v/>
      </c>
      <c r="F284" t="inlineStr">
        <is>
          <t>B0915GWQZK</t>
        </is>
      </c>
      <c r="G284">
        <f>_xlfn.IMAGE("https://images.toysrus.com/1285/3760175518195_1.jpg")</f>
        <v/>
      </c>
      <c r="H284">
        <f>_xlfn.IMAGE("https://m.media-amazon.com/images/I/81yj4XnP8KL._AC_UL320_.jpg")</f>
        <v/>
      </c>
      <c r="K284" t="inlineStr">
        <is>
          <t>19.99</t>
        </is>
      </c>
      <c r="L284" t="n">
        <v>34.35</v>
      </c>
      <c r="M284" s="2" t="inlineStr">
        <is>
          <t>71.84%</t>
        </is>
      </c>
      <c r="N284" t="n">
        <v>4.8</v>
      </c>
      <c r="O284" t="n">
        <v>6</v>
      </c>
      <c r="Q284" t="inlineStr">
        <is>
          <t>InStock</t>
        </is>
      </c>
      <c r="R284" t="inlineStr">
        <is>
          <t>19.99</t>
        </is>
      </c>
      <c r="S284" t="inlineStr">
        <is>
          <t>G3760175518195</t>
        </is>
      </c>
    </row>
    <row r="285" ht="75" customHeight="1">
      <c r="A285" s="1">
        <f>HYPERLINK("https://www.toysrus.com/magic-maze-kids---forest-magic-cooperative-game-G617737239780.html", "https://www.toysrus.com/magic-maze-kids---forest-magic-cooperative-game-G617737239780.html")</f>
        <v/>
      </c>
      <c r="B285" s="1">
        <f>HYPERLINK("https://www.toysrus.com/magic-maze-kids---forest-magic-cooperative-game-G617737239780.html", "https://www.toysrus.com/magic-maze-kids---forest-magic-cooperative-game-G617737239780.html")</f>
        <v/>
      </c>
      <c r="C285" t="inlineStr">
        <is>
          <t>Magic Maze Kids - Forest Magic Cooperative Game</t>
        </is>
      </c>
      <c r="D285" t="inlineStr">
        <is>
          <t>Dude Games DGMMK01 Magic Maze Kids Toys</t>
        </is>
      </c>
      <c r="E285" s="1">
        <f>HYPERLINK("https://www.amazon.com/Dude-Games-SIT0009G-Magic-Maze/dp/B07BDKP7PW/ref=sr_1_6?keywords=Magic+Maze+Kids+-+Forest+Magic+Cooperative+Game&amp;qid=1695588402&amp;sr=8-6", "https://www.amazon.com/Dude-Games-SIT0009G-Magic-Maze/dp/B07BDKP7PW/ref=sr_1_6?keywords=Magic+Maze+Kids+-+Forest+Magic+Cooperative+Game&amp;qid=1695588402&amp;sr=8-6")</f>
        <v/>
      </c>
      <c r="F285" t="inlineStr">
        <is>
          <t>B07BDKP7PW</t>
        </is>
      </c>
      <c r="G285">
        <f>_xlfn.IMAGE("https://images.toysrus.com/1285/617737239780_1.jpg")</f>
        <v/>
      </c>
      <c r="H285">
        <f>_xlfn.IMAGE("https://m.media-amazon.com/images/I/71M9ysZMPPL._AC_UL320_.jpg")</f>
        <v/>
      </c>
      <c r="K285" t="inlineStr">
        <is>
          <t>34.99</t>
        </is>
      </c>
      <c r="L285" t="n">
        <v>62.04</v>
      </c>
      <c r="M285" s="2" t="inlineStr">
        <is>
          <t>77.31%</t>
        </is>
      </c>
      <c r="N285" t="n">
        <v>4.3</v>
      </c>
      <c r="O285" t="n">
        <v>32</v>
      </c>
      <c r="Q285" t="inlineStr">
        <is>
          <t>InStock</t>
        </is>
      </c>
      <c r="R285" t="inlineStr">
        <is>
          <t>undefined</t>
        </is>
      </c>
      <c r="S285" t="inlineStr">
        <is>
          <t>G617737239780</t>
        </is>
      </c>
    </row>
    <row r="286" ht="75" customHeight="1">
      <c r="A286" s="1">
        <f>HYPERLINK("https://www.toysrus.com/make-it-real--all-linked-up-G0695929017071.html", "https://www.toysrus.com/make-it-real--all-linked-up-G0695929017071.html")</f>
        <v/>
      </c>
      <c r="B286" s="1">
        <f>HYPERLINK("https://www.toysrus.com/make-it-real--all-linked-up-G0695929017071.html", "https://www.toysrus.com/make-it-real--all-linked-up-G0695929017071.html")</f>
        <v/>
      </c>
      <c r="C286" t="inlineStr">
        <is>
          <t>Make It Real All Linked Up</t>
        </is>
      </c>
      <c r="D286" t="inlineStr">
        <is>
          <t>Make It Real -- All Linked Up</t>
        </is>
      </c>
      <c r="E286" s="1">
        <f>HYPERLINK("https://www.amazon.com/Make-Real-All-Linked/dp/B09XFDK7R1/ref=sr_1_2?keywords=Make+It+Real+All+Linked+Up&amp;qid=1695588637&amp;sr=8-2", "https://www.amazon.com/Make-Real-All-Linked/dp/B09XFDK7R1/ref=sr_1_2?keywords=Make+It+Real+All+Linked+Up&amp;qid=1695588637&amp;sr=8-2")</f>
        <v/>
      </c>
      <c r="F286" t="inlineStr">
        <is>
          <t>B09XFDK7R1</t>
        </is>
      </c>
      <c r="G286">
        <f>_xlfn.IMAGE("https://images.toysrus.com/0128598/695929017071.jpg")</f>
        <v/>
      </c>
      <c r="H286">
        <f>_xlfn.IMAGE("https://m.media-amazon.com/images/I/713HqMu8qWL._AC_UL320_.jpg")</f>
        <v/>
      </c>
      <c r="I286" t="n">
        <v>3</v>
      </c>
      <c r="J286" t="inlineStr">
        <is>
          <t>redundant result already have this from previous sheet</t>
        </is>
      </c>
      <c r="K286" t="inlineStr">
        <is>
          <t>14.99</t>
        </is>
      </c>
      <c r="L286" t="n">
        <v>29</v>
      </c>
      <c r="M286" s="2" t="inlineStr">
        <is>
          <t>93.46%</t>
        </is>
      </c>
      <c r="N286" t="n">
        <v>5</v>
      </c>
      <c r="O286" t="n">
        <v>2</v>
      </c>
      <c r="Q286" t="inlineStr">
        <is>
          <t>InStock</t>
        </is>
      </c>
      <c r="R286" t="inlineStr">
        <is>
          <t>undefined</t>
        </is>
      </c>
      <c r="S286" t="inlineStr">
        <is>
          <t>G0695929017071</t>
        </is>
      </c>
    </row>
    <row r="287" ht="75" customHeight="1">
      <c r="A287" s="1">
        <f>HYPERLINK("https://www.toysrus.com/make-it-real--all-linked-up-G0695929017071.html", "https://www.toysrus.com/make-it-real--all-linked-up-G0695929017071.html")</f>
        <v/>
      </c>
      <c r="B287" s="1">
        <f>HYPERLINK("https://www.toysrus.com/make-it-real--all-linked-up-G0695929017071.html", "https://www.toysrus.com/make-it-real--all-linked-up-G0695929017071.html")</f>
        <v/>
      </c>
      <c r="C287" t="inlineStr">
        <is>
          <t>Make It Real All Linked Up</t>
        </is>
      </c>
      <c r="D287" t="inlineStr">
        <is>
          <t>Make It Real All Linked Up Bracelet Making Kit - DIY Charm Bracelet Making Kit for Girls - Kids Bracelet Making Kit for Teen Girls - Jewelry Making Kit for Girls 8-12 - Craft Kit Gifts for Girls</t>
        </is>
      </c>
      <c r="E287" s="1">
        <f>HYPERLINK("https://www.amazon.com/Make-Real-Linked-Bracelet-Making/dp/B09NCLGN8N/ref=sr_1_1?keywords=Make+It+Real+All+Linked+Up&amp;qid=1695588637&amp;sr=8-1", "https://www.amazon.com/Make-Real-Linked-Bracelet-Making/dp/B09NCLGN8N/ref=sr_1_1?keywords=Make+It+Real+All+Linked+Up&amp;qid=1695588637&amp;sr=8-1")</f>
        <v/>
      </c>
      <c r="F287" t="inlineStr">
        <is>
          <t>B09NCLGN8N</t>
        </is>
      </c>
      <c r="G287">
        <f>_xlfn.IMAGE("https://images.toysrus.com/0128598/695929017071.jpg")</f>
        <v/>
      </c>
      <c r="H287">
        <f>_xlfn.IMAGE("https://m.media-amazon.com/images/I/61IRFWcS1sL._AC_UL320_.jpg")</f>
        <v/>
      </c>
      <c r="I287" t="n">
        <v>0</v>
      </c>
      <c r="J287" t="inlineStr">
        <is>
          <t>redundant result already have this from previous sheet</t>
        </is>
      </c>
      <c r="K287" t="inlineStr">
        <is>
          <t>14.99</t>
        </is>
      </c>
      <c r="L287" t="n">
        <v>29</v>
      </c>
      <c r="M287" s="2" t="inlineStr">
        <is>
          <t>93.46%</t>
        </is>
      </c>
      <c r="N287" t="n">
        <v>4.5</v>
      </c>
      <c r="O287" t="n">
        <v>31</v>
      </c>
      <c r="Q287" t="inlineStr">
        <is>
          <t>InStock</t>
        </is>
      </c>
      <c r="R287" t="inlineStr">
        <is>
          <t>undefined</t>
        </is>
      </c>
      <c r="S287" t="inlineStr">
        <is>
          <t>G0695929017071</t>
        </is>
      </c>
    </row>
    <row r="288" ht="75" customHeight="1">
      <c r="A288" s="1">
        <f>HYPERLINK("https://www.toysrus.com/make-it-real-bedazzled-charm-bracelets-kit-G0695929012021.html", "https://www.toysrus.com/make-it-real-bedazzled-charm-bracelets-kit-G0695929012021.html")</f>
        <v/>
      </c>
      <c r="B288" s="1">
        <f>HYPERLINK("https://www.toysrus.com/make-it-real-bedazzled-charm-bracelets-kit-G0695929012021.html", "https://www.toysrus.com/make-it-real-bedazzled-charm-bracelets-kit-G0695929012021.html")</f>
        <v/>
      </c>
      <c r="C288" t="inlineStr">
        <is>
          <t>Make It Real: Bedazzled! Charm Bracelets Kit</t>
        </is>
      </c>
      <c r="D288" t="inlineStr">
        <is>
          <t>Make It Real - Halo Charms Bracelets True Blue - DIY Charm Bracelet Making Kit - Friendship Bracelet Kit with Beads, Charms &amp; Cord - Arts &amp; Crafts Bead Kit for Girls - Makes 3 Bracelets</t>
        </is>
      </c>
      <c r="E288" s="1">
        <f>HYPERLINK("https://www.amazon.com/Make-Real-Bracelets-Bracelet-Friendship/dp/B08WFSGH44/ref=sr_1_6?keywords=Make+It+Real%3A+Bedazzled%21+Charm+Bracelets+Kit&amp;qid=1695588667&amp;sr=8-6", "https://www.amazon.com/Make-Real-Bracelets-Bracelet-Friendship/dp/B08WFSGH44/ref=sr_1_6?keywords=Make+It+Real%3A+Bedazzled%21+Charm+Bracelets+Kit&amp;qid=1695588667&amp;sr=8-6")</f>
        <v/>
      </c>
      <c r="F288" t="inlineStr">
        <is>
          <t>B08WFSGH44</t>
        </is>
      </c>
      <c r="G288">
        <f>_xlfn.IMAGE("https://images.toysrus.com/28598/695929012021_1.jpg")</f>
        <v/>
      </c>
      <c r="H288">
        <f>_xlfn.IMAGE("https://m.media-amazon.com/images/I/81o+qpMGW0L._AC_UL320_.jpg")</f>
        <v/>
      </c>
      <c r="K288" t="inlineStr">
        <is>
          <t>7.99</t>
        </is>
      </c>
      <c r="L288" t="n">
        <v>19.99</v>
      </c>
      <c r="M288" s="2" t="inlineStr">
        <is>
          <t>150.19%</t>
        </is>
      </c>
      <c r="N288" t="n">
        <v>4.5</v>
      </c>
      <c r="O288" t="n">
        <v>73</v>
      </c>
      <c r="Q288" t="inlineStr">
        <is>
          <t>InStock</t>
        </is>
      </c>
      <c r="R288" t="inlineStr">
        <is>
          <t>undefined</t>
        </is>
      </c>
      <c r="S288" t="inlineStr">
        <is>
          <t>G0695929012021</t>
        </is>
      </c>
    </row>
    <row r="289" ht="75" customHeight="1">
      <c r="A289" s="1">
        <f>HYPERLINK("https://www.toysrus.com/make-it-real-bedazzled-charm-bracelets-kit-G0695929012021.html", "https://www.toysrus.com/make-it-real-bedazzled-charm-bracelets-kit-G0695929012021.html")</f>
        <v/>
      </c>
      <c r="B289" s="1">
        <f>HYPERLINK("https://www.toysrus.com/make-it-real-bedazzled-charm-bracelets-kit-G0695929012021.html", "https://www.toysrus.com/make-it-real-bedazzled-charm-bracelets-kit-G0695929012021.html")</f>
        <v/>
      </c>
      <c r="C289" t="inlineStr">
        <is>
          <t>Make It Real: Bedazzled! Charm Bracelets Kit</t>
        </is>
      </c>
      <c r="D289" t="inlineStr">
        <is>
          <t>Make It Real: Bedazzled! Charm Bracelets Kit - Blooming Creativity - Create 3 Unique Bracelets, 104 Pieces, Includes Play Tray, All-in-One, DIY Jewelry Kit, Tweens &amp; Girls, Arts &amp; Crafts, Ages 8+</t>
        </is>
      </c>
      <c r="E289" s="1">
        <f>HYPERLINK("https://www.amazon.com/Make-Real-1202-Bedazzled-Bracelets/dp/B06XZKJR1Z/ref=sr_1_5?keywords=Make+It+Real%3A+Bedazzled%21+Charm+Bracelets+Kit&amp;qid=1695588667&amp;sr=8-5", "https://www.amazon.com/Make-Real-1202-Bedazzled-Bracelets/dp/B06XZKJR1Z/ref=sr_1_5?keywords=Make+It+Real%3A+Bedazzled%21+Charm+Bracelets+Kit&amp;qid=1695588667&amp;sr=8-5")</f>
        <v/>
      </c>
      <c r="F289" t="inlineStr">
        <is>
          <t>B06XZKJR1Z</t>
        </is>
      </c>
      <c r="G289">
        <f>_xlfn.IMAGE("https://images.toysrus.com/28598/695929012021_1.jpg")</f>
        <v/>
      </c>
      <c r="H289">
        <f>_xlfn.IMAGE("https://m.media-amazon.com/images/I/81Iddfh5FLL._AC_UL320_.jpg")</f>
        <v/>
      </c>
      <c r="I289" t="n">
        <v>0</v>
      </c>
      <c r="J289" t="inlineStr">
        <is>
          <t>low roi</t>
        </is>
      </c>
      <c r="K289" t="inlineStr">
        <is>
          <t>7.99</t>
        </is>
      </c>
      <c r="L289" t="n">
        <v>16.71</v>
      </c>
      <c r="M289" s="2" t="inlineStr">
        <is>
          <t>109.14%</t>
        </is>
      </c>
      <c r="N289" t="n">
        <v>4.4</v>
      </c>
      <c r="O289" t="n">
        <v>790</v>
      </c>
      <c r="Q289" t="inlineStr">
        <is>
          <t>InStock</t>
        </is>
      </c>
      <c r="R289" t="inlineStr">
        <is>
          <t>undefined</t>
        </is>
      </c>
      <c r="S289" t="inlineStr">
        <is>
          <t>G0695929012021</t>
        </is>
      </c>
    </row>
    <row r="290" ht="75" customHeight="1">
      <c r="A290" s="1">
        <f>HYPERLINK("https://www.toysrus.com/make-it-real--diy-dreamcatcher-G0695929014032.html", "https://www.toysrus.com/make-it-real--diy-dreamcatcher-G0695929014032.html")</f>
        <v/>
      </c>
      <c r="B290" s="1">
        <f>HYPERLINK("https://www.toysrus.com/make-it-real--diy-dreamcatcher-G0695929014032.html", "https://www.toysrus.com/make-it-real--diy-dreamcatcher-G0695929014032.html")</f>
        <v/>
      </c>
      <c r="C290" t="inlineStr">
        <is>
          <t>Make It Real DIY Dreamcatcher</t>
        </is>
      </c>
      <c r="D290" t="inlineStr">
        <is>
          <t>DIY Dream Catcher Kit Do It Yourself Craft kit for girls Creative Activity Birthday Party Favor Make Your own Diam 6.2"Pink Blush White Dreamcatcher</t>
        </is>
      </c>
      <c r="E290" s="1">
        <f>HYPERLINK("https://www.amazon.com/Yourself-Activity-Dreamcatcher-Supplies-Birthday/dp/B07TYDQPHK/ref=sr_1_3?keywords=Make+It+Real+DIY+Dreamcatcher&amp;qid=1695588629&amp;sr=8-3", "https://www.amazon.com/Yourself-Activity-Dreamcatcher-Supplies-Birthday/dp/B07TYDQPHK/ref=sr_1_3?keywords=Make+It+Real+DIY+Dreamcatcher&amp;qid=1695588629&amp;sr=8-3")</f>
        <v/>
      </c>
      <c r="F290" t="inlineStr">
        <is>
          <t>B07TYDQPHK</t>
        </is>
      </c>
      <c r="G290">
        <f>_xlfn.IMAGE("https://images.toysrus.com/0128598/695929014032.jpg")</f>
        <v/>
      </c>
      <c r="H290">
        <f>_xlfn.IMAGE("https://m.media-amazon.com/images/I/71-gKvu3N3L._AC_UL320_.jpg")</f>
        <v/>
      </c>
      <c r="K290" t="inlineStr">
        <is>
          <t>14.99</t>
        </is>
      </c>
      <c r="L290" t="n">
        <v>26.75</v>
      </c>
      <c r="M290" s="2" t="inlineStr">
        <is>
          <t>78.45%</t>
        </is>
      </c>
      <c r="N290" t="n">
        <v>4.7</v>
      </c>
      <c r="O290" t="n">
        <v>13</v>
      </c>
      <c r="Q290" t="inlineStr">
        <is>
          <t>InStock</t>
        </is>
      </c>
      <c r="R290" t="inlineStr">
        <is>
          <t>undefined</t>
        </is>
      </c>
      <c r="S290" t="inlineStr">
        <is>
          <t>G0695929014032</t>
        </is>
      </c>
    </row>
    <row r="291" ht="75" customHeight="1">
      <c r="A291" s="1">
        <f>HYPERLINK("https://www.toysrus.com/make-it-real--diy-dreamcatcher-G0695929014032.html", "https://www.toysrus.com/make-it-real--diy-dreamcatcher-G0695929014032.html")</f>
        <v/>
      </c>
      <c r="B291" s="1">
        <f>HYPERLINK("https://www.toysrus.com/make-it-real--diy-dreamcatcher-G0695929014032.html", "https://www.toysrus.com/make-it-real--diy-dreamcatcher-G0695929014032.html")</f>
        <v/>
      </c>
      <c r="C291" t="inlineStr">
        <is>
          <t>Make It Real DIY Dreamcatcher</t>
        </is>
      </c>
      <c r="D291" t="inlineStr">
        <is>
          <t>DIY dream catcher kit-Make your own dreamcatcher-Craft set for kids-Do It Yourself Pink dreamcatcher-Birthday party Activity Diam 6.2 inch(15.5cm) Floral</t>
        </is>
      </c>
      <c r="E291" s="1">
        <f>HYPERLINK("https://www.amazon.com/kit-Make-dreamcatcher-Craft-Yourself-dreamcatcher-Birthday-Activity/dp/B07ZZBG3NQ/ref=sr_1_2?keywords=Make+It+Real+DIY+Dreamcatcher&amp;qid=1695588629&amp;sr=8-2", "https://www.amazon.com/kit-Make-dreamcatcher-Craft-Yourself-dreamcatcher-Birthday-Activity/dp/B07ZZBG3NQ/ref=sr_1_2?keywords=Make+It+Real+DIY+Dreamcatcher&amp;qid=1695588629&amp;sr=8-2")</f>
        <v/>
      </c>
      <c r="F291" t="inlineStr">
        <is>
          <t>B07ZZBG3NQ</t>
        </is>
      </c>
      <c r="G291">
        <f>_xlfn.IMAGE("https://images.toysrus.com/0128598/695929014032.jpg")</f>
        <v/>
      </c>
      <c r="H291">
        <f>_xlfn.IMAGE("https://m.media-amazon.com/images/I/819zTt1XlUL._AC_UL320_.jpg")</f>
        <v/>
      </c>
      <c r="K291" t="inlineStr">
        <is>
          <t>14.99</t>
        </is>
      </c>
      <c r="L291" t="n">
        <v>26.5</v>
      </c>
      <c r="M291" s="2" t="inlineStr">
        <is>
          <t>76.78%</t>
        </is>
      </c>
      <c r="N291" t="n">
        <v>4.3</v>
      </c>
      <c r="O291" t="n">
        <v>75</v>
      </c>
      <c r="Q291" t="inlineStr">
        <is>
          <t>InStock</t>
        </is>
      </c>
      <c r="R291" t="inlineStr">
        <is>
          <t>undefined</t>
        </is>
      </c>
      <c r="S291" t="inlineStr">
        <is>
          <t>G0695929014032</t>
        </is>
      </c>
    </row>
    <row r="292" ht="75" customHeight="1">
      <c r="A292" s="1">
        <f>HYPERLINK("https://www.toysrus.com/make-it-real-fashion-design-sketchbook-blooming-creativity-G0695929032029.html", "https://www.toysrus.com/make-it-real-fashion-design-sketchbook-blooming-creativity-G0695929032029.html")</f>
        <v/>
      </c>
      <c r="B292" s="1">
        <f>HYPERLINK("https://www.toysrus.com/make-it-real-fashion-design-sketchbook-blooming-creativity-G0695929032029.html", "https://www.toysrus.com/make-it-real-fashion-design-sketchbook-blooming-creativity-G0695929032029.html")</f>
        <v/>
      </c>
      <c r="C292" t="inlineStr">
        <is>
          <t>Make It Real: Fashion Design Sketchbook: Blooming Creativity</t>
        </is>
      </c>
      <c r="D292" t="inlineStr">
        <is>
          <t>Make It Real: Fashion Design Sketchbook: Blooming Creativity - Includes 90 Stickers &amp; Stencils, Draw Sketch &amp; Create, Fashion Coloring Book, Tweens &amp; Girls, Kids Ages 6+</t>
        </is>
      </c>
      <c r="E292" s="1">
        <f>HYPERLINK("https://www.amazon.com/Make-Real-Sketchbook-Creativity-Inspirational/dp/B06XG8519L/ref=sr_1_1?keywords=Make+It+Real%3A+Fashion+Design+Sketchbook%3A+Blooming+Creativity&amp;qid=1695588523&amp;sr=8-1", "https://www.amazon.com/Make-Real-Sketchbook-Creativity-Inspirational/dp/B06XG8519L/ref=sr_1_1?keywords=Make+It+Real%3A+Fashion+Design+Sketchbook%3A+Blooming+Creativity&amp;qid=1695588523&amp;sr=8-1")</f>
        <v/>
      </c>
      <c r="F292" t="inlineStr">
        <is>
          <t>B06XG8519L</t>
        </is>
      </c>
      <c r="G292">
        <f>_xlfn.IMAGE("https://images.toysrus.com/28598/695929032029_1.jpg")</f>
        <v/>
      </c>
      <c r="H292">
        <f>_xlfn.IMAGE("https://m.media-amazon.com/images/I/81lqhgqcQjL._AC_UL320_.jpg")</f>
        <v/>
      </c>
      <c r="I292" t="n">
        <v>0</v>
      </c>
      <c r="J292" t="inlineStr">
        <is>
          <t>low roi/ amazon dominant</t>
        </is>
      </c>
      <c r="K292" t="inlineStr">
        <is>
          <t>7.99</t>
        </is>
      </c>
      <c r="L292" t="n">
        <v>16.99</v>
      </c>
      <c r="M292" s="2" t="inlineStr">
        <is>
          <t>112.64%</t>
        </is>
      </c>
      <c r="N292" t="n">
        <v>4.6</v>
      </c>
      <c r="O292" t="n">
        <v>1873</v>
      </c>
      <c r="Q292" t="inlineStr">
        <is>
          <t>InStock</t>
        </is>
      </c>
      <c r="R292" t="inlineStr">
        <is>
          <t>undefined</t>
        </is>
      </c>
      <c r="S292" t="inlineStr">
        <is>
          <t>G0695929032029</t>
        </is>
      </c>
    </row>
    <row r="293" ht="75" customHeight="1">
      <c r="A293" s="1">
        <f>HYPERLINK("https://www.toysrus.com/make-it-real-fashion-design-sketchbook-blooming-creativity-G0695929032029.html", "https://www.toysrus.com/make-it-real-fashion-design-sketchbook-blooming-creativity-G0695929032029.html")</f>
        <v/>
      </c>
      <c r="B293" s="1">
        <f>HYPERLINK("https://www.toysrus.com/make-it-real-fashion-design-sketchbook-blooming-creativity-G0695929032029.html", "https://www.toysrus.com/make-it-real-fashion-design-sketchbook-blooming-creativity-G0695929032029.html")</f>
        <v/>
      </c>
      <c r="C293" t="inlineStr">
        <is>
          <t>Make It Real: Fashion Design Sketchbook: Blooming Creativity</t>
        </is>
      </c>
      <c r="D293" t="inlineStr">
        <is>
          <t>Make It Real: Fashion Design Sketchbook: Digital Dream - Includes 110 Stickers &amp; Stencils, Draw Sketch &amp; Create, Fashion Coloring Book, Tweens &amp; Girls, Kids Ages 6+</t>
        </is>
      </c>
      <c r="E293" s="1">
        <f>HYPERLINK("https://www.amazon.com/Make-Real-Sketchbook-Inspirational-Coloring/dp/B06XGPS6T7/ref=sr_1_5?keywords=Make+It+Real%3A+Fashion+Design+Sketchbook%3A+Blooming+Creativity&amp;qid=1695588523&amp;sr=8-5", "https://www.amazon.com/Make-Real-Sketchbook-Inspirational-Coloring/dp/B06XGPS6T7/ref=sr_1_5?keywords=Make+It+Real%3A+Fashion+Design+Sketchbook%3A+Blooming+Creativity&amp;qid=1695588523&amp;sr=8-5")</f>
        <v/>
      </c>
      <c r="F293" t="inlineStr">
        <is>
          <t>B06XGPS6T7</t>
        </is>
      </c>
      <c r="G293">
        <f>_xlfn.IMAGE("https://images.toysrus.com/28598/695929032029_1.jpg")</f>
        <v/>
      </c>
      <c r="H293">
        <f>_xlfn.IMAGE("https://m.media-amazon.com/images/I/81xrTndr-XL._AC_UL320_.jpg")</f>
        <v/>
      </c>
      <c r="K293" t="inlineStr">
        <is>
          <t>7.99</t>
        </is>
      </c>
      <c r="L293" t="n">
        <v>15.45</v>
      </c>
      <c r="M293" s="2" t="inlineStr">
        <is>
          <t>93.37%</t>
        </is>
      </c>
      <c r="N293" t="n">
        <v>4.7</v>
      </c>
      <c r="O293" t="n">
        <v>1936</v>
      </c>
      <c r="Q293" t="inlineStr">
        <is>
          <t>InStock</t>
        </is>
      </c>
      <c r="R293" t="inlineStr">
        <is>
          <t>undefined</t>
        </is>
      </c>
      <c r="S293" t="inlineStr">
        <is>
          <t>G0695929032029</t>
        </is>
      </c>
    </row>
    <row r="294" ht="75" customHeight="1">
      <c r="A294" s="1">
        <f>HYPERLINK("https://www.toysrus.com/make-it-real-fashion-design-sketchbook-digital-dream-G0695929032036.html", "https://www.toysrus.com/make-it-real-fashion-design-sketchbook-digital-dream-G0695929032036.html")</f>
        <v/>
      </c>
      <c r="B294" s="1">
        <f>HYPERLINK("https://www.toysrus.com/make-it-real-fashion-design-sketchbook-digital-dream-G0695929032036.html", "https://www.toysrus.com/make-it-real-fashion-design-sketchbook-digital-dream-G0695929032036.html")</f>
        <v/>
      </c>
      <c r="C294" t="inlineStr">
        <is>
          <t>Make It Real: Fashion Design Sketchbook: Digital Dream</t>
        </is>
      </c>
      <c r="D294" t="inlineStr">
        <is>
          <t>Make It Real: Fashion Design Sketchbook: Blooming Creativity - Includes 90 Stickers &amp; Stencils, Draw Sketch &amp; Create, Fashion Coloring Book, Tweens &amp; Girls, Kids Ages 6+</t>
        </is>
      </c>
      <c r="E294" s="1">
        <f>HYPERLINK("https://www.amazon.com/Make-Real-Sketchbook-Creativity-Inspirational/dp/B06XG8519L/ref=sr_1_7?keywords=Make+It+Real%3A+Fashion+Design+Sketchbook%3A+Digital+Dream&amp;qid=1695588516&amp;sr=8-7", "https://www.amazon.com/Make-Real-Sketchbook-Creativity-Inspirational/dp/B06XG8519L/ref=sr_1_7?keywords=Make+It+Real%3A+Fashion+Design+Sketchbook%3A+Digital+Dream&amp;qid=1695588516&amp;sr=8-7")</f>
        <v/>
      </c>
      <c r="F294" t="inlineStr">
        <is>
          <t>B06XG8519L</t>
        </is>
      </c>
      <c r="G294">
        <f>_xlfn.IMAGE("https://images.toysrus.com/28598/695929032036_1.jpg")</f>
        <v/>
      </c>
      <c r="H294">
        <f>_xlfn.IMAGE("https://m.media-amazon.com/images/I/81lqhgqcQjL._AC_UL320_.jpg")</f>
        <v/>
      </c>
      <c r="K294" t="inlineStr">
        <is>
          <t>7.99</t>
        </is>
      </c>
      <c r="L294" t="n">
        <v>16.99</v>
      </c>
      <c r="M294" s="2" t="inlineStr">
        <is>
          <t>112.64%</t>
        </is>
      </c>
      <c r="N294" t="n">
        <v>4.6</v>
      </c>
      <c r="O294" t="n">
        <v>1873</v>
      </c>
      <c r="Q294" t="inlineStr">
        <is>
          <t>InStock</t>
        </is>
      </c>
      <c r="R294" t="inlineStr">
        <is>
          <t>undefined</t>
        </is>
      </c>
      <c r="S294" t="inlineStr">
        <is>
          <t>G0695929032036</t>
        </is>
      </c>
    </row>
    <row r="295" ht="75" customHeight="1">
      <c r="A295" s="1">
        <f>HYPERLINK("https://www.toysrus.com/make-it-real-fashion-design-sketchbook-digital-dream-G0695929032036.html", "https://www.toysrus.com/make-it-real-fashion-design-sketchbook-digital-dream-G0695929032036.html")</f>
        <v/>
      </c>
      <c r="B295" s="1">
        <f>HYPERLINK("https://www.toysrus.com/make-it-real-fashion-design-sketchbook-digital-dream-G0695929032036.html", "https://www.toysrus.com/make-it-real-fashion-design-sketchbook-digital-dream-G0695929032036.html")</f>
        <v/>
      </c>
      <c r="C295" t="inlineStr">
        <is>
          <t>Make It Real: Fashion Design Sketchbook: Digital Dream</t>
        </is>
      </c>
      <c r="D295" t="inlineStr">
        <is>
          <t>Make It Real: Fashion Design Sketchbook: Digital Dream - Includes 110 Stickers &amp; Stencils, Draw Sketch &amp; Create, Fashion Coloring Book, Tweens &amp; Girls, Kids Ages 6+</t>
        </is>
      </c>
      <c r="E295" s="1">
        <f>HYPERLINK("https://www.amazon.com/Make-Real-Sketchbook-Inspirational-Coloring/dp/B06XGPS6T7/ref=sr_1_1?keywords=Make+It+Real%3A+Fashion+Design+Sketchbook%3A+Digital+Dream&amp;qid=1695588516&amp;sr=8-1", "https://www.amazon.com/Make-Real-Sketchbook-Inspirational-Coloring/dp/B06XGPS6T7/ref=sr_1_1?keywords=Make+It+Real%3A+Fashion+Design+Sketchbook%3A+Digital+Dream&amp;qid=1695588516&amp;sr=8-1")</f>
        <v/>
      </c>
      <c r="F295" t="inlineStr">
        <is>
          <t>B06XGPS6T7</t>
        </is>
      </c>
      <c r="G295">
        <f>_xlfn.IMAGE("https://images.toysrus.com/28598/695929032036_1.jpg")</f>
        <v/>
      </c>
      <c r="H295">
        <f>_xlfn.IMAGE("https://m.media-amazon.com/images/I/81xrTndr-XL._AC_UL320_.jpg")</f>
        <v/>
      </c>
      <c r="I295" t="n">
        <v>0</v>
      </c>
      <c r="J295" t="inlineStr">
        <is>
          <t>low roi</t>
        </is>
      </c>
      <c r="K295" t="inlineStr">
        <is>
          <t>7.99</t>
        </is>
      </c>
      <c r="L295" t="n">
        <v>15.45</v>
      </c>
      <c r="M295" s="2" t="inlineStr">
        <is>
          <t>93.37%</t>
        </is>
      </c>
      <c r="N295" t="n">
        <v>4.7</v>
      </c>
      <c r="O295" t="n">
        <v>1936</v>
      </c>
      <c r="Q295" t="inlineStr">
        <is>
          <t>InStock</t>
        </is>
      </c>
      <c r="R295" t="inlineStr">
        <is>
          <t>undefined</t>
        </is>
      </c>
      <c r="S295" t="inlineStr">
        <is>
          <t>G0695929032036</t>
        </is>
      </c>
    </row>
    <row r="296" ht="75" customHeight="1">
      <c r="A296" s="1">
        <f>HYPERLINK("https://www.toysrus.com/make-it-real-fashion-design-sketchbook-pastel-pop-G0695929032050.html", "https://www.toysrus.com/make-it-real-fashion-design-sketchbook-pastel-pop-G0695929032050.html")</f>
        <v/>
      </c>
      <c r="B296" s="1">
        <f>HYPERLINK("https://www.toysrus.com/make-it-real-fashion-design-sketchbook-pastel-pop-G0695929032050.html", "https://www.toysrus.com/make-it-real-fashion-design-sketchbook-pastel-pop-G0695929032050.html")</f>
        <v/>
      </c>
      <c r="C296" t="inlineStr">
        <is>
          <t>Make It Real: Fashion Design Sketchbook: Pastel Pop!</t>
        </is>
      </c>
      <c r="D296" t="inlineStr">
        <is>
          <t>Make It Real: Fashion Design Sketchbook: Blooming Creativity - Includes 90 Stickers &amp; Stencils, Draw Sketch &amp; Create, Fashion Coloring Book, Tweens &amp; Girls, Kids Ages 6+</t>
        </is>
      </c>
      <c r="E296" s="1">
        <f>HYPERLINK("https://www.amazon.com/Make-Real-Sketchbook-Creativity-Inspirational/dp/B06XG8519L/ref=sr_1_7?keywords=Make+It+Real%3A+Fashion+Design+Sketchbook%3A+Pastel+Pop%21&amp;qid=1695588519&amp;sr=8-7", "https://www.amazon.com/Make-Real-Sketchbook-Creativity-Inspirational/dp/B06XG8519L/ref=sr_1_7?keywords=Make+It+Real%3A+Fashion+Design+Sketchbook%3A+Pastel+Pop%21&amp;qid=1695588519&amp;sr=8-7")</f>
        <v/>
      </c>
      <c r="F296" t="inlineStr">
        <is>
          <t>B06XG8519L</t>
        </is>
      </c>
      <c r="G296">
        <f>_xlfn.IMAGE("https://images.toysrus.com/28598/695929032050_1.jpg")</f>
        <v/>
      </c>
      <c r="H296">
        <f>_xlfn.IMAGE("https://m.media-amazon.com/images/I/81lqhgqcQjL._AC_UL320_.jpg")</f>
        <v/>
      </c>
      <c r="K296" t="inlineStr">
        <is>
          <t>7.99</t>
        </is>
      </c>
      <c r="L296" t="n">
        <v>16.99</v>
      </c>
      <c r="M296" s="2" t="inlineStr">
        <is>
          <t>112.64%</t>
        </is>
      </c>
      <c r="N296" t="n">
        <v>4.6</v>
      </c>
      <c r="O296" t="n">
        <v>1873</v>
      </c>
      <c r="Q296" t="inlineStr">
        <is>
          <t>InStock</t>
        </is>
      </c>
      <c r="R296" t="inlineStr">
        <is>
          <t>undefined</t>
        </is>
      </c>
      <c r="S296" t="inlineStr">
        <is>
          <t>G0695929032050</t>
        </is>
      </c>
    </row>
    <row r="297" ht="75" customHeight="1">
      <c r="A297" s="1">
        <f>HYPERLINK("https://www.toysrus.com/make-it-real-fashion-design-sketchbook-pastel-pop-G0695929032050.html", "https://www.toysrus.com/make-it-real-fashion-design-sketchbook-pastel-pop-G0695929032050.html")</f>
        <v/>
      </c>
      <c r="B297" s="1">
        <f>HYPERLINK("https://www.toysrus.com/make-it-real-fashion-design-sketchbook-pastel-pop-G0695929032050.html", "https://www.toysrus.com/make-it-real-fashion-design-sketchbook-pastel-pop-G0695929032050.html")</f>
        <v/>
      </c>
      <c r="C297" t="inlineStr">
        <is>
          <t>Make It Real: Fashion Design Sketchbook: Pastel Pop!</t>
        </is>
      </c>
      <c r="D297" t="inlineStr">
        <is>
          <t>Make It Real: Fashion Design Sketchbook: Digital Dream - Includes 110 Stickers &amp; Stencils, Draw Sketch &amp; Create, Fashion Coloring Book, Tweens &amp; Girls, Kids Ages 6+</t>
        </is>
      </c>
      <c r="E297" s="1">
        <f>HYPERLINK("https://www.amazon.com/Make-Real-Sketchbook-Inspirational-Coloring/dp/B06XGPS6T7/ref=sr_1_2?keywords=Make+It+Real%3A+Fashion+Design+Sketchbook%3A+Pastel+Pop%21&amp;qid=1695588519&amp;sr=8-2", "https://www.amazon.com/Make-Real-Sketchbook-Inspirational-Coloring/dp/B06XGPS6T7/ref=sr_1_2?keywords=Make+It+Real%3A+Fashion+Design+Sketchbook%3A+Pastel+Pop%21&amp;qid=1695588519&amp;sr=8-2")</f>
        <v/>
      </c>
      <c r="F297" t="inlineStr">
        <is>
          <t>B06XGPS6T7</t>
        </is>
      </c>
      <c r="G297">
        <f>_xlfn.IMAGE("https://images.toysrus.com/28598/695929032050_1.jpg")</f>
        <v/>
      </c>
      <c r="H297">
        <f>_xlfn.IMAGE("https://m.media-amazon.com/images/I/81xrTndr-XL._AC_UL320_.jpg")</f>
        <v/>
      </c>
      <c r="K297" t="inlineStr">
        <is>
          <t>7.99</t>
        </is>
      </c>
      <c r="L297" t="n">
        <v>15.45</v>
      </c>
      <c r="M297" s="2" t="inlineStr">
        <is>
          <t>93.37%</t>
        </is>
      </c>
      <c r="N297" t="n">
        <v>4.7</v>
      </c>
      <c r="O297" t="n">
        <v>1936</v>
      </c>
      <c r="Q297" t="inlineStr">
        <is>
          <t>InStock</t>
        </is>
      </c>
      <c r="R297" t="inlineStr">
        <is>
          <t>undefined</t>
        </is>
      </c>
      <c r="S297" t="inlineStr">
        <is>
          <t>G0695929032050</t>
        </is>
      </c>
    </row>
    <row r="298" ht="75" customHeight="1">
      <c r="A298" s="1">
        <f>HYPERLINK("https://www.toysrus.com/make-it-real-fashion-design-sketchbook-pretty-kitty-G0695929032043.html", "https://www.toysrus.com/make-it-real-fashion-design-sketchbook-pretty-kitty-G0695929032043.html")</f>
        <v/>
      </c>
      <c r="B298" s="1">
        <f>HYPERLINK("https://www.toysrus.com/make-it-real-fashion-design-sketchbook-pretty-kitty-G0695929032043.html", "https://www.toysrus.com/make-it-real-fashion-design-sketchbook-pretty-kitty-G0695929032043.html")</f>
        <v/>
      </c>
      <c r="C298" t="inlineStr">
        <is>
          <t>Make It Real: Fashion Design Sketchbook: Pretty Kitty</t>
        </is>
      </c>
      <c r="D298" t="inlineStr">
        <is>
          <t>Make It Real: Fashion Design Sketchbook: Blooming Creativity - Includes 90 Stickers &amp; Stencils, Draw Sketch &amp; Create, Fashion Coloring Book, Tweens &amp; Girls, Kids Ages 6+</t>
        </is>
      </c>
      <c r="E298" s="1">
        <f>HYPERLINK("https://www.amazon.com/Make-Real-Sketchbook-Creativity-Inspirational/dp/B06XG8519L/ref=sr_1_4?keywords=Make+It+Real%3A+Fashion+Design+Sketchbook%3A+Pretty+Kitty&amp;qid=1695588519&amp;sr=8-4", "https://www.amazon.com/Make-Real-Sketchbook-Creativity-Inspirational/dp/B06XG8519L/ref=sr_1_4?keywords=Make+It+Real%3A+Fashion+Design+Sketchbook%3A+Pretty+Kitty&amp;qid=1695588519&amp;sr=8-4")</f>
        <v/>
      </c>
      <c r="F298" t="inlineStr">
        <is>
          <t>B06XG8519L</t>
        </is>
      </c>
      <c r="G298">
        <f>_xlfn.IMAGE("https://images.toysrus.com/28598/695929032043_1.jpg")</f>
        <v/>
      </c>
      <c r="H298">
        <f>_xlfn.IMAGE("https://m.media-amazon.com/images/I/81lqhgqcQjL._AC_UL320_.jpg")</f>
        <v/>
      </c>
      <c r="K298" t="inlineStr">
        <is>
          <t>7.99</t>
        </is>
      </c>
      <c r="L298" t="n">
        <v>16.99</v>
      </c>
      <c r="M298" s="2" t="inlineStr">
        <is>
          <t>112.64%</t>
        </is>
      </c>
      <c r="N298" t="n">
        <v>4.6</v>
      </c>
      <c r="O298" t="n">
        <v>1873</v>
      </c>
      <c r="Q298" t="inlineStr">
        <is>
          <t>InStock</t>
        </is>
      </c>
      <c r="R298" t="inlineStr">
        <is>
          <t>undefined</t>
        </is>
      </c>
      <c r="S298" t="inlineStr">
        <is>
          <t>G0695929032043</t>
        </is>
      </c>
    </row>
    <row r="299" ht="75" customHeight="1">
      <c r="A299" s="1">
        <f>HYPERLINK("https://www.toysrus.com/make-it-real-fashion-design-sketchbook-pretty-kitty-G0695929032043.html", "https://www.toysrus.com/make-it-real-fashion-design-sketchbook-pretty-kitty-G0695929032043.html")</f>
        <v/>
      </c>
      <c r="B299" s="1">
        <f>HYPERLINK("https://www.toysrus.com/make-it-real-fashion-design-sketchbook-pretty-kitty-G0695929032043.html", "https://www.toysrus.com/make-it-real-fashion-design-sketchbook-pretty-kitty-G0695929032043.html")</f>
        <v/>
      </c>
      <c r="C299" t="inlineStr">
        <is>
          <t>Make It Real: Fashion Design Sketchbook: Pretty Kitty</t>
        </is>
      </c>
      <c r="D299" t="inlineStr">
        <is>
          <t>Make It Real: Fashion Design Sketchbook: Digital Dream - Includes 110 Stickers &amp; Stencils, Draw Sketch &amp; Create, Fashion Coloring Book, Tweens &amp; Girls, Kids Ages 6+</t>
        </is>
      </c>
      <c r="E299" s="1">
        <f>HYPERLINK("https://www.amazon.com/Make-Real-Sketchbook-Inspirational-Coloring/dp/B06XGPS6T7/ref=sr_1_6?keywords=Make+It+Real%3A+Fashion+Design+Sketchbook%3A+Pretty+Kitty&amp;qid=1695588519&amp;sr=8-6", "https://www.amazon.com/Make-Real-Sketchbook-Inspirational-Coloring/dp/B06XGPS6T7/ref=sr_1_6?keywords=Make+It+Real%3A+Fashion+Design+Sketchbook%3A+Pretty+Kitty&amp;qid=1695588519&amp;sr=8-6")</f>
        <v/>
      </c>
      <c r="F299" t="inlineStr">
        <is>
          <t>B06XGPS6T7</t>
        </is>
      </c>
      <c r="G299">
        <f>_xlfn.IMAGE("https://images.toysrus.com/28598/695929032043_1.jpg")</f>
        <v/>
      </c>
      <c r="H299">
        <f>_xlfn.IMAGE("https://m.media-amazon.com/images/I/81xrTndr-XL._AC_UL320_.jpg")</f>
        <v/>
      </c>
      <c r="K299" t="inlineStr">
        <is>
          <t>7.99</t>
        </is>
      </c>
      <c r="L299" t="n">
        <v>15.45</v>
      </c>
      <c r="M299" s="2" t="inlineStr">
        <is>
          <t>93.37%</t>
        </is>
      </c>
      <c r="N299" t="n">
        <v>4.7</v>
      </c>
      <c r="O299" t="n">
        <v>1936</v>
      </c>
      <c r="Q299" t="inlineStr">
        <is>
          <t>InStock</t>
        </is>
      </c>
      <c r="R299" t="inlineStr">
        <is>
          <t>undefined</t>
        </is>
      </c>
      <c r="S299" t="inlineStr">
        <is>
          <t>G0695929032043</t>
        </is>
      </c>
    </row>
    <row r="300" ht="75" customHeight="1">
      <c r="A300" s="1">
        <f>HYPERLINK("https://www.toysrus.com/make-it-real-fashion-pouch-with-patches-G0695929014605.html", "https://www.toysrus.com/make-it-real-fashion-pouch-with-patches-G0695929014605.html")</f>
        <v/>
      </c>
      <c r="B300" s="1">
        <f>HYPERLINK("https://www.toysrus.com/make-it-real-fashion-pouch-with-patches-G0695929014605.html", "https://www.toysrus.com/make-it-real-fashion-pouch-with-patches-G0695929014605.html")</f>
        <v/>
      </c>
      <c r="C300" t="inlineStr">
        <is>
          <t>Make It Real: Fashion Pouch With Patches</t>
        </is>
      </c>
      <c r="D300" t="inlineStr">
        <is>
          <t>Snack Pouch with Chenille Letters, Snacks Bag for Travel Makeup Bag Cosmetic Pouch Varsity Letter Patches, Vacation Essentials</t>
        </is>
      </c>
      <c r="E300" s="1">
        <f>HYPERLINK("https://www.amazon.com/Chenille-Letters-Cosmetic-Vacation-Essentials/dp/B0B6GTZWF8/ref=sr_1_9?keywords=Make+It+Real%3A+Fashion+Pouch+With+Patches&amp;qid=1695588634&amp;sr=8-9", "https://www.amazon.com/Chenille-Letters-Cosmetic-Vacation-Essentials/dp/B0B6GTZWF8/ref=sr_1_9?keywords=Make+It+Real%3A+Fashion+Pouch+With+Patches&amp;qid=1695588634&amp;sr=8-9")</f>
        <v/>
      </c>
      <c r="F300" t="inlineStr">
        <is>
          <t>B0B6GTZWF8</t>
        </is>
      </c>
      <c r="G300">
        <f>_xlfn.IMAGE("https://images.toysrus.com/28598/695929014605_1.jpg")</f>
        <v/>
      </c>
      <c r="H300">
        <f>_xlfn.IMAGE("https://m.media-amazon.com/images/I/71-r7fGQd3L._AC_UL320_.jpg")</f>
        <v/>
      </c>
      <c r="K300" t="inlineStr">
        <is>
          <t>9.99</t>
        </is>
      </c>
      <c r="L300" t="n">
        <v>21.99</v>
      </c>
      <c r="M300" s="2" t="inlineStr">
        <is>
          <t>120.12%</t>
        </is>
      </c>
      <c r="N300" t="n">
        <v>4.8</v>
      </c>
      <c r="O300" t="n">
        <v>23</v>
      </c>
      <c r="Q300" t="inlineStr">
        <is>
          <t>InStock</t>
        </is>
      </c>
      <c r="R300" t="inlineStr">
        <is>
          <t>undefined</t>
        </is>
      </c>
      <c r="S300" t="inlineStr">
        <is>
          <t>G0695929014605</t>
        </is>
      </c>
    </row>
    <row r="301" ht="75" customHeight="1">
      <c r="A301" s="1">
        <f>HYPERLINK("https://www.toysrus.com/make-it-real-good-vibes-bracelet-kit-G0695929013165.html", "https://www.toysrus.com/make-it-real-good-vibes-bracelet-kit-G0695929013165.html")</f>
        <v/>
      </c>
      <c r="B301" s="1">
        <f>HYPERLINK("https://www.toysrus.com/make-it-real-good-vibes-bracelet-kit-G0695929013165.html", "https://www.toysrus.com/make-it-real-good-vibes-bracelet-kit-G0695929013165.html")</f>
        <v/>
      </c>
      <c r="C301" t="inlineStr">
        <is>
          <t>Make It Real: Good Vibes Bracelet Kit</t>
        </is>
      </c>
      <c r="D301" t="inlineStr">
        <is>
          <t>Make It Real: Bedazzled! Charm Bracelets Kit - Blooming Creativity - Create 3 Unique Bracelets, 104 Pieces, Includes Play Tray, All-in-One, DIY Jewelry Kit, Tweens &amp; Girls, Arts &amp; Crafts, Ages 8+</t>
        </is>
      </c>
      <c r="E301" s="1">
        <f>HYPERLINK("https://www.amazon.com/Make-Real-1202-Bedazzled-Bracelets/dp/B06XZKJR1Z/ref=sr_1_2?keywords=Make+It+Real%3A+Good+Vibes+Bracelet+Kit&amp;qid=1695588641&amp;sr=8-2", "https://www.amazon.com/Make-Real-1202-Bedazzled-Bracelets/dp/B06XZKJR1Z/ref=sr_1_2?keywords=Make+It+Real%3A+Good+Vibes+Bracelet+Kit&amp;qid=1695588641&amp;sr=8-2")</f>
        <v/>
      </c>
      <c r="F301" t="inlineStr">
        <is>
          <t>B06XZKJR1Z</t>
        </is>
      </c>
      <c r="G301">
        <f>_xlfn.IMAGE("https://images.toysrus.com/28598/695929013165_1.jpg")</f>
        <v/>
      </c>
      <c r="H301">
        <f>_xlfn.IMAGE("https://m.media-amazon.com/images/I/81Iddfh5FLL._AC_UL320_.jpg")</f>
        <v/>
      </c>
      <c r="K301" t="inlineStr">
        <is>
          <t>9.99</t>
        </is>
      </c>
      <c r="L301" t="n">
        <v>16.71</v>
      </c>
      <c r="M301" s="2" t="inlineStr">
        <is>
          <t>67.27%</t>
        </is>
      </c>
      <c r="N301" t="n">
        <v>4.4</v>
      </c>
      <c r="O301" t="n">
        <v>790</v>
      </c>
      <c r="Q301" t="inlineStr">
        <is>
          <t>InStock</t>
        </is>
      </c>
      <c r="R301" t="inlineStr">
        <is>
          <t>undefined</t>
        </is>
      </c>
      <c r="S301" t="inlineStr">
        <is>
          <t>G0695929013165</t>
        </is>
      </c>
    </row>
    <row r="302" ht="75" customHeight="1">
      <c r="A302" s="1">
        <f>HYPERLINK("https://www.toysrus.com/make-it-real-macrame-friendship-bracelets-G0695929013189.html", "https://www.toysrus.com/make-it-real-macrame-friendship-bracelets-G0695929013189.html")</f>
        <v/>
      </c>
      <c r="B302" s="1">
        <f>HYPERLINK("https://www.toysrus.com/make-it-real-macrame-friendship-bracelets-G0695929013189.html", "https://www.toysrus.com/make-it-real-macrame-friendship-bracelets-G0695929013189.html")</f>
        <v/>
      </c>
      <c r="C302" t="inlineStr">
        <is>
          <t>Make It Real: Macrame Friendship Bracelets</t>
        </is>
      </c>
      <c r="D302" t="inlineStr">
        <is>
          <t>Make It Real: Friendship Bracelet Maker, Make up to 20 Bracelets, 100 Different Pieces to Choose from, for Ages 8 and up</t>
        </is>
      </c>
      <c r="E302" s="1">
        <f>HYPERLINK("https://www.amazon.com/Make-Real-Friendship-Bracelets-Different/dp/B0BNP1D513/ref=sr_1_1?keywords=Make+It+Real%3A+Macrame+Friendship+Bracelets&amp;qid=1695588671&amp;sr=8-1", "https://www.amazon.com/Make-Real-Friendship-Bracelets-Different/dp/B0BNP1D513/ref=sr_1_1?keywords=Make+It+Real%3A+Macrame+Friendship+Bracelets&amp;qid=1695588671&amp;sr=8-1")</f>
        <v/>
      </c>
      <c r="F302" t="inlineStr">
        <is>
          <t>B0BNP1D513</t>
        </is>
      </c>
      <c r="G302">
        <f>_xlfn.IMAGE("https://images.toysrus.com/28598/695929013189_1.jpg")</f>
        <v/>
      </c>
      <c r="H302">
        <f>_xlfn.IMAGE("https://m.media-amazon.com/images/I/81Ht-hWCH1L._AC_UL320_.jpg")</f>
        <v/>
      </c>
      <c r="K302" t="inlineStr">
        <is>
          <t>9.99</t>
        </is>
      </c>
      <c r="L302" t="n">
        <v>24.99</v>
      </c>
      <c r="M302" s="2" t="inlineStr">
        <is>
          <t>150.15%</t>
        </is>
      </c>
      <c r="N302" t="n">
        <v>4.5</v>
      </c>
      <c r="O302" t="n">
        <v>30</v>
      </c>
      <c r="Q302" t="inlineStr">
        <is>
          <t>InStock</t>
        </is>
      </c>
      <c r="R302" t="inlineStr">
        <is>
          <t>undefined</t>
        </is>
      </c>
      <c r="S302" t="inlineStr">
        <is>
          <t>G0695929013189</t>
        </is>
      </c>
    </row>
    <row r="303" ht="75" customHeight="1">
      <c r="A303" s="1">
        <f>HYPERLINK("https://www.toysrus.com/make-it-real-nailcandy-set---diy-nail-art-kit-G0695929023287.html", "https://www.toysrus.com/make-it-real-nailcandy-set---diy-nail-art-kit-G0695929023287.html")</f>
        <v/>
      </c>
      <c r="B303" s="1">
        <f>HYPERLINK("https://www.toysrus.com/make-it-real-nailcandy-set---diy-nail-art-kit-G0695929023287.html", "https://www.toysrus.com/make-it-real-nailcandy-set---diy-nail-art-kit-G0695929023287.html")</f>
        <v/>
      </c>
      <c r="C303" t="inlineStr">
        <is>
          <t>Make It Real: Nail?Candy Set - DIY Nail Art Kit</t>
        </is>
      </c>
      <c r="D303" t="inlineStr">
        <is>
          <t>Nail Polish Kit for Girls, Unique Nail Art Studio Set Gift for 7-12 Year Old Kids , 8 PCS Nail Art Pen, Storage Desk, Glitter, Stickers, Gems, Cool Girls' Stuff, My Nail Salon for Birthday Spa Make up Activity Party</t>
        </is>
      </c>
      <c r="E303" s="1">
        <f>HYPERLINK("https://www.amazon.com/Amagoing-Storage-Stickers-Birthday-Activity/dp/B0BXNTDY2L/ref=sr_1_6?keywords=Make+It+Real%3A+Nail%3FCandy+Set+-+DIY+Nail+Art+Kit&amp;qid=1695588672&amp;sr=8-6", "https://www.amazon.com/Amagoing-Storage-Stickers-Birthday-Activity/dp/B0BXNTDY2L/ref=sr_1_6?keywords=Make+It+Real%3A+Nail%3FCandy+Set+-+DIY+Nail+Art+Kit&amp;qid=1695588672&amp;sr=8-6")</f>
        <v/>
      </c>
      <c r="F303" t="inlineStr">
        <is>
          <t>B0BXNTDY2L</t>
        </is>
      </c>
      <c r="G303">
        <f>_xlfn.IMAGE("https://images.toysrus.com/28598/695929023287_1.jpg")</f>
        <v/>
      </c>
      <c r="H303">
        <f>_xlfn.IMAGE("https://m.media-amazon.com/images/I/817mSVPWjSL._AC_UL320_.jpg")</f>
        <v/>
      </c>
      <c r="K303" t="inlineStr">
        <is>
          <t>12.99</t>
        </is>
      </c>
      <c r="L303" t="n">
        <v>21.99</v>
      </c>
      <c r="M303" s="2" t="inlineStr">
        <is>
          <t>69.28%</t>
        </is>
      </c>
      <c r="N303" t="n">
        <v>4.8</v>
      </c>
      <c r="O303" t="n">
        <v>28</v>
      </c>
      <c r="Q303" t="inlineStr">
        <is>
          <t>InStock</t>
        </is>
      </c>
      <c r="R303" t="inlineStr">
        <is>
          <t>undefined</t>
        </is>
      </c>
      <c r="S303" t="inlineStr">
        <is>
          <t>G0695929023287</t>
        </is>
      </c>
    </row>
    <row r="304" ht="75" customHeight="1">
      <c r="A304" s="1">
        <f>HYPERLINK("https://www.toysrus.com/make-it-real-rainbow-dream-jewelry-kit-G0695929012045.html", "https://www.toysrus.com/make-it-real-rainbow-dream-jewelry-kit-G0695929012045.html")</f>
        <v/>
      </c>
      <c r="B304" s="1">
        <f>HYPERLINK("https://www.toysrus.com/make-it-real-rainbow-dream-jewelry-kit-G0695929012045.html", "https://www.toysrus.com/make-it-real-rainbow-dream-jewelry-kit-G0695929012045.html")</f>
        <v/>
      </c>
      <c r="C304" t="inlineStr">
        <is>
          <t>Make It Real: Rainbow Dream Jewelry Kit</t>
        </is>
      </c>
      <c r="D304" t="inlineStr">
        <is>
          <t>Make It Real - Crystal Dreams: Spellbinding Jewelry &amp; Gems - DIY Charm Bracelet Making Kit - Friendship Bracelet Kit with Beads, Charms &amp; Cord - Arts &amp; Crafts Bead Kit for Girls - Makes 8 Bracelets</t>
        </is>
      </c>
      <c r="E304" s="1">
        <f>HYPERLINK("https://www.amazon.com/Make-Real-Spellbinding-Friendship-Bracelets/dp/B08WFV4FPC/ref=sr_1_4?keywords=Make+It+Real%3A+Rainbow+Dream+Jewelry+Kit&amp;qid=1695588647&amp;sr=8-4", "https://www.amazon.com/Make-Real-Spellbinding-Friendship-Bracelets/dp/B08WFV4FPC/ref=sr_1_4?keywords=Make+It+Real%3A+Rainbow+Dream+Jewelry+Kit&amp;qid=1695588647&amp;sr=8-4")</f>
        <v/>
      </c>
      <c r="F304" t="inlineStr">
        <is>
          <t>B08WFV4FPC</t>
        </is>
      </c>
      <c r="G304">
        <f>_xlfn.IMAGE("https://images.toysrus.com/28598/695929012045_1.jpg")</f>
        <v/>
      </c>
      <c r="H304">
        <f>_xlfn.IMAGE("https://m.media-amazon.com/images/I/81q0OQJ-ZbL._AC_UL320_.jpg")</f>
        <v/>
      </c>
      <c r="K304" t="inlineStr">
        <is>
          <t>7.99</t>
        </is>
      </c>
      <c r="L304" t="n">
        <v>17.99</v>
      </c>
      <c r="M304" s="2" t="inlineStr">
        <is>
          <t>125.16%</t>
        </is>
      </c>
      <c r="N304" t="n">
        <v>4.5</v>
      </c>
      <c r="O304" t="n">
        <v>224</v>
      </c>
      <c r="Q304" t="inlineStr">
        <is>
          <t>InStock</t>
        </is>
      </c>
      <c r="R304" t="inlineStr">
        <is>
          <t>undefined</t>
        </is>
      </c>
      <c r="S304" t="inlineStr">
        <is>
          <t>G0695929012045</t>
        </is>
      </c>
    </row>
    <row r="305" ht="75" customHeight="1">
      <c r="A305" s="1">
        <f>HYPERLINK("https://www.toysrus.com/make-it-real-rainbow-dream-jewelry-kit-G0695929012045.html", "https://www.toysrus.com/make-it-real-rainbow-dream-jewelry-kit-G0695929012045.html")</f>
        <v/>
      </c>
      <c r="B305" s="1">
        <f>HYPERLINK("https://www.toysrus.com/make-it-real-rainbow-dream-jewelry-kit-G0695929012045.html", "https://www.toysrus.com/make-it-real-rainbow-dream-jewelry-kit-G0695929012045.html")</f>
        <v/>
      </c>
      <c r="C305" t="inlineStr">
        <is>
          <t>Make It Real: Rainbow Dream Jewelry Kit</t>
        </is>
      </c>
      <c r="D305" t="inlineStr">
        <is>
          <t>Make It Real - Disney Princess Crystal Dreams Jewelry - DIY Bead &amp; Charm Bracelet Making Kit - Includes Jewelry Making Supplies, Charms with Swarovski Crystals &amp; Exclusive Disney Princess Book</t>
        </is>
      </c>
      <c r="E305" s="1">
        <f>HYPERLINK("https://www.amazon.com/Make-Real-Princess-Swarovski-Exclusive/dp/B08BXC6YHS/ref=sr_1_9?keywords=Make+It+Real%3A+Rainbow+Dream+Jewelry+Kit&amp;qid=1695588647&amp;sr=8-9", "https://www.amazon.com/Make-Real-Princess-Swarovski-Exclusive/dp/B08BXC6YHS/ref=sr_1_9?keywords=Make+It+Real%3A+Rainbow+Dream+Jewelry+Kit&amp;qid=1695588647&amp;sr=8-9")</f>
        <v/>
      </c>
      <c r="F305" t="inlineStr">
        <is>
          <t>B08BXC6YHS</t>
        </is>
      </c>
      <c r="G305">
        <f>_xlfn.IMAGE("https://images.toysrus.com/28598/695929012045_1.jpg")</f>
        <v/>
      </c>
      <c r="H305">
        <f>_xlfn.IMAGE("https://m.media-amazon.com/images/I/81WBHCBjJ7L._AC_UL320_.jpg")</f>
        <v/>
      </c>
      <c r="K305" t="inlineStr">
        <is>
          <t>7.99</t>
        </is>
      </c>
      <c r="L305" t="n">
        <v>17.99</v>
      </c>
      <c r="M305" s="2" t="inlineStr">
        <is>
          <t>125.16%</t>
        </is>
      </c>
      <c r="N305" t="n">
        <v>4.6</v>
      </c>
      <c r="O305" t="n">
        <v>339</v>
      </c>
      <c r="Q305" t="inlineStr">
        <is>
          <t>InStock</t>
        </is>
      </c>
      <c r="R305" t="inlineStr">
        <is>
          <t>undefined</t>
        </is>
      </c>
      <c r="S305" t="inlineStr">
        <is>
          <t>G0695929012045</t>
        </is>
      </c>
    </row>
    <row r="306" ht="75" customHeight="1">
      <c r="A306" s="1">
        <f>HYPERLINK("https://www.toysrus.com/make-it-real-rainbow-dream-jewelry-kit-G0695929012045.html", "https://www.toysrus.com/make-it-real-rainbow-dream-jewelry-kit-G0695929012045.html")</f>
        <v/>
      </c>
      <c r="B306" s="1">
        <f>HYPERLINK("https://www.toysrus.com/make-it-real-rainbow-dream-jewelry-kit-G0695929012045.html", "https://www.toysrus.com/make-it-real-rainbow-dream-jewelry-kit-G0695929012045.html")</f>
        <v/>
      </c>
      <c r="C306" t="inlineStr">
        <is>
          <t>Make It Real: Rainbow Dream Jewelry Kit</t>
        </is>
      </c>
      <c r="D306" t="inlineStr">
        <is>
          <t>Make It Real: Bedazzled! Charm Bracelets Kit - Blooming Creativity - Create 3 Unique Bracelets, 104 Pieces, Includes Play Tray, All-in-One, DIY Jewelry Kit, Tweens &amp; Girls, Arts &amp; Crafts, Ages 8+</t>
        </is>
      </c>
      <c r="E306" s="1">
        <f>HYPERLINK("https://www.amazon.com/Make-Real-1202-Bedazzled-Bracelets/dp/B06XZKJR1Z/ref=sr_1_8?keywords=Make+It+Real%3A+Rainbow+Dream+Jewelry+Kit&amp;qid=1695588647&amp;sr=8-8", "https://www.amazon.com/Make-Real-1202-Bedazzled-Bracelets/dp/B06XZKJR1Z/ref=sr_1_8?keywords=Make+It+Real%3A+Rainbow+Dream+Jewelry+Kit&amp;qid=1695588647&amp;sr=8-8")</f>
        <v/>
      </c>
      <c r="F306" t="inlineStr">
        <is>
          <t>B06XZKJR1Z</t>
        </is>
      </c>
      <c r="G306">
        <f>_xlfn.IMAGE("https://images.toysrus.com/28598/695929012045_1.jpg")</f>
        <v/>
      </c>
      <c r="H306">
        <f>_xlfn.IMAGE("https://m.media-amazon.com/images/I/81Iddfh5FLL._AC_UL320_.jpg")</f>
        <v/>
      </c>
      <c r="K306" t="inlineStr">
        <is>
          <t>7.99</t>
        </is>
      </c>
      <c r="L306" t="n">
        <v>16.71</v>
      </c>
      <c r="M306" s="2" t="inlineStr">
        <is>
          <t>109.14%</t>
        </is>
      </c>
      <c r="N306" t="n">
        <v>4.4</v>
      </c>
      <c r="O306" t="n">
        <v>790</v>
      </c>
      <c r="Q306" t="inlineStr">
        <is>
          <t>InStock</t>
        </is>
      </c>
      <c r="R306" t="inlineStr">
        <is>
          <t>undefined</t>
        </is>
      </c>
      <c r="S306" t="inlineStr">
        <is>
          <t>G0695929012045</t>
        </is>
      </c>
    </row>
    <row r="307" ht="75" customHeight="1">
      <c r="A307" s="1">
        <f>HYPERLINK("https://www.toysrus.com/manhattan-toy-baby-stella-playtime-potty-chair-baby-doll-accessory-for-15-dolls-G011964448869.html", "https://www.toysrus.com/manhattan-toy-baby-stella-playtime-potty-chair-baby-doll-accessory-for-15-dolls-G011964448869.html")</f>
        <v/>
      </c>
      <c r="B307" s="1">
        <f>HYPERLINK("https://www.toysrus.com/manhattan-toy-baby-stella-playtime-potty-chair-baby-doll-accessory-for-15-dolls-G011964448869.html", "https://www.toysrus.com/manhattan-toy-baby-stella-playtime-potty-chair-baby-doll-accessory-for-15-dolls-G011964448869.html")</f>
        <v/>
      </c>
      <c r="C307" t="inlineStr">
        <is>
          <t>Manhattan Toy Baby Stella Playtime Potty Chair Baby Doll Accessory for 15" Dolls</t>
        </is>
      </c>
      <c r="D307" t="inlineStr">
        <is>
          <t>Manhattan Toy Baby Stella Blissful Blooms High Chair First Baby Doll Play Set for 12" and 15" Soft Dolls</t>
        </is>
      </c>
      <c r="E307" s="1">
        <f>HYPERLINK("https://www.amazon.com/Manhattan-Toy-Stella-Blissful-Blooms/dp/B00TLAZIIO/ref=sr_1_5?keywords=Manhattan+Toy+Baby+Stella+Playtime+Potty+Chair+Baby+Doll+Accessory+for+15%22+Dolls&amp;qid=1695588354&amp;sr=8-5", "https://www.amazon.com/Manhattan-Toy-Stella-Blissful-Blooms/dp/B00TLAZIIO/ref=sr_1_5?keywords=Manhattan+Toy+Baby+Stella+Playtime+Potty+Chair+Baby+Doll+Accessory+for+15%22+Dolls&amp;qid=1695588354&amp;sr=8-5")</f>
        <v/>
      </c>
      <c r="F307" t="inlineStr">
        <is>
          <t>B00TLAZIIO</t>
        </is>
      </c>
      <c r="G307">
        <f>_xlfn.IMAGE("https://images.toysrus.com/1285/011964448869_1.jpg")</f>
        <v/>
      </c>
      <c r="H307">
        <f>_xlfn.IMAGE("https://m.media-amazon.com/images/I/61uT4HsVlcL._AC_UL320_.jpg")</f>
        <v/>
      </c>
      <c r="K307" t="inlineStr">
        <is>
          <t>15.99</t>
        </is>
      </c>
      <c r="L307" t="n">
        <v>41.21</v>
      </c>
      <c r="M307" s="2" t="inlineStr">
        <is>
          <t>157.72%</t>
        </is>
      </c>
      <c r="N307" t="n">
        <v>4.5</v>
      </c>
      <c r="O307" t="n">
        <v>279</v>
      </c>
      <c r="Q307" t="inlineStr">
        <is>
          <t>InStock</t>
        </is>
      </c>
      <c r="R307" t="inlineStr">
        <is>
          <t>15.99</t>
        </is>
      </c>
      <c r="S307" t="inlineStr">
        <is>
          <t>G011964448869</t>
        </is>
      </c>
    </row>
    <row r="308" ht="75" customHeight="1">
      <c r="A308" s="1">
        <f>HYPERLINK("https://www.toysrus.com/melissa-and-doug-blues-clues-you-cube-16-piece-puzzle-12554539.html", "https://www.toysrus.com/melissa-and-doug-blues-clues-you-cube-16-piece-puzzle-12554539.html")</f>
        <v/>
      </c>
      <c r="B308" s="1">
        <f>HYPERLINK("https://www.toysrus.com/melissa-and-doug-blues-clues-you-cube-16-piece-puzzle-12554539.html", "https://www.toysrus.com/melissa-and-doug-blues-clues-you-cube-16-piece-puzzle-12554539.html")</f>
        <v/>
      </c>
      <c r="C308" t="inlineStr">
        <is>
          <t>Melissa and Doug Blues Clues You Cube 16 Piece Puzzle</t>
        </is>
      </c>
      <c r="D308" t="inlineStr">
        <is>
          <t>Melissa &amp; Doug Blue's Clues &amp; You! Wooden Cube Puzzle (16 Pieces)</t>
        </is>
      </c>
      <c r="E308" s="1">
        <f>HYPERLINK("https://www.amazon.com/Melissa-Doug-Wooden-Puzzle-Pieces/dp/B08XTR4ZWT/ref=sr_1_1?keywords=Melissa+and+Doug+Blues+Clues+You+Cube+16+Piece+Puzzle&amp;qid=1695588872&amp;sr=8-1", "https://www.amazon.com/Melissa-Doug-Wooden-Puzzle-Pieces/dp/B08XTR4ZWT/ref=sr_1_1?keywords=Melissa+and+Doug+Blues+Clues+You+Cube+16+Piece+Puzzle&amp;qid=1695588872&amp;sr=8-1")</f>
        <v/>
      </c>
      <c r="F308" t="inlineStr">
        <is>
          <t>B08XTR4ZWT</t>
        </is>
      </c>
      <c r="G308">
        <f>_xlfn.IMAGE("http://slimages.macys.com/is/image/MCY/products/0/optimized/20271577_fpx.tif")</f>
        <v/>
      </c>
      <c r="H308">
        <f>_xlfn.IMAGE("https://m.media-amazon.com/images/I/5158g1bYWqL._AC_UL320_.jpg")</f>
        <v/>
      </c>
      <c r="K308" t="inlineStr">
        <is>
          <t>9.43</t>
        </is>
      </c>
      <c r="L308" t="n">
        <v>16.99</v>
      </c>
      <c r="M308" s="2" t="inlineStr">
        <is>
          <t>80.17%</t>
        </is>
      </c>
      <c r="N308" t="n">
        <v>4.8</v>
      </c>
      <c r="O308" t="n">
        <v>1104</v>
      </c>
      <c r="Q308" t="inlineStr">
        <is>
          <t>OutOfStock</t>
        </is>
      </c>
      <c r="R308" t="inlineStr">
        <is>
          <t>undefined</t>
        </is>
      </c>
      <c r="S308" t="inlineStr">
        <is>
          <t>12554539</t>
        </is>
      </c>
    </row>
    <row r="309" ht="75" customHeight="1">
      <c r="A309" s="1">
        <f>HYPERLINK("https://www.toysrus.com/melissa-and-doug-kids-toys-kids-birthday-party-cake-set-589776.html", "https://www.toysrus.com/melissa-and-doug-kids-toys-kids-birthday-party-cake-set-589776.html")</f>
        <v/>
      </c>
      <c r="B309" s="1">
        <f>HYPERLINK("https://www.toysrus.com/melissa-and-doug-kids-toys-kids-birthday-party-cake-set-589776.html", "https://www.toysrus.com/melissa-and-doug-kids-toys-kids-birthday-party-cake-set-589776.html")</f>
        <v/>
      </c>
      <c r="C309" t="inlineStr">
        <is>
          <t>Melissa and Doug Kids Toys, Kids Birthday Party Cake Set</t>
        </is>
      </c>
      <c r="D309" t="inlineStr">
        <is>
          <t>Melissa &amp; Doug Felt Food Mix 'n Match Pizza Play Food Set (40 pcs) &amp; Birthday Party Cake - Wooden Play Food with Mix-n-Match Toppings and 7 Candles</t>
        </is>
      </c>
      <c r="E309" s="1">
        <f>HYPERLINK("https://www.amazon.com/Melissa-Doug-Match-Pizza-Birthday/dp/B0C6LBP1DZ/ref=sr_1_10?keywords=Melissa+and+Doug+Kids+Toys%2C+Kids+Birthday+Party+Cake+Set&amp;qid=1695588844&amp;sr=8-10", "https://www.amazon.com/Melissa-Doug-Match-Pizza-Birthday/dp/B0C6LBP1DZ/ref=sr_1_10?keywords=Melissa+and+Doug+Kids+Toys%2C+Kids+Birthday+Party+Cake+Set&amp;qid=1695588844&amp;sr=8-10")</f>
        <v/>
      </c>
      <c r="F309" t="inlineStr">
        <is>
          <t>B0C6LBP1DZ</t>
        </is>
      </c>
      <c r="G309">
        <f>_xlfn.IMAGE("http://slimages.macys.com/is/image/MCY/products/0/optimized/977314_fpx.tif")</f>
        <v/>
      </c>
      <c r="H309">
        <f>_xlfn.IMAGE("https://m.media-amazon.com/images/I/51LKYwMJAOL._AC_UL320_.jpg")</f>
        <v/>
      </c>
      <c r="K309" t="inlineStr">
        <is>
          <t>27.99</t>
        </is>
      </c>
      <c r="L309" t="n">
        <v>47.98</v>
      </c>
      <c r="M309" s="2" t="inlineStr">
        <is>
          <t>71.42%</t>
        </is>
      </c>
      <c r="N309" t="n">
        <v>4.8</v>
      </c>
      <c r="O309" t="n">
        <v>2948</v>
      </c>
      <c r="Q309" t="inlineStr">
        <is>
          <t>InStock</t>
        </is>
      </c>
      <c r="R309" t="inlineStr">
        <is>
          <t>undefined</t>
        </is>
      </c>
      <c r="S309" t="inlineStr">
        <is>
          <t>589776</t>
        </is>
      </c>
    </row>
    <row r="310" ht="75" customHeight="1">
      <c r="A310" s="1">
        <f>HYPERLINK("https://www.toysrus.com/melissa-and-doug-paw-patrol-hand-puppets-set-of-4-12554567.html", "https://www.toysrus.com/melissa-and-doug-paw-patrol-hand-puppets-set-of-4-12554567.html")</f>
        <v/>
      </c>
      <c r="B310" s="1">
        <f>HYPERLINK("https://www.toysrus.com/melissa-and-doug-paw-patrol-hand-puppets-set-of-4-12554567.html", "https://www.toysrus.com/melissa-and-doug-paw-patrol-hand-puppets-set-of-4-12554567.html")</f>
        <v/>
      </c>
      <c r="C310" t="inlineStr">
        <is>
          <t>Melissa and Doug Paw Patrol Hand Puppets, Set of 4</t>
        </is>
      </c>
      <c r="D310" t="inlineStr">
        <is>
          <t>Melissa &amp; Doug Animal Hand Puppets (Set of 2, 4 animals in each) - Zoo Friends and Farm Friends</t>
        </is>
      </c>
      <c r="E310" s="1">
        <f>HYPERLINK("https://www.amazon.com/Melissa-Doug-Animal-Puppets-animals/dp/B01CQTWNN4/ref=sr_1_7?keywords=Melissa+and+Doug+Paw+Patrol+Hand+Puppets%2C+Set+of+4&amp;qid=1695588486&amp;sr=8-7", "https://www.amazon.com/Melissa-Doug-Animal-Puppets-animals/dp/B01CQTWNN4/ref=sr_1_7?keywords=Melissa+and+Doug+Paw+Patrol+Hand+Puppets%2C+Set+of+4&amp;qid=1695588486&amp;sr=8-7")</f>
        <v/>
      </c>
      <c r="F310" t="inlineStr">
        <is>
          <t>B01CQTWNN4</t>
        </is>
      </c>
      <c r="G310">
        <f>_xlfn.IMAGE("http://slimages.macys.com/is/image/MCY/products/0/optimized/20079488_fpx.tif")</f>
        <v/>
      </c>
      <c r="H310">
        <f>_xlfn.IMAGE("https://m.media-amazon.com/images/I/81O6EF4cYOS._AC_UL320_.jpg")</f>
        <v/>
      </c>
      <c r="K310" t="inlineStr">
        <is>
          <t>16.43</t>
        </is>
      </c>
      <c r="L310" t="n">
        <v>39.99</v>
      </c>
      <c r="M310" s="2" t="inlineStr">
        <is>
          <t>143.40%</t>
        </is>
      </c>
      <c r="N310" t="n">
        <v>4.7</v>
      </c>
      <c r="O310" t="n">
        <v>1409</v>
      </c>
      <c r="Q310" t="inlineStr">
        <is>
          <t>InStock</t>
        </is>
      </c>
      <c r="R310" t="inlineStr">
        <is>
          <t>undefined</t>
        </is>
      </c>
      <c r="S310" t="inlineStr">
        <is>
          <t>12554567</t>
        </is>
      </c>
    </row>
    <row r="311" ht="75" customHeight="1">
      <c r="A311" s="1">
        <f>HYPERLINK("https://www.toysrus.com/melissa-and-doug-paw-patrol-hand-puppets-set-of-4-12554567.html", "https://www.toysrus.com/melissa-and-doug-paw-patrol-hand-puppets-set-of-4-12554567.html")</f>
        <v/>
      </c>
      <c r="B311" s="1">
        <f>HYPERLINK("https://www.toysrus.com/melissa-and-doug-paw-patrol-hand-puppets-set-of-4-12554567.html", "https://www.toysrus.com/melissa-and-doug-paw-patrol-hand-puppets-set-of-4-12554567.html")</f>
        <v/>
      </c>
      <c r="C311" t="inlineStr">
        <is>
          <t>Melissa and Doug Paw Patrol Hand Puppets, Set of 4</t>
        </is>
      </c>
      <c r="D311" t="inlineStr">
        <is>
          <t>Melissa &amp; Doug Safari Buddies Hand Puppets, Set of 6 (Elephant, Tiger, Parrot, Giraffe, Monkey, Zebra) - Soft, Plush Animal Hand Puppets For Toddlers And Kids Ages 2+ (Multicolor)</t>
        </is>
      </c>
      <c r="E311" s="1">
        <f>HYPERLINK("https://www.amazon.com/Melissa-Doug-Safari-Buddies-Puppets/dp/B07J6TJR2G/ref=sr_1_10?keywords=Melissa+and+Doug+Paw+Patrol+Hand+Puppets%2C+Set+of+4&amp;qid=1695588486&amp;sr=8-10", "https://www.amazon.com/Melissa-Doug-Safari-Buddies-Puppets/dp/B07J6TJR2G/ref=sr_1_10?keywords=Melissa+and+Doug+Paw+Patrol+Hand+Puppets%2C+Set+of+4&amp;qid=1695588486&amp;sr=8-10")</f>
        <v/>
      </c>
      <c r="F311" t="inlineStr">
        <is>
          <t>B07J6TJR2G</t>
        </is>
      </c>
      <c r="G311">
        <f>_xlfn.IMAGE("http://slimages.macys.com/is/image/MCY/products/0/optimized/20079488_fpx.tif")</f>
        <v/>
      </c>
      <c r="H311">
        <f>_xlfn.IMAGE("https://m.media-amazon.com/images/I/81OKE3b5oiL._AC_UL320_.jpg")</f>
        <v/>
      </c>
      <c r="K311" t="inlineStr">
        <is>
          <t>16.43</t>
        </is>
      </c>
      <c r="L311" t="n">
        <v>29.99</v>
      </c>
      <c r="M311" s="2" t="inlineStr">
        <is>
          <t>82.53%</t>
        </is>
      </c>
      <c r="N311" t="n">
        <v>4.7</v>
      </c>
      <c r="O311" t="n">
        <v>4106</v>
      </c>
      <c r="Q311" t="inlineStr">
        <is>
          <t>InStock</t>
        </is>
      </c>
      <c r="R311" t="inlineStr">
        <is>
          <t>undefined</t>
        </is>
      </c>
      <c r="S311" t="inlineStr">
        <is>
          <t>12554567</t>
        </is>
      </c>
    </row>
    <row r="312" ht="75" customHeight="1">
      <c r="A312" s="1">
        <f>HYPERLINK("https://www.toysrus.com/melissa-and-doug-paw-patrol-hand-puppets-set-of-4-12554567.html", "https://www.toysrus.com/melissa-and-doug-paw-patrol-hand-puppets-set-of-4-12554567.html")</f>
        <v/>
      </c>
      <c r="B312" s="1">
        <f>HYPERLINK("https://www.toysrus.com/melissa-and-doug-paw-patrol-hand-puppets-set-of-4-12554567.html", "https://www.toysrus.com/melissa-and-doug-paw-patrol-hand-puppets-set-of-4-12554567.html")</f>
        <v/>
      </c>
      <c r="C312" t="inlineStr">
        <is>
          <t>Melissa and Doug Paw Patrol Hand Puppets, Set of 4</t>
        </is>
      </c>
      <c r="D312" t="inlineStr">
        <is>
          <t>Melissa &amp; Doug Animal Hand Puppets (Set of 2, 4 animals in each) - Zoo Friends and Farm Friends</t>
        </is>
      </c>
      <c r="E312" s="1">
        <f>HYPERLINK("https://www.amazon.com/Melissa-Doug-Animal-Puppets-animals/dp/B01CQTWNN4/ref=sr_1_7?keywords=Melissa+and+Doug+Paw+Patrol+Hand+Puppets%2C+Set+of+4&amp;qid=1695588819&amp;sr=8-7", "https://www.amazon.com/Melissa-Doug-Animal-Puppets-animals/dp/B01CQTWNN4/ref=sr_1_7?keywords=Melissa+and+Doug+Paw+Patrol+Hand+Puppets%2C+Set+of+4&amp;qid=1695588819&amp;sr=8-7")</f>
        <v/>
      </c>
      <c r="F312" t="inlineStr">
        <is>
          <t>B01CQTWNN4</t>
        </is>
      </c>
      <c r="G312">
        <f>_xlfn.IMAGE("http://slimages.macys.com/is/image/MCY/products/0/optimized/20079488_fpx.tif")</f>
        <v/>
      </c>
      <c r="H312">
        <f>_xlfn.IMAGE("https://m.media-amazon.com/images/I/81O6EF4cYOS._AC_UL320_.jpg")</f>
        <v/>
      </c>
      <c r="K312" t="inlineStr">
        <is>
          <t>16.43</t>
        </is>
      </c>
      <c r="L312" t="n">
        <v>39.99</v>
      </c>
      <c r="M312" s="2" t="inlineStr">
        <is>
          <t>143.40%</t>
        </is>
      </c>
      <c r="N312" t="n">
        <v>4.7</v>
      </c>
      <c r="O312" t="n">
        <v>1409</v>
      </c>
      <c r="Q312" t="inlineStr">
        <is>
          <t>InStock</t>
        </is>
      </c>
      <c r="R312" t="inlineStr">
        <is>
          <t>undefined</t>
        </is>
      </c>
      <c r="S312" t="inlineStr">
        <is>
          <t>12554567</t>
        </is>
      </c>
    </row>
    <row r="313" ht="75" customHeight="1">
      <c r="A313" s="1">
        <f>HYPERLINK("https://www.toysrus.com/melissa-and-doug-paw-patrol-hand-puppets-set-of-4-12554567.html", "https://www.toysrus.com/melissa-and-doug-paw-patrol-hand-puppets-set-of-4-12554567.html")</f>
        <v/>
      </c>
      <c r="B313" s="1">
        <f>HYPERLINK("https://www.toysrus.com/melissa-and-doug-paw-patrol-hand-puppets-set-of-4-12554567.html", "https://www.toysrus.com/melissa-and-doug-paw-patrol-hand-puppets-set-of-4-12554567.html")</f>
        <v/>
      </c>
      <c r="C313" t="inlineStr">
        <is>
          <t>Melissa and Doug Paw Patrol Hand Puppets, Set of 4</t>
        </is>
      </c>
      <c r="D313" t="inlineStr">
        <is>
          <t>Melissa &amp; Doug Safari Buddies Hand Puppets, Set of 6 (Elephant, Tiger, Parrot, Giraffe, Monkey, Zebra) - Soft, Plush Animal Hand Puppets For Toddlers And Kids Ages 2+ (Multicolor)</t>
        </is>
      </c>
      <c r="E313" s="1">
        <f>HYPERLINK("https://www.amazon.com/Melissa-Doug-Safari-Buddies-Puppets/dp/B07J6TJR2G/ref=sr_1_9?keywords=Melissa+and+Doug+Paw+Patrol+Hand+Puppets%2C+Set+of+4&amp;qid=1695588819&amp;sr=8-9", "https://www.amazon.com/Melissa-Doug-Safari-Buddies-Puppets/dp/B07J6TJR2G/ref=sr_1_9?keywords=Melissa+and+Doug+Paw+Patrol+Hand+Puppets%2C+Set+of+4&amp;qid=1695588819&amp;sr=8-9")</f>
        <v/>
      </c>
      <c r="F313" t="inlineStr">
        <is>
          <t>B07J6TJR2G</t>
        </is>
      </c>
      <c r="G313">
        <f>_xlfn.IMAGE("http://slimages.macys.com/is/image/MCY/products/0/optimized/20079488_fpx.tif")</f>
        <v/>
      </c>
      <c r="H313">
        <f>_xlfn.IMAGE("https://m.media-amazon.com/images/I/81OKE3b5oiL._AC_UL320_.jpg")</f>
        <v/>
      </c>
      <c r="K313" t="inlineStr">
        <is>
          <t>16.43</t>
        </is>
      </c>
      <c r="L313" t="n">
        <v>29.99</v>
      </c>
      <c r="M313" s="2" t="inlineStr">
        <is>
          <t>82.53%</t>
        </is>
      </c>
      <c r="N313" t="n">
        <v>4.7</v>
      </c>
      <c r="O313" t="n">
        <v>4106</v>
      </c>
      <c r="Q313" t="inlineStr">
        <is>
          <t>InStock</t>
        </is>
      </c>
      <c r="R313" t="inlineStr">
        <is>
          <t>undefined</t>
        </is>
      </c>
      <c r="S313" t="inlineStr">
        <is>
          <t>12554567</t>
        </is>
      </c>
    </row>
    <row r="314" ht="75" customHeight="1">
      <c r="A314" s="1">
        <f>HYPERLINK("https://www.toysrus.com/melissa-and-doug-wooden-frozen-treats-set-5074917.html", "https://www.toysrus.com/melissa-and-doug-wooden-frozen-treats-set-5074917.html")</f>
        <v/>
      </c>
      <c r="B314" s="1">
        <f>HYPERLINK("https://www.toysrus.com/melissa-and-doug-wooden-frozen-treats-set-5074917.html", "https://www.toysrus.com/melissa-and-doug-wooden-frozen-treats-set-5074917.html")</f>
        <v/>
      </c>
      <c r="C314" t="inlineStr">
        <is>
          <t>Melissa &amp; Doug Wooden Frozen Treats Set</t>
        </is>
      </c>
      <c r="D314" t="inlineStr">
        <is>
          <t>Melissa &amp; Doug Wooden Slice &amp; Stack Sandwich Counter with Deli Slicer – 56-Piece Pretend Play Wooden Food Toys, Kitchen Food Set For Toddlers And Kids Ages 3+</t>
        </is>
      </c>
      <c r="E314" s="1">
        <f>HYPERLINK("https://www.amazon.com/Melissa-Doug-Wooden-Sandwich-Counter/dp/B0815Q8HSW/ref=sr_1_2?keywords=Melissa&amp;qid=1695588843&amp;sr=8-2", "https://www.amazon.com/Melissa-Doug-Wooden-Sandwich-Counter/dp/B0815Q8HSW/ref=sr_1_2?keywords=Melissa&amp;qid=1695588843&amp;sr=8-2")</f>
        <v/>
      </c>
      <c r="F314" t="inlineStr">
        <is>
          <t>B0815Q8HSW</t>
        </is>
      </c>
      <c r="G314">
        <f>_xlfn.IMAGE("http://slimages.macys.com/is/image/MCY/products/0/optimized/8836771_fpx.tif")</f>
        <v/>
      </c>
      <c r="H314">
        <f>_xlfn.IMAGE("https://m.media-amazon.com/images/I/71XCaAcK8oL._AC_UL320_.jpg")</f>
        <v/>
      </c>
      <c r="K314" t="inlineStr">
        <is>
          <t>27.99</t>
        </is>
      </c>
      <c r="L314" t="n">
        <v>54.99</v>
      </c>
      <c r="M314" s="2" t="inlineStr">
        <is>
          <t>96.46%</t>
        </is>
      </c>
      <c r="N314" t="n">
        <v>4.8</v>
      </c>
      <c r="O314" t="n">
        <v>4881</v>
      </c>
      <c r="Q314" t="inlineStr">
        <is>
          <t>InStock</t>
        </is>
      </c>
      <c r="R314" t="inlineStr">
        <is>
          <t>undefined</t>
        </is>
      </c>
      <c r="S314" t="inlineStr">
        <is>
          <t>5074917</t>
        </is>
      </c>
    </row>
    <row r="315" ht="75" customHeight="1">
      <c r="A315" s="1">
        <f>HYPERLINK("https://www.toysrus.com/meow-baby-soft-play-equipment-for-toddlers---safe-climbing-toy-3-elements-kids-indoor-playground-blocks-baby-foam-playset-velvet-powder-pink-KR3EL002.html", "https://www.toysrus.com/meow-baby-soft-play-equipment-for-toddlers---safe-climbing-toy-3-elements-kids-indoor-playground-blocks-baby-foam-playset-velvet-powder-pink-KR3EL002.html")</f>
        <v/>
      </c>
      <c r="B315" s="1">
        <f>HYPERLINK("https://www.toysrus.com/meow-baby-soft-play-equipment-for-toddlers---safe-climbing-toy-3-elements-kids-indoor-playground-blocks-baby-foam-playset-velvet-powder-pink-KR3EL002.html", "https://www.toysrus.com/meow-baby-soft-play-equipment-for-toddlers---safe-climbing-toy-3-elements-kids-indoor-playground-blocks-baby-foam-playset-velvet-powder-pink-KR3EL002.html")</f>
        <v/>
      </c>
      <c r="C315" t="inlineStr">
        <is>
          <t>MEOW BABY Soft Play Equipment for Toddlers - Safe Climbing Toy, 3 Elements Kids Indoor Playground Blocks, Baby Foam Playset, Velvet, Powder Pink</t>
        </is>
      </c>
      <c r="D315" t="inlineStr">
        <is>
          <t>MEOWBABY Foam Playset with Small Ball Pit Playground for Babies &amp; Toddlers with 100 Balls - 57x45x30cm 4 Element Soft Indoor Foam Climbing Blocks, Baby Ball Pit, Velvet, Powder Pink: White/Pastel Pink</t>
        </is>
      </c>
      <c r="E315" s="1" t="n"/>
      <c r="F315" t="inlineStr">
        <is>
          <t>B0C28N6D7T</t>
        </is>
      </c>
      <c r="G315">
        <f>_xlfn.IMAGE("https://meowbaby.eu/userdata/public/gfx/51334/5e5d18f24e111fd28d6ece513c9d5ecc.jpg")</f>
        <v/>
      </c>
      <c r="H315">
        <f>_xlfn.IMAGE("https://m.media-amazon.com/images/I/51bafeCbJrL._AC_UL320_.jpg")</f>
        <v/>
      </c>
      <c r="K315" t="inlineStr">
        <is>
          <t>179.0</t>
        </is>
      </c>
      <c r="L315" t="n">
        <v>299</v>
      </c>
      <c r="M315" s="2" t="inlineStr">
        <is>
          <t>67.04%</t>
        </is>
      </c>
      <c r="N315" t="n">
        <v>4</v>
      </c>
      <c r="O315" t="n">
        <v>1</v>
      </c>
      <c r="Q315" t="inlineStr">
        <is>
          <t>InStock</t>
        </is>
      </c>
      <c r="R315" t="inlineStr">
        <is>
          <t>undefined</t>
        </is>
      </c>
      <c r="S315" t="inlineStr">
        <is>
          <t>KR3EL002</t>
        </is>
      </c>
    </row>
    <row r="316" ht="75" customHeight="1">
      <c r="A316" s="1">
        <f>HYPERLINK("https://www.toysrus.com/metallic-rock-painting-box-set---diy-rock-painting-for-adults-G9781488936357.html", "https://www.toysrus.com/metallic-rock-painting-box-set---diy-rock-painting-for-adults-G9781488936357.html")</f>
        <v/>
      </c>
      <c r="B316" s="1">
        <f>HYPERLINK("https://www.toysrus.com/metallic-rock-painting-box-set---diy-rock-painting-for-adults-G9781488936357.html", "https://www.toysrus.com/metallic-rock-painting-box-set---diy-rock-painting-for-adults-G9781488936357.html")</f>
        <v/>
      </c>
      <c r="C316" t="inlineStr">
        <is>
          <t>Metallic Rock Painting Box Set - DIY Rock Painting for Adults</t>
        </is>
      </c>
      <c r="D316" t="inlineStr">
        <is>
          <t>Ohuhu Metallic Acrylic Paint Set, 24 Metallic Colors (59ml, 2oz) Acrylic Painting Bottles, Canvas Wood Ceramic DIY Crafts Art Paints Rock Painting Arts Pouring Paints for Beginners Students</t>
        </is>
      </c>
      <c r="E316" s="1">
        <f>HYPERLINK("https://www.amazon.com/Metallic-Painting-Ohuhu-Beginners-Students/dp/B08PFJ4VMG/ref=sr_1_5?keywords=Metallic+Rock+Painting+Box+Set+-+DIY+Rock+Painting+for+Adults&amp;qid=1695588661&amp;sr=8-5", "https://www.amazon.com/Metallic-Painting-Ohuhu-Beginners-Students/dp/B08PFJ4VMG/ref=sr_1_5?keywords=Metallic+Rock+Painting+Box+Set+-+DIY+Rock+Painting+for+Adults&amp;qid=1695588661&amp;sr=8-5")</f>
        <v/>
      </c>
      <c r="F316" t="inlineStr">
        <is>
          <t>B08PFJ4VMG</t>
        </is>
      </c>
      <c r="G316">
        <f>_xlfn.IMAGE("https://images.toysrus.com/1285980/9781488936357_1.jpg")</f>
        <v/>
      </c>
      <c r="H316">
        <f>_xlfn.IMAGE("https://m.media-amazon.com/images/I/71PnNP8JLGL._AC_UL320_.jpg")</f>
        <v/>
      </c>
      <c r="K316" t="inlineStr">
        <is>
          <t>12.99</t>
        </is>
      </c>
      <c r="L316" t="n">
        <v>26.09</v>
      </c>
      <c r="M316" s="2" t="inlineStr">
        <is>
          <t>100.85%</t>
        </is>
      </c>
      <c r="N316" t="n">
        <v>4.8</v>
      </c>
      <c r="O316" t="n">
        <v>1119</v>
      </c>
      <c r="Q316" t="inlineStr">
        <is>
          <t>OutOfStock</t>
        </is>
      </c>
      <c r="R316" t="inlineStr">
        <is>
          <t>undefined</t>
        </is>
      </c>
      <c r="S316" t="inlineStr">
        <is>
          <t>G9781488936357</t>
        </is>
      </c>
    </row>
    <row r="317" ht="75" customHeight="1">
      <c r="A317" s="1">
        <f>HYPERLINK("https://www.toysrus.com/metallic-rock-painting-box-set---diy-rock-painting-for-adults-G9781488936357.html", "https://www.toysrus.com/metallic-rock-painting-box-set---diy-rock-painting-for-adults-G9781488936357.html")</f>
        <v/>
      </c>
      <c r="B317" s="1">
        <f>HYPERLINK("https://www.toysrus.com/metallic-rock-painting-box-set---diy-rock-painting-for-adults-G9781488936357.html", "https://www.toysrus.com/metallic-rock-painting-box-set---diy-rock-painting-for-adults-G9781488936357.html")</f>
        <v/>
      </c>
      <c r="C317" t="inlineStr">
        <is>
          <t>Metallic Rock Painting Box Set - DIY Rock Painting for Adults</t>
        </is>
      </c>
      <c r="D317" t="inlineStr">
        <is>
          <t>CeleMoon Acrylic Paint Pens 36 Metallic Colors Painting Markers Set, Quick Dry for Rock Wood Glass Fabric Canvas Ceramic Metal, Dual Flat &amp; Brush Tip</t>
        </is>
      </c>
      <c r="E317" s="1">
        <f>HYPERLINK("https://www.amazon.com/CeleMoon-Acrylic-Metallic-Markers-Ceramic/dp/B0BMBBPPXZ/ref=sr_1_4?keywords=Metallic+Rock+Painting+Box+Set+-+DIY+Rock+Painting+for+Adults&amp;qid=1695588661&amp;sr=8-4", "https://www.amazon.com/CeleMoon-Acrylic-Metallic-Markers-Ceramic/dp/B0BMBBPPXZ/ref=sr_1_4?keywords=Metallic+Rock+Painting+Box+Set+-+DIY+Rock+Painting+for+Adults&amp;qid=1695588661&amp;sr=8-4")</f>
        <v/>
      </c>
      <c r="F317" t="inlineStr">
        <is>
          <t>B0BMBBPPXZ</t>
        </is>
      </c>
      <c r="G317">
        <f>_xlfn.IMAGE("https://images.toysrus.com/1285980/9781488936357_1.jpg")</f>
        <v/>
      </c>
      <c r="H317">
        <f>_xlfn.IMAGE("https://m.media-amazon.com/images/I/81XPUOZD65L._AC_UL320_.jpg")</f>
        <v/>
      </c>
      <c r="K317" t="inlineStr">
        <is>
          <t>12.99</t>
        </is>
      </c>
      <c r="L317" t="n">
        <v>23.39</v>
      </c>
      <c r="M317" s="2" t="inlineStr">
        <is>
          <t>80.06%</t>
        </is>
      </c>
      <c r="N317" t="n">
        <v>4.6</v>
      </c>
      <c r="O317" t="n">
        <v>32</v>
      </c>
      <c r="Q317" t="inlineStr">
        <is>
          <t>OutOfStock</t>
        </is>
      </c>
      <c r="R317" t="inlineStr">
        <is>
          <t>undefined</t>
        </is>
      </c>
      <c r="S317" t="inlineStr">
        <is>
          <t>G9781488936357</t>
        </is>
      </c>
    </row>
    <row r="318" ht="75" customHeight="1">
      <c r="A318" s="1">
        <f>HYPERLINK("https://www.toysrus.com/mickey-mouse-figure-firefighter-mickey-set-3-piece-14570343.html", "https://www.toysrus.com/mickey-mouse-figure-firefighter-mickey-set-3-piece-14570343.html")</f>
        <v/>
      </c>
      <c r="B318" s="1">
        <f>HYPERLINK("https://www.toysrus.com/mickey-mouse-figure-firefighter-mickey-set-3-piece-14570343.html", "https://www.toysrus.com/mickey-mouse-figure-firefighter-mickey-set-3-piece-14570343.html")</f>
        <v/>
      </c>
      <c r="C318" t="inlineStr">
        <is>
          <t>Mickey Mouse Figure Firefighter Mickey Set, 3 Piece</t>
        </is>
      </c>
      <c r="D318" t="inlineStr">
        <is>
          <t>Mickey Mouse 90th Anniversary 10-Piece Collectible Figure Set, by Just Play</t>
        </is>
      </c>
      <c r="E318" s="1">
        <f>HYPERLINK("https://www.amazon.com/Anniversary-10-Piece-Collectible-Just-Play/dp/B002HJSBLW/ref=sr_1_9?keywords=Mickey+Mouse+Figure+Firefighter+Mickey+Set%2C+3+Piece&amp;qid=1695588879&amp;sr=8-9", "https://www.amazon.com/Anniversary-10-Piece-Collectible-Just-Play/dp/B002HJSBLW/ref=sr_1_9?keywords=Mickey+Mouse+Figure+Firefighter+Mickey+Set%2C+3+Piece&amp;qid=1695588879&amp;sr=8-9")</f>
        <v/>
      </c>
      <c r="F318" t="inlineStr">
        <is>
          <t>B002HJSBLW</t>
        </is>
      </c>
      <c r="G318">
        <f>_xlfn.IMAGE("http://slimages.macys.com/is/image/MCY/products/0/optimized/23049652_fpx.tif")</f>
        <v/>
      </c>
      <c r="H318">
        <f>_xlfn.IMAGE("https://m.media-amazon.com/images/I/91yi4oTqoCL._AC_UL320_.jpg")</f>
        <v/>
      </c>
      <c r="K318" t="inlineStr">
        <is>
          <t>9.99</t>
        </is>
      </c>
      <c r="L318" t="n">
        <v>96</v>
      </c>
      <c r="M318" s="2" t="inlineStr">
        <is>
          <t>860.96%</t>
        </is>
      </c>
      <c r="N318" t="n">
        <v>4.7</v>
      </c>
      <c r="O318" t="n">
        <v>378</v>
      </c>
      <c r="Q318" t="inlineStr">
        <is>
          <t>InStock</t>
        </is>
      </c>
      <c r="R318" t="inlineStr">
        <is>
          <t>undefined</t>
        </is>
      </c>
      <c r="S318" t="inlineStr">
        <is>
          <t>Jlh81423</t>
        </is>
      </c>
    </row>
    <row r="319" ht="75" customHeight="1">
      <c r="A319" s="1">
        <f>HYPERLINK("https://www.toysrus.com/mickey-mouse-figure-firefighter-mickey-set-3-piece-14570343.html", "https://www.toysrus.com/mickey-mouse-figure-firefighter-mickey-set-3-piece-14570343.html")</f>
        <v/>
      </c>
      <c r="B319" s="1">
        <f>HYPERLINK("https://www.toysrus.com/mickey-mouse-figure-firefighter-mickey-set-3-piece-14570343.html", "https://www.toysrus.com/mickey-mouse-figure-firefighter-mickey-set-3-piece-14570343.html")</f>
        <v/>
      </c>
      <c r="C319" t="inlineStr">
        <is>
          <t>Mickey Mouse Figure Firefighter Mickey Set, 3 Piece</t>
        </is>
      </c>
      <c r="D319" t="inlineStr">
        <is>
          <t>Mickey Mouse 7-Piece Figure Set, Mickey Mouse Clubhouse Toys, Officially Licensed Kids Toys for Ages 3 Up, Amazon Exclusive</t>
        </is>
      </c>
      <c r="E319" s="1">
        <f>HYPERLINK("https://www.amazon.com/Mickey-Figure-Set-Piece-Exclusive/dp/B08449DMW4/ref=sr_1_2?keywords=Mickey+Mouse+Figure+Firefighter+Mickey+Set%2C+3+Piece&amp;qid=1695588879&amp;sr=8-2", "https://www.amazon.com/Mickey-Figure-Set-Piece-Exclusive/dp/B08449DMW4/ref=sr_1_2?keywords=Mickey+Mouse+Figure+Firefighter+Mickey+Set%2C+3+Piece&amp;qid=1695588879&amp;sr=8-2")</f>
        <v/>
      </c>
      <c r="F319" t="inlineStr">
        <is>
          <t>B08449DMW4</t>
        </is>
      </c>
      <c r="G319">
        <f>_xlfn.IMAGE("http://slimages.macys.com/is/image/MCY/products/0/optimized/23049652_fpx.tif")</f>
        <v/>
      </c>
      <c r="H319">
        <f>_xlfn.IMAGE("https://m.media-amazon.com/images/I/81dViHmKjJL._AC_UL320_.jpg")</f>
        <v/>
      </c>
      <c r="K319" t="inlineStr">
        <is>
          <t>9.99</t>
        </is>
      </c>
      <c r="L319" t="n">
        <v>16.99</v>
      </c>
      <c r="M319" s="2" t="inlineStr">
        <is>
          <t>70.07%</t>
        </is>
      </c>
      <c r="N319" t="n">
        <v>4.7</v>
      </c>
      <c r="O319" t="n">
        <v>5626</v>
      </c>
      <c r="Q319" t="inlineStr">
        <is>
          <t>InStock</t>
        </is>
      </c>
      <c r="R319" t="inlineStr">
        <is>
          <t>undefined</t>
        </is>
      </c>
      <c r="S319" t="inlineStr">
        <is>
          <t>Jlh81423</t>
        </is>
      </c>
    </row>
    <row r="320" ht="75" customHeight="1">
      <c r="A320" s="1">
        <f>HYPERLINK("https://www.toysrus.com/mickey-mouse-figure-firefighter-mickey-set-3-piece-14570343.html", "https://www.toysrus.com/mickey-mouse-figure-firefighter-mickey-set-3-piece-14570343.html")</f>
        <v/>
      </c>
      <c r="B320" s="1">
        <f>HYPERLINK("https://www.toysrus.com/mickey-mouse-figure-firefighter-mickey-set-3-piece-14570343.html", "https://www.toysrus.com/mickey-mouse-figure-firefighter-mickey-set-3-piece-14570343.html")</f>
        <v/>
      </c>
      <c r="C320" t="inlineStr">
        <is>
          <t>Mickey Mouse Figure Firefighter Mickey Set, 3 Piece</t>
        </is>
      </c>
      <c r="D320" t="inlineStr">
        <is>
          <t>Disney Mickey Mouse Mickey’s Fire Engine, Figure and Vehicle Playset, Lights and Sounds, Officially Licensed Kids Toys for Ages 3 Up, Gifts and Presents</t>
        </is>
      </c>
      <c r="E320" s="1">
        <f>HYPERLINK("https://www.amazon.com/Disneys-Mickeys-Officially-Licensed-Presents/dp/B07V8N7DP5/ref=sr_1_10?keywords=Mickey+Mouse+Figure+Firefighter+Mickey+Set%2C+3+Piece&amp;qid=1695588879&amp;sr=8-10", "https://www.amazon.com/Disneys-Mickeys-Officially-Licensed-Presents/dp/B07V8N7DP5/ref=sr_1_10?keywords=Mickey+Mouse+Figure+Firefighter+Mickey+Set%2C+3+Piece&amp;qid=1695588879&amp;sr=8-10")</f>
        <v/>
      </c>
      <c r="F320" t="inlineStr">
        <is>
          <t>B07V8N7DP5</t>
        </is>
      </c>
      <c r="G320">
        <f>_xlfn.IMAGE("http://slimages.macys.com/is/image/MCY/products/0/optimized/23049652_fpx.tif")</f>
        <v/>
      </c>
      <c r="H320">
        <f>_xlfn.IMAGE("https://m.media-amazon.com/images/I/81D6Gojp0kL._AC_UL320_.jpg")</f>
        <v/>
      </c>
      <c r="K320" t="inlineStr">
        <is>
          <t>9.99</t>
        </is>
      </c>
      <c r="L320" t="n">
        <v>16.99</v>
      </c>
      <c r="M320" s="2" t="inlineStr">
        <is>
          <t>70.07%</t>
        </is>
      </c>
      <c r="N320" t="n">
        <v>4.8</v>
      </c>
      <c r="O320" t="n">
        <v>2951</v>
      </c>
      <c r="Q320" t="inlineStr">
        <is>
          <t>InStock</t>
        </is>
      </c>
      <c r="R320" t="inlineStr">
        <is>
          <t>undefined</t>
        </is>
      </c>
      <c r="S320" t="inlineStr">
        <is>
          <t>Jlh81423</t>
        </is>
      </c>
    </row>
    <row r="321" ht="75" customHeight="1">
      <c r="A321" s="1">
        <f>HYPERLINK("https://www.toysrus.com/mickey-mouse-pirate-trunk-set-14570346.html", "https://www.toysrus.com/mickey-mouse-pirate-trunk-set-14570346.html")</f>
        <v/>
      </c>
      <c r="B321" s="1">
        <f>HYPERLINK("https://www.toysrus.com/mickey-mouse-pirate-trunk-set-14570346.html", "https://www.toysrus.com/mickey-mouse-pirate-trunk-set-14570346.html")</f>
        <v/>
      </c>
      <c r="C321" t="inlineStr">
        <is>
          <t>Mickey Mouse Pirate Trunk Set</t>
        </is>
      </c>
      <c r="D321" t="inlineStr">
        <is>
          <t>Disney Junior Mickey Mouse Funhouse Treasure Adventure Pirate Ship with Bonus Figures, 18-piece Toy Figures and Playset, Officially Licensed Kids Toys for Ages 3 Up, Amazon Exclusive</t>
        </is>
      </c>
      <c r="E321" s="1">
        <f>HYPERLINK("https://www.amazon.com/Funhouse-Treasure-Adventure-18-piece-Exclusive/dp/B09MSSJ2ZG/ref=sr_1_3?keywords=Mickey+Mouse+Pirate+Trunk+Set&amp;qid=1695588573&amp;sr=8-3", "https://www.amazon.com/Funhouse-Treasure-Adventure-18-piece-Exclusive/dp/B09MSSJ2ZG/ref=sr_1_3?keywords=Mickey+Mouse+Pirate+Trunk+Set&amp;qid=1695588573&amp;sr=8-3")</f>
        <v/>
      </c>
      <c r="F321" t="inlineStr">
        <is>
          <t>B09MSSJ2ZG</t>
        </is>
      </c>
      <c r="G321">
        <f>_xlfn.IMAGE("http://slimages.macys.com/is/image/MCY/products/0/optimized/23049675_fpx.tif")</f>
        <v/>
      </c>
      <c r="H321">
        <f>_xlfn.IMAGE("https://m.media-amazon.com/images/I/813OZqirzZL._AC_UL320_.jpg")</f>
        <v/>
      </c>
      <c r="K321" t="inlineStr">
        <is>
          <t>19.99</t>
        </is>
      </c>
      <c r="L321" t="n">
        <v>40.49</v>
      </c>
      <c r="M321" s="2" t="inlineStr">
        <is>
          <t>102.55%</t>
        </is>
      </c>
      <c r="N321" t="n">
        <v>4.8</v>
      </c>
      <c r="O321" t="n">
        <v>616</v>
      </c>
      <c r="Q321" t="inlineStr">
        <is>
          <t>InStock</t>
        </is>
      </c>
      <c r="R321" t="inlineStr">
        <is>
          <t>undefined</t>
        </is>
      </c>
      <c r="S321" t="inlineStr">
        <is>
          <t>14570346</t>
        </is>
      </c>
    </row>
    <row r="322" ht="75" customHeight="1">
      <c r="A322" s="1">
        <f>HYPERLINK("https://www.toysrus.com/mickey-mouse-pirate-trunk-set-14570346.html", "https://www.toysrus.com/mickey-mouse-pirate-trunk-set-14570346.html")</f>
        <v/>
      </c>
      <c r="B322" s="1">
        <f>HYPERLINK("https://www.toysrus.com/mickey-mouse-pirate-trunk-set-14570346.html", "https://www.toysrus.com/mickey-mouse-pirate-trunk-set-14570346.html")</f>
        <v/>
      </c>
      <c r="C322" t="inlineStr">
        <is>
          <t>Mickey Mouse Pirate Trunk Set</t>
        </is>
      </c>
      <c r="D322" t="inlineStr">
        <is>
          <t>Disney Mickey Mouse Rash Guard and Swim Trunks Outfit Set Infant to Toddler</t>
        </is>
      </c>
      <c r="E322" s="1">
        <f>HYPERLINK("https://www.amazon.com/Disney-Mickey-Mouse-Toddler-Trunks/dp/B08Q8QSFWM/ref=sr_1_4?keywords=Mickey+Mouse+Pirate+Trunk+Set&amp;qid=1695588573&amp;sr=8-4", "https://www.amazon.com/Disney-Mickey-Mouse-Toddler-Trunks/dp/B08Q8QSFWM/ref=sr_1_4?keywords=Mickey+Mouse+Pirate+Trunk+Set&amp;qid=1695588573&amp;sr=8-4")</f>
        <v/>
      </c>
      <c r="F322" t="inlineStr">
        <is>
          <t>B08Q8QSFWM</t>
        </is>
      </c>
      <c r="G322">
        <f>_xlfn.IMAGE("http://slimages.macys.com/is/image/MCY/products/0/optimized/23049675_fpx.tif")</f>
        <v/>
      </c>
      <c r="H322">
        <f>_xlfn.IMAGE("https://m.media-amazon.com/images/I/71bU3K4jkFL._MCnd_AC_UL320_.jpg")</f>
        <v/>
      </c>
      <c r="K322" t="inlineStr">
        <is>
          <t>19.99</t>
        </is>
      </c>
      <c r="L322" t="n">
        <v>34.49</v>
      </c>
      <c r="M322" s="2" t="inlineStr">
        <is>
          <t>72.54%</t>
        </is>
      </c>
      <c r="N322" t="n">
        <v>4.8</v>
      </c>
      <c r="O322" t="n">
        <v>900</v>
      </c>
      <c r="Q322" t="inlineStr">
        <is>
          <t>InStock</t>
        </is>
      </c>
      <c r="R322" t="inlineStr">
        <is>
          <t>undefined</t>
        </is>
      </c>
      <c r="S322" t="inlineStr">
        <is>
          <t>14570346</t>
        </is>
      </c>
    </row>
    <row r="323" ht="75" customHeight="1">
      <c r="A323" s="1">
        <f>HYPERLINK("https://www.toysrus.com/mideer---dinosaur-jigsaw-floor-puzzle-set-104-piece-G6936352530268.html", "https://www.toysrus.com/mideer---dinosaur-jigsaw-floor-puzzle-set-104-piece-G6936352530268.html")</f>
        <v/>
      </c>
      <c r="B323" s="1">
        <f>HYPERLINK("https://www.toysrus.com/mideer---dinosaur-jigsaw-floor-puzzle-set-104-piece-G6936352530268.html", "https://www.toysrus.com/mideer---dinosaur-jigsaw-floor-puzzle-set-104-piece-G6936352530268.html")</f>
        <v/>
      </c>
      <c r="C323" t="inlineStr">
        <is>
          <t>Mideer - Dinosaur Jigsaw Floor Puzzle Set, 104 Piece</t>
        </is>
      </c>
      <c r="D323" t="inlineStr">
        <is>
          <t>MIDEER Dinosaur Puzzles for Children Ages 6-8, 8-10, Adult, 280 Pieces Dinosaur Jigsaw Floor Puzzle Large Animal Shaped Puzzle Premium Educational Toys Gift for Kids, Family, Boys and Girls</t>
        </is>
      </c>
      <c r="E323" s="1">
        <f>HYPERLINK("https://www.amazon.com/Dinosaur-Puzzles-Children-Premium-Educational/dp/B097H7KTGC/ref=sr_1_4?keywords=Mideer+-+Dinosaur+Jigsaw+Floor+Puzzle+Set%2C+104+Piece&amp;qid=1695588288&amp;sr=8-4", "https://www.amazon.com/Dinosaur-Puzzles-Children-Premium-Educational/dp/B097H7KTGC/ref=sr_1_4?keywords=Mideer+-+Dinosaur+Jigsaw+Floor+Puzzle+Set%2C+104+Piece&amp;qid=1695588288&amp;sr=8-4")</f>
        <v/>
      </c>
      <c r="F323" t="inlineStr">
        <is>
          <t>B097H7KTGC</t>
        </is>
      </c>
      <c r="G323">
        <f>_xlfn.IMAGE("https://images.toysrus.com/1285/6936352530268_1.jpg")</f>
        <v/>
      </c>
      <c r="H323">
        <f>_xlfn.IMAGE("https://m.media-amazon.com/images/I/81S2bsKzLWS._AC_UL320_.jpg")</f>
        <v/>
      </c>
      <c r="K323" t="inlineStr">
        <is>
          <t>11.99</t>
        </is>
      </c>
      <c r="L323" t="n">
        <v>25.99</v>
      </c>
      <c r="M323" s="2" t="inlineStr">
        <is>
          <t>116.76%</t>
        </is>
      </c>
      <c r="N323" t="n">
        <v>4.5</v>
      </c>
      <c r="O323" t="n">
        <v>38</v>
      </c>
      <c r="Q323" t="inlineStr">
        <is>
          <t>InStock</t>
        </is>
      </c>
      <c r="R323" t="inlineStr">
        <is>
          <t>14.99</t>
        </is>
      </c>
      <c r="S323" t="inlineStr">
        <is>
          <t>G6936352530268</t>
        </is>
      </c>
    </row>
    <row r="324" ht="75" customHeight="1">
      <c r="A324" s="1">
        <f>HYPERLINK("https://www.toysrus.com/mideer---dinosaur-jigsaw-floor-puzzle-set-104-piece-G6936352530268.html", "https://www.toysrus.com/mideer---dinosaur-jigsaw-floor-puzzle-set-104-piece-G6936352530268.html")</f>
        <v/>
      </c>
      <c r="B324" s="1">
        <f>HYPERLINK("https://www.toysrus.com/mideer---dinosaur-jigsaw-floor-puzzle-set-104-piece-G6936352530268.html", "https://www.toysrus.com/mideer---dinosaur-jigsaw-floor-puzzle-set-104-piece-G6936352530268.html")</f>
        <v/>
      </c>
      <c r="C324" t="inlineStr">
        <is>
          <t>Mideer - Dinosaur Jigsaw Floor Puzzle Set, 104 Piece</t>
        </is>
      </c>
      <c r="D324" t="inlineStr">
        <is>
          <t>Mideer Dinosaur Puzzles for Kids Ages 3-5, 104pcs Large Size Jigsaw Puzzles with Hand-held Gift Box, Preschool Learning &amp; Education Toys, Dinosaur Floor Puzzles for Kids Age 4-8</t>
        </is>
      </c>
      <c r="E324" s="1">
        <f>HYPERLINK("https://www.amazon.com/Hand-held-Dinosaur-Preschool-Learning-Education/dp/B08R1ZJ1SJ/ref=sr_1_2?keywords=Mideer+-+Dinosaur+Jigsaw+Floor+Puzzle+Set%2C+104+Piece&amp;qid=1695588288&amp;sr=8-2", "https://www.amazon.com/Hand-held-Dinosaur-Preschool-Learning-Education/dp/B08R1ZJ1SJ/ref=sr_1_2?keywords=Mideer+-+Dinosaur+Jigsaw+Floor+Puzzle+Set%2C+104+Piece&amp;qid=1695588288&amp;sr=8-2")</f>
        <v/>
      </c>
      <c r="F324" t="inlineStr">
        <is>
          <t>B08R1ZJ1SJ</t>
        </is>
      </c>
      <c r="G324">
        <f>_xlfn.IMAGE("https://images.toysrus.com/1285/6936352530268_1.jpg")</f>
        <v/>
      </c>
      <c r="H324">
        <f>_xlfn.IMAGE("https://m.media-amazon.com/images/I/91GJkL91GdL._AC_UL320_.jpg")</f>
        <v/>
      </c>
      <c r="K324" t="inlineStr">
        <is>
          <t>11.99</t>
        </is>
      </c>
      <c r="L324" t="n">
        <v>22.99</v>
      </c>
      <c r="M324" s="2" t="inlineStr">
        <is>
          <t>91.74%</t>
        </is>
      </c>
      <c r="N324" t="n">
        <v>4.7</v>
      </c>
      <c r="O324" t="n">
        <v>391</v>
      </c>
      <c r="Q324" t="inlineStr">
        <is>
          <t>InStock</t>
        </is>
      </c>
      <c r="R324" t="inlineStr">
        <is>
          <t>14.99</t>
        </is>
      </c>
      <c r="S324" t="inlineStr">
        <is>
          <t>G6936352530268</t>
        </is>
      </c>
    </row>
    <row r="325" ht="75" customHeight="1">
      <c r="A325" s="1">
        <f>HYPERLINK("https://www.toysrus.com/mindtrap-classic-edition-G625012370905.html", "https://www.toysrus.com/mindtrap-classic-edition-G625012370905.html")</f>
        <v/>
      </c>
      <c r="B325" s="1">
        <f>HYPERLINK("https://www.toysrus.com/mindtrap-classic-edition-G625012370905.html", "https://www.toysrus.com/mindtrap-classic-edition-G625012370905.html")</f>
        <v/>
      </c>
      <c r="C325" t="inlineStr">
        <is>
          <t>MindTrap Classic Edition</t>
        </is>
      </c>
      <c r="D325" t="inlineStr">
        <is>
          <t>Outset Media MindTrap: Classic Edition</t>
        </is>
      </c>
      <c r="E325" s="1">
        <f>HYPERLINK("https://www.amazon.com/Outset-Media-MindTrap-Classic-Edition/dp/B0014IZV74/ref=sr_1_3?keywords=MindTrap+Classic+Edition&amp;qid=1695588350&amp;sr=8-3", "https://www.amazon.com/Outset-Media-MindTrap-Classic-Edition/dp/B0014IZV74/ref=sr_1_3?keywords=MindTrap+Classic+Edition&amp;qid=1695588350&amp;sr=8-3")</f>
        <v/>
      </c>
      <c r="F325" t="inlineStr">
        <is>
          <t>B0014IZV74</t>
        </is>
      </c>
      <c r="G325">
        <f>_xlfn.IMAGE("https://images.toysrus.com/1285/625012370905_1.jpg")</f>
        <v/>
      </c>
      <c r="H325">
        <f>_xlfn.IMAGE("https://m.media-amazon.com/images/I/513mtTmZaML._AC_UY218_.jpg")</f>
        <v/>
      </c>
      <c r="K325" t="inlineStr">
        <is>
          <t>12.99</t>
        </is>
      </c>
      <c r="L325" t="n">
        <v>31.95</v>
      </c>
      <c r="M325" s="2" t="inlineStr">
        <is>
          <t>145.96%</t>
        </is>
      </c>
      <c r="N325" t="n">
        <v>4.2</v>
      </c>
      <c r="O325" t="n">
        <v>29</v>
      </c>
      <c r="Q325" t="inlineStr">
        <is>
          <t>InStock</t>
        </is>
      </c>
      <c r="R325" t="inlineStr">
        <is>
          <t>undefined</t>
        </is>
      </c>
      <c r="S325" t="inlineStr">
        <is>
          <t>G625012370905</t>
        </is>
      </c>
    </row>
    <row r="326" ht="75" customHeight="1">
      <c r="A326" s="1">
        <f>HYPERLINK("https://www.toysrus.com/minnie-bow-tique-bowtastic-shopping-basket-set-10476658.html", "https://www.toysrus.com/minnie-bow-tique-bowtastic-shopping-basket-set-10476658.html")</f>
        <v/>
      </c>
      <c r="B326" s="1">
        <f>HYPERLINK("https://www.toysrus.com/minnie-bow-tique-bowtastic-shopping-basket-set-10476658.html", "https://www.toysrus.com/minnie-bow-tique-bowtastic-shopping-basket-set-10476658.html")</f>
        <v/>
      </c>
      <c r="C326" t="inlineStr">
        <is>
          <t>Minnie Bow-Tique Bowtastic Shopping Basket Set</t>
        </is>
      </c>
      <c r="D326" t="inlineStr">
        <is>
          <t>Minnie Bow-Tique Bowtastic Kitchen Playset, Officially Licensed Kids Toys for Ages 3 Up by Just Play</t>
        </is>
      </c>
      <c r="E326" s="1">
        <f>HYPERLINK("https://www.amazon.com/Minnie-Bow-Tique-Bowtastic-Officially-Licensed/dp/B0756STVZC/ref=sr_1_2?keywords=Minnie+Bow-Tique+Bowtastic+Shopping+Basket+Set&amp;qid=1695588488&amp;sr=8-2", "https://www.amazon.com/Minnie-Bow-Tique-Bowtastic-Officially-Licensed/dp/B0756STVZC/ref=sr_1_2?keywords=Minnie+Bow-Tique+Bowtastic+Shopping+Basket+Set&amp;qid=1695588488&amp;sr=8-2")</f>
        <v/>
      </c>
      <c r="F326" t="inlineStr">
        <is>
          <t>B0756STVZC</t>
        </is>
      </c>
      <c r="G326">
        <f>_xlfn.IMAGE("http://slimages.macys.com/is/image/MCY/products/0/optimized/16294916_fpx.tif")</f>
        <v/>
      </c>
      <c r="H326">
        <f>_xlfn.IMAGE("https://m.media-amazon.com/images/I/81VZ6iO01UL._AC_UL320_.jpg")</f>
        <v/>
      </c>
      <c r="K326" t="inlineStr">
        <is>
          <t>15.25</t>
        </is>
      </c>
      <c r="L326" t="n">
        <v>27.99</v>
      </c>
      <c r="M326" s="2" t="inlineStr">
        <is>
          <t>83.54%</t>
        </is>
      </c>
      <c r="N326" t="n">
        <v>4.6</v>
      </c>
      <c r="O326" t="n">
        <v>792</v>
      </c>
      <c r="Q326" t="inlineStr">
        <is>
          <t>OutOfStock</t>
        </is>
      </c>
      <c r="R326" t="inlineStr">
        <is>
          <t>undefined</t>
        </is>
      </c>
      <c r="S326" t="inlineStr">
        <is>
          <t>10476658</t>
        </is>
      </c>
    </row>
    <row r="327" ht="75" customHeight="1">
      <c r="A327" s="1">
        <f>HYPERLINK("https://www.toysrus.com/minnie-bow-tique-bowtastic-shopping-basket-set-10476658.html", "https://www.toysrus.com/minnie-bow-tique-bowtastic-shopping-basket-set-10476658.html")</f>
        <v/>
      </c>
      <c r="B327" s="1">
        <f>HYPERLINK("https://www.toysrus.com/minnie-bow-tique-bowtastic-shopping-basket-set-10476658.html", "https://www.toysrus.com/minnie-bow-tique-bowtastic-shopping-basket-set-10476658.html")</f>
        <v/>
      </c>
      <c r="C327" t="inlineStr">
        <is>
          <t>Minnie Bow-Tique Bowtastic Shopping Basket Set</t>
        </is>
      </c>
      <c r="D327" t="inlineStr">
        <is>
          <t>Minnie Bow-Tique Bowtastic Kitchen Playset, Officially Licensed Kids Toys for Ages 3 Up by Just Play</t>
        </is>
      </c>
      <c r="E327" s="1">
        <f>HYPERLINK("https://www.amazon.com/Minnie-Bow-Tique-Bowtastic-Officially-Licensed/dp/B0756STVZC/ref=sr_1_2?keywords=Minnie+Bow-Tique+Bowtastic+Shopping+Basket+Set&amp;qid=1695588824&amp;sr=8-2", "https://www.amazon.com/Minnie-Bow-Tique-Bowtastic-Officially-Licensed/dp/B0756STVZC/ref=sr_1_2?keywords=Minnie+Bow-Tique+Bowtastic+Shopping+Basket+Set&amp;qid=1695588824&amp;sr=8-2")</f>
        <v/>
      </c>
      <c r="F327" t="inlineStr">
        <is>
          <t>B0756STVZC</t>
        </is>
      </c>
      <c r="G327">
        <f>_xlfn.IMAGE("http://slimages.macys.com/is/image/MCY/products/0/optimized/16294916_fpx.tif")</f>
        <v/>
      </c>
      <c r="H327">
        <f>_xlfn.IMAGE("https://m.media-amazon.com/images/I/81VZ6iO01UL._AC_UL320_.jpg")</f>
        <v/>
      </c>
      <c r="K327" t="inlineStr">
        <is>
          <t>15.25</t>
        </is>
      </c>
      <c r="L327" t="n">
        <v>27.99</v>
      </c>
      <c r="M327" s="2" t="inlineStr">
        <is>
          <t>83.54%</t>
        </is>
      </c>
      <c r="N327" t="n">
        <v>4.6</v>
      </c>
      <c r="O327" t="n">
        <v>792</v>
      </c>
      <c r="Q327" t="inlineStr">
        <is>
          <t>OutOfStock</t>
        </is>
      </c>
      <c r="R327" t="inlineStr">
        <is>
          <t>undefined</t>
        </is>
      </c>
      <c r="S327" t="inlineStr">
        <is>
          <t>10476658</t>
        </is>
      </c>
    </row>
    <row r="328" ht="75" customHeight="1">
      <c r="A328" s="1">
        <f>HYPERLINK("https://www.toysrus.com/minnie-cash-register-15399576.html", "https://www.toysrus.com/minnie-cash-register-15399576.html")</f>
        <v/>
      </c>
      <c r="B328" s="1">
        <f>HYPERLINK("https://www.toysrus.com/minnie-cash-register-15399576.html", "https://www.toysrus.com/minnie-cash-register-15399576.html")</f>
        <v/>
      </c>
      <c r="C328" t="inlineStr">
        <is>
          <t>Minnie Cash Register</t>
        </is>
      </c>
      <c r="D328" t="inlineStr">
        <is>
          <t>Disney Junior Minnie Mouse Marvelous Market, Pretend Play Cash Register with Realistic Sounds, 38 Play Food Pieces and Accessories, Officially Licensed Kids Toys for Ages 3 Up by Just Play</t>
        </is>
      </c>
      <c r="E328" s="1">
        <f>HYPERLINK("https://www.amazon.com/Just-Play-Marvelous-Realistic-Accessories/dp/B08TB48LMH/ref=sr_1_2?keywords=Minnie+Cash+Register&amp;qid=1695588818&amp;sr=8-2", "https://www.amazon.com/Just-Play-Marvelous-Realistic-Accessories/dp/B08TB48LMH/ref=sr_1_2?keywords=Minnie+Cash+Register&amp;qid=1695588818&amp;sr=8-2")</f>
        <v/>
      </c>
      <c r="F328" t="inlineStr">
        <is>
          <t>B08TB48LMH</t>
        </is>
      </c>
      <c r="G328">
        <f>_xlfn.IMAGE("http://slimages.macys.com/is/image/MCY/products/0/optimized/24211802_fpx.tif")</f>
        <v/>
      </c>
      <c r="H328">
        <f>_xlfn.IMAGE("https://m.media-amazon.com/images/I/81ExXR5cvLL._AC_UL320_.jpg")</f>
        <v/>
      </c>
      <c r="K328" t="inlineStr">
        <is>
          <t>14.99</t>
        </is>
      </c>
      <c r="L328" t="n">
        <v>84.98999999999999</v>
      </c>
      <c r="M328" s="2" t="inlineStr">
        <is>
          <t>466.98%</t>
        </is>
      </c>
      <c r="N328" t="n">
        <v>4.6</v>
      </c>
      <c r="O328" t="n">
        <v>1931</v>
      </c>
      <c r="Q328" t="inlineStr">
        <is>
          <t>InStock</t>
        </is>
      </c>
      <c r="R328" t="inlineStr">
        <is>
          <t>undefined</t>
        </is>
      </c>
      <c r="S328" t="inlineStr">
        <is>
          <t>15399576</t>
        </is>
      </c>
    </row>
    <row r="329" ht="75" customHeight="1">
      <c r="A329" s="1">
        <f>HYPERLINK("https://www.toysrus.com/minnie-cash-register-15399576.html", "https://www.toysrus.com/minnie-cash-register-15399576.html")</f>
        <v/>
      </c>
      <c r="B329" s="1">
        <f>HYPERLINK("https://www.toysrus.com/minnie-cash-register-15399576.html", "https://www.toysrus.com/minnie-cash-register-15399576.html")</f>
        <v/>
      </c>
      <c r="C329" t="inlineStr">
        <is>
          <t>Minnie Cash Register</t>
        </is>
      </c>
      <c r="D329" t="inlineStr">
        <is>
          <t>Disney Junior Minnie Mouse Bowtique Cash Register, by Just Play</t>
        </is>
      </c>
      <c r="E329" s="1">
        <f>HYPERLINK("https://www.amazon.com/Minnies-Happy-Helpers-Bowtique-Register/dp/B07VHY4QSJ/ref=sr_1_4?keywords=Minnie+Cash+Register&amp;qid=1695588818&amp;sr=8-4", "https://www.amazon.com/Minnies-Happy-Helpers-Bowtique-Register/dp/B07VHY4QSJ/ref=sr_1_4?keywords=Minnie+Cash+Register&amp;qid=1695588818&amp;sr=8-4")</f>
        <v/>
      </c>
      <c r="F329" t="inlineStr">
        <is>
          <t>B07VHY4QSJ</t>
        </is>
      </c>
      <c r="G329">
        <f>_xlfn.IMAGE("http://slimages.macys.com/is/image/MCY/products/0/optimized/24211802_fpx.tif")</f>
        <v/>
      </c>
      <c r="H329">
        <f>_xlfn.IMAGE("https://m.media-amazon.com/images/I/81IStwGDdgL._AC_UL320_.jpg")</f>
        <v/>
      </c>
      <c r="K329" t="inlineStr">
        <is>
          <t>14.99</t>
        </is>
      </c>
      <c r="L329" t="n">
        <v>25</v>
      </c>
      <c r="M329" s="2" t="inlineStr">
        <is>
          <t>66.78%</t>
        </is>
      </c>
      <c r="N329" t="n">
        <v>4.6</v>
      </c>
      <c r="O329" t="n">
        <v>919</v>
      </c>
      <c r="Q329" t="inlineStr">
        <is>
          <t>InStock</t>
        </is>
      </c>
      <c r="R329" t="inlineStr">
        <is>
          <t>undefined</t>
        </is>
      </c>
      <c r="S329" t="inlineStr">
        <is>
          <t>15399576</t>
        </is>
      </c>
    </row>
    <row r="330" ht="75" customHeight="1">
      <c r="A330" s="1">
        <f>HYPERLINK("https://www.toysrus.com/money-skill-drill-flash-cards-G078628530162.html", "https://www.toysrus.com/money-skill-drill-flash-cards-G078628530162.html")</f>
        <v/>
      </c>
      <c r="B330" s="1">
        <f>HYPERLINK("https://www.toysrus.com/money-skill-drill-flash-cards-G078628530162.html", "https://www.toysrus.com/money-skill-drill-flash-cards-G078628530162.html")</f>
        <v/>
      </c>
      <c r="C330" t="inlineStr">
        <is>
          <t>Money Skill Drill Flash Cards</t>
        </is>
      </c>
      <c r="D330" t="inlineStr">
        <is>
          <t>Trend Enterprises: Multiplication All Facts Through 12 Skill Drill Flash Cards, Exciting Way for Everyone to Learn, Great for Skill Building and Test Prep, 156 Cards Included, Ages 8 and Up</t>
        </is>
      </c>
      <c r="E330" s="1">
        <f>HYPERLINK("https://www.amazon.com/Trend-Enterprises-Multiplication-Flash-Cards/dp/B0007WXPHQ/ref=sr_1_9?keywords=Money+Skill+Drill+Flash+Cards&amp;qid=1695588289&amp;sr=8-9", "https://www.amazon.com/Trend-Enterprises-Multiplication-Flash-Cards/dp/B0007WXPHQ/ref=sr_1_9?keywords=Money+Skill+Drill+Flash+Cards&amp;qid=1695588289&amp;sr=8-9")</f>
        <v/>
      </c>
      <c r="F330" t="inlineStr">
        <is>
          <t>B0007WXPHQ</t>
        </is>
      </c>
      <c r="G330">
        <f>_xlfn.IMAGE("https://images.toysrus.com/28598/078628530162_1.jpg")</f>
        <v/>
      </c>
      <c r="H330">
        <f>_xlfn.IMAGE("https://m.media-amazon.com/images/I/81ZHDoCYnrL._AC_UL320_.jpg")</f>
        <v/>
      </c>
      <c r="K330" t="inlineStr">
        <is>
          <t>9.99</t>
        </is>
      </c>
      <c r="L330" t="n">
        <v>16.78</v>
      </c>
      <c r="M330" s="2" t="inlineStr">
        <is>
          <t>67.97%</t>
        </is>
      </c>
      <c r="N330" t="n">
        <v>4.8</v>
      </c>
      <c r="O330" t="n">
        <v>1041</v>
      </c>
      <c r="Q330" t="inlineStr">
        <is>
          <t>InStock</t>
        </is>
      </c>
      <c r="R330" t="inlineStr">
        <is>
          <t>undefined</t>
        </is>
      </c>
      <c r="S330" t="inlineStr">
        <is>
          <t>G078628530162</t>
        </is>
      </c>
    </row>
    <row r="331" ht="75" customHeight="1">
      <c r="A331" s="1">
        <f>HYPERLINK("https://www.toysrus.com/monster-jam-freestyle-flip-playset-14651275.html", "https://www.toysrus.com/monster-jam-freestyle-flip-playset-14651275.html")</f>
        <v/>
      </c>
      <c r="B331" s="1">
        <f>HYPERLINK("https://www.toysrus.com/monster-jam-freestyle-flip-playset-14651275.html", "https://www.toysrus.com/monster-jam-freestyle-flip-playset-14651275.html")</f>
        <v/>
      </c>
      <c r="C331" t="inlineStr">
        <is>
          <t>Monster Jam Freestyle Flip Playset</t>
        </is>
      </c>
      <c r="D331" t="inlineStr">
        <is>
          <t>Monster Jam, Ship It &amp; Flip It Transforming Playset with Exclusive 1:64 Scale Die-Cast Monster Jam Truck</t>
        </is>
      </c>
      <c r="E331" s="1">
        <f>HYPERLINK("https://www.amazon.com/Monster-Jam-Transforming-Playset-Exclusive/dp/B07PV3BNRS/ref=sr_1_3?keywords=Monster+Jam+Freestyle+Flip+Playset&amp;qid=1695588725&amp;sr=8-3", "https://www.amazon.com/Monster-Jam-Transforming-Playset-Exclusive/dp/B07PV3BNRS/ref=sr_1_3?keywords=Monster+Jam+Freestyle+Flip+Playset&amp;qid=1695588725&amp;sr=8-3")</f>
        <v/>
      </c>
      <c r="F331" t="inlineStr">
        <is>
          <t>B07PV3BNRS</t>
        </is>
      </c>
      <c r="G331">
        <f>_xlfn.IMAGE("http://slimages.macys.com/is/image/MCY/products/0/optimized/22856628_fpx.tif")</f>
        <v/>
      </c>
      <c r="H331">
        <f>_xlfn.IMAGE("https://m.media-amazon.com/images/I/91lrmQB1p0L._AC_UL320_.jpg")</f>
        <v/>
      </c>
      <c r="K331" t="inlineStr">
        <is>
          <t>15.59</t>
        </is>
      </c>
      <c r="L331" t="n">
        <v>29.26</v>
      </c>
      <c r="M331" s="2" t="inlineStr">
        <is>
          <t>87.68%</t>
        </is>
      </c>
      <c r="N331" t="n">
        <v>4.6</v>
      </c>
      <c r="O331" t="n">
        <v>3048</v>
      </c>
      <c r="Q331" t="inlineStr">
        <is>
          <t>InStock</t>
        </is>
      </c>
      <c r="R331" t="inlineStr">
        <is>
          <t>undefined</t>
        </is>
      </c>
      <c r="S331" t="inlineStr">
        <is>
          <t>14651275</t>
        </is>
      </c>
    </row>
    <row r="332" ht="75" customHeight="1">
      <c r="A332" s="1">
        <f>HYPERLINK("https://www.toysrus.com/my-beauty-vanity-carry-case-G3032163201489.html", "https://www.toysrus.com/my-beauty-vanity-carry-case-G3032163201489.html")</f>
        <v/>
      </c>
      <c r="B332" s="1">
        <f>HYPERLINK("https://www.toysrus.com/my-beauty-vanity-carry-case-G3032163201489.html", "https://www.toysrus.com/my-beauty-vanity-carry-case-G3032163201489.html")</f>
        <v/>
      </c>
      <c r="C332" t="inlineStr">
        <is>
          <t>My Beauty Vanity: Carry Case</t>
        </is>
      </c>
      <c r="D332" t="inlineStr">
        <is>
          <t>Smoby My Beauty Vanity: Carry Case - 13 Accessory Portable Case, Kids Role Play, Ages 3+</t>
        </is>
      </c>
      <c r="E332" s="1">
        <f>HYPERLINK("https://www.amazon.com/Smoby-7600320148-Portable-Beauty-Accessories/dp/B09688RQTS/ref=sr_1_1?keywords=My+Beauty+Vanity%3A+Carry+Case&amp;qid=1695588294&amp;sr=8-1", "https://www.amazon.com/Smoby-7600320148-Portable-Beauty-Accessories/dp/B09688RQTS/ref=sr_1_1?keywords=My+Beauty+Vanity%3A+Carry+Case&amp;qid=1695588294&amp;sr=8-1")</f>
        <v/>
      </c>
      <c r="F332" t="inlineStr">
        <is>
          <t>B09688RQTS</t>
        </is>
      </c>
      <c r="G332">
        <f>_xlfn.IMAGE("https://images.toysrus.com/1285/3032163201489_1.jpg")</f>
        <v/>
      </c>
      <c r="H332">
        <f>_xlfn.IMAGE("https://m.media-amazon.com/images/I/51wFeD-2J9L._AC_UL320_.jpg")</f>
        <v/>
      </c>
      <c r="K332" t="inlineStr">
        <is>
          <t>19.99</t>
        </is>
      </c>
      <c r="L332" t="n">
        <v>42.46</v>
      </c>
      <c r="M332" s="2" t="inlineStr">
        <is>
          <t>112.41%</t>
        </is>
      </c>
      <c r="N332" t="n">
        <v>4</v>
      </c>
      <c r="O332" t="n">
        <v>227</v>
      </c>
      <c r="Q332" t="inlineStr">
        <is>
          <t>InStock</t>
        </is>
      </c>
      <c r="R332" t="inlineStr">
        <is>
          <t>undefined</t>
        </is>
      </c>
      <c r="S332" t="inlineStr">
        <is>
          <t>G3032163201489</t>
        </is>
      </c>
    </row>
    <row r="333" ht="75" customHeight="1">
      <c r="A333" s="1">
        <f>HYPERLINK("https://www.toysrus.com/my-fairy-garden---twinkling-tree-house-G093514036450.html", "https://www.toysrus.com/my-fairy-garden---twinkling-tree-house-G093514036450.html")</f>
        <v/>
      </c>
      <c r="B333" s="1">
        <f>HYPERLINK("https://www.toysrus.com/my-fairy-garden---twinkling-tree-house-G093514036450.html", "https://www.toysrus.com/my-fairy-garden---twinkling-tree-house-G093514036450.html")</f>
        <v/>
      </c>
      <c r="C333" t="inlineStr">
        <is>
          <t>My Fairy Garden - Twinkling Tree House</t>
        </is>
      </c>
      <c r="D333" t="inlineStr">
        <is>
          <t>Fairy Garden Accessories Fairy House, Miniature Fairy Door and Windows for Trees, Fairy Garden Kit Glow in Dark (Pink Petal Style)</t>
        </is>
      </c>
      <c r="E333" s="1">
        <f>HYPERLINK("https://www.amazon.com/iLAND-Garden-Accessories-Miniature-Windows/dp/B09HFX875Q/ref=sr_1_9?keywords=My+Fairy+Garden+-+Twinkling+Tree+House&amp;qid=1695588470&amp;sr=8-9", "https://www.amazon.com/iLAND-Garden-Accessories-Miniature-Windows/dp/B09HFX875Q/ref=sr_1_9?keywords=My+Fairy+Garden+-+Twinkling+Tree+House&amp;qid=1695588470&amp;sr=8-9")</f>
        <v/>
      </c>
      <c r="F333" t="inlineStr">
        <is>
          <t>B09HFX875Q</t>
        </is>
      </c>
      <c r="G333">
        <f>_xlfn.IMAGE("https://images.toysrus.com/1285/093514036450_1.jpg")</f>
        <v/>
      </c>
      <c r="H333">
        <f>_xlfn.IMAGE("https://m.media-amazon.com/images/I/71jNF6GnLeL._AC_UL320_.jpg")</f>
        <v/>
      </c>
      <c r="K333" t="inlineStr">
        <is>
          <t>17.99</t>
        </is>
      </c>
      <c r="L333" t="n">
        <v>34.99</v>
      </c>
      <c r="M333" s="2" t="inlineStr">
        <is>
          <t>94.50%</t>
        </is>
      </c>
      <c r="N333" t="n">
        <v>4.4</v>
      </c>
      <c r="O333" t="n">
        <v>16</v>
      </c>
      <c r="Q333" t="inlineStr">
        <is>
          <t>InStock</t>
        </is>
      </c>
      <c r="R333" t="inlineStr">
        <is>
          <t>undefined</t>
        </is>
      </c>
      <c r="S333" t="inlineStr">
        <is>
          <t>G093514036450</t>
        </is>
      </c>
    </row>
    <row r="334" ht="75" customHeight="1">
      <c r="A334" s="1">
        <f>HYPERLINK("https://www.toysrus.com/my-fairy-garden---twinkling-tree-house-G093514036450.html", "https://www.toysrus.com/my-fairy-garden---twinkling-tree-house-G093514036450.html")</f>
        <v/>
      </c>
      <c r="B334" s="1">
        <f>HYPERLINK("https://www.toysrus.com/my-fairy-garden---twinkling-tree-house-G093514036450.html", "https://www.toysrus.com/my-fairy-garden---twinkling-tree-house-G093514036450.html")</f>
        <v/>
      </c>
      <c r="C334" t="inlineStr">
        <is>
          <t>My Fairy Garden - Twinkling Tree House</t>
        </is>
      </c>
      <c r="D334" t="inlineStr">
        <is>
          <t>PRETMANNS Fairy Garden Houses for Outdoor - Large Fairy Tree House with a Door That Opens – 9” High - Garden Supplies for Miniature Garden Accessories</t>
        </is>
      </c>
      <c r="E334" s="1">
        <f>HYPERLINK("https://www.amazon.com/PRETMANNS-Fairy-Garden-House-Supplies/dp/B07SJR3SSP/ref=sr_1_6?keywords=My+Fairy+Garden+-+Twinkling+Tree+House&amp;qid=1695588470&amp;sr=8-6", "https://www.amazon.com/PRETMANNS-Fairy-Garden-House-Supplies/dp/B07SJR3SSP/ref=sr_1_6?keywords=My+Fairy+Garden+-+Twinkling+Tree+House&amp;qid=1695588470&amp;sr=8-6")</f>
        <v/>
      </c>
      <c r="F334" t="inlineStr">
        <is>
          <t>B07SJR3SSP</t>
        </is>
      </c>
      <c r="G334">
        <f>_xlfn.IMAGE("https://images.toysrus.com/1285/093514036450_1.jpg")</f>
        <v/>
      </c>
      <c r="H334">
        <f>_xlfn.IMAGE("https://m.media-amazon.com/images/I/91xJzwUaatL._AC_UL320_.jpg")</f>
        <v/>
      </c>
      <c r="K334" t="inlineStr">
        <is>
          <t>17.99</t>
        </is>
      </c>
      <c r="L334" t="n">
        <v>32.9</v>
      </c>
      <c r="M334" s="2" t="inlineStr">
        <is>
          <t>82.88%</t>
        </is>
      </c>
      <c r="N334" t="n">
        <v>4.8</v>
      </c>
      <c r="O334" t="n">
        <v>754</v>
      </c>
      <c r="Q334" t="inlineStr">
        <is>
          <t>InStock</t>
        </is>
      </c>
      <c r="R334" t="inlineStr">
        <is>
          <t>undefined</t>
        </is>
      </c>
      <c r="S334" t="inlineStr">
        <is>
          <t>G093514036450</t>
        </is>
      </c>
    </row>
    <row r="335" ht="75" customHeight="1">
      <c r="A335" s="1">
        <f>HYPERLINK("https://www.toysrus.com/my-squishy-little-dumplings-12725260.html", "https://www.toysrus.com/my-squishy-little-dumplings-12725260.html")</f>
        <v/>
      </c>
      <c r="B335" s="1">
        <f>HYPERLINK("https://www.toysrus.com/my-squishy-little-dumplings-12725260.html", "https://www.toysrus.com/my-squishy-little-dumplings-12725260.html")</f>
        <v/>
      </c>
      <c r="C335" t="inlineStr">
        <is>
          <t>My Squishy Little Dumplings</t>
        </is>
      </c>
      <c r="D335" t="inlineStr">
        <is>
          <t>My Squishy Little Peach - Peace</t>
        </is>
      </c>
      <c r="E335" s="1">
        <f>HYPERLINK("https://www.amazon.com/My-Squishy-Little-Peach-Peace/dp/B0BL765H3G/ref=sr_1_8?keywords=My+Squishy+Little+Dumplings&amp;qid=1695588596&amp;sr=8-8", "https://www.amazon.com/My-Squishy-Little-Peach-Peace/dp/B0BL765H3G/ref=sr_1_8?keywords=My+Squishy+Little+Dumplings&amp;qid=1695588596&amp;sr=8-8")</f>
        <v/>
      </c>
      <c r="F335" t="inlineStr">
        <is>
          <t>B0BL765H3G</t>
        </is>
      </c>
      <c r="G335">
        <f>_xlfn.IMAGE("http://slimages.macys.com/is/image/MCY/products/0/optimized/20096958_fpx.tif")</f>
        <v/>
      </c>
      <c r="H335">
        <f>_xlfn.IMAGE("https://m.media-amazon.com/images/I/41d5OG2vQXL._AC_UL320_.jpg")</f>
        <v/>
      </c>
      <c r="K335" t="inlineStr">
        <is>
          <t>7.43</t>
        </is>
      </c>
      <c r="L335" t="n">
        <v>19</v>
      </c>
      <c r="M335" s="2" t="inlineStr">
        <is>
          <t>155.72%</t>
        </is>
      </c>
      <c r="N335" t="n">
        <v>5</v>
      </c>
      <c r="O335" t="n">
        <v>4</v>
      </c>
      <c r="Q335" t="inlineStr">
        <is>
          <t>InStock</t>
        </is>
      </c>
      <c r="R335" t="inlineStr">
        <is>
          <t>undefined</t>
        </is>
      </c>
      <c r="S335" t="inlineStr">
        <is>
          <t>12725260</t>
        </is>
      </c>
    </row>
    <row r="336" ht="75" customHeight="1">
      <c r="A336" s="1">
        <f>HYPERLINK("https://www.toysrus.com/mystic-scrolls-board-game-G707409988112.html", "https://www.toysrus.com/mystic-scrolls-board-game-G707409988112.html")</f>
        <v/>
      </c>
      <c r="B336" s="1">
        <f>HYPERLINK("https://www.toysrus.com/mystic-scrolls-board-game-G707409988112.html", "https://www.toysrus.com/mystic-scrolls-board-game-G707409988112.html")</f>
        <v/>
      </c>
      <c r="C336" t="inlineStr">
        <is>
          <t>Mystic ScROLLS Board Game</t>
        </is>
      </c>
      <c r="D336" t="inlineStr">
        <is>
          <t>The Elder Scrolls V: Skyrim – The Adventure Game | Dungeon Crawling Strategy Board Game for Adults and Teens | Ages 14+ | 1-4 Players | Avg. Playtime 60-120 Minutes | Made by Modiphius Entertainment</t>
        </is>
      </c>
      <c r="E336" s="1">
        <f>HYPERLINK("https://www.amazon.com/Elder-Scrolls-Adventure-Modiphius-Entertainment/dp/B0BHTQ6NM7/ref=sr_1_8?keywords=Mystic+ScROLLS+Board+Game&amp;qid=1695588363&amp;sr=8-8", "https://www.amazon.com/Elder-Scrolls-Adventure-Modiphius-Entertainment/dp/B0BHTQ6NM7/ref=sr_1_8?keywords=Mystic+ScROLLS+Board+Game&amp;qid=1695588363&amp;sr=8-8")</f>
        <v/>
      </c>
      <c r="F336" t="inlineStr">
        <is>
          <t>B0BHTQ6NM7</t>
        </is>
      </c>
      <c r="G336">
        <f>_xlfn.IMAGE("https://images.toysrus.com/1285/707409988112_1.jpg")</f>
        <v/>
      </c>
      <c r="H336">
        <f>_xlfn.IMAGE("https://m.media-amazon.com/images/I/71kHb51qOCL._AC_UL320_.jpg")</f>
        <v/>
      </c>
      <c r="K336" t="inlineStr">
        <is>
          <t>29.99</t>
        </is>
      </c>
      <c r="L336" t="n">
        <v>113.5</v>
      </c>
      <c r="M336" s="2" t="inlineStr">
        <is>
          <t>278.46%</t>
        </is>
      </c>
      <c r="N336" t="n">
        <v>4.5</v>
      </c>
      <c r="O336" t="n">
        <v>69</v>
      </c>
      <c r="Q336" t="inlineStr">
        <is>
          <t>InStock</t>
        </is>
      </c>
      <c r="R336" t="inlineStr">
        <is>
          <t>undefined</t>
        </is>
      </c>
      <c r="S336" t="inlineStr">
        <is>
          <t>G707409988112</t>
        </is>
      </c>
    </row>
    <row r="337" ht="75" customHeight="1">
      <c r="A337" s="1">
        <f>HYPERLINK("https://www.toysrus.com/mystic-scrolls-board-game-G707409988112.html", "https://www.toysrus.com/mystic-scrolls-board-game-G707409988112.html")</f>
        <v/>
      </c>
      <c r="B337" s="1">
        <f>HYPERLINK("https://www.toysrus.com/mystic-scrolls-board-game-G707409988112.html", "https://www.toysrus.com/mystic-scrolls-board-game-G707409988112.html")</f>
        <v/>
      </c>
      <c r="C337" t="inlineStr">
        <is>
          <t>Mystic ScROLLS Board Game</t>
        </is>
      </c>
      <c r="D337" t="inlineStr">
        <is>
          <t>The Elder Scrolls V: Skyrim – The Adventure Game Dawnguard Expansion | Strategy Board Game for Adults | Ages 14+ | 1-4 Players | Avg. Playtime 60-120 Minutes | Made by Modiphius Entertainment</t>
        </is>
      </c>
      <c r="E337" s="1">
        <f>HYPERLINK("https://www.amazon.com/Elder-Scrolls-Adventure-Dawnguard-Entertainment/dp/B0BHTNGJ6L/ref=sr_1_3?keywords=Mystic+ScROLLS+Board+Game&amp;qid=1695588363&amp;sr=8-3", "https://www.amazon.com/Elder-Scrolls-Adventure-Dawnguard-Entertainment/dp/B0BHTNGJ6L/ref=sr_1_3?keywords=Mystic+ScROLLS+Board+Game&amp;qid=1695588363&amp;sr=8-3")</f>
        <v/>
      </c>
      <c r="F337" t="inlineStr">
        <is>
          <t>B0BHTNGJ6L</t>
        </is>
      </c>
      <c r="G337">
        <f>_xlfn.IMAGE("https://images.toysrus.com/1285/707409988112_1.jpg")</f>
        <v/>
      </c>
      <c r="H337">
        <f>_xlfn.IMAGE("https://m.media-amazon.com/images/I/71dmQCd6e6L._AC_UL320_.jpg")</f>
        <v/>
      </c>
      <c r="K337" t="inlineStr">
        <is>
          <t>29.99</t>
        </is>
      </c>
      <c r="L337" t="n">
        <v>75.98999999999999</v>
      </c>
      <c r="M337" s="2" t="inlineStr">
        <is>
          <t>153.38%</t>
        </is>
      </c>
      <c r="N337" t="n">
        <v>4.9</v>
      </c>
      <c r="O337" t="n">
        <v>16</v>
      </c>
      <c r="Q337" t="inlineStr">
        <is>
          <t>InStock</t>
        </is>
      </c>
      <c r="R337" t="inlineStr">
        <is>
          <t>undefined</t>
        </is>
      </c>
      <c r="S337" t="inlineStr">
        <is>
          <t>G707409988112</t>
        </is>
      </c>
    </row>
    <row r="338" ht="75" customHeight="1">
      <c r="A338" s="1">
        <f>HYPERLINK("https://www.toysrus.com/mystic-vale-vale-of-magic-expansion---alderac-entertainment-group-aeg-ages-14-2-4-players-45-min-G729220058645.html", "https://www.toysrus.com/mystic-vale-vale-of-magic-expansion---alderac-entertainment-group-aeg-ages-14-2-4-players-45-min-G729220058645.html")</f>
        <v/>
      </c>
      <c r="B338" s="1">
        <f>HYPERLINK("https://www.toysrus.com/mystic-vale-vale-of-magic-expansion---alderac-entertainment-group-aeg-ages-14-2-4-players-45-min-G729220058645.html", "https://www.toysrus.com/mystic-vale-vale-of-magic-expansion---alderac-entertainment-group-aeg-ages-14-2-4-players-45-min-G729220058645.html")</f>
        <v/>
      </c>
      <c r="C338" t="inlineStr">
        <is>
          <t>Mystic Vale: Vale of Magic Expansion - Alderac Entertainment Group (AEG), Ages 14+, 2-4 Players, 45 Min</t>
        </is>
      </c>
      <c r="D338" t="inlineStr">
        <is>
          <t>Mystic Vale: Essential Edition - Base Game and Expansions, Complete Set, Card-Crafting, Deck Building, 2-4 Players, Ages 14+, 45 Min Play Time, Alderac Entertainment Group (AEG)</t>
        </is>
      </c>
      <c r="E338" s="1">
        <f>HYPERLINK("https://www.amazon.com/Alderac-Entertainment-Group-AEG-Mystic/dp/B09MC7CWLV/ref=sr_1_9?keywords=Mystic+Vale%3A+Vale+of+Magic+Expansion+-+Alderac+Entertainment+Group+%28AEG%29%2C+Ages+14+%2C+2-4+Players%2C+45+Min&amp;qid=1695588270&amp;sr=8-9", "https://www.amazon.com/Alderac-Entertainment-Group-AEG-Mystic/dp/B09MC7CWLV/ref=sr_1_9?keywords=Mystic+Vale%3A+Vale+of+Magic+Expansion+-+Alderac+Entertainment+Group+%28AEG%29%2C+Ages+14+%2C+2-4+Players%2C+45+Min&amp;qid=1695588270&amp;sr=8-9")</f>
        <v/>
      </c>
      <c r="F338" t="inlineStr">
        <is>
          <t>B09MC7CWLV</t>
        </is>
      </c>
      <c r="G338">
        <f>_xlfn.IMAGE("https://images.toysrus.com/1285980/729220058645_1.jpg")</f>
        <v/>
      </c>
      <c r="H338">
        <f>_xlfn.IMAGE("https://m.media-amazon.com/images/I/81O5DjM1rYL._AC_UL320_.jpg")</f>
        <v/>
      </c>
      <c r="K338" t="inlineStr">
        <is>
          <t>13.99</t>
        </is>
      </c>
      <c r="L338" t="n">
        <v>67</v>
      </c>
      <c r="M338" s="2" t="inlineStr">
        <is>
          <t>378.91%</t>
        </is>
      </c>
      <c r="N338" t="n">
        <v>4.5</v>
      </c>
      <c r="O338" t="n">
        <v>22</v>
      </c>
      <c r="Q338" t="inlineStr">
        <is>
          <t>InStock</t>
        </is>
      </c>
      <c r="R338" t="inlineStr">
        <is>
          <t>undefined</t>
        </is>
      </c>
      <c r="S338" t="inlineStr">
        <is>
          <t>G729220058645</t>
        </is>
      </c>
    </row>
    <row r="339" ht="75" customHeight="1">
      <c r="A339" s="1">
        <f>HYPERLINK("https://www.toysrus.com/mystic-vale-vale-of-magic-expansion---alderac-entertainment-group-aeg-ages-14-2-4-players-45-min-G729220058645.html", "https://www.toysrus.com/mystic-vale-vale-of-magic-expansion---alderac-entertainment-group-aeg-ages-14-2-4-players-45-min-G729220058645.html")</f>
        <v/>
      </c>
      <c r="B339" s="1">
        <f>HYPERLINK("https://www.toysrus.com/mystic-vale-vale-of-magic-expansion---alderac-entertainment-group-aeg-ages-14-2-4-players-45-min-G729220058645.html", "https://www.toysrus.com/mystic-vale-vale-of-magic-expansion---alderac-entertainment-group-aeg-ages-14-2-4-players-45-min-G729220058645.html")</f>
        <v/>
      </c>
      <c r="C339" t="inlineStr">
        <is>
          <t>Mystic Vale: Vale of Magic Expansion - Alderac Entertainment Group (AEG), Ages 14+, 2-4 Players, 45 Min</t>
        </is>
      </c>
      <c r="D339" t="inlineStr">
        <is>
          <t>Mystic Vale Harmony Expansion - Card Game, Card-Crafting, Protect Nature with Magic Power, Unique Clear Cards, 2 to 4 Players, 45 Minute Playtime, Ages 14 and Up, Alderac Entertainment Group (AEG)</t>
        </is>
      </c>
      <c r="E339" s="1">
        <f>HYPERLINK("https://www.amazon.com/Mystic-Vale-Harmony-Expansion-Card-Crafting/dp/B07L1F7GLN/ref=sr_1_1?keywords=Mystic+Vale%3A+Vale+of+Magic+Expansion+-+Alderac+Entertainment+Group+%28AEG%29%2C+Ages+14+%2C+2-4+Players%2C+45+Min&amp;qid=1695588270&amp;sr=8-1", "https://www.amazon.com/Mystic-Vale-Harmony-Expansion-Card-Crafting/dp/B07L1F7GLN/ref=sr_1_1?keywords=Mystic+Vale%3A+Vale+of+Magic+Expansion+-+Alderac+Entertainment+Group+%28AEG%29%2C+Ages+14+%2C+2-4+Players%2C+45+Min&amp;qid=1695588270&amp;sr=8-1")</f>
        <v/>
      </c>
      <c r="F339" t="inlineStr">
        <is>
          <t>B07L1F7GLN</t>
        </is>
      </c>
      <c r="G339">
        <f>_xlfn.IMAGE("https://images.toysrus.com/1285980/729220058645_1.jpg")</f>
        <v/>
      </c>
      <c r="H339">
        <f>_xlfn.IMAGE("https://m.media-amazon.com/images/I/91OrtUJshfL._AC_UL320_.jpg")</f>
        <v/>
      </c>
      <c r="K339" t="inlineStr">
        <is>
          <t>13.99</t>
        </is>
      </c>
      <c r="L339" t="n">
        <v>31.53</v>
      </c>
      <c r="M339" s="2" t="inlineStr">
        <is>
          <t>125.38%</t>
        </is>
      </c>
      <c r="N339" t="n">
        <v>4.3</v>
      </c>
      <c r="O339" t="n">
        <v>51</v>
      </c>
      <c r="Q339" t="inlineStr">
        <is>
          <t>InStock</t>
        </is>
      </c>
      <c r="R339" t="inlineStr">
        <is>
          <t>undefined</t>
        </is>
      </c>
      <c r="S339" t="inlineStr">
        <is>
          <t>G729220058645</t>
        </is>
      </c>
    </row>
    <row r="340" ht="75" customHeight="1">
      <c r="A340" s="1">
        <f>HYPERLINK("https://www.toysrus.com/mystic-vale-vale-of-magic-expansion---alderac-entertainment-group-aeg-ages-14-2-4-players-45-min-G729220058645.html", "https://www.toysrus.com/mystic-vale-vale-of-magic-expansion---alderac-entertainment-group-aeg-ages-14-2-4-players-45-min-G729220058645.html")</f>
        <v/>
      </c>
      <c r="B340" s="1">
        <f>HYPERLINK("https://www.toysrus.com/mystic-vale-vale-of-magic-expansion---alderac-entertainment-group-aeg-ages-14-2-4-players-45-min-G729220058645.html", "https://www.toysrus.com/mystic-vale-vale-of-magic-expansion---alderac-entertainment-group-aeg-ages-14-2-4-players-45-min-G729220058645.html")</f>
        <v/>
      </c>
      <c r="C340" t="inlineStr">
        <is>
          <t>Mystic Vale: Vale of Magic Expansion - Alderac Entertainment Group (AEG), Ages 14+, 2-4 Players, 45 Min</t>
        </is>
      </c>
      <c r="D340" t="inlineStr">
        <is>
          <t>Mystic Vale Vale of Magic Expansion - AEG, Card Game, Card-Crafting, Protect Nature with Magic Power, Unique Clear Cards, 2 to 4 Players, 45 Minute Playtime, Ages 14 and Up</t>
        </is>
      </c>
      <c r="E340" s="1">
        <f>HYPERLINK("https://www.amazon.com/Mystic-Vale-of-Magic/dp/B01L0Q6O5C/ref=sr_1_2?keywords=Mystic+Vale%3A+Vale+of+Magic+Expansion+-+Alderac+Entertainment+Group+%28AEG%29%2C+Ages+14+%2C+2-4+Players%2C+45+Min&amp;qid=1695588270&amp;sr=8-2", "https://www.amazon.com/Mystic-Vale-of-Magic/dp/B01L0Q6O5C/ref=sr_1_2?keywords=Mystic+Vale%3A+Vale+of+Magic+Expansion+-+Alderac+Entertainment+Group+%28AEG%29%2C+Ages+14+%2C+2-4+Players%2C+45+Min&amp;qid=1695588270&amp;sr=8-2")</f>
        <v/>
      </c>
      <c r="F340" t="inlineStr">
        <is>
          <t>B01L0Q6O5C</t>
        </is>
      </c>
      <c r="G340">
        <f>_xlfn.IMAGE("https://images.toysrus.com/1285980/729220058645_1.jpg")</f>
        <v/>
      </c>
      <c r="H340">
        <f>_xlfn.IMAGE("https://m.media-amazon.com/images/I/91YzNPgyfBL._AC_UL320_.jpg")</f>
        <v/>
      </c>
      <c r="K340" t="inlineStr">
        <is>
          <t>13.99</t>
        </is>
      </c>
      <c r="L340" t="n">
        <v>23.9</v>
      </c>
      <c r="M340" s="2" t="inlineStr">
        <is>
          <t>70.84%</t>
        </is>
      </c>
      <c r="N340" t="n">
        <v>4.7</v>
      </c>
      <c r="O340" t="n">
        <v>96</v>
      </c>
      <c r="Q340" t="inlineStr">
        <is>
          <t>InStock</t>
        </is>
      </c>
      <c r="R340" t="inlineStr">
        <is>
          <t>undefined</t>
        </is>
      </c>
      <c r="S340" t="inlineStr">
        <is>
          <t>G729220058645</t>
        </is>
      </c>
    </row>
    <row r="341" ht="75" customHeight="1">
      <c r="A341" s="1">
        <f>HYPERLINK("https://www.toysrus.com/na-na-na-surprise-2-in-1-cozy-series-reindeer-14495837.html", "https://www.toysrus.com/na-na-na-surprise-2-in-1-cozy-series-reindeer-14495837.html")</f>
        <v/>
      </c>
      <c r="B341" s="1">
        <f>HYPERLINK("https://www.toysrus.com/na-na-na-surprise-2-in-1-cozy-series-reindeer-14495837.html", "https://www.toysrus.com/na-na-na-surprise-2-in-1-cozy-series-reindeer-14495837.html")</f>
        <v/>
      </c>
      <c r="C341" t="inlineStr">
        <is>
          <t>Na! Na! Na! Surprise 2 in 1 Cozy Series Reindeer</t>
        </is>
      </c>
      <c r="D341" t="inlineStr">
        <is>
          <t>Na! Na! Na! Surprise Cozy Series Donnie Ranger 7.5" Fashion Doll Reindeer-Inspired with Brown Hair, 3-Piece Outfit and Fuzzy Clip-on Purse, Poseable, Great Toy Gift for Kids Ages 5 6 7 8+ Years</t>
        </is>
      </c>
      <c r="E341" s="1">
        <f>HYPERLINK("https://www.amazon.com/Na-Surprise-Winter-Theme-Reindeer/dp/B09PC5K2NP/ref=sr_1_4?keywords=Na%21+Na%21+Na%21+Surprise+2+in+1+Cozy+Series+Reindeer&amp;qid=1695588590&amp;sr=8-4", "https://www.amazon.com/Na-Surprise-Winter-Theme-Reindeer/dp/B09PC5K2NP/ref=sr_1_4?keywords=Na%21+Na%21+Na%21+Surprise+2+in+1+Cozy+Series+Reindeer&amp;qid=1695588590&amp;sr=8-4")</f>
        <v/>
      </c>
      <c r="F341" t="inlineStr">
        <is>
          <t>B09PC5K2NP</t>
        </is>
      </c>
      <c r="G341">
        <f>_xlfn.IMAGE("http://slimages.macys.com/is/image/MCY/products/0/optimized/22829052_fpx.tif")</f>
        <v/>
      </c>
      <c r="H341">
        <f>_xlfn.IMAGE("https://m.media-amazon.com/images/I/81T4J0xcpmL._AC_UL320_.jpg")</f>
        <v/>
      </c>
      <c r="K341" t="inlineStr">
        <is>
          <t>9.93</t>
        </is>
      </c>
      <c r="L341" t="n">
        <v>27.45</v>
      </c>
      <c r="M341" s="2" t="inlineStr">
        <is>
          <t>176.44%</t>
        </is>
      </c>
      <c r="N341" t="n">
        <v>4.9</v>
      </c>
      <c r="O341" t="n">
        <v>36</v>
      </c>
      <c r="Q341" t="inlineStr">
        <is>
          <t>OutOfStock</t>
        </is>
      </c>
      <c r="R341" t="inlineStr">
        <is>
          <t>undefined</t>
        </is>
      </c>
      <c r="S341" t="inlineStr">
        <is>
          <t>14495837</t>
        </is>
      </c>
    </row>
    <row r="342" ht="75" customHeight="1">
      <c r="A342" s="1">
        <f>HYPERLINK("https://www.toysrus.com/na-na-na-surprise-2-in-1-cozy-series-reindeer-14495837.html", "https://www.toysrus.com/na-na-na-surprise-2-in-1-cozy-series-reindeer-14495837.html")</f>
        <v/>
      </c>
      <c r="B342" s="1">
        <f>HYPERLINK("https://www.toysrus.com/na-na-na-surprise-2-in-1-cozy-series-reindeer-14495837.html", "https://www.toysrus.com/na-na-na-surprise-2-in-1-cozy-series-reindeer-14495837.html")</f>
        <v/>
      </c>
      <c r="C342" t="inlineStr">
        <is>
          <t>Na! Na! Na! Surprise 2 in 1 Cozy Series Reindeer</t>
        </is>
      </c>
      <c r="D342" t="inlineStr">
        <is>
          <t>Na! Na! Na! Surprise Cozy Series Baily Frost 7.5" Fashion Doll Polar Bear-Inspired with White Hair, 2-Piece Outfit and Fuzzy Clip-on Purse, Poseable, Great Toy Gift for Kids Ages 5 6 7 8+ Years</t>
        </is>
      </c>
      <c r="E342" s="1">
        <f>HYPERLINK("https://www.amazon.com/Na-Surprise-Winter-Theme-Polar/dp/B09PC4XFD8/ref=sr_1_5?keywords=Na%21+Na%21+Na%21+Surprise+2+in+1+Cozy+Series+Reindeer&amp;qid=1695588590&amp;sr=8-5", "https://www.amazon.com/Na-Surprise-Winter-Theme-Polar/dp/B09PC4XFD8/ref=sr_1_5?keywords=Na%21+Na%21+Na%21+Surprise+2+in+1+Cozy+Series+Reindeer&amp;qid=1695588590&amp;sr=8-5")</f>
        <v/>
      </c>
      <c r="F342" t="inlineStr">
        <is>
          <t>B09PC4XFD8</t>
        </is>
      </c>
      <c r="G342">
        <f>_xlfn.IMAGE("http://slimages.macys.com/is/image/MCY/products/0/optimized/22829052_fpx.tif")</f>
        <v/>
      </c>
      <c r="H342">
        <f>_xlfn.IMAGE("https://m.media-amazon.com/images/I/71otEllDv+L._AC_UL320_.jpg")</f>
        <v/>
      </c>
      <c r="K342" t="inlineStr">
        <is>
          <t>9.93</t>
        </is>
      </c>
      <c r="L342" t="n">
        <v>24.99</v>
      </c>
      <c r="M342" s="2" t="inlineStr">
        <is>
          <t>151.66%</t>
        </is>
      </c>
      <c r="N342" t="n">
        <v>4.9</v>
      </c>
      <c r="O342" t="n">
        <v>26</v>
      </c>
      <c r="Q342" t="inlineStr">
        <is>
          <t>OutOfStock</t>
        </is>
      </c>
      <c r="R342" t="inlineStr">
        <is>
          <t>undefined</t>
        </is>
      </c>
      <c r="S342" t="inlineStr">
        <is>
          <t>14495837</t>
        </is>
      </c>
    </row>
    <row r="343" ht="75" customHeight="1">
      <c r="A343" s="1">
        <f>HYPERLINK("https://www.toysrus.com/na-na-na-surprise-2-in-1-cozy-series-reindeer-14495837.html", "https://www.toysrus.com/na-na-na-surprise-2-in-1-cozy-series-reindeer-14495837.html")</f>
        <v/>
      </c>
      <c r="B343" s="1">
        <f>HYPERLINK("https://www.toysrus.com/na-na-na-surprise-2-in-1-cozy-series-reindeer-14495837.html", "https://www.toysrus.com/na-na-na-surprise-2-in-1-cozy-series-reindeer-14495837.html")</f>
        <v/>
      </c>
      <c r="C343" t="inlineStr">
        <is>
          <t>Na! Na! Na! Surprise 2 in 1 Cozy Series Reindeer</t>
        </is>
      </c>
      <c r="D343" t="inlineStr">
        <is>
          <t>Na! Na! Na! Surprise Cozy Series Leona White 7.5" Fashion Doll Snow Leopard-Inspired with Black Hair, 3-Piece Outfit and Fuzzy Clip-on Purse, Poseable, Great Toy Gift for Kids Ages 5 6 7 8+ Years</t>
        </is>
      </c>
      <c r="E343" s="1">
        <f>HYPERLINK("https://www.amazon.com/Na-Surprise-Fashion-Leopard-Inspired-Poseable/dp/B09PC5R7VX/ref=sr_1_6?keywords=Na%21+Na%21+Na%21+Surprise+2+in+1+Cozy+Series+Reindeer&amp;qid=1695588590&amp;sr=8-6", "https://www.amazon.com/Na-Surprise-Fashion-Leopard-Inspired-Poseable/dp/B09PC5R7VX/ref=sr_1_6?keywords=Na%21+Na%21+Na%21+Surprise+2+in+1+Cozy+Series+Reindeer&amp;qid=1695588590&amp;sr=8-6")</f>
        <v/>
      </c>
      <c r="F343" t="inlineStr">
        <is>
          <t>B09PC5R7VX</t>
        </is>
      </c>
      <c r="G343">
        <f>_xlfn.IMAGE("http://slimages.macys.com/is/image/MCY/products/0/optimized/22829052_fpx.tif")</f>
        <v/>
      </c>
      <c r="H343">
        <f>_xlfn.IMAGE("https://m.media-amazon.com/images/I/81AUpm4Il7L._AC_UL320_.jpg")</f>
        <v/>
      </c>
      <c r="K343" t="inlineStr">
        <is>
          <t>9.93</t>
        </is>
      </c>
      <c r="L343" t="n">
        <v>24.99</v>
      </c>
      <c r="M343" s="2" t="inlineStr">
        <is>
          <t>151.66%</t>
        </is>
      </c>
      <c r="N343" t="n">
        <v>4.5</v>
      </c>
      <c r="O343" t="n">
        <v>28</v>
      </c>
      <c r="Q343" t="inlineStr">
        <is>
          <t>OutOfStock</t>
        </is>
      </c>
      <c r="R343" t="inlineStr">
        <is>
          <t>undefined</t>
        </is>
      </c>
      <c r="S343" t="inlineStr">
        <is>
          <t>14495837</t>
        </is>
      </c>
    </row>
    <row r="344" ht="75" customHeight="1">
      <c r="A344" s="1">
        <f>HYPERLINK("https://www.toysrus.com/na-na-na-surprise-2-in-1-cozy-series-reindeer-14495837.html", "https://www.toysrus.com/na-na-na-surprise-2-in-1-cozy-series-reindeer-14495837.html")</f>
        <v/>
      </c>
      <c r="B344" s="1">
        <f>HYPERLINK("https://www.toysrus.com/na-na-na-surprise-2-in-1-cozy-series-reindeer-14495837.html", "https://www.toysrus.com/na-na-na-surprise-2-in-1-cozy-series-reindeer-14495837.html")</f>
        <v/>
      </c>
      <c r="C344" t="inlineStr">
        <is>
          <t>Na! Na! Na! Surprise 2 in 1 Cozy Series Reindeer</t>
        </is>
      </c>
      <c r="D344" t="inlineStr">
        <is>
          <t>Na! Na! Na! Surprise Cozy Series Harper Waters 7.5" Fashion Doll Seal-Inspired with Light Purple Hair, 1-Piece Outfit and Fuzzy Clip-on Purse, Poseable, Great Toy Gift for Kids Ages 5 6 7 8+ Years</t>
        </is>
      </c>
      <c r="E344" s="1">
        <f>HYPERLINK("https://www.amazon.com/Na-Surprise-Fashion-Seal-Inspired-Poseable/dp/B09PC5P2LD/ref=sr_1_2?keywords=Na%21+Na%21+Na%21+Surprise+2+in+1+Cozy+Series+Reindeer&amp;qid=1695588590&amp;sr=8-2", "https://www.amazon.com/Na-Surprise-Fashion-Seal-Inspired-Poseable/dp/B09PC5P2LD/ref=sr_1_2?keywords=Na%21+Na%21+Na%21+Surprise+2+in+1+Cozy+Series+Reindeer&amp;qid=1695588590&amp;sr=8-2")</f>
        <v/>
      </c>
      <c r="F344" t="inlineStr">
        <is>
          <t>B09PC5P2LD</t>
        </is>
      </c>
      <c r="G344">
        <f>_xlfn.IMAGE("http://slimages.macys.com/is/image/MCY/products/0/optimized/22829052_fpx.tif")</f>
        <v/>
      </c>
      <c r="H344">
        <f>_xlfn.IMAGE("https://m.media-amazon.com/images/I/715OWWpKcBL._AC_UL320_.jpg")</f>
        <v/>
      </c>
      <c r="K344" t="inlineStr">
        <is>
          <t>9.93</t>
        </is>
      </c>
      <c r="L344" t="n">
        <v>24.8</v>
      </c>
      <c r="M344" s="2" t="inlineStr">
        <is>
          <t>149.75%</t>
        </is>
      </c>
      <c r="N344" t="n">
        <v>4.9</v>
      </c>
      <c r="O344" t="n">
        <v>12</v>
      </c>
      <c r="Q344" t="inlineStr">
        <is>
          <t>OutOfStock</t>
        </is>
      </c>
      <c r="R344" t="inlineStr">
        <is>
          <t>undefined</t>
        </is>
      </c>
      <c r="S344" t="inlineStr">
        <is>
          <t>14495837</t>
        </is>
      </c>
    </row>
    <row r="345" ht="75" customHeight="1">
      <c r="A345" s="1">
        <f>HYPERLINK("https://www.toysrus.com/na-na-na-surprise-teens-doll-series-2--lila-lamb-13292199.html", "https://www.toysrus.com/na-na-na-surprise-teens-doll-series-2--lila-lamb-13292199.html")</f>
        <v/>
      </c>
      <c r="B345" s="1">
        <f>HYPERLINK("https://www.toysrus.com/na-na-na-surprise-teens-doll-series-2--lila-lamb-13292199.html", "https://www.toysrus.com/na-na-na-surprise-teens-doll-series-2--lila-lamb-13292199.html")</f>
        <v/>
      </c>
      <c r="C345" t="inlineStr">
        <is>
          <t>Na Na Na Surprise Teens Doll Series 2- Lila Lamb</t>
        </is>
      </c>
      <c r="D345" t="inlineStr">
        <is>
          <t>Na Na Na Surprise Glam Series Chrissy Diamond Fashion Doll &amp; Metallic Cat Purse, Purple Hair, Cute Kitty Ear Hat Outfit &amp; Accessories, 2-in-1 Gift for Kids, Toy for Girls &amp; Boys Ages 5 6 7 8+ Years</t>
        </is>
      </c>
      <c r="E345" s="1">
        <f>HYPERLINK("https://www.amazon.com/MGA-Entertainment-Surprise-Fashion-Metallic/dp/B08WZ87RY5/ref=sr_1_3?keywords=Na+Na+Na+Surprise+Teens+Doll+Series+2-+Lila+Lamb&amp;qid=1695588595&amp;sr=8-3", "https://www.amazon.com/MGA-Entertainment-Surprise-Fashion-Metallic/dp/B08WZ87RY5/ref=sr_1_3?keywords=Na+Na+Na+Surprise+Teens+Doll+Series+2-+Lila+Lamb&amp;qid=1695588595&amp;sr=8-3")</f>
        <v/>
      </c>
      <c r="F345" t="inlineStr">
        <is>
          <t>B08WZ87RY5</t>
        </is>
      </c>
      <c r="G345">
        <f>_xlfn.IMAGE("http://slimages.macys.com/is/image/MCY/products/0/optimized/20679957_fpx.tif")</f>
        <v/>
      </c>
      <c r="H345">
        <f>_xlfn.IMAGE("https://m.media-amazon.com/images/I/918JvrsVMxS._AC_UL320_.jpg")</f>
        <v/>
      </c>
      <c r="K345" t="inlineStr">
        <is>
          <t>15.93</t>
        </is>
      </c>
      <c r="L345" t="n">
        <v>27.39</v>
      </c>
      <c r="M345" s="2" t="inlineStr">
        <is>
          <t>71.94%</t>
        </is>
      </c>
      <c r="N345" t="n">
        <v>4.7</v>
      </c>
      <c r="O345" t="n">
        <v>1098</v>
      </c>
      <c r="Q345" t="inlineStr">
        <is>
          <t>InStock</t>
        </is>
      </c>
      <c r="R345" t="inlineStr">
        <is>
          <t>undefined</t>
        </is>
      </c>
      <c r="S345" t="inlineStr">
        <is>
          <t>13292199</t>
        </is>
      </c>
    </row>
    <row r="346" ht="75" customHeight="1">
      <c r="A346" s="1">
        <f>HYPERLINK("https://www.toysrus.com/nickelodeon-slime-rocking-mix-ins-kit-14575218.html", "https://www.toysrus.com/nickelodeon-slime-rocking-mix-ins-kit-14575218.html")</f>
        <v/>
      </c>
      <c r="B346" s="1">
        <f>HYPERLINK("https://www.toysrus.com/nickelodeon-slime-rocking-mix-ins-kit-14575218.html", "https://www.toysrus.com/nickelodeon-slime-rocking-mix-ins-kit-14575218.html")</f>
        <v/>
      </c>
      <c r="C346" t="inlineStr">
        <is>
          <t>Nickelodeon Slime Rocking Mix-ins Kit</t>
        </is>
      </c>
      <c r="D346" t="inlineStr">
        <is>
          <t>Nickelodeon Slime Super Slime Unboxing Kit to Make Your Own Slime with Mix-ins</t>
        </is>
      </c>
      <c r="E346" s="1">
        <f>HYPERLINK("https://www.amazon.com/Cra-Z-Art-Nickelodeon-Slime-Super-Unboxing/dp/B08HDLQ7V5/ref=sr_1_1?keywords=nickelodeon+slime+rockin+mix-ins+kit&amp;qid=1695588644&amp;sr=8-1", "https://www.amazon.com/Cra-Z-Art-Nickelodeon-Slime-Super-Unboxing/dp/B08HDLQ7V5/ref=sr_1_1?keywords=nickelodeon+slime+rockin+mix-ins+kit&amp;qid=1695588644&amp;sr=8-1")</f>
        <v/>
      </c>
      <c r="F346" t="inlineStr">
        <is>
          <t>B08HDLQ7V5</t>
        </is>
      </c>
      <c r="G346">
        <f>_xlfn.IMAGE("http://slimages.macys.com/is/image/MCY/products/0/optimized/22992498_fpx.tif")</f>
        <v/>
      </c>
      <c r="H346">
        <f>_xlfn.IMAGE("https://m.media-amazon.com/images/I/71TtHroAy4L._AC_UL320_.jpg")</f>
        <v/>
      </c>
      <c r="K346" t="inlineStr">
        <is>
          <t>11.99</t>
        </is>
      </c>
      <c r="L346" t="n">
        <v>59.99</v>
      </c>
      <c r="M346" s="2" t="inlineStr">
        <is>
          <t>400.33%</t>
        </is>
      </c>
      <c r="N346" t="n">
        <v>4.7</v>
      </c>
      <c r="O346" t="n">
        <v>6</v>
      </c>
      <c r="Q346" t="inlineStr">
        <is>
          <t>InStock</t>
        </is>
      </c>
      <c r="R346" t="inlineStr">
        <is>
          <t>undefined</t>
        </is>
      </c>
      <c r="S346" t="inlineStr">
        <is>
          <t>14575218</t>
        </is>
      </c>
    </row>
    <row r="347" ht="75" customHeight="1">
      <c r="A347" s="1">
        <f>HYPERLINK("https://www.toysrus.com/nkok-supreme-machines-t-rex-chomper-G698143411342.html", "https://www.toysrus.com/nkok-supreme-machines-t-rex-chomper-G698143411342.html")</f>
        <v/>
      </c>
      <c r="B347" s="1">
        <f>HYPERLINK("https://www.toysrus.com/nkok-supreme-machines-t-rex-chomper-G698143411342.html", "https://www.toysrus.com/nkok-supreme-machines-t-rex-chomper-G698143411342.html")</f>
        <v/>
      </c>
      <c r="C347" t="inlineStr">
        <is>
          <t>NKOK Supreme Machines T-Rex Chomper</t>
        </is>
      </c>
      <c r="D347" t="inlineStr">
        <is>
          <t>NKOK Supreme Machines Chompers - Gator, Has Engine and Stunt Driving Sounds, let’s You Rock Out to Music, Has Working Lights and Sounds, for Ages 3 and up</t>
        </is>
      </c>
      <c r="E347" s="1">
        <f>HYPERLINK("https://www.amazon.com/NKOK-Supreme-Machines-Chompers-Gator/dp/B089KSGCJ9/ref=sr_1_3?keywords=NKOK+Supreme+Machines+T-Rex+Chomper&amp;qid=1695588782&amp;sr=8-3", "https://www.amazon.com/NKOK-Supreme-Machines-Chompers-Gator/dp/B089KSGCJ9/ref=sr_1_3?keywords=NKOK+Supreme+Machines+T-Rex+Chomper&amp;qid=1695588782&amp;sr=8-3")</f>
        <v/>
      </c>
      <c r="F347" t="inlineStr">
        <is>
          <t>B089KSGCJ9</t>
        </is>
      </c>
      <c r="G347">
        <f>_xlfn.IMAGE("https://images.toysrus.com/1285/698143411342_1.jpg")</f>
        <v/>
      </c>
      <c r="H347">
        <f>_xlfn.IMAGE("https://m.media-amazon.com/images/I/718DEREXixL._AC_UL320_.jpg")</f>
        <v/>
      </c>
      <c r="K347" t="inlineStr">
        <is>
          <t>15.99</t>
        </is>
      </c>
      <c r="L347" t="n">
        <v>32.09</v>
      </c>
      <c r="M347" s="2" t="inlineStr">
        <is>
          <t>100.69%</t>
        </is>
      </c>
      <c r="N347" t="n">
        <v>4.2</v>
      </c>
      <c r="O347" t="n">
        <v>12</v>
      </c>
      <c r="Q347" t="inlineStr">
        <is>
          <t>InStock</t>
        </is>
      </c>
      <c r="R347" t="inlineStr">
        <is>
          <t>undefined</t>
        </is>
      </c>
      <c r="S347" t="inlineStr">
        <is>
          <t>G698143411342</t>
        </is>
      </c>
    </row>
    <row r="348" ht="75" customHeight="1">
      <c r="A348" s="1">
        <f>HYPERLINK("https://www.toysrus.com/paint-your-own-garden-gnome-16092146.html", "https://www.toysrus.com/paint-your-own-garden-gnome-16092146.html")</f>
        <v/>
      </c>
      <c r="B348" s="1">
        <f>HYPERLINK("https://www.toysrus.com/paint-your-own-garden-gnome-16092146.html", "https://www.toysrus.com/paint-your-own-garden-gnome-16092146.html")</f>
        <v/>
      </c>
      <c r="C348" t="inlineStr">
        <is>
          <t>Paint Your Own Garden Gnome</t>
        </is>
      </c>
      <c r="D348" t="inlineStr">
        <is>
          <t>New Hampshire Craftworks Gustav The Resting Garden Gnome - Paint Your Own Ceramic Keepsake</t>
        </is>
      </c>
      <c r="E348" s="1">
        <f>HYPERLINK("https://www.amazon.com/Gustav-Resting-Garden-Gnome-Keepsake/dp/B08XZPWGHG/ref=sr_1_8?keywords=Paint+Your+Own+Garden+Gnome&amp;qid=1695588690&amp;sr=8-8", "https://www.amazon.com/Gustav-Resting-Garden-Gnome-Keepsake/dp/B08XZPWGHG/ref=sr_1_8?keywords=Paint+Your+Own+Garden+Gnome&amp;qid=1695588690&amp;sr=8-8")</f>
        <v/>
      </c>
      <c r="F348" t="inlineStr">
        <is>
          <t>B08XZPWGHG</t>
        </is>
      </c>
      <c r="G348">
        <f>_xlfn.IMAGE("http://slimages.macys.com/is/image/MCY/products/0/optimized/24771534_fpx.tif")</f>
        <v/>
      </c>
      <c r="H348">
        <f>_xlfn.IMAGE("https://m.media-amazon.com/images/I/31deAAnHlQL._AC_UL320_.jpg")</f>
        <v/>
      </c>
      <c r="K348" t="inlineStr">
        <is>
          <t>14.99</t>
        </is>
      </c>
      <c r="L348" t="n">
        <v>28.95</v>
      </c>
      <c r="M348" s="2" t="inlineStr">
        <is>
          <t>93.13%</t>
        </is>
      </c>
      <c r="N348" t="n">
        <v>4.9</v>
      </c>
      <c r="O348" t="n">
        <v>13</v>
      </c>
      <c r="Q348" t="inlineStr">
        <is>
          <t>InStock</t>
        </is>
      </c>
      <c r="R348" t="inlineStr">
        <is>
          <t>undefined</t>
        </is>
      </c>
      <c r="S348" t="inlineStr">
        <is>
          <t>16092146</t>
        </is>
      </c>
    </row>
    <row r="349" ht="75" customHeight="1">
      <c r="A349" s="1">
        <f>HYPERLINK("https://www.toysrus.com/paint-your-own-garden-gnome-16092146.html", "https://www.toysrus.com/paint-your-own-garden-gnome-16092146.html")</f>
        <v/>
      </c>
      <c r="B349" s="1">
        <f>HYPERLINK("https://www.toysrus.com/paint-your-own-garden-gnome-16092146.html", "https://www.toysrus.com/paint-your-own-garden-gnome-16092146.html")</f>
        <v/>
      </c>
      <c r="C349" t="inlineStr">
        <is>
          <t>Paint Your Own Garden Gnome</t>
        </is>
      </c>
      <c r="D349" t="inlineStr">
        <is>
          <t>New Hampshire Craftworks Gibson and Gretta The Garden Gnomes - Paint Your Own Gnome-y Ceramic Keepsakes</t>
        </is>
      </c>
      <c r="E349" s="1">
        <f>HYPERLINK("https://www.amazon.com/Gibson-Gretta-Garden-Gnomes-Keepsakes/dp/B08QJQ7QVC/ref=sr_1_3?keywords=Paint+Your+Own+Garden+Gnome&amp;qid=1695588690&amp;sr=8-3", "https://www.amazon.com/Gibson-Gretta-Garden-Gnomes-Keepsakes/dp/B08QJQ7QVC/ref=sr_1_3?keywords=Paint+Your+Own+Garden+Gnome&amp;qid=1695588690&amp;sr=8-3")</f>
        <v/>
      </c>
      <c r="F349" t="inlineStr">
        <is>
          <t>B08QJQ7QVC</t>
        </is>
      </c>
      <c r="G349">
        <f>_xlfn.IMAGE("http://slimages.macys.com/is/image/MCY/products/0/optimized/24771534_fpx.tif")</f>
        <v/>
      </c>
      <c r="H349">
        <f>_xlfn.IMAGE("https://m.media-amazon.com/images/I/71U-zPnuKkL._AC_UL320_.jpg")</f>
        <v/>
      </c>
      <c r="K349" t="inlineStr">
        <is>
          <t>14.99</t>
        </is>
      </c>
      <c r="L349" t="n">
        <v>24.95</v>
      </c>
      <c r="M349" s="2" t="inlineStr">
        <is>
          <t>66.44%</t>
        </is>
      </c>
      <c r="N349" t="n">
        <v>4.5</v>
      </c>
      <c r="O349" t="n">
        <v>198</v>
      </c>
      <c r="Q349" t="inlineStr">
        <is>
          <t>InStock</t>
        </is>
      </c>
      <c r="R349" t="inlineStr">
        <is>
          <t>undefined</t>
        </is>
      </c>
      <c r="S349" t="inlineStr">
        <is>
          <t>16092146</t>
        </is>
      </c>
    </row>
    <row r="350" ht="75" customHeight="1">
      <c r="A350" s="1">
        <f>HYPERLINK("https://www.toysrus.com/paint-your-own-garden-gnome-16092146.html", "https://www.toysrus.com/paint-your-own-garden-gnome-16092146.html")</f>
        <v/>
      </c>
      <c r="B350" s="1">
        <f>HYPERLINK("https://www.toysrus.com/paint-your-own-garden-gnome-16092146.html", "https://www.toysrus.com/paint-your-own-garden-gnome-16092146.html")</f>
        <v/>
      </c>
      <c r="C350" t="inlineStr">
        <is>
          <t>Paint Your Own Garden Gnome</t>
        </is>
      </c>
      <c r="D350" t="inlineStr">
        <is>
          <t>MindWare Paint Your Own Garden Gnome for Kids - DIY Craft Kit Includes Paint and Brush - Weather Resistant for Outdoor Use</t>
        </is>
      </c>
      <c r="E350" s="1">
        <f>HYPERLINK("https://www.amazon.com/MindWare-Paint-Your-Own-Stone/dp/B07Y8RCC56/ref=sr_1_5?keywords=Paint+Your+Own+Garden+Gnome&amp;qid=1695588690&amp;sr=8-5", "https://www.amazon.com/MindWare-Paint-Your-Own-Stone/dp/B07Y8RCC56/ref=sr_1_5?keywords=Paint+Your+Own+Garden+Gnome&amp;qid=1695588690&amp;sr=8-5")</f>
        <v/>
      </c>
      <c r="F350" t="inlineStr">
        <is>
          <t>B07Y8RCC56</t>
        </is>
      </c>
      <c r="G350">
        <f>_xlfn.IMAGE("http://slimages.macys.com/is/image/MCY/products/0/optimized/24771534_fpx.tif")</f>
        <v/>
      </c>
      <c r="H350">
        <f>_xlfn.IMAGE("https://m.media-amazon.com/images/I/81ZM+sIsTAL._AC_UL320_.jpg")</f>
        <v/>
      </c>
      <c r="K350" t="inlineStr">
        <is>
          <t>14.99</t>
        </is>
      </c>
      <c r="L350" t="n">
        <v>24.95</v>
      </c>
      <c r="M350" s="2" t="inlineStr">
        <is>
          <t>66.44%</t>
        </is>
      </c>
      <c r="N350" t="n">
        <v>4.6</v>
      </c>
      <c r="O350" t="n">
        <v>209</v>
      </c>
      <c r="Q350" t="inlineStr">
        <is>
          <t>InStock</t>
        </is>
      </c>
      <c r="R350" t="inlineStr">
        <is>
          <t>undefined</t>
        </is>
      </c>
      <c r="S350" t="inlineStr">
        <is>
          <t>16092146</t>
        </is>
      </c>
    </row>
    <row r="351" ht="75" customHeight="1">
      <c r="A351" s="1">
        <f>HYPERLINK("https://www.toysrus.com/paladins-of-the-west-kingdom-collectors-box-G810011722538.html", "https://www.toysrus.com/paladins-of-the-west-kingdom-collectors-box-G810011722538.html")</f>
        <v/>
      </c>
      <c r="B351" s="1">
        <f>HYPERLINK("https://www.toysrus.com/paladins-of-the-west-kingdom-collectors-box-G810011722538.html", "https://www.toysrus.com/paladins-of-the-west-kingdom-collectors-box-G810011722538.html")</f>
        <v/>
      </c>
      <c r="C351" t="inlineStr">
        <is>
          <t>Paladins of the West Kingdom Collector's Box</t>
        </is>
      </c>
      <c r="D351" t="inlineStr">
        <is>
          <t>Paladins of The West Kingdom Strategy Board Game, 1-4 Players, Ages 12 and Up, 90-120 Min Play Time, Most Victory Points Win, Build Outposts, Fortifications, Commission Monks, &amp; Confront Outsiders</t>
        </is>
      </c>
      <c r="E351" s="1">
        <f>HYPERLINK("https://www.amazon.com/Renegade-Game-Studios-Paladins-Kingdom/dp/B07VHSBQ58/ref=sr_1_5?keywords=Paladins+of+the+West+Kingdom+Collector%27s+Box&amp;qid=1695588198&amp;sr=8-5", "https://www.amazon.com/Renegade-Game-Studios-Paladins-Kingdom/dp/B07VHSBQ58/ref=sr_1_5?keywords=Paladins+of+the+West+Kingdom+Collector%27s+Box&amp;qid=1695588198&amp;sr=8-5")</f>
        <v/>
      </c>
      <c r="F351" t="inlineStr">
        <is>
          <t>B07VHSBQ58</t>
        </is>
      </c>
      <c r="G351">
        <f>_xlfn.IMAGE("https://images.toysrus.com/0128598/810011722538_1.jpg")</f>
        <v/>
      </c>
      <c r="H351">
        <f>_xlfn.IMAGE("https://m.media-amazon.com/images/I/71JgB4ZhetL._AC_UL320_.jpg")</f>
        <v/>
      </c>
      <c r="K351" t="inlineStr">
        <is>
          <t>19.99</t>
        </is>
      </c>
      <c r="L351" t="n">
        <v>50.03</v>
      </c>
      <c r="M351" s="2" t="inlineStr">
        <is>
          <t>150.28%</t>
        </is>
      </c>
      <c r="N351" t="n">
        <v>4.7</v>
      </c>
      <c r="O351" t="n">
        <v>633</v>
      </c>
      <c r="Q351" t="inlineStr">
        <is>
          <t>InStock</t>
        </is>
      </c>
      <c r="R351" t="inlineStr">
        <is>
          <t>undefined</t>
        </is>
      </c>
      <c r="S351" t="inlineStr">
        <is>
          <t>G810011722538</t>
        </is>
      </c>
    </row>
    <row r="352" ht="75" customHeight="1">
      <c r="A352" s="1">
        <f>HYPERLINK("https://www.toysrus.com/paladins-of-the-west-kingdom-collectors-box-G810011722538.html", "https://www.toysrus.com/paladins-of-the-west-kingdom-collectors-box-G810011722538.html")</f>
        <v/>
      </c>
      <c r="B352" s="1">
        <f>HYPERLINK("https://www.toysrus.com/paladins-of-the-west-kingdom-collectors-box-G810011722538.html", "https://www.toysrus.com/paladins-of-the-west-kingdom-collectors-box-G810011722538.html")</f>
        <v/>
      </c>
      <c r="C352" t="inlineStr">
        <is>
          <t>Paladins of the West Kingdom Collector's Box</t>
        </is>
      </c>
      <c r="D352" t="inlineStr">
        <is>
          <t>Renegade Game Studios Paladins of The West Kingdom: City of Crowns</t>
        </is>
      </c>
      <c r="E352" s="1">
        <f>HYPERLINK("https://www.amazon.com/Renegade-Game-Studios-Paladins-Kingdom/dp/B096MZ1167/ref=sr_1_6?keywords=Paladins+of+the+West+Kingdom+Collector%27s+Box&amp;qid=1695588198&amp;sr=8-6", "https://www.amazon.com/Renegade-Game-Studios-Paladins-Kingdom/dp/B096MZ1167/ref=sr_1_6?keywords=Paladins+of+the+West+Kingdom+Collector%27s+Box&amp;qid=1695588198&amp;sr=8-6")</f>
        <v/>
      </c>
      <c r="F352" t="inlineStr">
        <is>
          <t>B096MZ1167</t>
        </is>
      </c>
      <c r="G352">
        <f>_xlfn.IMAGE("https://images.toysrus.com/0128598/810011722538_1.jpg")</f>
        <v/>
      </c>
      <c r="H352">
        <f>_xlfn.IMAGE("https://m.media-amazon.com/images/I/61CDE3fS7tL._AC_UL320_.jpg")</f>
        <v/>
      </c>
      <c r="K352" t="inlineStr">
        <is>
          <t>19.99</t>
        </is>
      </c>
      <c r="L352" t="n">
        <v>33.03</v>
      </c>
      <c r="M352" s="2" t="inlineStr">
        <is>
          <t>65.23%</t>
        </is>
      </c>
      <c r="N352" t="n">
        <v>4.9</v>
      </c>
      <c r="O352" t="n">
        <v>18</v>
      </c>
      <c r="Q352" t="inlineStr">
        <is>
          <t>InStock</t>
        </is>
      </c>
      <c r="R352" t="inlineStr">
        <is>
          <t>undefined</t>
        </is>
      </c>
      <c r="S352" t="inlineStr">
        <is>
          <t>G810011722538</t>
        </is>
      </c>
    </row>
    <row r="353" ht="75" customHeight="1">
      <c r="A353" s="1">
        <f>HYPERLINK("https://www.toysrus.com/pamper-me---hot-stone-massage-box-set-G9781488920332.html", "https://www.toysrus.com/pamper-me---hot-stone-massage-box-set-G9781488920332.html")</f>
        <v/>
      </c>
      <c r="B353" s="1">
        <f>HYPERLINK("https://www.toysrus.com/pamper-me---hot-stone-massage-box-set-G9781488920332.html", "https://www.toysrus.com/pamper-me---hot-stone-massage-box-set-G9781488920332.html")</f>
        <v/>
      </c>
      <c r="C353" t="inlineStr">
        <is>
          <t>Pamper Me - Hot Stone Massage Box Set</t>
        </is>
      </c>
      <c r="D353" t="inlineStr">
        <is>
          <t>Goodtar Portable Hot Massage Stone Warmer Set with 12 PCS Basalt Stones/Rocks Massage Stone Kit Heater Bag for Relax Muscles Home Spa Health Natural Massage 110V (Small Size)</t>
        </is>
      </c>
      <c r="E353" s="1">
        <f>HYPERLINK("https://www.amazon.com/Portable-Stones-Massage-Muscles-Natural/dp/B09FJKBC8S/ref=sr_1_8?keywords=Pamper+Me+-+Hot+Stone+Massage+Box+Set&amp;qid=1695588277&amp;sr=8-8", "https://www.amazon.com/Portable-Stones-Massage-Muscles-Natural/dp/B09FJKBC8S/ref=sr_1_8?keywords=Pamper+Me+-+Hot+Stone+Massage+Box+Set&amp;qid=1695588277&amp;sr=8-8")</f>
        <v/>
      </c>
      <c r="F353" t="inlineStr">
        <is>
          <t>B09FJKBC8S</t>
        </is>
      </c>
      <c r="G353">
        <f>_xlfn.IMAGE("https://images.toysrus.com/1285/856522005272_1.jpg")</f>
        <v/>
      </c>
      <c r="H353">
        <f>_xlfn.IMAGE("https://m.media-amazon.com/images/I/61Qr-0kxI0L._AC_UL320_.jpg")</f>
        <v/>
      </c>
      <c r="K353" t="inlineStr">
        <is>
          <t>14.99</t>
        </is>
      </c>
      <c r="L353" t="n">
        <v>59.99</v>
      </c>
      <c r="M353" s="2" t="inlineStr">
        <is>
          <t>300.20%</t>
        </is>
      </c>
      <c r="N353" t="n">
        <v>4.4</v>
      </c>
      <c r="O353" t="n">
        <v>179</v>
      </c>
      <c r="Q353" t="inlineStr">
        <is>
          <t>InStock</t>
        </is>
      </c>
      <c r="R353" t="inlineStr">
        <is>
          <t>undefined</t>
        </is>
      </c>
      <c r="S353" t="inlineStr">
        <is>
          <t>G9781488920332</t>
        </is>
      </c>
    </row>
    <row r="354" ht="75" customHeight="1">
      <c r="A354" s="1">
        <f>HYPERLINK("https://www.toysrus.com/pamper-me---hot-stone-massage-box-set-G9781488920332.html", "https://www.toysrus.com/pamper-me---hot-stone-massage-box-set-G9781488920332.html")</f>
        <v/>
      </c>
      <c r="B354" s="1">
        <f>HYPERLINK("https://www.toysrus.com/pamper-me---hot-stone-massage-box-set-G9781488920332.html", "https://www.toysrus.com/pamper-me---hot-stone-massage-box-set-G9781488920332.html")</f>
        <v/>
      </c>
      <c r="C354" t="inlineStr">
        <is>
          <t>Pamper Me - Hot Stone Massage Box Set</t>
        </is>
      </c>
      <c r="D354" t="inlineStr">
        <is>
          <t>RUNWIN 20 Pcs Hot Stones for Massage with Bamboo Warmer, Basalt Hot Massage Stones with Heater Box, Electric Hot Stone Massage Set for Christmas/Holiday/Mother's Day/Wedding Gift</t>
        </is>
      </c>
      <c r="E354" s="1">
        <f>HYPERLINK("https://www.amazon.com/Massage-Electric-Professional-Relaxing-Healing/dp/B0913BV9KG/ref=sr_1_9?keywords=Pamper+Me+-+Hot+Stone+Massage+Box+Set&amp;qid=1695588277&amp;sr=8-9", "https://www.amazon.com/Massage-Electric-Professional-Relaxing-Healing/dp/B0913BV9KG/ref=sr_1_9?keywords=Pamper+Me+-+Hot+Stone+Massage+Box+Set&amp;qid=1695588277&amp;sr=8-9")</f>
        <v/>
      </c>
      <c r="F354" t="inlineStr">
        <is>
          <t>B0913BV9KG</t>
        </is>
      </c>
      <c r="G354">
        <f>_xlfn.IMAGE("https://images.toysrus.com/1285/856522005272_1.jpg")</f>
        <v/>
      </c>
      <c r="H354">
        <f>_xlfn.IMAGE("https://m.media-amazon.com/images/I/71wcX8ocpfS._AC_UL320_.jpg")</f>
        <v/>
      </c>
      <c r="K354" t="inlineStr">
        <is>
          <t>14.99</t>
        </is>
      </c>
      <c r="L354" t="n">
        <v>52.97</v>
      </c>
      <c r="M354" s="2" t="inlineStr">
        <is>
          <t>253.37%</t>
        </is>
      </c>
      <c r="N354" t="n">
        <v>4.2</v>
      </c>
      <c r="O354" t="n">
        <v>255</v>
      </c>
      <c r="Q354" t="inlineStr">
        <is>
          <t>InStock</t>
        </is>
      </c>
      <c r="R354" t="inlineStr">
        <is>
          <t>undefined</t>
        </is>
      </c>
      <c r="S354" t="inlineStr">
        <is>
          <t>G9781488920332</t>
        </is>
      </c>
    </row>
    <row r="355" ht="75" customHeight="1">
      <c r="A355" s="1">
        <f>HYPERLINK("https://www.toysrus.com/pamper-me---hot-stone-massage-box-set-G9781488920332.html", "https://www.toysrus.com/pamper-me---hot-stone-massage-box-set-G9781488920332.html")</f>
        <v/>
      </c>
      <c r="B355" s="1">
        <f>HYPERLINK("https://www.toysrus.com/pamper-me---hot-stone-massage-box-set-G9781488920332.html", "https://www.toysrus.com/pamper-me---hot-stone-massage-box-set-G9781488920332.html")</f>
        <v/>
      </c>
      <c r="C355" t="inlineStr">
        <is>
          <t>Pamper Me - Hot Stone Massage Box Set</t>
        </is>
      </c>
      <c r="D355" t="inlineStr">
        <is>
          <t>AICNLY Hot Stones Massage Set with Temperature Adjustment and Timer Function-20 Pcs Basalt Hot Stones with Heater Kit, Professional Massage Tool for Spa, Relieve Tension and Muscle Pain</t>
        </is>
      </c>
      <c r="E355" s="1">
        <f>HYPERLINK("https://www.amazon.com/AICNLY-Temperature-Adjustment-Function-20-Professional/dp/B0C7G74TPQ/ref=sr_1_3?keywords=Pamper+Me+-+Hot+Stone+Massage+Box+Set&amp;qid=1695588277&amp;sr=8-3", "https://www.amazon.com/AICNLY-Temperature-Adjustment-Function-20-Professional/dp/B0C7G74TPQ/ref=sr_1_3?keywords=Pamper+Me+-+Hot+Stone+Massage+Box+Set&amp;qid=1695588277&amp;sr=8-3")</f>
        <v/>
      </c>
      <c r="F355" t="inlineStr">
        <is>
          <t>B0C7G74TPQ</t>
        </is>
      </c>
      <c r="G355">
        <f>_xlfn.IMAGE("https://images.toysrus.com/1285/856522005272_1.jpg")</f>
        <v/>
      </c>
      <c r="H355">
        <f>_xlfn.IMAGE("https://m.media-amazon.com/images/I/71JsPF1CHJL._AC_UL320_.jpg")</f>
        <v/>
      </c>
      <c r="K355" t="inlineStr">
        <is>
          <t>14.99</t>
        </is>
      </c>
      <c r="L355" t="n">
        <v>49.99</v>
      </c>
      <c r="M355" s="2" t="inlineStr">
        <is>
          <t>233.49%</t>
        </is>
      </c>
      <c r="N355" t="n">
        <v>4.7</v>
      </c>
      <c r="O355" t="n">
        <v>156</v>
      </c>
      <c r="Q355" t="inlineStr">
        <is>
          <t>InStock</t>
        </is>
      </c>
      <c r="R355" t="inlineStr">
        <is>
          <t>undefined</t>
        </is>
      </c>
      <c r="S355" t="inlineStr">
        <is>
          <t>G9781488920332</t>
        </is>
      </c>
    </row>
    <row r="356" ht="75" customHeight="1">
      <c r="A356" s="1">
        <f>HYPERLINK("https://www.toysrus.com/pamper-me---hot-stone-massage-box-set-G9781488920332.html", "https://www.toysrus.com/pamper-me---hot-stone-massage-box-set-G9781488920332.html")</f>
        <v/>
      </c>
      <c r="B356" s="1">
        <f>HYPERLINK("https://www.toysrus.com/pamper-me---hot-stone-massage-box-set-G9781488920332.html", "https://www.toysrus.com/pamper-me---hot-stone-massage-box-set-G9781488920332.html")</f>
        <v/>
      </c>
      <c r="C356" t="inlineStr">
        <is>
          <t>Pamper Me - Hot Stone Massage Box Set</t>
        </is>
      </c>
      <c r="D356" t="inlineStr">
        <is>
          <t>Angeshio Hot Stones for Massage 20 Pcs Hot Stones Massage Stones Set with Warmer Kit Massage Stones Hot Rocks Massage Stones with Heater Kit (Hot Compress Stone kit)</t>
        </is>
      </c>
      <c r="E356" s="1">
        <f>HYPERLINK("https://www.amazon.com/Angeshio-Massage-Therapy-Stones-Warmer/dp/B0BPLMGP5D/ref=sr_1_7?keywords=Pamper+Me+-+Hot+Stone+Massage+Box+Set&amp;qid=1695588277&amp;sr=8-7", "https://www.amazon.com/Angeshio-Massage-Therapy-Stones-Warmer/dp/B0BPLMGP5D/ref=sr_1_7?keywords=Pamper+Me+-+Hot+Stone+Massage+Box+Set&amp;qid=1695588277&amp;sr=8-7")</f>
        <v/>
      </c>
      <c r="F356" t="inlineStr">
        <is>
          <t>B0BPLMGP5D</t>
        </is>
      </c>
      <c r="G356">
        <f>_xlfn.IMAGE("https://images.toysrus.com/1285/856522005272_1.jpg")</f>
        <v/>
      </c>
      <c r="H356">
        <f>_xlfn.IMAGE("https://m.media-amazon.com/images/I/51hvVm4NLPL._AC_UL320_.jpg")</f>
        <v/>
      </c>
      <c r="K356" t="inlineStr">
        <is>
          <t>14.99</t>
        </is>
      </c>
      <c r="L356" t="n">
        <v>49.99</v>
      </c>
      <c r="M356" s="2" t="inlineStr">
        <is>
          <t>233.49%</t>
        </is>
      </c>
      <c r="N356" t="n">
        <v>5</v>
      </c>
      <c r="O356" t="n">
        <v>7</v>
      </c>
      <c r="Q356" t="inlineStr">
        <is>
          <t>InStock</t>
        </is>
      </c>
      <c r="R356" t="inlineStr">
        <is>
          <t>undefined</t>
        </is>
      </c>
      <c r="S356" t="inlineStr">
        <is>
          <t>G9781488920332</t>
        </is>
      </c>
    </row>
    <row r="357" ht="75" customHeight="1">
      <c r="A357" s="1">
        <f>HYPERLINK("https://www.toysrus.com/pamper-me---hot-stone-massage-box-set-G9781488920332.html", "https://www.toysrus.com/pamper-me---hot-stone-massage-box-set-G9781488920332.html")</f>
        <v/>
      </c>
      <c r="B357" s="1">
        <f>HYPERLINK("https://www.toysrus.com/pamper-me---hot-stone-massage-box-set-G9781488920332.html", "https://www.toysrus.com/pamper-me---hot-stone-massage-box-set-G9781488920332.html")</f>
        <v/>
      </c>
      <c r="C357" t="inlineStr">
        <is>
          <t>Pamper Me - Hot Stone Massage Box Set</t>
        </is>
      </c>
      <c r="D357" t="inlineStr">
        <is>
          <t>16Pcs Hot Stones Set Hot Rocks Massage Stones Kit with Heater Box for Body Massage (Include Jade 16Pcs)</t>
        </is>
      </c>
      <c r="E357" s="1">
        <f>HYPERLINK("https://www.amazon.com/16Pcs-Stones-Massage-Heater-Include/dp/B08SJDSYDL/ref=sr_1_10?keywords=Pamper+Me+-+Hot+Stone+Massage+Box+Set&amp;qid=1695588277&amp;sr=8-10", "https://www.amazon.com/16Pcs-Stones-Massage-Heater-Include/dp/B08SJDSYDL/ref=sr_1_10?keywords=Pamper+Me+-+Hot+Stone+Massage+Box+Set&amp;qid=1695588277&amp;sr=8-10")</f>
        <v/>
      </c>
      <c r="F357" t="inlineStr">
        <is>
          <t>B08SJDSYDL</t>
        </is>
      </c>
      <c r="G357">
        <f>_xlfn.IMAGE("https://images.toysrus.com/1285/856522005272_1.jpg")</f>
        <v/>
      </c>
      <c r="H357">
        <f>_xlfn.IMAGE("https://m.media-amazon.com/images/I/61U4fiI1YaL._AC_UL320_.jpg")</f>
        <v/>
      </c>
      <c r="K357" t="inlineStr">
        <is>
          <t>14.99</t>
        </is>
      </c>
      <c r="L357" t="n">
        <v>43</v>
      </c>
      <c r="M357" s="2" t="inlineStr">
        <is>
          <t>186.86%</t>
        </is>
      </c>
      <c r="N357" t="n">
        <v>4.3</v>
      </c>
      <c r="O357" t="n">
        <v>372</v>
      </c>
      <c r="Q357" t="inlineStr">
        <is>
          <t>InStock</t>
        </is>
      </c>
      <c r="R357" t="inlineStr">
        <is>
          <t>undefined</t>
        </is>
      </c>
      <c r="S357" t="inlineStr">
        <is>
          <t>G9781488920332</t>
        </is>
      </c>
    </row>
    <row r="358" ht="75" customHeight="1">
      <c r="A358" s="1">
        <f>HYPERLINK("https://www.toysrus.com/pamper-me---hot-stone-massage-box-set-G9781488920332.html", "https://www.toysrus.com/pamper-me---hot-stone-massage-box-set-G9781488920332.html")</f>
        <v/>
      </c>
      <c r="B358" s="1">
        <f>HYPERLINK("https://www.toysrus.com/pamper-me---hot-stone-massage-box-set-G9781488920332.html", "https://www.toysrus.com/pamper-me---hot-stone-massage-box-set-G9781488920332.html")</f>
        <v/>
      </c>
      <c r="C358" t="inlineStr">
        <is>
          <t>Pamper Me - Hot Stone Massage Box Set</t>
        </is>
      </c>
      <c r="D358" t="inlineStr">
        <is>
          <t>Hot Stones Massage Warmer Kit, 9Pcs Hot Stones Massage Set Portable Hot Stone with Heater, Hot Rocks Basalt Massage Stones for Home Spa Warming Therapy Relaxing</t>
        </is>
      </c>
      <c r="E358" s="1">
        <f>HYPERLINK("https://www.amazon.com/Massage-Portable-Warming-Therapy-Relaxing/dp/B0C6QGDTKQ/ref=sr_1_2?keywords=Pamper+Me+-+Hot+Stone+Massage+Box+Set&amp;qid=1695588277&amp;sr=8-2", "https://www.amazon.com/Massage-Portable-Warming-Therapy-Relaxing/dp/B0C6QGDTKQ/ref=sr_1_2?keywords=Pamper+Me+-+Hot+Stone+Massage+Box+Set&amp;qid=1695588277&amp;sr=8-2")</f>
        <v/>
      </c>
      <c r="F358" t="inlineStr">
        <is>
          <t>B0C6QGDTKQ</t>
        </is>
      </c>
      <c r="G358">
        <f>_xlfn.IMAGE("https://images.toysrus.com/1285/856522005272_1.jpg")</f>
        <v/>
      </c>
      <c r="H358">
        <f>_xlfn.IMAGE("https://m.media-amazon.com/images/I/71X2iZ5T47L._AC_UL320_.jpg")</f>
        <v/>
      </c>
      <c r="K358" t="inlineStr">
        <is>
          <t>14.99</t>
        </is>
      </c>
      <c r="L358" t="n">
        <v>39.99</v>
      </c>
      <c r="M358" s="2" t="inlineStr">
        <is>
          <t>166.78%</t>
        </is>
      </c>
      <c r="N358" t="n">
        <v>4.7</v>
      </c>
      <c r="O358" t="n">
        <v>14</v>
      </c>
      <c r="Q358" t="inlineStr">
        <is>
          <t>InStock</t>
        </is>
      </c>
      <c r="R358" t="inlineStr">
        <is>
          <t>undefined</t>
        </is>
      </c>
      <c r="S358" t="inlineStr">
        <is>
          <t>G9781488920332</t>
        </is>
      </c>
    </row>
    <row r="359" ht="75" customHeight="1">
      <c r="A359" s="1">
        <f>HYPERLINK("https://www.toysrus.com/pamper-me---hot-stone-massage-box-set-G9781488920332.html", "https://www.toysrus.com/pamper-me---hot-stone-massage-box-set-G9781488920332.html")</f>
        <v/>
      </c>
      <c r="B359" s="1">
        <f>HYPERLINK("https://www.toysrus.com/pamper-me---hot-stone-massage-box-set-G9781488920332.html", "https://www.toysrus.com/pamper-me---hot-stone-massage-box-set-G9781488920332.html")</f>
        <v/>
      </c>
      <c r="C359" t="inlineStr">
        <is>
          <t>Pamper Me - Hot Stone Massage Box Set</t>
        </is>
      </c>
      <c r="D359" t="inlineStr">
        <is>
          <t>Hot Stones Massage Set, 20 Pcs Basalt Hot Stones with Heater Kit for Massage Portable Bianstone Massage Rocks Heating Box for Home Spa Warming Relaxing, Healing, Pain Relief</t>
        </is>
      </c>
      <c r="E359" s="1">
        <f>HYPERLINK("https://www.amazon.com/Massage-Portable-Bianstone-Heating-Relaxing/dp/B0C16Q66H1/ref=sr_1_4?keywords=Pamper+Me+-+Hot+Stone+Massage+Box+Set&amp;qid=1695588277&amp;sr=8-4", "https://www.amazon.com/Massage-Portable-Bianstone-Heating-Relaxing/dp/B0C16Q66H1/ref=sr_1_4?keywords=Pamper+Me+-+Hot+Stone+Massage+Box+Set&amp;qid=1695588277&amp;sr=8-4")</f>
        <v/>
      </c>
      <c r="F359" t="inlineStr">
        <is>
          <t>B0C16Q66H1</t>
        </is>
      </c>
      <c r="G359">
        <f>_xlfn.IMAGE("https://images.toysrus.com/1285/856522005272_1.jpg")</f>
        <v/>
      </c>
      <c r="H359">
        <f>_xlfn.IMAGE("https://m.media-amazon.com/images/I/81Jr12wYvaL._AC_UL320_.jpg")</f>
        <v/>
      </c>
      <c r="K359" t="inlineStr">
        <is>
          <t>14.99</t>
        </is>
      </c>
      <c r="L359" t="n">
        <v>39.99</v>
      </c>
      <c r="M359" s="2" t="inlineStr">
        <is>
          <t>166.78%</t>
        </is>
      </c>
      <c r="N359" t="n">
        <v>3.8</v>
      </c>
      <c r="O359" t="n">
        <v>27</v>
      </c>
      <c r="Q359" t="inlineStr">
        <is>
          <t>InStock</t>
        </is>
      </c>
      <c r="R359" t="inlineStr">
        <is>
          <t>undefined</t>
        </is>
      </c>
      <c r="S359" t="inlineStr">
        <is>
          <t>G9781488920332</t>
        </is>
      </c>
    </row>
    <row r="360" ht="75" customHeight="1">
      <c r="A360" s="1">
        <f>HYPERLINK("https://www.toysrus.com/pamper-me---hot-stone-massage-box-set-G9781488920332.html", "https://www.toysrus.com/pamper-me---hot-stone-massage-box-set-G9781488920332.html")</f>
        <v/>
      </c>
      <c r="B360" s="1">
        <f>HYPERLINK("https://www.toysrus.com/pamper-me---hot-stone-massage-box-set-G9781488920332.html", "https://www.toysrus.com/pamper-me---hot-stone-massage-box-set-G9781488920332.html")</f>
        <v/>
      </c>
      <c r="C360" t="inlineStr">
        <is>
          <t>Pamper Me - Hot Stone Massage Box Set</t>
        </is>
      </c>
      <c r="D360" t="inlineStr">
        <is>
          <t>SereneLife 20 Pc. Hot Massage Stone Set - Heated Stones with Traveling Bag/Small Brown Box Smooth &amp; Sculpted Round Basalt Rock, Relieves Pains Caused by Sprains &amp; Strains</t>
        </is>
      </c>
      <c r="E360" s="1">
        <f>HYPERLINK("https://www.amazon.com/Pc-Hot-Massage-Stone-Set/dp/B09Q28WBRM/ref=sr_1_5?keywords=Pamper+Me+-+Hot+Stone+Massage+Box+Set&amp;qid=1695588277&amp;sr=8-5", "https://www.amazon.com/Pc-Hot-Massage-Stone-Set/dp/B09Q28WBRM/ref=sr_1_5?keywords=Pamper+Me+-+Hot+Stone+Massage+Box+Set&amp;qid=1695588277&amp;sr=8-5")</f>
        <v/>
      </c>
      <c r="F360" t="inlineStr">
        <is>
          <t>B09Q28WBRM</t>
        </is>
      </c>
      <c r="G360">
        <f>_xlfn.IMAGE("https://images.toysrus.com/1285/856522005272_1.jpg")</f>
        <v/>
      </c>
      <c r="H360">
        <f>_xlfn.IMAGE("https://m.media-amazon.com/images/I/81loxTcWLML._AC_UL320_.jpg")</f>
        <v/>
      </c>
      <c r="K360" t="inlineStr">
        <is>
          <t>14.99</t>
        </is>
      </c>
      <c r="L360" t="n">
        <v>34.94</v>
      </c>
      <c r="M360" s="2" t="inlineStr">
        <is>
          <t>133.09%</t>
        </is>
      </c>
      <c r="N360" t="n">
        <v>4.7</v>
      </c>
      <c r="O360" t="n">
        <v>12</v>
      </c>
      <c r="Q360" t="inlineStr">
        <is>
          <t>InStock</t>
        </is>
      </c>
      <c r="R360" t="inlineStr">
        <is>
          <t>undefined</t>
        </is>
      </c>
      <c r="S360" t="inlineStr">
        <is>
          <t>G9781488920332</t>
        </is>
      </c>
    </row>
    <row r="361" ht="75" customHeight="1">
      <c r="A361" s="1">
        <f>HYPERLINK("https://www.toysrus.com/paw-patrol-aqua-pups-rubble-and-hammerhead-action-figures--15520261.html", "https://www.toysrus.com/paw-patrol-aqua-pups-rubble-and-hammerhead-action-figures--15520261.html")</f>
        <v/>
      </c>
      <c r="B361" s="1">
        <f>HYPERLINK("https://www.toysrus.com/paw-patrol-aqua-pups-rubble-and-hammerhead-action-figures--15520261.html", "https://www.toysrus.com/paw-patrol-aqua-pups-rubble-and-hammerhead-action-figures--15520261.html")</f>
        <v/>
      </c>
      <c r="C361" t="inlineStr">
        <is>
          <t>PAW Patrol, Aqua Pups Rubble and Hammerhead Action Figures</t>
        </is>
      </c>
      <c r="D361" t="inlineStr">
        <is>
          <t>Paw Patrol Aqua Pups Rubble Transforming Hammerhead Shark Vehicle with Collectible Action Figure, Kids Toys for Ages 3 and Up</t>
        </is>
      </c>
      <c r="E361" s="1">
        <f>HYPERLINK("https://www.amazon.com/Paw-Patrol-Transforming-Hammerhead-Collectible/dp/B0B4XYVNTP/ref=sr_1_2?keywords=PAW+Patrol%2C+Aqua+Pups+Rubble+and+Hammerhead+Action+Figures&amp;qid=1695588884&amp;sr=8-2", "https://www.amazon.com/Paw-Patrol-Transforming-Hammerhead-Collectible/dp/B0B4XYVNTP/ref=sr_1_2?keywords=PAW+Patrol%2C+Aqua+Pups+Rubble+and+Hammerhead+Action+Figures&amp;qid=1695588884&amp;sr=8-2")</f>
        <v/>
      </c>
      <c r="F361" t="inlineStr">
        <is>
          <t>B0B4XYVNTP</t>
        </is>
      </c>
      <c r="G361">
        <f>_xlfn.IMAGE("http://slimages.macys.com/is/image/MCY/products/0/optimized/24153577_fpx.tif")</f>
        <v/>
      </c>
      <c r="H361">
        <f>_xlfn.IMAGE("https://m.media-amazon.com/images/I/81x5rdcFA-L._AC_UL320_.jpg")</f>
        <v/>
      </c>
      <c r="K361" t="inlineStr">
        <is>
          <t>9.99</t>
        </is>
      </c>
      <c r="L361" t="n">
        <v>17.88</v>
      </c>
      <c r="M361" s="2" t="inlineStr">
        <is>
          <t>78.98%</t>
        </is>
      </c>
      <c r="N361" t="n">
        <v>4.8</v>
      </c>
      <c r="O361" t="n">
        <v>3420</v>
      </c>
      <c r="Q361" t="inlineStr">
        <is>
          <t>InStock</t>
        </is>
      </c>
      <c r="R361" t="inlineStr">
        <is>
          <t>undefined</t>
        </is>
      </c>
      <c r="S361" t="inlineStr">
        <is>
          <t>15520261</t>
        </is>
      </c>
    </row>
    <row r="362" ht="75" customHeight="1">
      <c r="A362" s="1">
        <f>HYPERLINK("https://www.toysrus.com/paw-patrol-big-truck-hero-pups-chase-playset-14522344.html", "https://www.toysrus.com/paw-patrol-big-truck-hero-pups-chase-playset-14522344.html")</f>
        <v/>
      </c>
      <c r="B362" s="1">
        <f>HYPERLINK("https://www.toysrus.com/paw-patrol-big-truck-hero-pups-chase-playset-14522344.html", "https://www.toysrus.com/paw-patrol-big-truck-hero-pups-chase-playset-14522344.html")</f>
        <v/>
      </c>
      <c r="C362" t="inlineStr">
        <is>
          <t>PAW Patrol Big Truck Hero Pups Chase Playset</t>
        </is>
      </c>
      <c r="D362" t="inlineStr">
        <is>
          <t>Paw Patrol Big Truck Pups, Truck Stop HQ, 3ft. Wide Transforming Playset, Action Figures, Toy Cars, Lights and Sounds, Kids Toys for Ages 3 and up</t>
        </is>
      </c>
      <c r="E362" s="1">
        <f>HYPERLINK("https://www.amazon.com/Paw-Patrol-Highway-Rescue-Playset/dp/B09NL9M68R/ref=sr_1_6?keywords=PAW+Patrol+Big+Truck+Hero+Pups+Chase+Playset&amp;qid=1695588728&amp;sr=8-6", "https://www.amazon.com/Paw-Patrol-Highway-Rescue-Playset/dp/B09NL9M68R/ref=sr_1_6?keywords=PAW+Patrol+Big+Truck+Hero+Pups+Chase+Playset&amp;qid=1695588728&amp;sr=8-6")</f>
        <v/>
      </c>
      <c r="F362" t="inlineStr">
        <is>
          <t>B09NL9M68R</t>
        </is>
      </c>
      <c r="G362">
        <f>_xlfn.IMAGE("http://slimages.macys.com/is/image/MCY/products/0/optimized/22817376_fpx.tif")</f>
        <v/>
      </c>
      <c r="H362">
        <f>_xlfn.IMAGE("https://m.media-amazon.com/images/I/81RAB7bkOfL._AC_UL320_.jpg")</f>
        <v/>
      </c>
      <c r="K362" t="inlineStr">
        <is>
          <t>11.99</t>
        </is>
      </c>
      <c r="L362" t="n">
        <v>39.85</v>
      </c>
      <c r="M362" s="2" t="inlineStr">
        <is>
          <t>232.36%</t>
        </is>
      </c>
      <c r="N362" t="n">
        <v>4.7</v>
      </c>
      <c r="O362" t="n">
        <v>621</v>
      </c>
      <c r="Q362" t="inlineStr">
        <is>
          <t>InStock</t>
        </is>
      </c>
      <c r="R362" t="inlineStr">
        <is>
          <t>undefined</t>
        </is>
      </c>
      <c r="S362" t="inlineStr">
        <is>
          <t>14522344</t>
        </is>
      </c>
    </row>
    <row r="363" ht="75" customHeight="1">
      <c r="A363" s="1">
        <f>HYPERLINK("https://www.toysrus.com/paw-patrol-big-truck-hero-pups-chase-playset-14522344.html", "https://www.toysrus.com/paw-patrol-big-truck-hero-pups-chase-playset-14522344.html")</f>
        <v/>
      </c>
      <c r="B363" s="1">
        <f>HYPERLINK("https://www.toysrus.com/paw-patrol-big-truck-hero-pups-chase-playset-14522344.html", "https://www.toysrus.com/paw-patrol-big-truck-hero-pups-chase-playset-14522344.html")</f>
        <v/>
      </c>
      <c r="C363" t="inlineStr">
        <is>
          <t>PAW Patrol Big Truck Hero Pups Chase Playset</t>
        </is>
      </c>
      <c r="D363" t="inlineStr">
        <is>
          <t>Paw Patrol Big Truck Pups, Truck Stop HQ, 3ft. Wide Transforming Playset, Action Figures, Toy Cars, Lights and Sounds, Kids Toys for Ages 3 and up</t>
        </is>
      </c>
      <c r="E363" s="1">
        <f>HYPERLINK("https://www.amazon.com/Paw-Patrol-Highway-Rescue-Playset/dp/B09NL9M68R/ref=sr_1_5?keywords=PAW+Patrol+Big+Truck+Hero+Pups+Chase+Playset&amp;qid=1695588837&amp;sr=8-5", "https://www.amazon.com/Paw-Patrol-Highway-Rescue-Playset/dp/B09NL9M68R/ref=sr_1_5?keywords=PAW+Patrol+Big+Truck+Hero+Pups+Chase+Playset&amp;qid=1695588837&amp;sr=8-5")</f>
        <v/>
      </c>
      <c r="F363" t="inlineStr">
        <is>
          <t>B09NL9M68R</t>
        </is>
      </c>
      <c r="G363">
        <f>_xlfn.IMAGE("http://slimages.macys.com/is/image/MCY/products/0/optimized/22817376_fpx.tif")</f>
        <v/>
      </c>
      <c r="H363">
        <f>_xlfn.IMAGE("https://m.media-amazon.com/images/I/81RAB7bkOfL._AC_UL320_.jpg")</f>
        <v/>
      </c>
      <c r="K363" t="inlineStr">
        <is>
          <t>11.99</t>
        </is>
      </c>
      <c r="L363" t="n">
        <v>39.85</v>
      </c>
      <c r="M363" s="2" t="inlineStr">
        <is>
          <t>232.36%</t>
        </is>
      </c>
      <c r="N363" t="n">
        <v>4.7</v>
      </c>
      <c r="O363" t="n">
        <v>621</v>
      </c>
      <c r="Q363" t="inlineStr">
        <is>
          <t>InStock</t>
        </is>
      </c>
      <c r="R363" t="inlineStr">
        <is>
          <t>undefined</t>
        </is>
      </c>
      <c r="S363" t="inlineStr">
        <is>
          <t>14522344</t>
        </is>
      </c>
    </row>
    <row r="364" ht="75" customHeight="1">
      <c r="A364" s="1">
        <f>HYPERLINK("https://www.toysrus.com/paw-patrol-chase-role-play-rescue-set-14522343.html", "https://www.toysrus.com/paw-patrol-chase-role-play-rescue-set-14522343.html")</f>
        <v/>
      </c>
      <c r="B364" s="1">
        <f>HYPERLINK("https://www.toysrus.com/paw-patrol-chase-role-play-rescue-set-14522343.html", "https://www.toysrus.com/paw-patrol-chase-role-play-rescue-set-14522343.html")</f>
        <v/>
      </c>
      <c r="C364" t="inlineStr">
        <is>
          <t>PAW Patrol Chase Role Play Rescue Set</t>
        </is>
      </c>
      <c r="D364" t="inlineStr">
        <is>
          <t>Paw Patrol, Rescue Knights Castle HQ Transforming 11-Piece Playset with Chase and Mini Dragon Draco Action Figures, Kids' Toys for Ages 3 and up</t>
        </is>
      </c>
      <c r="E364" s="1">
        <f>HYPERLINK("https://www.amazon.com/Paw-Patrol-Knights-Transforming-11-Piece/dp/B09GBHYG3V/ref=sr_1_10?keywords=PAW+Patrol+Chase+Role+Play+Rescue+Set&amp;qid=1695588839&amp;sr=8-10", "https://www.amazon.com/Paw-Patrol-Knights-Transforming-11-Piece/dp/B09GBHYG3V/ref=sr_1_10?keywords=PAW+Patrol+Chase+Role+Play+Rescue+Set&amp;qid=1695588839&amp;sr=8-10")</f>
        <v/>
      </c>
      <c r="F364" t="inlineStr">
        <is>
          <t>B09GBHYG3V</t>
        </is>
      </c>
      <c r="G364">
        <f>_xlfn.IMAGE("http://slimages.macys.com/is/image/MCY/products/0/optimized/22817371_fpx.tif")</f>
        <v/>
      </c>
      <c r="H364">
        <f>_xlfn.IMAGE("https://m.media-amazon.com/images/I/915j+ROrx+L._AC_UL320_.jpg")</f>
        <v/>
      </c>
      <c r="K364" t="inlineStr">
        <is>
          <t>16.99</t>
        </is>
      </c>
      <c r="L364" t="n">
        <v>54</v>
      </c>
      <c r="M364" s="2" t="inlineStr">
        <is>
          <t>217.83%</t>
        </is>
      </c>
      <c r="N364" t="n">
        <v>4.5</v>
      </c>
      <c r="O364" t="n">
        <v>635</v>
      </c>
      <c r="Q364" t="inlineStr">
        <is>
          <t>InStock</t>
        </is>
      </c>
      <c r="R364" t="inlineStr">
        <is>
          <t>undefined</t>
        </is>
      </c>
      <c r="S364" t="inlineStr">
        <is>
          <t>14522343</t>
        </is>
      </c>
    </row>
    <row r="365" ht="75" customHeight="1">
      <c r="A365" s="1">
        <f>HYPERLINK("https://www.toysrus.com/paw-patrol-marshall-role-play-rescue-set-14522342.html", "https://www.toysrus.com/paw-patrol-marshall-role-play-rescue-set-14522342.html")</f>
        <v/>
      </c>
      <c r="B365" s="1">
        <f>HYPERLINK("https://www.toysrus.com/paw-patrol-marshall-role-play-rescue-set-14522342.html", "https://www.toysrus.com/paw-patrol-marshall-role-play-rescue-set-14522342.html")</f>
        <v/>
      </c>
      <c r="C365" t="inlineStr">
        <is>
          <t>PAW Patrol Marshall Role Play Rescue Set</t>
        </is>
      </c>
      <c r="D365" t="inlineStr">
        <is>
          <t>Paw Patrol Ultimate Rescue Set- Marshall's Ultimate Rescue Fire Truck with Moving Ladder and Flip-Open Front Cab, &amp;Chase’s Ultimate Rescue Police Cruiser with Lifting Seat and Fold Out Barricade</t>
        </is>
      </c>
      <c r="E365" s="1">
        <f>HYPERLINK("https://www.amazon.com/Paw-Patrol-Police-Cruiser-Marshall/dp/B088WPCSPT/ref=sr_1_8?keywords=PAW+Patrol+Marshall+Role+Play+Rescue+Set&amp;qid=1695588829&amp;sr=8-8", "https://www.amazon.com/Paw-Patrol-Police-Cruiser-Marshall/dp/B088WPCSPT/ref=sr_1_8?keywords=PAW+Patrol+Marshall+Role+Play+Rescue+Set&amp;qid=1695588829&amp;sr=8-8")</f>
        <v/>
      </c>
      <c r="F365" t="inlineStr">
        <is>
          <t>B088WPCSPT</t>
        </is>
      </c>
      <c r="G365">
        <f>_xlfn.IMAGE("http://slimages.macys.com/is/image/MCY/products/0/optimized/22817364_fpx.tif")</f>
        <v/>
      </c>
      <c r="H365">
        <f>_xlfn.IMAGE("https://m.media-amazon.com/images/I/71OdLshDyUS._AC_UL320_.jpg")</f>
        <v/>
      </c>
      <c r="K365" t="inlineStr">
        <is>
          <t>16.99</t>
        </is>
      </c>
      <c r="L365" t="n">
        <v>31.99</v>
      </c>
      <c r="M365" s="2" t="inlineStr">
        <is>
          <t>88.29%</t>
        </is>
      </c>
      <c r="N365" t="n">
        <v>5</v>
      </c>
      <c r="O365" t="n">
        <v>3</v>
      </c>
      <c r="Q365" t="inlineStr">
        <is>
          <t>InStock</t>
        </is>
      </c>
      <c r="R365" t="inlineStr">
        <is>
          <t>undefined</t>
        </is>
      </c>
      <c r="S365" t="inlineStr">
        <is>
          <t>14522342</t>
        </is>
      </c>
    </row>
    <row r="366" ht="75" customHeight="1">
      <c r="A366" s="1">
        <f>HYPERLINK("https://www.toysrus.com/paw-patrol-rc-chase-11417272.html", "https://www.toysrus.com/paw-patrol-rc-chase-11417272.html")</f>
        <v/>
      </c>
      <c r="B366" s="1">
        <f>HYPERLINK("https://www.toysrus.com/paw-patrol-rc-chase-11417272.html", "https://www.toysrus.com/paw-patrol-rc-chase-11417272.html")</f>
        <v/>
      </c>
      <c r="C366" t="inlineStr">
        <is>
          <t>Paw Patrol RC Chase</t>
        </is>
      </c>
      <c r="D366" t="inlineStr">
        <is>
          <t>Paw Patrol, Chase’s 5-in-1 Ultimate Cruiser with Lights and Sounds, for Kids Aged 3 and up</t>
        </is>
      </c>
      <c r="E366" s="1">
        <f>HYPERLINK("https://www.amazon.com/Paw-Patrol-Chases-Ultimate-Cruiser/dp/B081VW4ZWY/ref=sr_1_5?keywords=Paw+Patrol+RC+Chase&amp;qid=1695588813&amp;sr=8-5", "https://www.amazon.com/Paw-Patrol-Chases-Ultimate-Cruiser/dp/B081VW4ZWY/ref=sr_1_5?keywords=Paw+Patrol+RC+Chase&amp;qid=1695588813&amp;sr=8-5")</f>
        <v/>
      </c>
      <c r="F366" t="inlineStr">
        <is>
          <t>B081VW4ZWY</t>
        </is>
      </c>
      <c r="G366">
        <f>_xlfn.IMAGE("http://slimages.macys.com/is/image/MCY/products/0/optimized/18159021_fpx.tif")</f>
        <v/>
      </c>
      <c r="H366">
        <f>_xlfn.IMAGE("https://m.media-amazon.com/images/I/819DicdaYjL._AC_UL320_.jpg")</f>
        <v/>
      </c>
      <c r="K366" t="inlineStr">
        <is>
          <t>21.99</t>
        </is>
      </c>
      <c r="L366" t="n">
        <v>71.90000000000001</v>
      </c>
      <c r="M366" s="2" t="inlineStr">
        <is>
          <t>226.97%</t>
        </is>
      </c>
      <c r="N366" t="n">
        <v>4.8</v>
      </c>
      <c r="O366" t="n">
        <v>6662</v>
      </c>
      <c r="Q366" t="inlineStr">
        <is>
          <t>InStock</t>
        </is>
      </c>
      <c r="R366" t="inlineStr">
        <is>
          <t>undefined</t>
        </is>
      </c>
      <c r="S366" t="inlineStr">
        <is>
          <t>11417272</t>
        </is>
      </c>
    </row>
    <row r="367" ht="75" customHeight="1">
      <c r="A367" s="1">
        <f>HYPERLINK("https://www.toysrus.com/paw-patrol-rc-chase-11417272.html", "https://www.toysrus.com/paw-patrol-rc-chase-11417272.html")</f>
        <v/>
      </c>
      <c r="B367" s="1">
        <f>HYPERLINK("https://www.toysrus.com/paw-patrol-rc-chase-11417272.html", "https://www.toysrus.com/paw-patrol-rc-chase-11417272.html")</f>
        <v/>
      </c>
      <c r="C367" t="inlineStr">
        <is>
          <t>Paw Patrol RC Chase</t>
        </is>
      </c>
      <c r="D367" t="inlineStr">
        <is>
          <t>Carrera First Paw Patrol - Slot Car Race Track - Includes 2 Cars: Chase and Rubble - Battery-Powered Beginner Racing Set for Kids Ages 3 Years and Up</t>
        </is>
      </c>
      <c r="E367" s="1">
        <f>HYPERLINK("https://www.amazon.com/Carrera-First-Paw-Patrol-Battery-Powered/dp/B082VXJ8TZ/ref=sr_1_3?keywords=Paw+Patrol+RC+Chase&amp;qid=1695588813&amp;sr=8-3", "https://www.amazon.com/Carrera-First-Paw-Patrol-Battery-Powered/dp/B082VXJ8TZ/ref=sr_1_3?keywords=Paw+Patrol+RC+Chase&amp;qid=1695588813&amp;sr=8-3")</f>
        <v/>
      </c>
      <c r="F367" t="inlineStr">
        <is>
          <t>B082VXJ8TZ</t>
        </is>
      </c>
      <c r="G367">
        <f>_xlfn.IMAGE("http://slimages.macys.com/is/image/MCY/products/0/optimized/18159021_fpx.tif")</f>
        <v/>
      </c>
      <c r="H367">
        <f>_xlfn.IMAGE("https://m.media-amazon.com/images/I/81ZDPrbQLpL._AC_UL320_.jpg")</f>
        <v/>
      </c>
      <c r="K367" t="inlineStr">
        <is>
          <t>21.99</t>
        </is>
      </c>
      <c r="L367" t="n">
        <v>39.99</v>
      </c>
      <c r="M367" s="2" t="inlineStr">
        <is>
          <t>81.86%</t>
        </is>
      </c>
      <c r="N367" t="n">
        <v>4.1</v>
      </c>
      <c r="O367" t="n">
        <v>308</v>
      </c>
      <c r="Q367" t="inlineStr">
        <is>
          <t>InStock</t>
        </is>
      </c>
      <c r="R367" t="inlineStr">
        <is>
          <t>undefined</t>
        </is>
      </c>
      <c r="S367" t="inlineStr">
        <is>
          <t>11417272</t>
        </is>
      </c>
    </row>
    <row r="368" ht="75" customHeight="1">
      <c r="A368" s="1">
        <f>HYPERLINK("https://www.toysrus.com/paw-patrol-rc-chase-11417272.html", "https://www.toysrus.com/paw-patrol-rc-chase-11417272.html")</f>
        <v/>
      </c>
      <c r="B368" s="1">
        <f>HYPERLINK("https://www.toysrus.com/paw-patrol-rc-chase-11417272.html", "https://www.toysrus.com/paw-patrol-rc-chase-11417272.html")</f>
        <v/>
      </c>
      <c r="C368" t="inlineStr">
        <is>
          <t>Paw Patrol RC Chase</t>
        </is>
      </c>
      <c r="D368" t="inlineStr">
        <is>
          <t>Paw Patrol 6054190 Chase Remote Control Police Cruiser with 2-Way Steering, for Kids Aged 3 and Up, Multicolour</t>
        </is>
      </c>
      <c r="E368" s="1">
        <f>HYPERLINK("https://www.amazon.com/Paw-Patrol-6054190-Steering-Multicolour/dp/B07P3G98YN/ref=sr_1_4?keywords=Paw+Patrol+RC+Chase&amp;qid=1695588813&amp;sr=8-4", "https://www.amazon.com/Paw-Patrol-6054190-Steering-Multicolour/dp/B07P3G98YN/ref=sr_1_4?keywords=Paw+Patrol+RC+Chase&amp;qid=1695588813&amp;sr=8-4")</f>
        <v/>
      </c>
      <c r="F368" t="inlineStr">
        <is>
          <t>B07P3G98YN</t>
        </is>
      </c>
      <c r="G368">
        <f>_xlfn.IMAGE("http://slimages.macys.com/is/image/MCY/products/0/optimized/18159021_fpx.tif")</f>
        <v/>
      </c>
      <c r="H368">
        <f>_xlfn.IMAGE("https://m.media-amazon.com/images/I/71aCuR86ZTL._AC_UL320_.jpg")</f>
        <v/>
      </c>
      <c r="K368" t="inlineStr">
        <is>
          <t>21.99</t>
        </is>
      </c>
      <c r="L368" t="n">
        <v>37.75</v>
      </c>
      <c r="M368" s="2" t="inlineStr">
        <is>
          <t>71.67%</t>
        </is>
      </c>
      <c r="N368" t="n">
        <v>4.6</v>
      </c>
      <c r="O368" t="n">
        <v>10628</v>
      </c>
      <c r="Q368" t="inlineStr">
        <is>
          <t>InStock</t>
        </is>
      </c>
      <c r="R368" t="inlineStr">
        <is>
          <t>undefined</t>
        </is>
      </c>
      <c r="S368" t="inlineStr">
        <is>
          <t>11417272</t>
        </is>
      </c>
    </row>
    <row r="369" ht="75" customHeight="1">
      <c r="A369" s="1">
        <f>HYPERLINK("https://www.toysrus.com/paw-patrol-skyes-helicopter-vehicle-with-collectible-figure-for-kids-aged-3-and-up-12878794.html", "https://www.toysrus.com/paw-patrol-skyes-helicopter-vehicle-with-collectible-figure-for-kids-aged-3-and-up-12878794.html")</f>
        <v/>
      </c>
      <c r="B369" s="1">
        <f>HYPERLINK("https://www.toysrus.com/paw-patrol-skyes-helicopter-vehicle-with-collectible-figure-for-kids-aged-3-and-up-12878794.html", "https://www.toysrus.com/paw-patrol-skyes-helicopter-vehicle-with-collectible-figure-for-kids-aged-3-and-up-12878794.html")</f>
        <v/>
      </c>
      <c r="C369" t="inlineStr">
        <is>
          <t>PAW Patrol Skye?s Helicopter Vehicle with Collectible Figure for Kids Aged 3 and Up</t>
        </is>
      </c>
      <c r="D369" t="inlineStr">
        <is>
          <t>Paw Patrol, Kitty Catastrophe Gift Set with 8 Collectible Toy Figures, for Kids Aged 3 and Up</t>
        </is>
      </c>
      <c r="E369" s="1">
        <f>HYPERLINK("https://www.amazon.com/Paw-Patrol-Catastrophe-Collectible-Figures/dp/B085BM4VM7/ref=sr_1_8?keywords=PAW+Patrol+Skye%3Fs+Helicopter+Vehicle+with+Collectible+Figure+for+Kids+Aged+3+and+Up&amp;qid=1695588918&amp;sr=8-8", "https://www.amazon.com/Paw-Patrol-Catastrophe-Collectible-Figures/dp/B085BM4VM7/ref=sr_1_8?keywords=PAW+Patrol+Skye%3Fs+Helicopter+Vehicle+with+Collectible+Figure+for+Kids+Aged+3+and+Up&amp;qid=1695588918&amp;sr=8-8")</f>
        <v/>
      </c>
      <c r="F369" t="inlineStr">
        <is>
          <t>B085BM4VM7</t>
        </is>
      </c>
      <c r="G369">
        <f>_xlfn.IMAGE("http://slimages.macys.com/is/image/MCY/products/0/optimized/20231234_fpx.tif")</f>
        <v/>
      </c>
      <c r="H369">
        <f>_xlfn.IMAGE("https://m.media-amazon.com/images/I/71ViP0-d1EL._AC_UL320_.jpg")</f>
        <v/>
      </c>
      <c r="K369" t="inlineStr">
        <is>
          <t>10.49</t>
        </is>
      </c>
      <c r="L369" t="n">
        <v>23.95</v>
      </c>
      <c r="M369" s="2" t="inlineStr">
        <is>
          <t>128.31%</t>
        </is>
      </c>
      <c r="N369" t="n">
        <v>4.8</v>
      </c>
      <c r="O369" t="n">
        <v>3195</v>
      </c>
      <c r="Q369" t="inlineStr">
        <is>
          <t>InStock</t>
        </is>
      </c>
      <c r="R369" t="inlineStr">
        <is>
          <t>undefined</t>
        </is>
      </c>
      <c r="S369" t="inlineStr">
        <is>
          <t>12878794</t>
        </is>
      </c>
    </row>
    <row r="370" ht="75" customHeight="1">
      <c r="A370" s="1">
        <f>HYPERLINK("https://www.toysrus.com/paw-patrol-skyes-helicopter-vehicle-with-collectible-figure-for-kids-aged-3-and-up-12878794.html", "https://www.toysrus.com/paw-patrol-skyes-helicopter-vehicle-with-collectible-figure-for-kids-aged-3-and-up-12878794.html")</f>
        <v/>
      </c>
      <c r="B370" s="1">
        <f>HYPERLINK("https://www.toysrus.com/paw-patrol-skyes-helicopter-vehicle-with-collectible-figure-for-kids-aged-3-and-up-12878794.html", "https://www.toysrus.com/paw-patrol-skyes-helicopter-vehicle-with-collectible-figure-for-kids-aged-3-and-up-12878794.html")</f>
        <v/>
      </c>
      <c r="C370" t="inlineStr">
        <is>
          <t>PAW Patrol Skye?s Helicopter Vehicle with Collectible Figure for Kids Aged 3 and Up</t>
        </is>
      </c>
      <c r="D370" t="inlineStr">
        <is>
          <t>Paw Patrol, Everest’s Snow Plow Vehicle with Collectible Figure, for Kids Aged 3 and Up</t>
        </is>
      </c>
      <c r="E370" s="1">
        <f>HYPERLINK("https://www.amazon.com/Paw-Patrol-6056856-Collectible-Multicoloured/dp/B082WZ1Z18/ref=sr_1_5?keywords=PAW+Patrol+Skye%3Fs+Helicopter+Vehicle+with+Collectible+Figure+for+Kids+Aged+3+and+Up&amp;qid=1695588918&amp;sr=8-5", "https://www.amazon.com/Paw-Patrol-6056856-Collectible-Multicoloured/dp/B082WZ1Z18/ref=sr_1_5?keywords=PAW+Patrol+Skye%3Fs+Helicopter+Vehicle+with+Collectible+Figure+for+Kids+Aged+3+and+Up&amp;qid=1695588918&amp;sr=8-5")</f>
        <v/>
      </c>
      <c r="F370" t="inlineStr">
        <is>
          <t>B082WZ1Z18</t>
        </is>
      </c>
      <c r="G370">
        <f>_xlfn.IMAGE("http://slimages.macys.com/is/image/MCY/products/0/optimized/20231234_fpx.tif")</f>
        <v/>
      </c>
      <c r="H370">
        <f>_xlfn.IMAGE("https://m.media-amazon.com/images/I/71BgTEf4Y7L._AC_UL320_.jpg")</f>
        <v/>
      </c>
      <c r="K370" t="inlineStr">
        <is>
          <t>10.49</t>
        </is>
      </c>
      <c r="L370" t="n">
        <v>22.99</v>
      </c>
      <c r="M370" s="2" t="inlineStr">
        <is>
          <t>119.16%</t>
        </is>
      </c>
      <c r="N370" t="n">
        <v>4.8</v>
      </c>
      <c r="O370" t="n">
        <v>8231</v>
      </c>
      <c r="Q370" t="inlineStr">
        <is>
          <t>InStock</t>
        </is>
      </c>
      <c r="R370" t="inlineStr">
        <is>
          <t>undefined</t>
        </is>
      </c>
      <c r="S370" t="inlineStr">
        <is>
          <t>12878794</t>
        </is>
      </c>
    </row>
    <row r="371" ht="75" customHeight="1">
      <c r="A371" s="1">
        <f>HYPERLINK("https://www.toysrus.com/paw-patrol-skyes-helicopter-vehicle-with-collectible-figure-for-kids-aged-3-and-up-12878794.html", "https://www.toysrus.com/paw-patrol-skyes-helicopter-vehicle-with-collectible-figure-for-kids-aged-3-and-up-12878794.html")</f>
        <v/>
      </c>
      <c r="B371" s="1">
        <f>HYPERLINK("https://www.toysrus.com/paw-patrol-skyes-helicopter-vehicle-with-collectible-figure-for-kids-aged-3-and-up-12878794.html", "https://www.toysrus.com/paw-patrol-skyes-helicopter-vehicle-with-collectible-figure-for-kids-aged-3-and-up-12878794.html")</f>
        <v/>
      </c>
      <c r="C371" t="inlineStr">
        <is>
          <t>PAW Patrol Skye?s Helicopter Vehicle with Collectible Figure for Kids Aged 3 and Up</t>
        </is>
      </c>
      <c r="D371" t="inlineStr">
        <is>
          <t>Paw Patrol, Ryder’s Rescue ATV Vehicle with Collectible Figure, for Kids Aged 3 and up</t>
        </is>
      </c>
      <c r="E371" s="1">
        <f>HYPERLINK("https://www.amazon.com/Paw-Patrol-Ryders-Vehicle-Collectible/dp/B08FCRNXSC/ref=sr_1_2?keywords=PAW+Patrol+Skye%3Fs+Helicopter+Vehicle+with+Collectible+Figure+for+Kids+Aged+3+and+Up&amp;qid=1695588918&amp;sr=8-2", "https://www.amazon.com/Paw-Patrol-Ryders-Vehicle-Collectible/dp/B08FCRNXSC/ref=sr_1_2?keywords=PAW+Patrol+Skye%3Fs+Helicopter+Vehicle+with+Collectible+Figure+for+Kids+Aged+3+and+Up&amp;qid=1695588918&amp;sr=8-2")</f>
        <v/>
      </c>
      <c r="F371" t="inlineStr">
        <is>
          <t>B08FCRNXSC</t>
        </is>
      </c>
      <c r="G371">
        <f>_xlfn.IMAGE("http://slimages.macys.com/is/image/MCY/products/0/optimized/20231234_fpx.tif")</f>
        <v/>
      </c>
      <c r="H371">
        <f>_xlfn.IMAGE("https://m.media-amazon.com/images/I/71HmWSp+MXL._AC_UL320_.jpg")</f>
        <v/>
      </c>
      <c r="K371" t="inlineStr">
        <is>
          <t>10.49</t>
        </is>
      </c>
      <c r="L371" t="n">
        <v>19.99</v>
      </c>
      <c r="M371" s="2" t="inlineStr">
        <is>
          <t>90.56%</t>
        </is>
      </c>
      <c r="N371" t="n">
        <v>4.8</v>
      </c>
      <c r="O371" t="n">
        <v>14300</v>
      </c>
      <c r="Q371" t="inlineStr">
        <is>
          <t>InStock</t>
        </is>
      </c>
      <c r="R371" t="inlineStr">
        <is>
          <t>undefined</t>
        </is>
      </c>
      <c r="S371" t="inlineStr">
        <is>
          <t>12878794</t>
        </is>
      </c>
    </row>
    <row r="372" ht="75" customHeight="1">
      <c r="A372" s="1">
        <f>HYPERLINK("https://www.toysrus.com/paw-patrol-skyes-helicopter-vehicle-with-collectible-figure-for-kids-aged-3-and-up-12878794.html", "https://www.toysrus.com/paw-patrol-skyes-helicopter-vehicle-with-collectible-figure-for-kids-aged-3-and-up-12878794.html")</f>
        <v/>
      </c>
      <c r="B372" s="1">
        <f>HYPERLINK("https://www.toysrus.com/paw-patrol-skyes-helicopter-vehicle-with-collectible-figure-for-kids-aged-3-and-up-12878794.html", "https://www.toysrus.com/paw-patrol-skyes-helicopter-vehicle-with-collectible-figure-for-kids-aged-3-and-up-12878794.html")</f>
        <v/>
      </c>
      <c r="C372" t="inlineStr">
        <is>
          <t>PAW Patrol Skye?s Helicopter Vehicle with Collectible Figure for Kids Aged 3 and Up</t>
        </is>
      </c>
      <c r="D372" t="inlineStr">
        <is>
          <t>Paw Patrol, Chase’s Patrol Cruiser Vehicle with Collectible Figure, for Kids Aged 3 and Up</t>
        </is>
      </c>
      <c r="E372" s="1">
        <f>HYPERLINK("https://www.amazon.com/Paw-Patrol-Cruiser-Vehicle-Collectible/dp/B07PTSZ43T/ref=sr_1_1?keywords=PAW+Patrol+Skye%3Fs+Helicopter+Vehicle+with+Collectible+Figure+for+Kids+Aged+3+and+Up&amp;qid=1695588918&amp;sr=8-1", "https://www.amazon.com/Paw-Patrol-Cruiser-Vehicle-Collectible/dp/B07PTSZ43T/ref=sr_1_1?keywords=PAW+Patrol+Skye%3Fs+Helicopter+Vehicle+with+Collectible+Figure+for+Kids+Aged+3+and+Up&amp;qid=1695588918&amp;sr=8-1")</f>
        <v/>
      </c>
      <c r="F372" t="inlineStr">
        <is>
          <t>B07PTSZ43T</t>
        </is>
      </c>
      <c r="G372">
        <f>_xlfn.IMAGE("http://slimages.macys.com/is/image/MCY/products/0/optimized/20231234_fpx.tif")</f>
        <v/>
      </c>
      <c r="H372">
        <f>_xlfn.IMAGE("https://m.media-amazon.com/images/I/71dpY9ds5hL._AC_UL320_.jpg")</f>
        <v/>
      </c>
      <c r="K372" t="inlineStr">
        <is>
          <t>10.49</t>
        </is>
      </c>
      <c r="L372" t="n">
        <v>18.99</v>
      </c>
      <c r="M372" s="2" t="inlineStr">
        <is>
          <t>81.03%</t>
        </is>
      </c>
      <c r="N372" t="n">
        <v>4.8</v>
      </c>
      <c r="O372" t="n">
        <v>7067</v>
      </c>
      <c r="Q372" t="inlineStr">
        <is>
          <t>InStock</t>
        </is>
      </c>
      <c r="R372" t="inlineStr">
        <is>
          <t>undefined</t>
        </is>
      </c>
      <c r="S372" t="inlineStr">
        <is>
          <t>12878794</t>
        </is>
      </c>
    </row>
    <row r="373" ht="75" customHeight="1">
      <c r="A373" s="1">
        <f>HYPERLINK("https://www.toysrus.com/paw-patrol-skyes-helicopter-vehicle-with-collectible-figure-for-kids-aged-3-and-up-12878794.html", "https://www.toysrus.com/paw-patrol-skyes-helicopter-vehicle-with-collectible-figure-for-kids-aged-3-and-up-12878794.html")</f>
        <v/>
      </c>
      <c r="B373" s="1">
        <f>HYPERLINK("https://www.toysrus.com/paw-patrol-skyes-helicopter-vehicle-with-collectible-figure-for-kids-aged-3-and-up-12878794.html", "https://www.toysrus.com/paw-patrol-skyes-helicopter-vehicle-with-collectible-figure-for-kids-aged-3-and-up-12878794.html")</f>
        <v/>
      </c>
      <c r="C373" t="inlineStr">
        <is>
          <t>PAW Patrol Skye?s Helicopter Vehicle with Collectible Figure for Kids Aged 3 and Up</t>
        </is>
      </c>
      <c r="D373" t="inlineStr">
        <is>
          <t>PAW Patrol, Big Truck Pup’s Skye Transforming Toy Trucks with Collectible Action Figure, Kids Toys for Ages 3 and Up</t>
        </is>
      </c>
      <c r="E373" s="1">
        <f>HYPERLINK("https://www.amazon.com/Paw-Patrol-Big-Skye-Truck/dp/B09NJQC4F5/ref=sr_1_9?keywords=PAW+Patrol+Skye%3Fs+Helicopter+Vehicle+with+Collectible+Figure+for+Kids+Aged+3+and+Up&amp;qid=1695588918&amp;sr=8-9", "https://www.amazon.com/Paw-Patrol-Big-Skye-Truck/dp/B09NJQC4F5/ref=sr_1_9?keywords=PAW+Patrol+Skye%3Fs+Helicopter+Vehicle+with+Collectible+Figure+for+Kids+Aged+3+and+Up&amp;qid=1695588918&amp;sr=8-9")</f>
        <v/>
      </c>
      <c r="F373" t="inlineStr">
        <is>
          <t>B09NJQC4F5</t>
        </is>
      </c>
      <c r="G373">
        <f>_xlfn.IMAGE("http://slimages.macys.com/is/image/MCY/products/0/optimized/20231234_fpx.tif")</f>
        <v/>
      </c>
      <c r="H373">
        <f>_xlfn.IMAGE("https://m.media-amazon.com/images/I/81C21vjHcVL._AC_UL320_.jpg")</f>
        <v/>
      </c>
      <c r="K373" t="inlineStr">
        <is>
          <t>10.49</t>
        </is>
      </c>
      <c r="L373" t="n">
        <v>17.68</v>
      </c>
      <c r="M373" s="2" t="inlineStr">
        <is>
          <t>68.54%</t>
        </is>
      </c>
      <c r="N373" t="n">
        <v>4.8</v>
      </c>
      <c r="O373" t="n">
        <v>2585</v>
      </c>
      <c r="Q373" t="inlineStr">
        <is>
          <t>InStock</t>
        </is>
      </c>
      <c r="R373" t="inlineStr">
        <is>
          <t>undefined</t>
        </is>
      </c>
      <c r="S373" t="inlineStr">
        <is>
          <t>12878794</t>
        </is>
      </c>
    </row>
    <row r="374" ht="75" customHeight="1">
      <c r="A374" s="1">
        <f>HYPERLINK("https://www.toysrus.com/paw-patrol-true-metal-paw-patroller-die-cast-team-vehicle-with-155-scale-ryder-atv-toy-car-kids-toys-for-ages-3-and-up-13931136.html", "https://www.toysrus.com/paw-patrol-true-metal-paw-patroller-die-cast-team-vehicle-with-155-scale-ryder-atv-toy-car-kids-toys-for-ages-3-and-up-13931136.html")</f>
        <v/>
      </c>
      <c r="B374" s="1">
        <f>HYPERLINK("https://www.toysrus.com/paw-patrol-true-metal-paw-patroller-die-cast-team-vehicle-with-155-scale-ryder-atv-toy-car-kids-toys-for-ages-3-and-up-13931136.html", "https://www.toysrus.com/paw-patrol-true-metal-paw-patroller-die-cast-team-vehicle-with-155-scale-ryder-atv-toy-car-kids-toys-for-ages-3-and-up-13931136.html")</f>
        <v/>
      </c>
      <c r="C374" t="inlineStr">
        <is>
          <t>PAW Patrol, True Metal PAW Patroller Die-Cast Team Vehicle with 1:55 Scale Ryder ATV Toy Car, Kids Toys for Ages 3 and up</t>
        </is>
      </c>
      <c r="D374" t="inlineStr">
        <is>
          <t>Paw Patrol, Transforming PAW Patroller with Dual Vehicle Launchers, Ryder Action Figure and ATV Toy Car, Kids Toys for Ages 3 and Up</t>
        </is>
      </c>
      <c r="E374" s="1">
        <f>HYPERLINK("https://www.amazon.com/Paw-Patrol-Transforming-Patroller-Launchers/dp/B08SRB1PTX/ref=sr_1_5?keywords=PAW+Patrol%2C+True+Metal+PAW+Patroller+Die-Cast+Team+Vehicle+with+1%3A55+Scale+Ryder+ATV+Toy+Car%2C+Kids+Toys+for+Ages+3+and+up&amp;qid=1695588710&amp;sr=8-5", "https://www.amazon.com/Paw-Patrol-Transforming-Patroller-Launchers/dp/B08SRB1PTX/ref=sr_1_5?keywords=PAW+Patrol%2C+True+Metal+PAW+Patroller+Die-Cast+Team+Vehicle+with+1%3A55+Scale+Ryder+ATV+Toy+Car%2C+Kids+Toys+for+Ages+3+and+up&amp;qid=1695588710&amp;sr=8-5")</f>
        <v/>
      </c>
      <c r="F374" t="inlineStr">
        <is>
          <t>B08SRB1PTX</t>
        </is>
      </c>
      <c r="G374">
        <f>_xlfn.IMAGE("http://slimages.macys.com/is/image/MCY/products/0/optimized/21704538_fpx.tif")</f>
        <v/>
      </c>
      <c r="H374">
        <f>_xlfn.IMAGE("https://m.media-amazon.com/images/I/81CfsXZeJ6L._AC_UL320_.jpg")</f>
        <v/>
      </c>
      <c r="K374" t="inlineStr">
        <is>
          <t>12.99</t>
        </is>
      </c>
      <c r="L374" t="n">
        <v>64.98999999999999</v>
      </c>
      <c r="M374" s="2" t="inlineStr">
        <is>
          <t>400.31%</t>
        </is>
      </c>
      <c r="N374" t="n">
        <v>4.8</v>
      </c>
      <c r="O374" t="n">
        <v>3809</v>
      </c>
      <c r="Q374" t="inlineStr">
        <is>
          <t>InStock</t>
        </is>
      </c>
      <c r="R374" t="inlineStr">
        <is>
          <t>undefined</t>
        </is>
      </c>
      <c r="S374" t="inlineStr">
        <is>
          <t>13931136</t>
        </is>
      </c>
    </row>
    <row r="375" ht="75" customHeight="1">
      <c r="A375" s="1">
        <f>HYPERLINK("https://www.toysrus.com/paw-patrol-true-metal-paw-patroller-die-cast-team-vehicle-with-155-scale-ryder-atv-toy-car-kids-toys-for-ages-3-and-up-13931136.html", "https://www.toysrus.com/paw-patrol-true-metal-paw-patroller-die-cast-team-vehicle-with-155-scale-ryder-atv-toy-car-kids-toys-for-ages-3-and-up-13931136.html")</f>
        <v/>
      </c>
      <c r="B375" s="1">
        <f>HYPERLINK("https://www.toysrus.com/paw-patrol-true-metal-paw-patroller-die-cast-team-vehicle-with-155-scale-ryder-atv-toy-car-kids-toys-for-ages-3-and-up-13931136.html", "https://www.toysrus.com/paw-patrol-true-metal-paw-patroller-die-cast-team-vehicle-with-155-scale-ryder-atv-toy-car-kids-toys-for-ages-3-and-up-13931136.html")</f>
        <v/>
      </c>
      <c r="C375" t="inlineStr">
        <is>
          <t>PAW Patrol, True Metal PAW Patroller Die-Cast Team Vehicle with 1:55 Scale Ryder ATV Toy Car, Kids Toys for Ages 3 and up</t>
        </is>
      </c>
      <c r="D375" t="inlineStr">
        <is>
          <t>Paw Patrol, Transforming PAW Patroller with Dual Vehicle Launchers, Ryder Action Figure and ATV Toy Car, Kids Toys for Ages 3 and Up</t>
        </is>
      </c>
      <c r="E375" s="1">
        <f>HYPERLINK("https://www.amazon.com/Paw-Patrol-Transforming-Patroller-Launchers/dp/B08SRB1PTX/ref=sr_1_6?keywords=PAW+Patrol%2C+True+Metal+PAW+Patroller+Die-Cast+Team+Vehicle+with+1%3A55+Scale+Ryder+ATV+Toy+Car%2C+Kids+Toys+for+Ages+3+and+up&amp;qid=1695588820&amp;sr=8-6", "https://www.amazon.com/Paw-Patrol-Transforming-Patroller-Launchers/dp/B08SRB1PTX/ref=sr_1_6?keywords=PAW+Patrol%2C+True+Metal+PAW+Patroller+Die-Cast+Team+Vehicle+with+1%3A55+Scale+Ryder+ATV+Toy+Car%2C+Kids+Toys+for+Ages+3+and+up&amp;qid=1695588820&amp;sr=8-6")</f>
        <v/>
      </c>
      <c r="F375" t="inlineStr">
        <is>
          <t>B08SRB1PTX</t>
        </is>
      </c>
      <c r="G375">
        <f>_xlfn.IMAGE("http://slimages.macys.com/is/image/MCY/products/0/optimized/21704538_fpx.tif")</f>
        <v/>
      </c>
      <c r="H375">
        <f>_xlfn.IMAGE("https://m.media-amazon.com/images/I/81CfsXZeJ6L._AC_UL320_.jpg")</f>
        <v/>
      </c>
      <c r="K375" t="inlineStr">
        <is>
          <t>12.99</t>
        </is>
      </c>
      <c r="L375" t="n">
        <v>64.98999999999999</v>
      </c>
      <c r="M375" s="2" t="inlineStr">
        <is>
          <t>400.31%</t>
        </is>
      </c>
      <c r="N375" t="n">
        <v>4.8</v>
      </c>
      <c r="O375" t="n">
        <v>3809</v>
      </c>
      <c r="Q375" t="inlineStr">
        <is>
          <t>InStock</t>
        </is>
      </c>
      <c r="R375" t="inlineStr">
        <is>
          <t>undefined</t>
        </is>
      </c>
      <c r="S375" t="inlineStr">
        <is>
          <t>13931136</t>
        </is>
      </c>
    </row>
    <row r="376" ht="75" customHeight="1">
      <c r="A376" s="1">
        <f>HYPERLINK("https://www.toysrus.com/peppa-pig-baby-doll-car-seat---pink-and-white-dots-G4894897001716.html", "https://www.toysrus.com/peppa-pig-baby-doll-car-seat---pink-and-white-dots-G4894897001716.html")</f>
        <v/>
      </c>
      <c r="B376" s="1">
        <f>HYPERLINK("https://www.toysrus.com/peppa-pig-baby-doll-car-seat---pink-and-white-dots-G4894897001716.html", "https://www.toysrus.com/peppa-pig-baby-doll-car-seat---pink-and-white-dots-G4894897001716.html")</f>
        <v/>
      </c>
      <c r="C376" t="inlineStr">
        <is>
          <t>Peppa Pig: Baby Doll Car Seat - Pink &amp; White Dots</t>
        </is>
      </c>
      <c r="D376" t="inlineStr">
        <is>
          <t>Peppa Pig: 19 Piece Doll Sleep N' Play Set - Pink &amp; White Dots Travel, Feed, Includes Half Folding Stroller, Bouncer, Highchair, Matching Diaper/Handbag, for Kids Ages 3+</t>
        </is>
      </c>
      <c r="E376" s="1">
        <f>HYPERLINK("https://www.amazon.com/Peppa-Pig-Stroller-Highchair-Matching/dp/B0BS1J6XLH/ref=sr_1_5?keywords=Peppa+Pig%3A+Baby+Doll+Car+Seat+-+Pink&amp;qid=1695588880&amp;sr=8-5", "https://www.amazon.com/Peppa-Pig-Stroller-Highchair-Matching/dp/B0BS1J6XLH/ref=sr_1_5?keywords=Peppa+Pig%3A+Baby+Doll+Car+Seat+-+Pink&amp;qid=1695588880&amp;sr=8-5")</f>
        <v/>
      </c>
      <c r="F376" t="inlineStr">
        <is>
          <t>B0BS1J6XLH</t>
        </is>
      </c>
      <c r="G376">
        <f>_xlfn.IMAGE("https://images.toysrus.com/1285980/4894897001716_1.jpg")</f>
        <v/>
      </c>
      <c r="H376">
        <f>_xlfn.IMAGE("https://m.media-amazon.com/images/I/71vMnoBRVIL._AC_UL320_.jpg")</f>
        <v/>
      </c>
      <c r="K376" t="inlineStr">
        <is>
          <t>12.99</t>
        </is>
      </c>
      <c r="L376" t="n">
        <v>44.99</v>
      </c>
      <c r="M376" s="2" t="inlineStr">
        <is>
          <t>246.34%</t>
        </is>
      </c>
      <c r="N376" t="n">
        <v>4.2</v>
      </c>
      <c r="O376" t="n">
        <v>30</v>
      </c>
      <c r="Q376" t="inlineStr">
        <is>
          <t>InStock</t>
        </is>
      </c>
      <c r="R376" t="inlineStr">
        <is>
          <t>undefined</t>
        </is>
      </c>
      <c r="S376" t="inlineStr">
        <is>
          <t>G4894897001716</t>
        </is>
      </c>
    </row>
    <row r="377" ht="75" customHeight="1">
      <c r="A377" s="1">
        <f>HYPERLINK("https://www.toysrus.com/peppa-pig-baby-doll-car-seat---pink-and-white-dots-G4894897001716.html", "https://www.toysrus.com/peppa-pig-baby-doll-car-seat---pink-and-white-dots-G4894897001716.html")</f>
        <v/>
      </c>
      <c r="B377" s="1">
        <f>HYPERLINK("https://www.toysrus.com/peppa-pig-baby-doll-car-seat---pink-and-white-dots-G4894897001716.html", "https://www.toysrus.com/peppa-pig-baby-doll-car-seat---pink-and-white-dots-G4894897001716.html")</f>
        <v/>
      </c>
      <c r="C377" t="inlineStr">
        <is>
          <t>Peppa Pig: Baby Doll Car Seat - Pink &amp; White Dots</t>
        </is>
      </c>
      <c r="D377" t="inlineStr">
        <is>
          <t>Peppa Pig: Baby Classic Doll Pram Set - Pink &amp; White Dots - 7 Piece Set, Fits Dolls Up to 18", Retractable Canopy, Storage Basket, Diaper Bag &amp; 5 Feeding Accessories, Pretend Play for Kids Ages 3+</t>
        </is>
      </c>
      <c r="E377" s="1">
        <f>HYPERLINK("https://www.amazon.com/Peppa-Pig-Classic-Retractable-Accessories/dp/B0BS1KXN5Q/ref=sr_1_2?keywords=Peppa+Pig%3A+Baby+Doll+Car+Seat+-+Pink&amp;qid=1695588880&amp;sr=8-2", "https://www.amazon.com/Peppa-Pig-Classic-Retractable-Accessories/dp/B0BS1KXN5Q/ref=sr_1_2?keywords=Peppa+Pig%3A+Baby+Doll+Car+Seat+-+Pink&amp;qid=1695588880&amp;sr=8-2")</f>
        <v/>
      </c>
      <c r="F377" t="inlineStr">
        <is>
          <t>B0BS1KXN5Q</t>
        </is>
      </c>
      <c r="G377">
        <f>_xlfn.IMAGE("https://images.toysrus.com/1285980/4894897001716_1.jpg")</f>
        <v/>
      </c>
      <c r="H377">
        <f>_xlfn.IMAGE("https://m.media-amazon.com/images/I/714ewX-9BoL._AC_UL320_.jpg")</f>
        <v/>
      </c>
      <c r="K377" t="inlineStr">
        <is>
          <t>12.99</t>
        </is>
      </c>
      <c r="L377" t="n">
        <v>34.99</v>
      </c>
      <c r="M377" s="2" t="inlineStr">
        <is>
          <t>169.36%</t>
        </is>
      </c>
      <c r="N377" t="n">
        <v>4.7</v>
      </c>
      <c r="O377" t="n">
        <v>29</v>
      </c>
      <c r="Q377" t="inlineStr">
        <is>
          <t>InStock</t>
        </is>
      </c>
      <c r="R377" t="inlineStr">
        <is>
          <t>undefined</t>
        </is>
      </c>
      <c r="S377" t="inlineStr">
        <is>
          <t>G4894897001716</t>
        </is>
      </c>
    </row>
    <row r="378" ht="75" customHeight="1">
      <c r="A378" s="1">
        <f>HYPERLINK("https://www.toysrus.com/peppa-pig-baby-doll-car-seat---pink-and-white-dots-G4894897001716.html", "https://www.toysrus.com/peppa-pig-baby-doll-car-seat---pink-and-white-dots-G4894897001716.html")</f>
        <v/>
      </c>
      <c r="B378" s="1">
        <f>HYPERLINK("https://www.toysrus.com/peppa-pig-baby-doll-car-seat---pink-and-white-dots-G4894897001716.html", "https://www.toysrus.com/peppa-pig-baby-doll-car-seat---pink-and-white-dots-G4894897001716.html")</f>
        <v/>
      </c>
      <c r="C378" t="inlineStr">
        <is>
          <t>Peppa Pig: Baby Doll Car Seat - Pink &amp; White Dots</t>
        </is>
      </c>
      <c r="D378" t="inlineStr">
        <is>
          <t>Peppa Pig: Doll Twin Stroller - Pink &amp; White Dots - Fits Dolls Up To 24", Retractable Canopy, Easy to Fold for Storage &amp; Travel, For Dolls Plushes &amp;-Stuffed Animals, Pretend Play For Kids Ages 3+</t>
        </is>
      </c>
      <c r="E378" s="1">
        <f>HYPERLINK("https://www.amazon.com/Peppa-Pig-Stroller-Retractable-Stuffed/dp/B0BS1KMPRQ/ref=sr_1_4?keywords=Peppa+Pig%3A+Baby+Doll+Car+Seat+-+Pink&amp;qid=1695588880&amp;sr=8-4", "https://www.amazon.com/Peppa-Pig-Stroller-Retractable-Stuffed/dp/B0BS1KMPRQ/ref=sr_1_4?keywords=Peppa+Pig%3A+Baby+Doll+Car+Seat+-+Pink&amp;qid=1695588880&amp;sr=8-4")</f>
        <v/>
      </c>
      <c r="F378" t="inlineStr">
        <is>
          <t>B0BS1KMPRQ</t>
        </is>
      </c>
      <c r="G378">
        <f>_xlfn.IMAGE("https://images.toysrus.com/1285980/4894897001716_1.jpg")</f>
        <v/>
      </c>
      <c r="H378">
        <f>_xlfn.IMAGE("https://m.media-amazon.com/images/I/71-KdNO2T+L._AC_UL320_.jpg")</f>
        <v/>
      </c>
      <c r="K378" t="inlineStr">
        <is>
          <t>12.99</t>
        </is>
      </c>
      <c r="L378" t="n">
        <v>29.99</v>
      </c>
      <c r="M378" s="2" t="inlineStr">
        <is>
          <t>130.87%</t>
        </is>
      </c>
      <c r="N378" t="n">
        <v>4.7</v>
      </c>
      <c r="O378" t="n">
        <v>36</v>
      </c>
      <c r="Q378" t="inlineStr">
        <is>
          <t>InStock</t>
        </is>
      </c>
      <c r="R378" t="inlineStr">
        <is>
          <t>undefined</t>
        </is>
      </c>
      <c r="S378" t="inlineStr">
        <is>
          <t>G4894897001716</t>
        </is>
      </c>
    </row>
    <row r="379" ht="75" customHeight="1">
      <c r="A379" s="1">
        <f>HYPERLINK("https://www.toysrus.com/peppa-pig-georges-bath-time-accessory-set--13863283.html", "https://www.toysrus.com/peppa-pig-georges-bath-time-accessory-set--13863283.html")</f>
        <v/>
      </c>
      <c r="B379" s="1">
        <f>HYPERLINK("https://www.toysrus.com/peppa-pig-georges-bath-time-accessory-set--13863283.html", "https://www.toysrus.com/peppa-pig-georges-bath-time-accessory-set--13863283.html")</f>
        <v/>
      </c>
      <c r="C379" t="inlineStr">
        <is>
          <t>Peppa Pig George's Bath Time Accessory Set</t>
        </is>
      </c>
      <c r="D379" t="inlineStr">
        <is>
          <t>Peppa Pig Peppa's Adventures Tea Time with Peppa Accessory Set Preschool Toy, Figure and 5 Accessories, for Ages 3 and up</t>
        </is>
      </c>
      <c r="E379" s="1">
        <f>HYPERLINK("https://www.amazon.com/Hasbro-Adventures-Accessory-Preschool-Accessories/dp/B08TGLCPWB/ref=sr_1_2?keywords=Peppa+Pig+Georges+Bath+Time+Accessory+Set&amp;qid=1695588822&amp;sr=8-2", "https://www.amazon.com/Hasbro-Adventures-Accessory-Preschool-Accessories/dp/B08TGLCPWB/ref=sr_1_2?keywords=Peppa+Pig+Georges+Bath+Time+Accessory+Set&amp;qid=1695588822&amp;sr=8-2")</f>
        <v/>
      </c>
      <c r="F379" t="inlineStr">
        <is>
          <t>B08TGLCPWB</t>
        </is>
      </c>
      <c r="G379">
        <f>_xlfn.IMAGE("http://slimages.macys.com/is/image/MCY/products/0/optimized/21220768_fpx.tif")</f>
        <v/>
      </c>
      <c r="H379">
        <f>_xlfn.IMAGE("https://m.media-amazon.com/images/I/71wCW5qu0GL._AC_UL320_.jpg")</f>
        <v/>
      </c>
      <c r="K379" t="inlineStr">
        <is>
          <t>11.99</t>
        </is>
      </c>
      <c r="L379" t="n">
        <v>24.99</v>
      </c>
      <c r="M379" s="2" t="inlineStr">
        <is>
          <t>108.42%</t>
        </is>
      </c>
      <c r="N379" t="n">
        <v>5</v>
      </c>
      <c r="O379" t="n">
        <v>15</v>
      </c>
      <c r="Q379" t="inlineStr">
        <is>
          <t>InStock</t>
        </is>
      </c>
      <c r="R379" t="inlineStr">
        <is>
          <t>undefined</t>
        </is>
      </c>
      <c r="S379" t="inlineStr">
        <is>
          <t>13863283</t>
        </is>
      </c>
    </row>
    <row r="380" ht="75" customHeight="1">
      <c r="A380" s="1">
        <f>HYPERLINK("https://www.toysrus.com/peppa-pig-georges-bath-time-accessory-set--13863283.html", "https://www.toysrus.com/peppa-pig-georges-bath-time-accessory-set--13863283.html")</f>
        <v/>
      </c>
      <c r="B380" s="1">
        <f>HYPERLINK("https://www.toysrus.com/peppa-pig-georges-bath-time-accessory-set--13863283.html", "https://www.toysrus.com/peppa-pig-georges-bath-time-accessory-set--13863283.html")</f>
        <v/>
      </c>
      <c r="C380" t="inlineStr">
        <is>
          <t>Peppa Pig George's Bath Time Accessory Set</t>
        </is>
      </c>
      <c r="D380" t="inlineStr">
        <is>
          <t>Tomy Toomies Peppa Pig Peppa’s House Bath Toy Playset – Bath Time Water Play Activity Center – Baby and Toddler Bath Toys for 18 Months and Up</t>
        </is>
      </c>
      <c r="E380" s="1">
        <f>HYPERLINK("https://www.amazon.com/Toomies-Peppa-Peppas-House-Playset/dp/B0B25X8T6L/ref=sr_1_6?keywords=Peppa+Pig+Georges+Bath+Time+Accessory+Set&amp;qid=1695588822&amp;sr=8-6", "https://www.amazon.com/Toomies-Peppa-Peppas-House-Playset/dp/B0B25X8T6L/ref=sr_1_6?keywords=Peppa+Pig+Georges+Bath+Time+Accessory+Set&amp;qid=1695588822&amp;sr=8-6")</f>
        <v/>
      </c>
      <c r="F380" t="inlineStr">
        <is>
          <t>B0B25X8T6L</t>
        </is>
      </c>
      <c r="G380">
        <f>_xlfn.IMAGE("http://slimages.macys.com/is/image/MCY/products/0/optimized/21220768_fpx.tif")</f>
        <v/>
      </c>
      <c r="H380">
        <f>_xlfn.IMAGE("https://m.media-amazon.com/images/I/6193eoP9P8L._AC_UL320_.jpg")</f>
        <v/>
      </c>
      <c r="K380" t="inlineStr">
        <is>
          <t>11.99</t>
        </is>
      </c>
      <c r="L380" t="n">
        <v>23.99</v>
      </c>
      <c r="M380" s="2" t="inlineStr">
        <is>
          <t>100.08%</t>
        </is>
      </c>
      <c r="N380" t="n">
        <v>4</v>
      </c>
      <c r="O380" t="n">
        <v>746</v>
      </c>
      <c r="Q380" t="inlineStr">
        <is>
          <t>InStock</t>
        </is>
      </c>
      <c r="R380" t="inlineStr">
        <is>
          <t>undefined</t>
        </is>
      </c>
      <c r="S380" t="inlineStr">
        <is>
          <t>13863283</t>
        </is>
      </c>
    </row>
    <row r="381" ht="75" customHeight="1">
      <c r="A381" s="1">
        <f>HYPERLINK("https://www.toysrus.com/peppa-pig-pep-family-car-12650762.html", "https://www.toysrus.com/peppa-pig-pep-family-car-12650762.html")</f>
        <v/>
      </c>
      <c r="B381" s="1">
        <f>HYPERLINK("https://www.toysrus.com/peppa-pig-pep-family-car-12650762.html", "https://www.toysrus.com/peppa-pig-pep-family-car-12650762.html")</f>
        <v/>
      </c>
      <c r="C381" t="inlineStr">
        <is>
          <t>Peppa Pig Pep Family Car</t>
        </is>
      </c>
      <c r="D381" t="inlineStr">
        <is>
          <t>Peppa Pig Peppa’s Adventures Peppa’s Family Motorhome Preschool Toy, Vehicle to RV Playset, Plays Sounds and Music, Ages 3 and up</t>
        </is>
      </c>
      <c r="E381" s="1">
        <f>HYPERLINK("https://www.amazon.com/Hasbro-PEP-PEPPAS-Family-Motorhome/dp/B08PD2WCLF/ref=sr_1_7?keywords=Peppa+Pig+Pep+Family+Car&amp;qid=1695588856&amp;sr=8-7", "https://www.amazon.com/Hasbro-PEP-PEPPAS-Family-Motorhome/dp/B08PD2WCLF/ref=sr_1_7?keywords=Peppa+Pig+Pep+Family+Car&amp;qid=1695588856&amp;sr=8-7")</f>
        <v/>
      </c>
      <c r="F381" t="inlineStr">
        <is>
          <t>B08PD2WCLF</t>
        </is>
      </c>
      <c r="G381">
        <f>_xlfn.IMAGE("http://slimages.macys.com/is/image/MCY/products/0/optimized/19820291_fpx.tif")</f>
        <v/>
      </c>
      <c r="H381">
        <f>_xlfn.IMAGE("https://m.media-amazon.com/images/I/71DMbdqK-GL._AC_UL320_.jpg")</f>
        <v/>
      </c>
      <c r="K381" t="inlineStr">
        <is>
          <t>22.99</t>
        </is>
      </c>
      <c r="L381" t="n">
        <v>50.99</v>
      </c>
      <c r="M381" s="2" t="inlineStr">
        <is>
          <t>121.79%</t>
        </is>
      </c>
      <c r="N381" t="n">
        <v>4.8</v>
      </c>
      <c r="O381" t="n">
        <v>1584</v>
      </c>
      <c r="Q381" t="inlineStr">
        <is>
          <t>InStock</t>
        </is>
      </c>
      <c r="R381" t="inlineStr">
        <is>
          <t>undefined</t>
        </is>
      </c>
      <c r="S381" t="inlineStr">
        <is>
          <t>12650762</t>
        </is>
      </c>
    </row>
    <row r="382" ht="75" customHeight="1">
      <c r="A382" s="1">
        <f>HYPERLINK("https://www.toysrus.com/peppa-pig-pep-family-car-12650762.html", "https://www.toysrus.com/peppa-pig-pep-family-car-12650762.html")</f>
        <v/>
      </c>
      <c r="B382" s="1">
        <f>HYPERLINK("https://www.toysrus.com/peppa-pig-pep-family-car-12650762.html", "https://www.toysrus.com/peppa-pig-pep-family-car-12650762.html")</f>
        <v/>
      </c>
      <c r="C382" t="inlineStr">
        <is>
          <t>Peppa Pig Pep Family Car</t>
        </is>
      </c>
      <c r="D382" t="inlineStr">
        <is>
          <t>Peppa Pig Toys Peppa's Family Home Combo , House Playset with 4 Figures and Car , Preschool Toys for 3 Year Old Girls and Boys and Up</t>
        </is>
      </c>
      <c r="E382" s="1">
        <f>HYPERLINK("https://www.amazon.com/Hasbro-Peppa-Family-Home-Combo/dp/B08WX17GTB/ref=sr_1_6?keywords=Peppa+Pig+Pep+Family+Car&amp;qid=1695588856&amp;sr=8-6", "https://www.amazon.com/Hasbro-Peppa-Family-Home-Combo/dp/B08WX17GTB/ref=sr_1_6?keywords=Peppa+Pig+Pep+Family+Car&amp;qid=1695588856&amp;sr=8-6")</f>
        <v/>
      </c>
      <c r="F382" t="inlineStr">
        <is>
          <t>B08WX17GTB</t>
        </is>
      </c>
      <c r="G382">
        <f>_xlfn.IMAGE("http://slimages.macys.com/is/image/MCY/products/0/optimized/19820291_fpx.tif")</f>
        <v/>
      </c>
      <c r="H382">
        <f>_xlfn.IMAGE("https://m.media-amazon.com/images/I/51753v9ClQL._AC_UL320_.jpg")</f>
        <v/>
      </c>
      <c r="K382" t="inlineStr">
        <is>
          <t>22.99</t>
        </is>
      </c>
      <c r="L382" t="n">
        <v>42.99</v>
      </c>
      <c r="M382" s="2" t="inlineStr">
        <is>
          <t>86.99%</t>
        </is>
      </c>
      <c r="N382" t="n">
        <v>4.7</v>
      </c>
      <c r="O382" t="n">
        <v>805</v>
      </c>
      <c r="Q382" t="inlineStr">
        <is>
          <t>InStock</t>
        </is>
      </c>
      <c r="R382" t="inlineStr">
        <is>
          <t>undefined</t>
        </is>
      </c>
      <c r="S382" t="inlineStr">
        <is>
          <t>12650762</t>
        </is>
      </c>
    </row>
    <row r="383" ht="75" customHeight="1">
      <c r="A383" s="1">
        <f>HYPERLINK("https://www.toysrus.com/peppa-pig-pep-family-figure-set-12650767.html", "https://www.toysrus.com/peppa-pig-pep-family-figure-set-12650767.html")</f>
        <v/>
      </c>
      <c r="B383" s="1">
        <f>HYPERLINK("https://www.toysrus.com/peppa-pig-pep-family-figure-set-12650767.html", "https://www.toysrus.com/peppa-pig-pep-family-figure-set-12650767.html")</f>
        <v/>
      </c>
      <c r="C383" t="inlineStr">
        <is>
          <t>Peppa Pig Pep Family Figure Set</t>
        </is>
      </c>
      <c r="D383" t="inlineStr">
        <is>
          <t>Peppa Pig Toys Peppa's Little Vehicle Set, Includes Helicopter, Camper, and Car Toys and 5 Peppa Pig Figures, Preschool Toys for 3 Year Olds and Up (Amazon Exclusive)</t>
        </is>
      </c>
      <c r="E383" s="1">
        <f>HYPERLINK("https://www.amazon.com/Peppa-Pig-Helicopter-Preschool-Exclusive/dp/B0BVWLPRQL/ref=sr_1_6?keywords=Peppa+Pig+Pep+Family+Figure+Set&amp;qid=1695588824&amp;sr=8-6", "https://www.amazon.com/Peppa-Pig-Helicopter-Preschool-Exclusive/dp/B0BVWLPRQL/ref=sr_1_6?keywords=Peppa+Pig+Pep+Family+Figure+Set&amp;qid=1695588824&amp;sr=8-6")</f>
        <v/>
      </c>
      <c r="F383" t="inlineStr">
        <is>
          <t>B0BVWLPRQL</t>
        </is>
      </c>
      <c r="G383">
        <f>_xlfn.IMAGE("http://slimages.macys.com/is/image/MCY/products/0/optimized/19801604_fpx.tif")</f>
        <v/>
      </c>
      <c r="H383">
        <f>_xlfn.IMAGE("https://m.media-amazon.com/images/I/61ibij5QZyL._AC_UL320_.jpg")</f>
        <v/>
      </c>
      <c r="K383" t="inlineStr">
        <is>
          <t>13.49</t>
        </is>
      </c>
      <c r="L383" t="n">
        <v>29.99</v>
      </c>
      <c r="M383" s="2" t="inlineStr">
        <is>
          <t>122.31%</t>
        </is>
      </c>
      <c r="N383" t="n">
        <v>5</v>
      </c>
      <c r="O383" t="n">
        <v>9</v>
      </c>
      <c r="Q383" t="inlineStr">
        <is>
          <t>InStock</t>
        </is>
      </c>
      <c r="R383" t="inlineStr">
        <is>
          <t>undefined</t>
        </is>
      </c>
      <c r="S383" t="inlineStr">
        <is>
          <t>12650767</t>
        </is>
      </c>
    </row>
    <row r="384" ht="75" customHeight="1">
      <c r="A384" s="1">
        <f>HYPERLINK("https://www.toysrus.com/peppa-pig-pep-family-figure-set-4-piece-12650768.html", "https://www.toysrus.com/peppa-pig-pep-family-figure-set-4-piece-12650768.html")</f>
        <v/>
      </c>
      <c r="B384" s="1">
        <f>HYPERLINK("https://www.toysrus.com/peppa-pig-pep-family-figure-set-4-piece-12650768.html", "https://www.toysrus.com/peppa-pig-pep-family-figure-set-4-piece-12650768.html")</f>
        <v/>
      </c>
      <c r="C384" t="inlineStr">
        <is>
          <t>Peppa Pig Pep Family Figure Set, 4 Piece</t>
        </is>
      </c>
      <c r="D384" t="inlineStr">
        <is>
          <t>Peppa Pig Family Beach Day Playset, 13 Pieces - Includes Family Character Figures, Accessories &amp; Bonus Mystery Friend - Summer Toy Gift for Kids - Ages 2+</t>
        </is>
      </c>
      <c r="E384" s="1">
        <f>HYPERLINK("https://www.amazon.com/Peppa-Pig-Surfboards-Sandcastle-Accessories/dp/B084ZYDQS4/ref=sr_1_8?keywords=Peppa+Pig+Pep+Family+Figure+Set%2C+4+Piece&amp;qid=1695588853&amp;sr=8-8", "https://www.amazon.com/Peppa-Pig-Surfboards-Sandcastle-Accessories/dp/B084ZYDQS4/ref=sr_1_8?keywords=Peppa+Pig+Pep+Family+Figure+Set%2C+4+Piece&amp;qid=1695588853&amp;sr=8-8")</f>
        <v/>
      </c>
      <c r="F384" t="inlineStr">
        <is>
          <t>B084ZYDQS4</t>
        </is>
      </c>
      <c r="G384">
        <f>_xlfn.IMAGE("http://slimages.macys.com/is/image/MCY/products/0/optimized/19801606_fpx.tif")</f>
        <v/>
      </c>
      <c r="H384">
        <f>_xlfn.IMAGE("https://m.media-amazon.com/images/I/71f0eI2effL._AC_UL320_.jpg")</f>
        <v/>
      </c>
      <c r="K384" t="inlineStr">
        <is>
          <t>13.49</t>
        </is>
      </c>
      <c r="L384" t="n">
        <v>29.95</v>
      </c>
      <c r="M384" s="2" t="inlineStr">
        <is>
          <t>122.02%</t>
        </is>
      </c>
      <c r="N384" t="n">
        <v>4.8</v>
      </c>
      <c r="O384" t="n">
        <v>1678</v>
      </c>
      <c r="Q384" t="inlineStr">
        <is>
          <t>InStock</t>
        </is>
      </c>
      <c r="R384" t="inlineStr">
        <is>
          <t>undefined</t>
        </is>
      </c>
      <c r="S384" t="inlineStr">
        <is>
          <t>12650768</t>
        </is>
      </c>
    </row>
    <row r="385" ht="75" customHeight="1">
      <c r="A385" s="1">
        <f>HYPERLINK("https://www.toysrus.com/peppa-pig-pep-figure-accessory-playset-10-piece-12650777.html", "https://www.toysrus.com/peppa-pig-pep-figure-accessory-playset-10-piece-12650777.html")</f>
        <v/>
      </c>
      <c r="B385" s="1">
        <f>HYPERLINK("https://www.toysrus.com/peppa-pig-pep-figure-accessory-playset-10-piece-12650777.html", "https://www.toysrus.com/peppa-pig-pep-figure-accessory-playset-10-piece-12650777.html")</f>
        <v/>
      </c>
      <c r="C385" t="inlineStr">
        <is>
          <t>Peppa Pig Pep Figure Accessory Playset, 10 Piece</t>
        </is>
      </c>
      <c r="D385" t="inlineStr">
        <is>
          <t>Peppa Pig Family Beach Day Playset, 13 Pieces - Includes Family Character Figures, Accessories &amp; Bonus Mystery Friend - Summer Toy Gift for Kids - Ages 2+</t>
        </is>
      </c>
      <c r="E385" s="1">
        <f>HYPERLINK("https://www.amazon.com/Peppa-Pig-Surfboards-Sandcastle-Accessories/dp/B084ZYDQS4/ref=sr_1_1?keywords=Peppa+Pig+Pep+Figure+Accessory+Playset%2C+10+Piece&amp;qid=1695588846&amp;sr=8-1", "https://www.amazon.com/Peppa-Pig-Surfboards-Sandcastle-Accessories/dp/B084ZYDQS4/ref=sr_1_1?keywords=Peppa+Pig+Pep+Figure+Accessory+Playset%2C+10+Piece&amp;qid=1695588846&amp;sr=8-1")</f>
        <v/>
      </c>
      <c r="F385" t="inlineStr">
        <is>
          <t>B084ZYDQS4</t>
        </is>
      </c>
      <c r="G385">
        <f>_xlfn.IMAGE("http://slimages.macys.com/is/image/MCY/products/0/optimized/19801639_fpx.tif")</f>
        <v/>
      </c>
      <c r="H385">
        <f>_xlfn.IMAGE("https://m.media-amazon.com/images/I/71f0eI2effL._AC_UL320_.jpg")</f>
        <v/>
      </c>
      <c r="K385" t="inlineStr">
        <is>
          <t>11.43</t>
        </is>
      </c>
      <c r="L385" t="n">
        <v>29.95</v>
      </c>
      <c r="M385" s="2" t="inlineStr">
        <is>
          <t>162.03%</t>
        </is>
      </c>
      <c r="N385" t="n">
        <v>4.8</v>
      </c>
      <c r="O385" t="n">
        <v>1678</v>
      </c>
      <c r="Q385" t="inlineStr">
        <is>
          <t>InStock</t>
        </is>
      </c>
      <c r="R385" t="inlineStr">
        <is>
          <t>undefined</t>
        </is>
      </c>
      <c r="S385" t="inlineStr">
        <is>
          <t>12650777</t>
        </is>
      </c>
    </row>
    <row r="386" ht="75" customHeight="1">
      <c r="A386" s="1">
        <f>HYPERLINK("https://www.toysrus.com/picture-bingo-junior-learning-for-ages-3-4-G858426007376.html", "https://www.toysrus.com/picture-bingo-junior-learning-for-ages-3-4-G858426007376.html")</f>
        <v/>
      </c>
      <c r="B386" s="1">
        <f>HYPERLINK("https://www.toysrus.com/picture-bingo-junior-learning-for-ages-3-4-G858426007376.html", "https://www.toysrus.com/picture-bingo-junior-learning-for-ages-3-4-G858426007376.html")</f>
        <v/>
      </c>
      <c r="C386" t="inlineStr">
        <is>
          <t>Picture Bingo Junior Learning for Ages 3-4</t>
        </is>
      </c>
      <c r="D386" t="inlineStr">
        <is>
          <t>Animal and Picture Bingo Game for Kids - Animals &amp; Words Flash Cards Matching - Learning Toddler Board Games Set for Ages 3-6 - Teacher Designed for Preschool, Kindergarten, and Family Fun</t>
        </is>
      </c>
      <c r="E386" s="1">
        <f>HYPERLINK("https://www.amazon.com/Animal-Picture-Bingo-Game-Kids/dp/B0BV2N96YL/ref=sr_1_5?keywords=Picture+Bingo+Junior+Learning+for+Ages+3-4&amp;qid=1695588448&amp;sr=8-5", "https://www.amazon.com/Animal-Picture-Bingo-Game-Kids/dp/B0BV2N96YL/ref=sr_1_5?keywords=Picture+Bingo+Junior+Learning+for+Ages+3-4&amp;qid=1695588448&amp;sr=8-5")</f>
        <v/>
      </c>
      <c r="F386" t="inlineStr">
        <is>
          <t>B0BV2N96YL</t>
        </is>
      </c>
      <c r="G386">
        <f>_xlfn.IMAGE("https://images.toysrus.com/1285980/858426007376_1.jpg")</f>
        <v/>
      </c>
      <c r="H386">
        <f>_xlfn.IMAGE("https://m.media-amazon.com/images/I/81zV8GkdkmL._AC_UL320_.jpg")</f>
        <v/>
      </c>
      <c r="K386" t="inlineStr">
        <is>
          <t>10.99</t>
        </is>
      </c>
      <c r="L386" t="n">
        <v>19.99</v>
      </c>
      <c r="M386" s="2" t="inlineStr">
        <is>
          <t>81.89%</t>
        </is>
      </c>
      <c r="N386" t="n">
        <v>4.7</v>
      </c>
      <c r="O386" t="n">
        <v>1096</v>
      </c>
      <c r="Q386" t="inlineStr">
        <is>
          <t>InStock</t>
        </is>
      </c>
      <c r="R386" t="inlineStr">
        <is>
          <t>undefined</t>
        </is>
      </c>
      <c r="S386" t="inlineStr">
        <is>
          <t>G858426007376</t>
        </is>
      </c>
    </row>
    <row r="387" ht="75" customHeight="1">
      <c r="A387" s="1">
        <f>HYPERLINK("https://www.toysrus.com/picture-words-bingo-game-G078628060638.html", "https://www.toysrus.com/picture-words-bingo-game-G078628060638.html")</f>
        <v/>
      </c>
      <c r="B387" s="1">
        <f>HYPERLINK("https://www.toysrus.com/picture-words-bingo-game-G078628060638.html", "https://www.toysrus.com/picture-words-bingo-game-G078628060638.html")</f>
        <v/>
      </c>
      <c r="C387" t="inlineStr">
        <is>
          <t>Picture Words Bingo Game</t>
        </is>
      </c>
      <c r="D387" t="inlineStr">
        <is>
          <t>Animal and Picture Bingo Game for Kids - Animals &amp; Words Flash Cards Matching - Learning Toddler Board Games Set for Ages 3-6 - Teacher Designed for Preschool, Kindergarten, and Family Fun</t>
        </is>
      </c>
      <c r="E387" s="1">
        <f>HYPERLINK("https://www.amazon.com/Animal-Picture-Bingo-Game-Kids/dp/B0BV2N96YL/ref=sr_1_3?keywords=Picture+Words+Bingo+Game&amp;qid=1695588222&amp;sr=8-3", "https://www.amazon.com/Animal-Picture-Bingo-Game-Kids/dp/B0BV2N96YL/ref=sr_1_3?keywords=Picture+Words+Bingo+Game&amp;qid=1695588222&amp;sr=8-3")</f>
        <v/>
      </c>
      <c r="F387" t="inlineStr">
        <is>
          <t>B0BV2N96YL</t>
        </is>
      </c>
      <c r="G387">
        <f>_xlfn.IMAGE("https://images.toysrus.com/28598/078628060638_1.jpg")</f>
        <v/>
      </c>
      <c r="H387">
        <f>_xlfn.IMAGE("https://m.media-amazon.com/images/I/81zV8GkdkmL._AC_UL320_.jpg")</f>
        <v/>
      </c>
      <c r="K387" t="inlineStr">
        <is>
          <t>10.99</t>
        </is>
      </c>
      <c r="L387" t="n">
        <v>19.99</v>
      </c>
      <c r="M387" s="2" t="inlineStr">
        <is>
          <t>81.89%</t>
        </is>
      </c>
      <c r="N387" t="n">
        <v>4.7</v>
      </c>
      <c r="O387" t="n">
        <v>1096</v>
      </c>
      <c r="Q387" t="inlineStr">
        <is>
          <t>InStock</t>
        </is>
      </c>
      <c r="R387" t="inlineStr">
        <is>
          <t>undefined</t>
        </is>
      </c>
      <c r="S387" t="inlineStr">
        <is>
          <t>G078628060638</t>
        </is>
      </c>
    </row>
    <row r="388" ht="75" customHeight="1">
      <c r="A388" s="1">
        <f>HYPERLINK("https://www.toysrus.com/picture-words-bingo-game-G078628060638.html", "https://www.toysrus.com/picture-words-bingo-game-G078628060638.html")</f>
        <v/>
      </c>
      <c r="B388" s="1">
        <f>HYPERLINK("https://www.toysrus.com/picture-words-bingo-game-G078628060638.html", "https://www.toysrus.com/picture-words-bingo-game-G078628060638.html")</f>
        <v/>
      </c>
      <c r="C388" t="inlineStr">
        <is>
          <t>Picture Words Bingo Game</t>
        </is>
      </c>
      <c r="D388" t="inlineStr">
        <is>
          <t>LEARNING BUGS The Complete Sight Words Bingo Game Set, Master 220 High-Frequency Dolch Sight Words for Pre-K to Grade 3</t>
        </is>
      </c>
      <c r="E388" s="1">
        <f>HYPERLINK("https://www.amazon.com/LEARNING-BUGS-Complete-Master-High-Frequency/dp/B0C535NJDY/ref=sr_1_5?keywords=Picture+Words+Bingo+Game&amp;qid=1695588222&amp;sr=8-5", "https://www.amazon.com/LEARNING-BUGS-Complete-Master-High-Frequency/dp/B0C535NJDY/ref=sr_1_5?keywords=Picture+Words+Bingo+Game&amp;qid=1695588222&amp;sr=8-5")</f>
        <v/>
      </c>
      <c r="F388" t="inlineStr">
        <is>
          <t>B0C535NJDY</t>
        </is>
      </c>
      <c r="G388">
        <f>_xlfn.IMAGE("https://images.toysrus.com/28598/078628060638_1.jpg")</f>
        <v/>
      </c>
      <c r="H388">
        <f>_xlfn.IMAGE("https://m.media-amazon.com/images/I/81nsSGlxXIL._AC_UL320_.jpg")</f>
        <v/>
      </c>
      <c r="K388" t="inlineStr">
        <is>
          <t>10.99</t>
        </is>
      </c>
      <c r="L388" t="n">
        <v>19.99</v>
      </c>
      <c r="M388" s="2" t="inlineStr">
        <is>
          <t>81.89%</t>
        </is>
      </c>
      <c r="N388" t="n">
        <v>5</v>
      </c>
      <c r="O388" t="n">
        <v>24</v>
      </c>
      <c r="Q388" t="inlineStr">
        <is>
          <t>InStock</t>
        </is>
      </c>
      <c r="R388" t="inlineStr">
        <is>
          <t>undefined</t>
        </is>
      </c>
      <c r="S388" t="inlineStr">
        <is>
          <t>G078628060638</t>
        </is>
      </c>
    </row>
    <row r="389" ht="75" customHeight="1">
      <c r="A389" s="1">
        <f>HYPERLINK("https://www.toysrus.com/pinkfong-baby-sharks-big-show-mini-learning-toys-tablet-for-kids--12725175.html", "https://www.toysrus.com/pinkfong-baby-sharks-big-show-mini-learning-toys-tablet-for-kids--12725175.html")</f>
        <v/>
      </c>
      <c r="B389" s="1">
        <f>HYPERLINK("https://www.toysrus.com/pinkfong-baby-sharks-big-show-mini-learning-toys-tablet-for-kids--12725175.html", "https://www.toysrus.com/pinkfong-baby-sharks-big-show-mini-learning-toys-tablet-for-kids--12725175.html")</f>
        <v/>
      </c>
      <c r="C389" t="inlineStr">
        <is>
          <t>Pinkfong Baby Shark's Big Show! Mini Learning Toys Tablet for Kids</t>
        </is>
      </c>
      <c r="D389" t="inlineStr">
        <is>
          <t>WowWee Baby Shark's Big Show! Kids Tablet – Interactive Educational Toys – Toddler Tablet Makes Learning Fun (Full Size), multicolor</t>
        </is>
      </c>
      <c r="E389" s="1">
        <f>HYPERLINK("https://www.amazon.com/WowWee-Baby-Sharks-Show-Tablet/dp/B08VS3HWSY/ref=sr_1_2?keywords=Pinkfong+Baby+Shark%27s+Big+Show%21+Mini+Learning+Toys+Tablet+for+Kids&amp;qid=1695588816&amp;sr=8-2", "https://www.amazon.com/WowWee-Baby-Sharks-Show-Tablet/dp/B08VS3HWSY/ref=sr_1_2?keywords=Pinkfong+Baby+Shark%27s+Big+Show%21+Mini+Learning+Toys+Tablet+for+Kids&amp;qid=1695588816&amp;sr=8-2")</f>
        <v/>
      </c>
      <c r="F389" t="inlineStr">
        <is>
          <t>B08VS3HWSY</t>
        </is>
      </c>
      <c r="G389">
        <f>_xlfn.IMAGE("http://slimages.macys.com/is/image/MCY/products/0/optimized/20781757_fpx.tif")</f>
        <v/>
      </c>
      <c r="H389">
        <f>_xlfn.IMAGE("https://m.media-amazon.com/images/I/71bkfhYE9BL._AC_UL320_.jpg")</f>
        <v/>
      </c>
      <c r="K389" t="inlineStr">
        <is>
          <t>9.99</t>
        </is>
      </c>
      <c r="L389" t="n">
        <v>16.99</v>
      </c>
      <c r="M389" s="2" t="inlineStr">
        <is>
          <t>70.07%</t>
        </is>
      </c>
      <c r="N389" t="n">
        <v>4.3</v>
      </c>
      <c r="O389" t="n">
        <v>5850</v>
      </c>
      <c r="Q389" t="inlineStr">
        <is>
          <t>InStock</t>
        </is>
      </c>
      <c r="R389" t="inlineStr">
        <is>
          <t>undefined</t>
        </is>
      </c>
      <c r="S389" t="inlineStr">
        <is>
          <t>Nano4747</t>
        </is>
      </c>
    </row>
    <row r="390" ht="75" customHeight="1">
      <c r="A390" s="1">
        <f>HYPERLINK("https://www.toysrus.com/pj-masks-flight-time-mission-14574341.html", "https://www.toysrus.com/pj-masks-flight-time-mission-14574341.html")</f>
        <v/>
      </c>
      <c r="B390" s="1">
        <f>HYPERLINK("https://www.toysrus.com/pj-masks-flight-time-mission-14574341.html", "https://www.toysrus.com/pj-masks-flight-time-mission-14574341.html")</f>
        <v/>
      </c>
      <c r="C390" t="inlineStr">
        <is>
          <t>PJ Masks Flight Time Mission</t>
        </is>
      </c>
      <c r="D390" t="inlineStr">
        <is>
          <t>PJ Masks Flight Time Mission Action Figure Set, Preschool Toy for Kids Ages 3 and Up, Includes 4 Action Figures and 1 Accessory</t>
        </is>
      </c>
      <c r="E390" s="1">
        <f>HYPERLINK("https://www.amazon.com/PJ-Masks-Mission-Preschool-Accessory/dp/B08WTW8PCJ/ref=sr_1_1?keywords=PJ+Masks+Flight+Time+Mission&amp;qid=1695588872&amp;sr=8-1", "https://www.amazon.com/PJ-Masks-Mission-Preschool-Accessory/dp/B08WTW8PCJ/ref=sr_1_1?keywords=PJ+Masks+Flight+Time+Mission&amp;qid=1695588872&amp;sr=8-1")</f>
        <v/>
      </c>
      <c r="F390" t="inlineStr">
        <is>
          <t>B08WTW8PCJ</t>
        </is>
      </c>
      <c r="G390">
        <f>_xlfn.IMAGE("http://slimages.macys.com/is/image/MCY/products/0/optimized/23050375_fpx.tif")</f>
        <v/>
      </c>
      <c r="H390">
        <f>_xlfn.IMAGE("https://m.media-amazon.com/images/I/71cdji-0idS._AC_UL320_.jpg")</f>
        <v/>
      </c>
      <c r="K390" t="inlineStr">
        <is>
          <t>8.43</t>
        </is>
      </c>
      <c r="L390" t="n">
        <v>16.87</v>
      </c>
      <c r="M390" s="2" t="inlineStr">
        <is>
          <t>100.12%</t>
        </is>
      </c>
      <c r="N390" t="n">
        <v>4.7</v>
      </c>
      <c r="O390" t="n">
        <v>133</v>
      </c>
      <c r="Q390" t="inlineStr">
        <is>
          <t>InStock</t>
        </is>
      </c>
      <c r="R390" t="inlineStr">
        <is>
          <t>undefined</t>
        </is>
      </c>
      <c r="S390" t="inlineStr">
        <is>
          <t>14574341</t>
        </is>
      </c>
    </row>
    <row r="391" ht="75" customHeight="1">
      <c r="A391" s="1">
        <f>HYPERLINK("https://www.toysrus.com/pj-masks-flight-time-mission-14574341.html", "https://www.toysrus.com/pj-masks-flight-time-mission-14574341.html")</f>
        <v/>
      </c>
      <c r="B391" s="1">
        <f>HYPERLINK("https://www.toysrus.com/pj-masks-flight-time-mission-14574341.html", "https://www.toysrus.com/pj-masks-flight-time-mission-14574341.html")</f>
        <v/>
      </c>
      <c r="C391" t="inlineStr">
        <is>
          <t>PJ Masks Flight Time Mission</t>
        </is>
      </c>
      <c r="D391" t="inlineStr">
        <is>
          <t>PJ Masks Night Time Mission Glow-in-The-Dark Action Figure Set, Preschool Toy for Kids Ages 3 and Up, 4 Figures and 1 Accessory</t>
        </is>
      </c>
      <c r="E391" s="1">
        <f>HYPERLINK("https://www.amazon.com/PJ-Masks-Mission-Preschool-Accessory/dp/B08WVLNK3Q/ref=sr_1_4?keywords=PJ+Masks+Flight+Time+Mission&amp;qid=1695588872&amp;sr=8-4", "https://www.amazon.com/PJ-Masks-Mission-Preschool-Accessory/dp/B08WVLNK3Q/ref=sr_1_4?keywords=PJ+Masks+Flight+Time+Mission&amp;qid=1695588872&amp;sr=8-4")</f>
        <v/>
      </c>
      <c r="F391" t="inlineStr">
        <is>
          <t>B08WVLNK3Q</t>
        </is>
      </c>
      <c r="G391">
        <f>_xlfn.IMAGE("http://slimages.macys.com/is/image/MCY/products/0/optimized/23050375_fpx.tif")</f>
        <v/>
      </c>
      <c r="H391">
        <f>_xlfn.IMAGE("https://m.media-amazon.com/images/I/71Wq148hBPS._AC_UL320_.jpg")</f>
        <v/>
      </c>
      <c r="K391" t="inlineStr">
        <is>
          <t>8.43</t>
        </is>
      </c>
      <c r="L391" t="n">
        <v>15.99</v>
      </c>
      <c r="M391" s="2" t="inlineStr">
        <is>
          <t>89.68%</t>
        </is>
      </c>
      <c r="N391" t="n">
        <v>4.7</v>
      </c>
      <c r="O391" t="n">
        <v>685</v>
      </c>
      <c r="Q391" t="inlineStr">
        <is>
          <t>InStock</t>
        </is>
      </c>
      <c r="R391" t="inlineStr">
        <is>
          <t>undefined</t>
        </is>
      </c>
      <c r="S391" t="inlineStr">
        <is>
          <t>14574341</t>
        </is>
      </c>
    </row>
    <row r="392" ht="75" customHeight="1">
      <c r="A392" s="1">
        <f>HYPERLINK("https://www.toysrus.com/pj-masks-glow-and-go-cat-car-13869940.html", "https://www.toysrus.com/pj-masks-glow-and-go-cat-car-13869940.html")</f>
        <v/>
      </c>
      <c r="B392" s="1">
        <f>HYPERLINK("https://www.toysrus.com/pj-masks-glow-and-go-cat-car-13869940.html", "https://www.toysrus.com/pj-masks-glow-and-go-cat-car-13869940.html")</f>
        <v/>
      </c>
      <c r="C392" t="inlineStr">
        <is>
          <t>PJ Masks Glow &amp; Go Cat-Car</t>
        </is>
      </c>
      <c r="D392" t="inlineStr">
        <is>
          <t>PJ Masks Glow Wheelers Cat-Car, by Just Play</t>
        </is>
      </c>
      <c r="E392" s="1">
        <f>HYPERLINK("https://www.amazon.com/PJ-Masks-Glow-Wheelers-Catboy/dp/B07VL5KNB9/ref=sr_1_4?keywords=PJ+Masks+Glow+%26+Go+Cat-Car&amp;qid=1695588737&amp;sr=8-4", "https://www.amazon.com/PJ-Masks-Glow-Wheelers-Catboy/dp/B07VL5KNB9/ref=sr_1_4?keywords=PJ+Masks+Glow+%26+Go+Cat-Car&amp;qid=1695588737&amp;sr=8-4")</f>
        <v/>
      </c>
      <c r="F392" t="inlineStr">
        <is>
          <t>B07VL5KNB9</t>
        </is>
      </c>
      <c r="G392">
        <f>_xlfn.IMAGE("http://slimages.macys.com/is/image/MCY/products/0/optimized/21909067_fpx.tif")</f>
        <v/>
      </c>
      <c r="H392">
        <f>_xlfn.IMAGE("https://m.media-amazon.com/images/I/81l8KtcoG1L._AC_UL320_.jpg")</f>
        <v/>
      </c>
      <c r="K392" t="inlineStr">
        <is>
          <t>11.43</t>
        </is>
      </c>
      <c r="L392" t="n">
        <v>21.73</v>
      </c>
      <c r="M392" s="2" t="inlineStr">
        <is>
          <t>90.11%</t>
        </is>
      </c>
      <c r="N392" t="n">
        <v>4.6</v>
      </c>
      <c r="O392" t="n">
        <v>1519</v>
      </c>
      <c r="Q392" t="inlineStr">
        <is>
          <t>InStock</t>
        </is>
      </c>
      <c r="R392" t="inlineStr">
        <is>
          <t>undefined</t>
        </is>
      </c>
      <c r="S392" t="inlineStr">
        <is>
          <t>13869940</t>
        </is>
      </c>
    </row>
    <row r="393" ht="75" customHeight="1">
      <c r="A393" s="1">
        <f>HYPERLINK("https://www.toysrus.com/pj-masks-night-time-mission-14574342.html", "https://www.toysrus.com/pj-masks-night-time-mission-14574342.html")</f>
        <v/>
      </c>
      <c r="B393" s="1">
        <f>HYPERLINK("https://www.toysrus.com/pj-masks-night-time-mission-14574342.html", "https://www.toysrus.com/pj-masks-night-time-mission-14574342.html")</f>
        <v/>
      </c>
      <c r="C393" t="inlineStr">
        <is>
          <t>PJ Masks Night Time Mission</t>
        </is>
      </c>
      <c r="D393" t="inlineStr">
        <is>
          <t>PJ Masks Nighttime Heroes Figure Set Preschool Toy, 6 Action Figures and 11 Accessories for Kids Ages 3 and Up</t>
        </is>
      </c>
      <c r="E393" s="1">
        <f>HYPERLINK("https://www.amazon.com/Hasbro-F5351-PJM-Nighttime-Heroes/dp/B000HB8DNI/ref=sr_1_4?keywords=PJ+Masks+Night+Time+Mission&amp;qid=1695588861&amp;sr=8-4", "https://www.amazon.com/Hasbro-F5351-PJM-Nighttime-Heroes/dp/B000HB8DNI/ref=sr_1_4?keywords=PJ+Masks+Night+Time+Mission&amp;qid=1695588861&amp;sr=8-4")</f>
        <v/>
      </c>
      <c r="F393" t="inlineStr">
        <is>
          <t>B000HB8DNI</t>
        </is>
      </c>
      <c r="G393">
        <f>_xlfn.IMAGE("http://slimages.macys.com/is/image/MCY/products/0/optimized/23050385_fpx.tif")</f>
        <v/>
      </c>
      <c r="H393">
        <f>_xlfn.IMAGE("https://m.media-amazon.com/images/I/61lMcVUWlUL._AC_UL320_.jpg")</f>
        <v/>
      </c>
      <c r="K393" t="inlineStr">
        <is>
          <t>8.43</t>
        </is>
      </c>
      <c r="L393" t="n">
        <v>27.99</v>
      </c>
      <c r="M393" s="2" t="inlineStr">
        <is>
          <t>232.03%</t>
        </is>
      </c>
      <c r="N393" t="n">
        <v>4.6</v>
      </c>
      <c r="O393" t="n">
        <v>106</v>
      </c>
      <c r="Q393" t="inlineStr">
        <is>
          <t>InStock</t>
        </is>
      </c>
      <c r="R393" t="inlineStr">
        <is>
          <t>undefined</t>
        </is>
      </c>
      <c r="S393" t="inlineStr">
        <is>
          <t>14574342</t>
        </is>
      </c>
    </row>
    <row r="394" ht="75" customHeight="1">
      <c r="A394" s="1">
        <f>HYPERLINK("https://www.toysrus.com/pj-masks-night-time-mission-14574342.html", "https://www.toysrus.com/pj-masks-night-time-mission-14574342.html")</f>
        <v/>
      </c>
      <c r="B394" s="1">
        <f>HYPERLINK("https://www.toysrus.com/pj-masks-night-time-mission-14574342.html", "https://www.toysrus.com/pj-masks-night-time-mission-14574342.html")</f>
        <v/>
      </c>
      <c r="C394" t="inlineStr">
        <is>
          <t>PJ Masks Night Time Mission</t>
        </is>
      </c>
      <c r="D394" t="inlineStr">
        <is>
          <t>PJ Masks Flight Time Mission Action Figure Set, Preschool Toy for Kids Ages 3 and Up, Includes 4 Action Figures and 1 Accessory</t>
        </is>
      </c>
      <c r="E394" s="1">
        <f>HYPERLINK("https://www.amazon.com/PJ-Masks-Mission-Preschool-Accessory/dp/B08WTW8PCJ/ref=sr_1_7?keywords=PJ+Masks+Night+Time+Mission&amp;qid=1695588861&amp;sr=8-7", "https://www.amazon.com/PJ-Masks-Mission-Preschool-Accessory/dp/B08WTW8PCJ/ref=sr_1_7?keywords=PJ+Masks+Night+Time+Mission&amp;qid=1695588861&amp;sr=8-7")</f>
        <v/>
      </c>
      <c r="F394" t="inlineStr">
        <is>
          <t>B08WTW8PCJ</t>
        </is>
      </c>
      <c r="G394">
        <f>_xlfn.IMAGE("http://slimages.macys.com/is/image/MCY/products/0/optimized/23050385_fpx.tif")</f>
        <v/>
      </c>
      <c r="H394">
        <f>_xlfn.IMAGE("https://m.media-amazon.com/images/I/71cdji-0idS._AC_UL320_.jpg")</f>
        <v/>
      </c>
      <c r="K394" t="inlineStr">
        <is>
          <t>8.43</t>
        </is>
      </c>
      <c r="L394" t="n">
        <v>16.87</v>
      </c>
      <c r="M394" s="2" t="inlineStr">
        <is>
          <t>100.12%</t>
        </is>
      </c>
      <c r="N394" t="n">
        <v>4.7</v>
      </c>
      <c r="O394" t="n">
        <v>133</v>
      </c>
      <c r="Q394" t="inlineStr">
        <is>
          <t>InStock</t>
        </is>
      </c>
      <c r="R394" t="inlineStr">
        <is>
          <t>undefined</t>
        </is>
      </c>
      <c r="S394" t="inlineStr">
        <is>
          <t>14574342</t>
        </is>
      </c>
    </row>
    <row r="395" ht="75" customHeight="1">
      <c r="A395" s="1">
        <f>HYPERLINK("https://www.toysrus.com/pj-masks-night-time-mission-14574342.html", "https://www.toysrus.com/pj-masks-night-time-mission-14574342.html")</f>
        <v/>
      </c>
      <c r="B395" s="1">
        <f>HYPERLINK("https://www.toysrus.com/pj-masks-night-time-mission-14574342.html", "https://www.toysrus.com/pj-masks-night-time-mission-14574342.html")</f>
        <v/>
      </c>
      <c r="C395" t="inlineStr">
        <is>
          <t>PJ Masks Night Time Mission</t>
        </is>
      </c>
      <c r="D395" t="inlineStr">
        <is>
          <t>PJ Masks Night Time Mission Glow-in-The-Dark Action Figure Set, Preschool Toy for Kids Ages 3 and Up, 4 Figures and 1 Accessory</t>
        </is>
      </c>
      <c r="E395" s="1">
        <f>HYPERLINK("https://www.amazon.com/PJ-Masks-Mission-Preschool-Accessory/dp/B08WVLNK3Q/ref=sr_1_1?keywords=PJ+Masks+Night+Time+Mission&amp;qid=1695588861&amp;sr=8-1", "https://www.amazon.com/PJ-Masks-Mission-Preschool-Accessory/dp/B08WVLNK3Q/ref=sr_1_1?keywords=PJ+Masks+Night+Time+Mission&amp;qid=1695588861&amp;sr=8-1")</f>
        <v/>
      </c>
      <c r="F395" t="inlineStr">
        <is>
          <t>B08WVLNK3Q</t>
        </is>
      </c>
      <c r="G395">
        <f>_xlfn.IMAGE("http://slimages.macys.com/is/image/MCY/products/0/optimized/23050385_fpx.tif")</f>
        <v/>
      </c>
      <c r="H395">
        <f>_xlfn.IMAGE("https://m.media-amazon.com/images/I/71Wq148hBPS._AC_UL320_.jpg")</f>
        <v/>
      </c>
      <c r="K395" t="inlineStr">
        <is>
          <t>8.43</t>
        </is>
      </c>
      <c r="L395" t="n">
        <v>15.99</v>
      </c>
      <c r="M395" s="2" t="inlineStr">
        <is>
          <t>89.68%</t>
        </is>
      </c>
      <c r="N395" t="n">
        <v>4.7</v>
      </c>
      <c r="O395" t="n">
        <v>685</v>
      </c>
      <c r="Q395" t="inlineStr">
        <is>
          <t>InStock</t>
        </is>
      </c>
      <c r="R395" t="inlineStr">
        <is>
          <t>undefined</t>
        </is>
      </c>
      <c r="S395" t="inlineStr">
        <is>
          <t>14574342</t>
        </is>
      </c>
    </row>
    <row r="396" ht="75" customHeight="1">
      <c r="A396" s="1">
        <f>HYPERLINK("https://www.toysrus.com/pj-masks-romeos-bot-builder-12650030.html", "https://www.toysrus.com/pj-masks-romeos-bot-builder-12650030.html")</f>
        <v/>
      </c>
      <c r="B396" s="1">
        <f>HYPERLINK("https://www.toysrus.com/pj-masks-romeos-bot-builder-12650030.html", "https://www.toysrus.com/pj-masks-romeos-bot-builder-12650030.html")</f>
        <v/>
      </c>
      <c r="C396" t="inlineStr">
        <is>
          <t>PJ Masks Romeo's Bot Builder</t>
        </is>
      </c>
      <c r="D396" t="inlineStr">
        <is>
          <t>PJ Masks Romeo Bot Builder Preschool Toy, 2-in-1 Romeo Vehicle and Robot Factory Playset with Lights and Sounds for Kids Ages 3 and Up</t>
        </is>
      </c>
      <c r="E396" s="1">
        <f>HYPERLINK("https://www.amazon.com/PJ-Masks-Builder-Preschool-Vehicle/dp/B08YJNH48N/ref=sr_1_2?keywords=PJ+Masks+Romeo%27s+Bot+Builder&amp;qid=1695588831&amp;sr=8-2", "https://www.amazon.com/PJ-Masks-Builder-Preschool-Vehicle/dp/B08YJNH48N/ref=sr_1_2?keywords=PJ+Masks+Romeo%27s+Bot+Builder&amp;qid=1695588831&amp;sr=8-2")</f>
        <v/>
      </c>
      <c r="F396" t="inlineStr">
        <is>
          <t>B08YJNH48N</t>
        </is>
      </c>
      <c r="G396">
        <f>_xlfn.IMAGE("http://slimages.macys.com/is/image/MCY/products/0/optimized/19950470_fpx.tif")</f>
        <v/>
      </c>
      <c r="H396">
        <f>_xlfn.IMAGE("https://m.media-amazon.com/images/I/51aWyC2BknL._AC_UL320_.jpg")</f>
        <v/>
      </c>
      <c r="K396" t="inlineStr">
        <is>
          <t>19.93</t>
        </is>
      </c>
      <c r="L396" t="n">
        <v>119.99</v>
      </c>
      <c r="M396" s="2" t="inlineStr">
        <is>
          <t>502.06%</t>
        </is>
      </c>
      <c r="N396" t="n">
        <v>4.7</v>
      </c>
      <c r="O396" t="n">
        <v>46</v>
      </c>
      <c r="Q396" t="inlineStr">
        <is>
          <t>InStock</t>
        </is>
      </c>
      <c r="R396" t="inlineStr">
        <is>
          <t>undefined</t>
        </is>
      </c>
      <c r="S396" t="inlineStr">
        <is>
          <t>12650030</t>
        </is>
      </c>
    </row>
    <row r="397" ht="75" customHeight="1">
      <c r="A397" s="1">
        <f>HYPERLINK("https://www.toysrus.com/play-doh-drill-n-fill-dentist-11984929.html", "https://www.toysrus.com/play-doh-drill-n-fill-dentist-11984929.html")</f>
        <v/>
      </c>
      <c r="B397" s="1">
        <f>HYPERLINK("https://www.toysrus.com/play-doh-drill-n-fill-dentist-11984929.html", "https://www.toysrus.com/play-doh-drill-n-fill-dentist-11984929.html")</f>
        <v/>
      </c>
      <c r="C397" t="inlineStr">
        <is>
          <t>Play-Doh Drill 'n Fill Dentist</t>
        </is>
      </c>
      <c r="D397" t="inlineStr">
        <is>
          <t>Play-Doh Doctor Drill 'N Fill (Discontinued by manufacturer)</t>
        </is>
      </c>
      <c r="E397" s="1">
        <f>HYPERLINK("https://www.amazon.com/Play-Doh-Doctor-Drill-Discontinued-manufacturer/dp/B0050D1V6E/ref=sr_1_6?keywords=Play-Doh+Drill+%27n+Fill+Dentist&amp;qid=1695588632&amp;sr=8-6", "https://www.amazon.com/Play-Doh-Doctor-Drill-Discontinued-manufacturer/dp/B0050D1V6E/ref=sr_1_6?keywords=Play-Doh+Drill+%27n+Fill+Dentist&amp;qid=1695588632&amp;sr=8-6")</f>
        <v/>
      </c>
      <c r="F397" t="inlineStr">
        <is>
          <t>B0050D1V6E</t>
        </is>
      </c>
      <c r="G397">
        <f>_xlfn.IMAGE("http://slimages.macys.com/is/image/MCY/products/0/optimized/19001499_fpx.tif")</f>
        <v/>
      </c>
      <c r="H397">
        <f>_xlfn.IMAGE("https://m.media-amazon.com/images/I/91U6Yi0w9FL._AC_UL320_.jpg")</f>
        <v/>
      </c>
      <c r="K397" t="inlineStr">
        <is>
          <t>16.99</t>
        </is>
      </c>
      <c r="L397" t="n">
        <v>29.82</v>
      </c>
      <c r="M397" s="2" t="inlineStr">
        <is>
          <t>75.52%</t>
        </is>
      </c>
      <c r="N397" t="n">
        <v>4.5</v>
      </c>
      <c r="O397" t="n">
        <v>1131</v>
      </c>
      <c r="Q397" t="inlineStr">
        <is>
          <t>InStock</t>
        </is>
      </c>
      <c r="R397" t="inlineStr">
        <is>
          <t>undefined</t>
        </is>
      </c>
      <c r="S397" t="inlineStr">
        <is>
          <t>11984929</t>
        </is>
      </c>
    </row>
    <row r="398" ht="75" customHeight="1">
      <c r="A398" s="1">
        <f>HYPERLINK("https://www.toysrus.com/play-doh-kitchen-creations-spiral-fries-play-set-12640290.html", "https://www.toysrus.com/play-doh-kitchen-creations-spiral-fries-play-set-12640290.html")</f>
        <v/>
      </c>
      <c r="B398" s="1">
        <f>HYPERLINK("https://www.toysrus.com/play-doh-kitchen-creations-spiral-fries-play-set-12640290.html", "https://www.toysrus.com/play-doh-kitchen-creations-spiral-fries-play-set-12640290.html")</f>
        <v/>
      </c>
      <c r="C398" t="inlineStr">
        <is>
          <t>Play-Doh Kitchen Creations Spiral Fries Play Set</t>
        </is>
      </c>
      <c r="D398" t="inlineStr">
        <is>
          <t>Play-Doh Kitchen Creations Candy Delight Playset for Kids 3 Years and Up with 5 Cans, Non-Toxic</t>
        </is>
      </c>
      <c r="E398" s="1">
        <f>HYPERLINK("https://www.amazon.com/Play-Doh-N-A-Candy-PLAYSET/dp/B07ZYCB7S2/ref=sr_1_10?keywords=play-doh+kitchen+creations+spiral+friends+play+set&amp;qid=1695588618&amp;sr=8-10", "https://www.amazon.com/Play-Doh-N-A-Candy-PLAYSET/dp/B07ZYCB7S2/ref=sr_1_10?keywords=play-doh+kitchen+creations+spiral+friends+play+set&amp;qid=1695588618&amp;sr=8-10")</f>
        <v/>
      </c>
      <c r="F398" t="inlineStr">
        <is>
          <t>B07ZYCB7S2</t>
        </is>
      </c>
      <c r="G398">
        <f>_xlfn.IMAGE("http://slimages.macys.com/is/image/MCY/products/0/optimized/19785158_fpx.tif")</f>
        <v/>
      </c>
      <c r="H398">
        <f>_xlfn.IMAGE("https://m.media-amazon.com/images/I/61PO1JRxX-L._AC_UL320_.jpg")</f>
        <v/>
      </c>
      <c r="K398" t="inlineStr">
        <is>
          <t>15.99</t>
        </is>
      </c>
      <c r="L398" t="n">
        <v>29.43</v>
      </c>
      <c r="M398" s="2" t="inlineStr">
        <is>
          <t>84.05%</t>
        </is>
      </c>
      <c r="N398" t="n">
        <v>4.6</v>
      </c>
      <c r="O398" t="n">
        <v>9536</v>
      </c>
      <c r="Q398" t="inlineStr">
        <is>
          <t>InStock</t>
        </is>
      </c>
      <c r="R398" t="inlineStr">
        <is>
          <t>undefined</t>
        </is>
      </c>
      <c r="S398" t="inlineStr">
        <is>
          <t>12640290</t>
        </is>
      </c>
    </row>
    <row r="399" ht="75" customHeight="1">
      <c r="A399" s="1">
        <f>HYPERLINK("https://www.toysrus.com/play-doh-starter-set-11984921.html", "https://www.toysrus.com/play-doh-starter-set-11984921.html")</f>
        <v/>
      </c>
      <c r="B399" s="1">
        <f>HYPERLINK("https://www.toysrus.com/play-doh-starter-set-11984921.html", "https://www.toysrus.com/play-doh-starter-set-11984921.html")</f>
        <v/>
      </c>
      <c r="C399" t="inlineStr">
        <is>
          <t>Play-Doh Starter Set</t>
        </is>
      </c>
      <c r="D399" t="inlineStr">
        <is>
          <t>Play-Doh All-in-One Creativity Starter Station Activity Table, Preschool Toys for 3 Year Old Boys &amp; Girls &amp; Up, Starter Sets</t>
        </is>
      </c>
      <c r="E399" s="1">
        <f>HYPERLINK("https://www.amazon.com/Play-Doh-My-First-Play-Table/dp/B0BPDCGRGF/ref=sr_1_4?keywords=Play-Doh+Starter+Set&amp;qid=1695588619&amp;sr=8-4", "https://www.amazon.com/Play-Doh-My-First-Play-Table/dp/B0BPDCGRGF/ref=sr_1_4?keywords=Play-Doh+Starter+Set&amp;qid=1695588619&amp;sr=8-4")</f>
        <v/>
      </c>
      <c r="F399" t="inlineStr">
        <is>
          <t>B0BPDCGRGF</t>
        </is>
      </c>
      <c r="G399">
        <f>_xlfn.IMAGE("http://slimages.macys.com/is/image/MCY/products/0/optimized/18680038_fpx.tif")</f>
        <v/>
      </c>
      <c r="H399">
        <f>_xlfn.IMAGE("https://m.media-amazon.com/images/I/71oNBC9TB-L._AC_UL320_.jpg")</f>
        <v/>
      </c>
      <c r="K399" t="inlineStr">
        <is>
          <t>11.99</t>
        </is>
      </c>
      <c r="L399" t="n">
        <v>49.99</v>
      </c>
      <c r="M399" s="2" t="inlineStr">
        <is>
          <t>316.93%</t>
        </is>
      </c>
      <c r="N399" t="n">
        <v>4.8</v>
      </c>
      <c r="O399" t="n">
        <v>14</v>
      </c>
      <c r="Q399" t="inlineStr">
        <is>
          <t>InStock</t>
        </is>
      </c>
      <c r="R399" t="inlineStr">
        <is>
          <t>undefined</t>
        </is>
      </c>
      <c r="S399" t="inlineStr">
        <is>
          <t>11984921</t>
        </is>
      </c>
    </row>
    <row r="400" ht="75" customHeight="1">
      <c r="A400" s="1">
        <f>HYPERLINK("https://www.toysrus.com/play-doh-starter-set-11984921.html", "https://www.toysrus.com/play-doh-starter-set-11984921.html")</f>
        <v/>
      </c>
      <c r="B400" s="1">
        <f>HYPERLINK("https://www.toysrus.com/play-doh-starter-set-11984921.html", "https://www.toysrus.com/play-doh-starter-set-11984921.html")</f>
        <v/>
      </c>
      <c r="C400" t="inlineStr">
        <is>
          <t>Play-Doh Starter Set</t>
        </is>
      </c>
      <c r="D400" t="inlineStr">
        <is>
          <t>Play-Doh Fun Tub Playset, Great First Play-Doh Toy for Kids 3 Years and Up with Storage, 18 Tools, 5 Non-Toxic Colors (Amazon Exclusive)</t>
        </is>
      </c>
      <c r="E400" s="1">
        <f>HYPERLINK("https://www.amazon.com/Play-Doh-B1157-Fun-Tub/dp/B00TPMDLOG/ref=sr_1_9?keywords=Play-Doh+Starter+Set&amp;qid=1695588619&amp;sr=8-9", "https://www.amazon.com/Play-Doh-B1157-Fun-Tub/dp/B00TPMDLOG/ref=sr_1_9?keywords=Play-Doh+Starter+Set&amp;qid=1695588619&amp;sr=8-9")</f>
        <v/>
      </c>
      <c r="F400" t="inlineStr">
        <is>
          <t>B00TPMDLOG</t>
        </is>
      </c>
      <c r="G400">
        <f>_xlfn.IMAGE("http://slimages.macys.com/is/image/MCY/products/0/optimized/18680038_fpx.tif")</f>
        <v/>
      </c>
      <c r="H400">
        <f>_xlfn.IMAGE("https://m.media-amazon.com/images/I/71IXWJmvw0L._AC_UL320_.jpg")</f>
        <v/>
      </c>
      <c r="K400" t="inlineStr">
        <is>
          <t>11.99</t>
        </is>
      </c>
      <c r="L400" t="n">
        <v>24.84</v>
      </c>
      <c r="M400" s="2" t="inlineStr">
        <is>
          <t>107.17%</t>
        </is>
      </c>
      <c r="N400" t="n">
        <v>4.8</v>
      </c>
      <c r="O400" t="n">
        <v>11554</v>
      </c>
      <c r="Q400" t="inlineStr">
        <is>
          <t>InStock</t>
        </is>
      </c>
      <c r="R400" t="inlineStr">
        <is>
          <t>undefined</t>
        </is>
      </c>
      <c r="S400" t="inlineStr">
        <is>
          <t>11984921</t>
        </is>
      </c>
    </row>
    <row r="401" ht="75" customHeight="1">
      <c r="A401" s="1">
        <f>HYPERLINK("https://www.toysrus.com/plus-plus---mini-building-toy---70-pc-snowboarder-travel-friendly-ages-5-G0810265032315.html", "https://www.toysrus.com/plus-plus---mini-building-toy---70-pc-snowboarder-travel-friendly-ages-5-G0810265032315.html")</f>
        <v/>
      </c>
      <c r="B401" s="1">
        <f>HYPERLINK("https://www.toysrus.com/plus-plus---mini-building-toy---70-pc-snowboarder-travel-friendly-ages-5-G0810265032315.html", "https://www.toysrus.com/plus-plus---mini-building-toy---70-pc-snowboarder-travel-friendly-ages-5-G0810265032315.html")</f>
        <v/>
      </c>
      <c r="C401" t="inlineStr">
        <is>
          <t>Plus-Plus - Mini Building Toy - 70 pc Snowboarder, Travel-Friendly, Ages 5+</t>
        </is>
      </c>
      <c r="D401" t="inlineStr">
        <is>
          <t>PLUS PLUS - Figures 5 Piece Playset Bundle, 70 pc Tubes - Construction Building Stem/Steam Toy, Interlocking Mini Puzzle Blocks for Kids</t>
        </is>
      </c>
      <c r="E401" s="1">
        <f>HYPERLINK("https://www.amazon.com/PLUS-Figures-Construction-Building-Interlocking/dp/B09R2KVNTL/ref=sr_1_7?keywords=Plus-Plus+-+Mini+Building+Toy+-+70+pc+Snowboarder%2C+Travel-Friendly%2C+Ages+5&amp;qid=1695588279&amp;sr=8-7", "https://www.amazon.com/PLUS-Figures-Construction-Building-Interlocking/dp/B09R2KVNTL/ref=sr_1_7?keywords=Plus-Plus+-+Mini+Building+Toy+-+70+pc+Snowboarder%2C+Travel-Friendly%2C+Ages+5&amp;qid=1695588279&amp;sr=8-7")</f>
        <v/>
      </c>
      <c r="F401" t="inlineStr">
        <is>
          <t>B09R2KVNTL</t>
        </is>
      </c>
      <c r="G401">
        <f>_xlfn.IMAGE("https://images.toysrus.com/1285/810265032315_1.jpg")</f>
        <v/>
      </c>
      <c r="H401">
        <f>_xlfn.IMAGE("https://m.media-amazon.com/images/I/71ppo6fQAkL._AC_UL320_.jpg")</f>
        <v/>
      </c>
      <c r="K401" t="inlineStr">
        <is>
          <t>7.99</t>
        </is>
      </c>
      <c r="L401" t="n">
        <v>39.99</v>
      </c>
      <c r="M401" s="2" t="inlineStr">
        <is>
          <t>400.50%</t>
        </is>
      </c>
      <c r="N401" t="n">
        <v>5</v>
      </c>
      <c r="O401" t="n">
        <v>4</v>
      </c>
      <c r="Q401" t="inlineStr">
        <is>
          <t>InStock</t>
        </is>
      </c>
      <c r="R401" t="inlineStr">
        <is>
          <t>undefined</t>
        </is>
      </c>
      <c r="S401" t="inlineStr">
        <is>
          <t>G0810265032315</t>
        </is>
      </c>
    </row>
    <row r="402" ht="75" customHeight="1">
      <c r="A402" s="1">
        <f>HYPERLINK("https://www.toysrus.com/plus-plus---mini-building-toy-in-tube---70-pc-surfer-girl-G0810265032292.html", "https://www.toysrus.com/plus-plus---mini-building-toy-in-tube---70-pc-surfer-girl-G0810265032292.html")</f>
        <v/>
      </c>
      <c r="B402" s="1">
        <f>HYPERLINK("https://www.toysrus.com/plus-plus---mini-building-toy-in-tube---70-pc-surfer-girl-G0810265032292.html", "https://www.toysrus.com/plus-plus---mini-building-toy-in-tube---70-pc-surfer-girl-G0810265032292.html")</f>
        <v/>
      </c>
      <c r="C402" t="inlineStr">
        <is>
          <t>Plus-Plus - Mini Building Toy In Tube - 70 pc Surfer Girl</t>
        </is>
      </c>
      <c r="D402" t="inlineStr">
        <is>
          <t>PLUS PLUS - Insect 4 Piece Playset Bundle, 70 pc Tubes - Construction Building Stem/Steam Toy, Interlocking Mini Puzzle Blocks for Kids</t>
        </is>
      </c>
      <c r="E402" s="1">
        <f>HYPERLINK("https://www.amazon.com/PLUS-Playset-Construction-Building-Interlocking/dp/B08BMPP83Y/ref=sr_1_7?keywords=Plus-Plus+-+Mini+Building+Toy+In+Tube+-+70+pc+Surfer+Girl&amp;qid=1695588402&amp;sr=8-7", "https://www.amazon.com/PLUS-Playset-Construction-Building-Interlocking/dp/B08BMPP83Y/ref=sr_1_7?keywords=Plus-Plus+-+Mini+Building+Toy+In+Tube+-+70+pc+Surfer+Girl&amp;qid=1695588402&amp;sr=8-7")</f>
        <v/>
      </c>
      <c r="F402" t="inlineStr">
        <is>
          <t>B08BMPP83Y</t>
        </is>
      </c>
      <c r="G402">
        <f>_xlfn.IMAGE("https://images.toysrus.com/1285/810265032292_1.jpg")</f>
        <v/>
      </c>
      <c r="H402">
        <f>_xlfn.IMAGE("https://m.media-amazon.com/images/I/81tGLH1rePL._AC_UL320_.jpg")</f>
        <v/>
      </c>
      <c r="K402" t="inlineStr">
        <is>
          <t>8.99</t>
        </is>
      </c>
      <c r="L402" t="n">
        <v>29.99</v>
      </c>
      <c r="M402" s="2" t="inlineStr">
        <is>
          <t>233.59%</t>
        </is>
      </c>
      <c r="N402" t="n">
        <v>5</v>
      </c>
      <c r="O402" t="n">
        <v>16</v>
      </c>
      <c r="Q402" t="inlineStr">
        <is>
          <t>InStock</t>
        </is>
      </c>
      <c r="R402" t="inlineStr">
        <is>
          <t>undefined</t>
        </is>
      </c>
      <c r="S402" t="inlineStr">
        <is>
          <t>G0810265032292</t>
        </is>
      </c>
    </row>
    <row r="403" ht="75" customHeight="1">
      <c r="A403" s="1">
        <f>HYPERLINK("https://www.toysrus.com/plus-plus---mini-building-toy-in-tube---70-pc-surfer-girl-G0810265032292.html", "https://www.toysrus.com/plus-plus---mini-building-toy-in-tube---70-pc-surfer-girl-G0810265032292.html")</f>
        <v/>
      </c>
      <c r="B403" s="1">
        <f>HYPERLINK("https://www.toysrus.com/plus-plus---mini-building-toy-in-tube---70-pc-surfer-girl-G0810265032292.html", "https://www.toysrus.com/plus-plus---mini-building-toy-in-tube---70-pc-surfer-girl-G0810265032292.html")</f>
        <v/>
      </c>
      <c r="C403" t="inlineStr">
        <is>
          <t>Plus-Plus - Mini Building Toy In Tube - 70 pc Surfer Girl</t>
        </is>
      </c>
      <c r="D403" t="inlineStr">
        <is>
          <t>PLUS PLUS - Summer Beach 4 Piece Playset Bundle, Series 2-70 pc Tubes - Construction Building Stem/Steam Toy, Interlocking Mini Puzzle Blocks for Kids</t>
        </is>
      </c>
      <c r="E403" s="1">
        <f>HYPERLINK("https://www.amazon.com/PLUS-Playset-Construction-Building-Interlocking/dp/B09ZLV29J6/ref=sr_1_8?keywords=Plus-Plus+-+Mini+Building+Toy+In+Tube+-+70+pc+Surfer+Girl&amp;qid=1695588402&amp;sr=8-8", "https://www.amazon.com/PLUS-Playset-Construction-Building-Interlocking/dp/B09ZLV29J6/ref=sr_1_8?keywords=Plus-Plus+-+Mini+Building+Toy+In+Tube+-+70+pc+Surfer+Girl&amp;qid=1695588402&amp;sr=8-8")</f>
        <v/>
      </c>
      <c r="F403" t="inlineStr">
        <is>
          <t>B09ZLV29J6</t>
        </is>
      </c>
      <c r="G403">
        <f>_xlfn.IMAGE("https://images.toysrus.com/1285/810265032292_1.jpg")</f>
        <v/>
      </c>
      <c r="H403">
        <f>_xlfn.IMAGE("https://m.media-amazon.com/images/I/819NWdSuUfL._AC_UL320_.jpg")</f>
        <v/>
      </c>
      <c r="K403" t="inlineStr">
        <is>
          <t>8.99</t>
        </is>
      </c>
      <c r="L403" t="n">
        <v>29.99</v>
      </c>
      <c r="M403" s="2" t="inlineStr">
        <is>
          <t>233.59%</t>
        </is>
      </c>
      <c r="N403" t="n">
        <v>5</v>
      </c>
      <c r="O403" t="n">
        <v>1</v>
      </c>
      <c r="Q403" t="inlineStr">
        <is>
          <t>InStock</t>
        </is>
      </c>
      <c r="R403" t="inlineStr">
        <is>
          <t>undefined</t>
        </is>
      </c>
      <c r="S403" t="inlineStr">
        <is>
          <t>G0810265032292</t>
        </is>
      </c>
    </row>
    <row r="404" ht="75" customHeight="1">
      <c r="A404" s="1">
        <f>HYPERLINK("https://www.toysrus.com/pokemon-clip-n-go-set-15265991.html", "https://www.toysrus.com/pokemon-clip-n-go-set-15265991.html")</f>
        <v/>
      </c>
      <c r="B404" s="1">
        <f>HYPERLINK("https://www.toysrus.com/pokemon-clip-n-go-set-15265991.html", "https://www.toysrus.com/pokemon-clip-n-go-set-15265991.html")</f>
        <v/>
      </c>
      <c r="C404" t="inlineStr">
        <is>
          <t>Pokemon Clip N Go Set</t>
        </is>
      </c>
      <c r="D404" t="inlineStr">
        <is>
          <t>PoKéMoN Clip N Go Poke Ball Belt Set Wave 5 (8025929), 98006</t>
        </is>
      </c>
      <c r="E404" s="1">
        <f>HYPERLINK("https://www.amazon.com/PoK%C3%A9MoN-Clip-Poke-8025929-98006/dp/B08DKTYJKQ/ref=sr_1_7?keywords=Pokemon+Clip+N+Go+Set&amp;qid=1695588567&amp;sr=8-7", "https://www.amazon.com/PoK%C3%A9MoN-Clip-Poke-8025929-98006/dp/B08DKTYJKQ/ref=sr_1_7?keywords=Pokemon+Clip+N+Go+Set&amp;qid=1695588567&amp;sr=8-7")</f>
        <v/>
      </c>
      <c r="F404" t="inlineStr">
        <is>
          <t>B08DKTYJKQ</t>
        </is>
      </c>
      <c r="G404">
        <f>_xlfn.IMAGE("http://slimages.macys.com/is/image/MCY/products/0/optimized/23371960_fpx.tif")</f>
        <v/>
      </c>
      <c r="H404">
        <f>_xlfn.IMAGE("https://m.media-amazon.com/images/I/81r5mPWgIkL._AC_UL320_.jpg")</f>
        <v/>
      </c>
      <c r="K404" t="inlineStr">
        <is>
          <t>21.99</t>
        </is>
      </c>
      <c r="L404" t="n">
        <v>49.95</v>
      </c>
      <c r="M404" s="2" t="inlineStr">
        <is>
          <t>127.15%</t>
        </is>
      </c>
      <c r="N404" t="n">
        <v>4.2</v>
      </c>
      <c r="O404" t="n">
        <v>135</v>
      </c>
      <c r="Q404" t="inlineStr">
        <is>
          <t>InStock</t>
        </is>
      </c>
      <c r="R404" t="inlineStr">
        <is>
          <t>undefined</t>
        </is>
      </c>
      <c r="S404" t="inlineStr">
        <is>
          <t>15265991</t>
        </is>
      </c>
    </row>
    <row r="405" ht="75" customHeight="1">
      <c r="A405" s="1">
        <f>HYPERLINK("https://www.toysrus.com/ponyland-pink-unicorn-stick-horse-with-sound-toy-G888865000331.html", "https://www.toysrus.com/ponyland-pink-unicorn-stick-horse-with-sound-toy-G888865000331.html")</f>
        <v/>
      </c>
      <c r="B405" s="1">
        <f>HYPERLINK("https://www.toysrus.com/ponyland-pink-unicorn-stick-horse-with-sound-toy-G888865000331.html", "https://www.toysrus.com/ponyland-pink-unicorn-stick-horse-with-sound-toy-G888865000331.html")</f>
        <v/>
      </c>
      <c r="C405" t="inlineStr">
        <is>
          <t>PonyLand Pink Unicorn Stick Horse with Sound Toy</t>
        </is>
      </c>
      <c r="D405" t="inlineStr">
        <is>
          <t>HollyHOME Plush Unicorn Stick Horse with Wood Wheels Real Pony Neighing and Galloping Sounds Plush Unicorn Toy Purple 37 Inches(AA Batteries Required)</t>
        </is>
      </c>
      <c r="E405" s="1" t="n"/>
      <c r="F405" t="inlineStr">
        <is>
          <t>B09S9TVW4V</t>
        </is>
      </c>
      <c r="G405">
        <f>_xlfn.IMAGE("https://images.toysrus.com/28598/888865000331_1.jpg")</f>
        <v/>
      </c>
      <c r="H405">
        <f>_xlfn.IMAGE("https://m.media-amazon.com/images/I/61u7rVaf47L._AC_UL320_.jpg")</f>
        <v/>
      </c>
      <c r="K405" t="inlineStr">
        <is>
          <t>14.99</t>
        </is>
      </c>
      <c r="L405" t="n">
        <v>37.99</v>
      </c>
      <c r="M405" s="2" t="inlineStr">
        <is>
          <t>153.44%</t>
        </is>
      </c>
      <c r="N405" t="n">
        <v>4.2</v>
      </c>
      <c r="O405" t="n">
        <v>935</v>
      </c>
      <c r="Q405" t="inlineStr">
        <is>
          <t>InStock</t>
        </is>
      </c>
      <c r="R405" t="inlineStr">
        <is>
          <t>undefined</t>
        </is>
      </c>
      <c r="S405" t="inlineStr">
        <is>
          <t>G888865000331</t>
        </is>
      </c>
    </row>
    <row r="406" ht="75" customHeight="1">
      <c r="A406" s="1">
        <f>HYPERLINK("https://www.toysrus.com/ponyland-pink-unicorn-stick-horse-with-sound-toy-G888865000331.html", "https://www.toysrus.com/ponyland-pink-unicorn-stick-horse-with-sound-toy-G888865000331.html")</f>
        <v/>
      </c>
      <c r="B406" s="1">
        <f>HYPERLINK("https://www.toysrus.com/ponyland-pink-unicorn-stick-horse-with-sound-toy-G888865000331.html", "https://www.toysrus.com/ponyland-pink-unicorn-stick-horse-with-sound-toy-G888865000331.html")</f>
        <v/>
      </c>
      <c r="C406" t="inlineStr">
        <is>
          <t>PonyLand Pink Unicorn Stick Horse with Sound Toy</t>
        </is>
      </c>
      <c r="D406" t="inlineStr">
        <is>
          <t>HollyHOME Plush Unicorn Stick Horse with Wood Wheels Real Pony Neighing and Galloping Sounds Plush Toy Pink 37 Inches(AA Batteries Required)</t>
        </is>
      </c>
      <c r="E406" s="1" t="n"/>
      <c r="F406" t="inlineStr">
        <is>
          <t>B07PLSLK36</t>
        </is>
      </c>
      <c r="G406">
        <f>_xlfn.IMAGE("https://images.toysrus.com/28598/888865000331_1.jpg")</f>
        <v/>
      </c>
      <c r="H406">
        <f>_xlfn.IMAGE("https://m.media-amazon.com/images/I/51ZB6hz1wPL._AC_UL320_.jpg")</f>
        <v/>
      </c>
      <c r="K406" t="inlineStr">
        <is>
          <t>14.99</t>
        </is>
      </c>
      <c r="L406" t="n">
        <v>35.99</v>
      </c>
      <c r="M406" s="2" t="inlineStr">
        <is>
          <t>140.09%</t>
        </is>
      </c>
      <c r="N406" t="n">
        <v>4.2</v>
      </c>
      <c r="O406" t="n">
        <v>935</v>
      </c>
      <c r="Q406" t="inlineStr">
        <is>
          <t>InStock</t>
        </is>
      </c>
      <c r="R406" t="inlineStr">
        <is>
          <t>undefined</t>
        </is>
      </c>
      <c r="S406" t="inlineStr">
        <is>
          <t>G888865000331</t>
        </is>
      </c>
    </row>
    <row r="407" ht="75" customHeight="1">
      <c r="A407" s="1">
        <f>HYPERLINK("https://www.toysrus.com/pop-comic-cover-dc-black-adam-14656043.html", "https://www.toysrus.com/pop-comic-cover-dc-black-adam-14656043.html")</f>
        <v/>
      </c>
      <c r="B407" s="1">
        <f>HYPERLINK("https://www.toysrus.com/pop-comic-cover-dc-black-adam-14656043.html", "https://www.toysrus.com/pop-comic-cover-dc-black-adam-14656043.html")</f>
        <v/>
      </c>
      <c r="C407" t="inlineStr">
        <is>
          <t>Pop Comic Cover DC, Black Adam</t>
        </is>
      </c>
      <c r="D407" t="inlineStr">
        <is>
          <t>Funko Pop! Comic Cover: DC Comics - Black Adam (Glow), Multicolor, 64070</t>
        </is>
      </c>
      <c r="E407" s="1">
        <f>HYPERLINK("https://www.amazon.com/Funko-Pop-Comic-Cover-Multicolor/dp/B09S8SPRZH/ref=sr_1_1?keywords=Pop+Comic+Cover+DC%2C+Black+Adam&amp;qid=1695588569&amp;sr=8-1", "https://www.amazon.com/Funko-Pop-Comic-Cover-Multicolor/dp/B09S8SPRZH/ref=sr_1_1?keywords=Pop+Comic+Cover+DC%2C+Black+Adam&amp;qid=1695588569&amp;sr=8-1")</f>
        <v/>
      </c>
      <c r="F407" t="inlineStr">
        <is>
          <t>B09S8SPRZH</t>
        </is>
      </c>
      <c r="G407">
        <f>_xlfn.IMAGE("http://slimages.macys.com/is/image/MCY/products/0/optimized/23006179_fpx.tif")</f>
        <v/>
      </c>
      <c r="H407">
        <f>_xlfn.IMAGE("https://m.media-amazon.com/images/I/61b80CQla-L._AC_UL320_.jpg")</f>
        <v/>
      </c>
      <c r="K407" t="inlineStr">
        <is>
          <t>7.93</t>
        </is>
      </c>
      <c r="L407" t="n">
        <v>18</v>
      </c>
      <c r="M407" s="2" t="inlineStr">
        <is>
          <t>126.99%</t>
        </is>
      </c>
      <c r="N407" t="n">
        <v>4.7</v>
      </c>
      <c r="O407" t="n">
        <v>216</v>
      </c>
      <c r="Q407" t="inlineStr">
        <is>
          <t>OutOfStock</t>
        </is>
      </c>
      <c r="R407" t="inlineStr">
        <is>
          <t>undefined</t>
        </is>
      </c>
      <c r="S407" t="inlineStr">
        <is>
          <t>14656043</t>
        </is>
      </c>
    </row>
    <row r="408" ht="75" customHeight="1">
      <c r="A408" s="1">
        <f>HYPERLINK("https://www.toysrus.com/pop-doctor-strange-multiverse-of-madness-wong-14656028.html", "https://www.toysrus.com/pop-doctor-strange-multiverse-of-madness-wong-14656028.html")</f>
        <v/>
      </c>
      <c r="B408" s="1">
        <f>HYPERLINK("https://www.toysrus.com/pop-doctor-strange-multiverse-of-madness-wong-14656028.html", "https://www.toysrus.com/pop-doctor-strange-multiverse-of-madness-wong-14656028.html")</f>
        <v/>
      </c>
      <c r="C408" t="inlineStr">
        <is>
          <t>Pop Doctor Strange Multiverse of Madness, Wong</t>
        </is>
      </c>
      <c r="D408" t="inlineStr">
        <is>
          <t>Funko Pop! Marvel: Doctor Strange in The Multiverse of Madness Collectors Set Wong, America Chavez, Master Mordo, Supreme Strange, Scarlet Witch, Doctor Strange (Possible Chase Variant)</t>
        </is>
      </c>
      <c r="E408" s="1">
        <f>HYPERLINK("https://www.amazon.com/Funko-Pop-Marvel-Multiverse-Collectors/dp/B0B2ZKY72D/ref=sr_1_4?keywords=Pop+Doctor+Strange+Multiverse+of+Madness%2C+Wong&amp;qid=1695588582&amp;sr=8-4", "https://www.amazon.com/Funko-Pop-Marvel-Multiverse-Collectors/dp/B0B2ZKY72D/ref=sr_1_4?keywords=Pop+Doctor+Strange+Multiverse+of+Madness%2C+Wong&amp;qid=1695588582&amp;sr=8-4")</f>
        <v/>
      </c>
      <c r="F408" t="inlineStr">
        <is>
          <t>B0B2ZKY72D</t>
        </is>
      </c>
      <c r="G408">
        <f>_xlfn.IMAGE("http://slimages.macys.com/is/image/MCY/products/0/optimized/23006209_fpx.tif")</f>
        <v/>
      </c>
      <c r="H408">
        <f>_xlfn.IMAGE("https://m.media-amazon.com/images/I/71SMT-JvXAL._AC_UL320_.jpg")</f>
        <v/>
      </c>
      <c r="K408" t="inlineStr">
        <is>
          <t>5.93</t>
        </is>
      </c>
      <c r="L408" t="n">
        <v>30</v>
      </c>
      <c r="M408" s="2" t="inlineStr">
        <is>
          <t>405.90%</t>
        </is>
      </c>
      <c r="N408" t="n">
        <v>4.8</v>
      </c>
      <c r="O408" t="n">
        <v>18</v>
      </c>
      <c r="Q408" t="inlineStr">
        <is>
          <t>OutOfStock</t>
        </is>
      </c>
      <c r="R408" t="inlineStr">
        <is>
          <t>undefined</t>
        </is>
      </c>
      <c r="S408" t="inlineStr">
        <is>
          <t>14656028</t>
        </is>
      </c>
    </row>
    <row r="409" ht="75" customHeight="1">
      <c r="A409" s="1">
        <f>HYPERLINK("https://www.toysrus.com/pop-doctor-strange-multiverse-of-madness-wong-14656028.html", "https://www.toysrus.com/pop-doctor-strange-multiverse-of-madness-wong-14656028.html")</f>
        <v/>
      </c>
      <c r="B409" s="1">
        <f>HYPERLINK("https://www.toysrus.com/pop-doctor-strange-multiverse-of-madness-wong-14656028.html", "https://www.toysrus.com/pop-doctor-strange-multiverse-of-madness-wong-14656028.html")</f>
        <v/>
      </c>
      <c r="C409" t="inlineStr">
        <is>
          <t>Pop Doctor Strange Multiverse of Madness, Wong</t>
        </is>
      </c>
      <c r="D409" t="inlineStr">
        <is>
          <t>Marvel: Doctor Strange Multiverse of Madness - Dr. Strange Limited Edition Chase Pop! Vinyl Figure (Bundled with Compatible Pop Box Protector Case)</t>
        </is>
      </c>
      <c r="E409" s="1">
        <f>HYPERLINK("https://www.amazon.com/Marvel-Strange-Multiverse-Compatible-Protector/dp/B09ZRT53KX/ref=sr_1_6?keywords=Pop+Doctor+Strange+Multiverse+of+Madness%2C+Wong&amp;qid=1695588582&amp;sr=8-6", "https://www.amazon.com/Marvel-Strange-Multiverse-Compatible-Protector/dp/B09ZRT53KX/ref=sr_1_6?keywords=Pop+Doctor+Strange+Multiverse+of+Madness%2C+Wong&amp;qid=1695588582&amp;sr=8-6")</f>
        <v/>
      </c>
      <c r="F409" t="inlineStr">
        <is>
          <t>B09ZRT53KX</t>
        </is>
      </c>
      <c r="G409">
        <f>_xlfn.IMAGE("http://slimages.macys.com/is/image/MCY/products/0/optimized/23006209_fpx.tif")</f>
        <v/>
      </c>
      <c r="H409">
        <f>_xlfn.IMAGE("https://m.media-amazon.com/images/I/61u3C8slSSL._AC_UL320_.jpg")</f>
        <v/>
      </c>
      <c r="K409" t="inlineStr">
        <is>
          <t>5.93</t>
        </is>
      </c>
      <c r="L409" t="n">
        <v>26.99</v>
      </c>
      <c r="M409" s="2" t="inlineStr">
        <is>
          <t>355.14%</t>
        </is>
      </c>
      <c r="N409" t="n">
        <v>4.7</v>
      </c>
      <c r="O409" t="n">
        <v>121</v>
      </c>
      <c r="Q409" t="inlineStr">
        <is>
          <t>OutOfStock</t>
        </is>
      </c>
      <c r="R409" t="inlineStr">
        <is>
          <t>undefined</t>
        </is>
      </c>
      <c r="S409" t="inlineStr">
        <is>
          <t>14656028</t>
        </is>
      </c>
    </row>
    <row r="410" ht="75" customHeight="1">
      <c r="A410" s="1">
        <f>HYPERLINK("https://www.toysrus.com/pop-games-borderlands-tiny-tina-14656020.html", "https://www.toysrus.com/pop-games-borderlands-tiny-tina-14656020.html")</f>
        <v/>
      </c>
      <c r="B410" s="1">
        <f>HYPERLINK("https://www.toysrus.com/pop-games-borderlands-tiny-tina-14656020.html", "https://www.toysrus.com/pop-games-borderlands-tiny-tina-14656020.html")</f>
        <v/>
      </c>
      <c r="C410" t="inlineStr">
        <is>
          <t>Pop Games Borderlands, Tiny Tina</t>
        </is>
      </c>
      <c r="D410" t="inlineStr">
        <is>
          <t>Funko POP Games Borderlands Tiny Tina Action Figure</t>
        </is>
      </c>
      <c r="E410" s="1">
        <f>HYPERLINK("https://www.amazon.com/Funko-Games-Borderlands-Action-Figure/dp/B06XGFL3CG/ref=sr_1_1?keywords=Pop+Games+Borderlands%2C+Tiny+Tina&amp;qid=1695588572&amp;sr=8-1", "https://www.amazon.com/Funko-Games-Borderlands-Action-Figure/dp/B06XGFL3CG/ref=sr_1_1?keywords=Pop+Games+Borderlands%2C+Tiny+Tina&amp;qid=1695588572&amp;sr=8-1")</f>
        <v/>
      </c>
      <c r="F410" t="inlineStr">
        <is>
          <t>B06XGFL3CG</t>
        </is>
      </c>
      <c r="G410">
        <f>_xlfn.IMAGE("http://slimages.macys.com/is/image/MCY/products/0/optimized/23006241_fpx.tif")</f>
        <v/>
      </c>
      <c r="H410">
        <f>_xlfn.IMAGE("https://m.media-amazon.com/images/I/51guoHb4JGL._AC_UL320_.jpg")</f>
        <v/>
      </c>
      <c r="K410" t="inlineStr">
        <is>
          <t>5.93</t>
        </is>
      </c>
      <c r="L410" t="n">
        <v>99.98999999999999</v>
      </c>
      <c r="M410" s="2" t="inlineStr">
        <is>
          <t>1586.17%</t>
        </is>
      </c>
      <c r="N410" t="n">
        <v>4.7</v>
      </c>
      <c r="O410" t="n">
        <v>229</v>
      </c>
      <c r="Q410" t="inlineStr">
        <is>
          <t>OutOfStock</t>
        </is>
      </c>
      <c r="R410" t="inlineStr">
        <is>
          <t>undefined</t>
        </is>
      </c>
      <c r="S410" t="inlineStr">
        <is>
          <t>14656020</t>
        </is>
      </c>
    </row>
    <row r="411" ht="75" customHeight="1">
      <c r="A411" s="1">
        <f>HYPERLINK("https://www.toysrus.com/pop-marvel-thor-love-and-thunder-valkyrie-14656039.html", "https://www.toysrus.com/pop-marvel-thor-love-and-thunder-valkyrie-14656039.html")</f>
        <v/>
      </c>
      <c r="B411" s="1">
        <f>HYPERLINK("https://www.toysrus.com/pop-marvel-thor-love-and-thunder-valkyrie-14656039.html", "https://www.toysrus.com/pop-marvel-thor-love-and-thunder-valkyrie-14656039.html")</f>
        <v/>
      </c>
      <c r="C411" t="inlineStr">
        <is>
          <t>Pop Marvel Thor Love and Thunder, Valkyrie</t>
        </is>
      </c>
      <c r="D411" t="inlineStr">
        <is>
          <t>ThorVerse Ravager Exclusive Thor Figure Pop! Norse God Marvel Heroes Bundled with Love and Thunder Miek &amp; Valkrie + Hero Stickers 3- Items</t>
        </is>
      </c>
      <c r="E411" s="1">
        <f>HYPERLINK("https://www.amazon.com/ThorVerse-Blacklight-Exclusive-GamerVerse-Avengers/dp/B08Z1QPRZ4/ref=sr_1_6?keywords=Pop+Marvel+Thor+Love+and+Thunder%2C+Valkyrie&amp;qid=1695588573&amp;sr=8-6", "https://www.amazon.com/ThorVerse-Blacklight-Exclusive-GamerVerse-Avengers/dp/B08Z1QPRZ4/ref=sr_1_6?keywords=Pop+Marvel+Thor+Love+and+Thunder%2C+Valkyrie&amp;qid=1695588573&amp;sr=8-6")</f>
        <v/>
      </c>
      <c r="F411" t="inlineStr">
        <is>
          <t>B08Z1QPRZ4</t>
        </is>
      </c>
      <c r="G411">
        <f>_xlfn.IMAGE("http://slimages.macys.com/is/image/MCY/products/0/optimized/23006185_fpx.tif")</f>
        <v/>
      </c>
      <c r="H411">
        <f>_xlfn.IMAGE("https://m.media-amazon.com/images/I/81FFkWRCzxL._AC_UL320_.jpg")</f>
        <v/>
      </c>
      <c r="K411" t="inlineStr">
        <is>
          <t>5.93</t>
        </is>
      </c>
      <c r="L411" t="n">
        <v>39.98</v>
      </c>
      <c r="M411" s="2" t="inlineStr">
        <is>
          <t>574.20%</t>
        </is>
      </c>
      <c r="N411" t="n">
        <v>5</v>
      </c>
      <c r="O411" t="n">
        <v>1</v>
      </c>
      <c r="Q411" t="inlineStr">
        <is>
          <t>InStock</t>
        </is>
      </c>
      <c r="R411" t="inlineStr">
        <is>
          <t>undefined</t>
        </is>
      </c>
      <c r="S411" t="inlineStr">
        <is>
          <t>14656039</t>
        </is>
      </c>
    </row>
    <row r="412" ht="75" customHeight="1">
      <c r="A412" s="1">
        <f>HYPERLINK("https://www.toysrus.com/pop-movies-black-adam-cyclone-14656049.html", "https://www.toysrus.com/pop-movies-black-adam-cyclone-14656049.html")</f>
        <v/>
      </c>
      <c r="B412" s="1">
        <f>HYPERLINK("https://www.toysrus.com/pop-movies-black-adam-cyclone-14656049.html", "https://www.toysrus.com/pop-movies-black-adam-cyclone-14656049.html")</f>
        <v/>
      </c>
      <c r="C412" t="inlineStr">
        <is>
          <t>Pop Movies Black Adam Cyclone</t>
        </is>
      </c>
      <c r="D412" t="inlineStr">
        <is>
          <t>Funko Flat River Group Pop! DC Movies: Black Adam Collectors Set - 4 Figure Includes: Atom Smasher, Cyclone, Hawkman w/Helmet &amp; Wings Lightning (Possible Chase Variant), Multi (690FU)</t>
        </is>
      </c>
      <c r="E412" s="1">
        <f>HYPERLINK("https://www.amazon.com/Funko-Flat-River-Group-Movies/dp/B0B92NHY4J/ref=sr_1_2?keywords=Pop+Movies+Black+Adam+Cyclone&amp;qid=1695588591&amp;sr=8-2", "https://www.amazon.com/Funko-Flat-River-Group-Movies/dp/B0B92NHY4J/ref=sr_1_2?keywords=Pop+Movies+Black+Adam+Cyclone&amp;qid=1695588591&amp;sr=8-2")</f>
        <v/>
      </c>
      <c r="F412" t="inlineStr">
        <is>
          <t>B0B92NHY4J</t>
        </is>
      </c>
      <c r="G412">
        <f>_xlfn.IMAGE("http://slimages.macys.com/is/image/MCY/products/0/optimized/23006160_fpx.tif")</f>
        <v/>
      </c>
      <c r="H412">
        <f>_xlfn.IMAGE("https://m.media-amazon.com/images/I/71-ydEzwG5L._AC_UL320_.jpg")</f>
        <v/>
      </c>
      <c r="K412" t="inlineStr">
        <is>
          <t>5.93</t>
        </is>
      </c>
      <c r="L412" t="n">
        <v>27.12</v>
      </c>
      <c r="M412" s="2" t="inlineStr">
        <is>
          <t>357.34%</t>
        </is>
      </c>
      <c r="N412" t="n">
        <v>5</v>
      </c>
      <c r="O412" t="n">
        <v>1</v>
      </c>
      <c r="Q412" t="inlineStr">
        <is>
          <t>InStock</t>
        </is>
      </c>
      <c r="R412" t="inlineStr">
        <is>
          <t>undefined</t>
        </is>
      </c>
      <c r="S412" t="inlineStr">
        <is>
          <t>14656049</t>
        </is>
      </c>
    </row>
    <row r="413" ht="75" customHeight="1">
      <c r="A413" s="1">
        <f>HYPERLINK("https://www.toysrus.com/pop-movies-black-adam-cyclone-14656049.html", "https://www.toysrus.com/pop-movies-black-adam-cyclone-14656049.html")</f>
        <v/>
      </c>
      <c r="B413" s="1">
        <f>HYPERLINK("https://www.toysrus.com/pop-movies-black-adam-cyclone-14656049.html", "https://www.toysrus.com/pop-movies-black-adam-cyclone-14656049.html")</f>
        <v/>
      </c>
      <c r="C413" t="inlineStr">
        <is>
          <t>Pop Movies Black Adam Cyclone</t>
        </is>
      </c>
      <c r="D413" t="inlineStr">
        <is>
          <t>Funko Pop! Movies: Black Adam - Black Adam, Winter Convention Exclusive</t>
        </is>
      </c>
      <c r="E413" s="1">
        <f>HYPERLINK("https://www.amazon.com/Funko-65343/dp/B09QC3RFQ9/ref=sr_1_8?keywords=Pop+Movies+Black+Adam+Cyclone&amp;qid=1695588591&amp;sr=8-8", "https://www.amazon.com/Funko-65343/dp/B09QC3RFQ9/ref=sr_1_8?keywords=Pop+Movies+Black+Adam+Cyclone&amp;qid=1695588591&amp;sr=8-8")</f>
        <v/>
      </c>
      <c r="F413" t="inlineStr">
        <is>
          <t>B09QC3RFQ9</t>
        </is>
      </c>
      <c r="G413">
        <f>_xlfn.IMAGE("http://slimages.macys.com/is/image/MCY/products/0/optimized/23006160_fpx.tif")</f>
        <v/>
      </c>
      <c r="H413">
        <f>_xlfn.IMAGE("https://m.media-amazon.com/images/I/81-nksSoGIL._AC_UL320_.jpg")</f>
        <v/>
      </c>
      <c r="K413" t="inlineStr">
        <is>
          <t>5.93</t>
        </is>
      </c>
      <c r="L413" t="n">
        <v>18.51</v>
      </c>
      <c r="M413" s="2" t="inlineStr">
        <is>
          <t>212.14%</t>
        </is>
      </c>
      <c r="N413" t="n">
        <v>4.9</v>
      </c>
      <c r="O413" t="n">
        <v>411</v>
      </c>
      <c r="Q413" t="inlineStr">
        <is>
          <t>InStock</t>
        </is>
      </c>
      <c r="R413" t="inlineStr">
        <is>
          <t>undefined</t>
        </is>
      </c>
      <c r="S413" t="inlineStr">
        <is>
          <t>14656049</t>
        </is>
      </c>
    </row>
    <row r="414" ht="75" customHeight="1">
      <c r="A414" s="1">
        <f>HYPERLINK("https://www.toysrus.com/pop-movies-black-adam-cyclone-14656049.html", "https://www.toysrus.com/pop-movies-black-adam-cyclone-14656049.html")</f>
        <v/>
      </c>
      <c r="B414" s="1">
        <f>HYPERLINK("https://www.toysrus.com/pop-movies-black-adam-cyclone-14656049.html", "https://www.toysrus.com/pop-movies-black-adam-cyclone-14656049.html")</f>
        <v/>
      </c>
      <c r="C414" t="inlineStr">
        <is>
          <t>Pop Movies Black Adam Cyclone</t>
        </is>
      </c>
      <c r="D414" t="inlineStr">
        <is>
          <t>POP DC Heroes: Black Adam - Cyclone Funko Pop! Vinyl Figure (Bundled with Compatible Pop Box Protector Case) Multicolor, 3.75 inches</t>
        </is>
      </c>
      <c r="E414" s="1">
        <f>HYPERLINK("https://www.amazon.com/POP-Heroes-Compatible-Protector-Multicolor/dp/B0B57LTBYK/ref=sr_1_3?keywords=Pop+Movies+Black+Adam+Cyclone&amp;qid=1695588591&amp;sr=8-3", "https://www.amazon.com/POP-Heroes-Compatible-Protector-Multicolor/dp/B0B57LTBYK/ref=sr_1_3?keywords=Pop+Movies+Black+Adam+Cyclone&amp;qid=1695588591&amp;sr=8-3")</f>
        <v/>
      </c>
      <c r="F414" t="inlineStr">
        <is>
          <t>B0B57LTBYK</t>
        </is>
      </c>
      <c r="G414">
        <f>_xlfn.IMAGE("http://slimages.macys.com/is/image/MCY/products/0/optimized/23006160_fpx.tif")</f>
        <v/>
      </c>
      <c r="H414">
        <f>_xlfn.IMAGE("https://m.media-amazon.com/images/I/61o068L4V1L._AC_UL320_.jpg")</f>
        <v/>
      </c>
      <c r="K414" t="inlineStr">
        <is>
          <t>5.93</t>
        </is>
      </c>
      <c r="L414" t="n">
        <v>15.94</v>
      </c>
      <c r="M414" s="2" t="inlineStr">
        <is>
          <t>168.80%</t>
        </is>
      </c>
      <c r="N414" t="n">
        <v>5</v>
      </c>
      <c r="O414" t="n">
        <v>3</v>
      </c>
      <c r="Q414" t="inlineStr">
        <is>
          <t>InStock</t>
        </is>
      </c>
      <c r="R414" t="inlineStr">
        <is>
          <t>undefined</t>
        </is>
      </c>
      <c r="S414" t="inlineStr">
        <is>
          <t>14656049</t>
        </is>
      </c>
    </row>
    <row r="415" ht="75" customHeight="1">
      <c r="A415" s="1">
        <f>HYPERLINK("https://www.toysrus.com/pop-movies-black-adam-flying-14656045.html", "https://www.toysrus.com/pop-movies-black-adam-flying-14656045.html")</f>
        <v/>
      </c>
      <c r="B415" s="1">
        <f>HYPERLINK("https://www.toysrus.com/pop-movies-black-adam-flying-14656045.html", "https://www.toysrus.com/pop-movies-black-adam-flying-14656045.html")</f>
        <v/>
      </c>
      <c r="C415" t="inlineStr">
        <is>
          <t>Pop Movies Black Adam Flying</t>
        </is>
      </c>
      <c r="D415" t="inlineStr">
        <is>
          <t>Blue Salamander Emporium Protector with Pop Bundle – Includes Black Adam (Flying), BA (Lightning), Atom Smasher, Cyclone, Dr. Fate, Hawkman Pops with Plastic Cases</t>
        </is>
      </c>
      <c r="E415" s="1">
        <f>HYPERLINK("https://www.amazon.com/Black-Adam-Funko-Protector-Bundle/dp/B0B783Q5HX/ref=sr_1_4?keywords=Pop+Movies+Black+Adam+Flying&amp;qid=1695588587&amp;sr=8-4", "https://www.amazon.com/Black-Adam-Funko-Protector-Bundle/dp/B0B783Q5HX/ref=sr_1_4?keywords=Pop+Movies+Black+Adam+Flying&amp;qid=1695588587&amp;sr=8-4")</f>
        <v/>
      </c>
      <c r="F415" t="inlineStr">
        <is>
          <t>B0B783Q5HX</t>
        </is>
      </c>
      <c r="G415">
        <f>_xlfn.IMAGE("http://slimages.macys.com/is/image/MCY/products/0/optimized/23013162_fpx.tif")</f>
        <v/>
      </c>
      <c r="H415">
        <f>_xlfn.IMAGE("https://m.media-amazon.com/images/I/71ak4xXL7hL._AC_UL320_.jpg")</f>
        <v/>
      </c>
      <c r="K415" t="inlineStr">
        <is>
          <t>11.99</t>
        </is>
      </c>
      <c r="L415" t="n">
        <v>72.98999999999999</v>
      </c>
      <c r="M415" s="2" t="inlineStr">
        <is>
          <t>508.76%</t>
        </is>
      </c>
      <c r="N415" t="n">
        <v>4.5</v>
      </c>
      <c r="O415" t="n">
        <v>2</v>
      </c>
      <c r="Q415" t="inlineStr">
        <is>
          <t>InStock</t>
        </is>
      </c>
      <c r="R415" t="inlineStr">
        <is>
          <t>undefined</t>
        </is>
      </c>
      <c r="S415" t="inlineStr">
        <is>
          <t>14656045</t>
        </is>
      </c>
    </row>
    <row r="416" ht="75" customHeight="1">
      <c r="A416" s="1">
        <f>HYPERLINK("https://www.toysrus.com/pop-movies-black-adam-flying-14656045.html", "https://www.toysrus.com/pop-movies-black-adam-flying-14656045.html")</f>
        <v/>
      </c>
      <c r="B416" s="1">
        <f>HYPERLINK("https://www.toysrus.com/pop-movies-black-adam-flying-14656045.html", "https://www.toysrus.com/pop-movies-black-adam-flying-14656045.html")</f>
        <v/>
      </c>
      <c r="C416" t="inlineStr">
        <is>
          <t>Pop Movies Black Adam Flying</t>
        </is>
      </c>
      <c r="D416" t="inlineStr">
        <is>
          <t>Funko Pop! DC Movies: Black Adam Collectors Set - 4 Figure Set Includes: Black Adam Flying, Doctor Fate, Sabbac &amp; Black Adam Lightning (Possible Chase Variant), Multi (689FU)</t>
        </is>
      </c>
      <c r="E416" s="1">
        <f>HYPERLINK("https://www.amazon.com/Funko-Pop-Movies-Collectors-Lightning/dp/B0B91ZH52Y/ref=sr_1_2?keywords=Pop+Movies+Black+Adam+Flying&amp;qid=1695588587&amp;sr=8-2", "https://www.amazon.com/Funko-Pop-Movies-Collectors-Lightning/dp/B0B91ZH52Y/ref=sr_1_2?keywords=Pop+Movies+Black+Adam+Flying&amp;qid=1695588587&amp;sr=8-2")</f>
        <v/>
      </c>
      <c r="F416" t="inlineStr">
        <is>
          <t>B0B91ZH52Y</t>
        </is>
      </c>
      <c r="G416">
        <f>_xlfn.IMAGE("http://slimages.macys.com/is/image/MCY/products/0/optimized/23013162_fpx.tif")</f>
        <v/>
      </c>
      <c r="H416">
        <f>_xlfn.IMAGE("https://m.media-amazon.com/images/I/71dsubsrWTL._AC_UL320_.jpg")</f>
        <v/>
      </c>
      <c r="K416" t="inlineStr">
        <is>
          <t>11.99</t>
        </is>
      </c>
      <c r="L416" t="n">
        <v>33.49</v>
      </c>
      <c r="M416" s="2" t="inlineStr">
        <is>
          <t>179.32%</t>
        </is>
      </c>
      <c r="N416" t="n">
        <v>5</v>
      </c>
      <c r="O416" t="n">
        <v>3</v>
      </c>
      <c r="Q416" t="inlineStr">
        <is>
          <t>InStock</t>
        </is>
      </c>
      <c r="R416" t="inlineStr">
        <is>
          <t>undefined</t>
        </is>
      </c>
      <c r="S416" t="inlineStr">
        <is>
          <t>14656045</t>
        </is>
      </c>
    </row>
    <row r="417" ht="75" customHeight="1">
      <c r="A417" s="1">
        <f>HYPERLINK("https://www.toysrus.com/pop-movies-jurassic-world-3-claire-dearing-14656004.html", "https://www.toysrus.com/pop-movies-jurassic-world-3-claire-dearing-14656004.html")</f>
        <v/>
      </c>
      <c r="B417" s="1">
        <f>HYPERLINK("https://www.toysrus.com/pop-movies-jurassic-world-3-claire-dearing-14656004.html", "https://www.toysrus.com/pop-movies-jurassic-world-3-claire-dearing-14656004.html")</f>
        <v/>
      </c>
      <c r="C417" t="inlineStr">
        <is>
          <t>Pop Movies Jurassic World 3 Claire Dearing</t>
        </is>
      </c>
      <c r="D417" t="inlineStr">
        <is>
          <t>Funko Pop! Movies: Jurassic World 3 Dominion Collectors Set - 5 Figure Set: Ghost, Tiger, Gigaotosaurus, Owen Grady, Claire Dearing</t>
        </is>
      </c>
      <c r="E417" s="1">
        <f>HYPERLINK("https://www.amazon.com/Funko-Pop-Movies-Collectors-Gigaotosaurus/dp/B0B2ZN4HX4/ref=sr_1_1?keywords=Pop+Movies+Jurassic+World+3+Claire+Dearing&amp;qid=1695588593&amp;sr=8-1", "https://www.amazon.com/Funko-Pop-Movies-Collectors-Gigaotosaurus/dp/B0B2ZN4HX4/ref=sr_1_1?keywords=Pop+Movies+Jurassic+World+3+Claire+Dearing&amp;qid=1695588593&amp;sr=8-1")</f>
        <v/>
      </c>
      <c r="F417" t="inlineStr">
        <is>
          <t>B0B2ZN4HX4</t>
        </is>
      </c>
      <c r="G417">
        <f>_xlfn.IMAGE("http://slimages.macys.com/is/image/MCY/products/0/optimized/23006298_fpx.tif")</f>
        <v/>
      </c>
      <c r="H417">
        <f>_xlfn.IMAGE("https://m.media-amazon.com/images/I/71+4opBBz7L._AC_UL320_.jpg")</f>
        <v/>
      </c>
      <c r="K417" t="inlineStr">
        <is>
          <t>5.93</t>
        </is>
      </c>
      <c r="L417" t="n">
        <v>50.98</v>
      </c>
      <c r="M417" s="2" t="inlineStr">
        <is>
          <t>759.70%</t>
        </is>
      </c>
      <c r="N417" t="n">
        <v>4.6</v>
      </c>
      <c r="O417" t="n">
        <v>25</v>
      </c>
      <c r="Q417" t="inlineStr">
        <is>
          <t>InStock</t>
        </is>
      </c>
      <c r="R417" t="inlineStr">
        <is>
          <t>undefined</t>
        </is>
      </c>
      <c r="S417" t="inlineStr">
        <is>
          <t>14656004</t>
        </is>
      </c>
    </row>
    <row r="418" ht="75" customHeight="1">
      <c r="A418" s="1">
        <f>HYPERLINK("https://www.toysrus.com/pop-movies-jurassic-world-3-claire-dearing-14656004.html", "https://www.toysrus.com/pop-movies-jurassic-world-3-claire-dearing-14656004.html")</f>
        <v/>
      </c>
      <c r="B418" s="1">
        <f>HYPERLINK("https://www.toysrus.com/pop-movies-jurassic-world-3-claire-dearing-14656004.html", "https://www.toysrus.com/pop-movies-jurassic-world-3-claire-dearing-14656004.html")</f>
        <v/>
      </c>
      <c r="C418" t="inlineStr">
        <is>
          <t>Pop Movies Jurassic World 3 Claire Dearing</t>
        </is>
      </c>
      <c r="D418" t="inlineStr">
        <is>
          <t>Funko Pop! Movies: Jurassic World Fallen Kingdom - Claire Dearing Vinyl Figure (Bundled with Pop Box Protector Case)</t>
        </is>
      </c>
      <c r="E418" s="1">
        <f>HYPERLINK("https://www.amazon.com/Funko-Pop-Movies-Jurassic-Protector/dp/B07D7XCCPP/ref=sr_1_4?keywords=Pop+Movies+Jurassic+World+3+Claire+Dearing&amp;qid=1695588593&amp;sr=8-4", "https://www.amazon.com/Funko-Pop-Movies-Jurassic-Protector/dp/B07D7XCCPP/ref=sr_1_4?keywords=Pop+Movies+Jurassic+World+3+Claire+Dearing&amp;qid=1695588593&amp;sr=8-4")</f>
        <v/>
      </c>
      <c r="F418" t="inlineStr">
        <is>
          <t>B07D7XCCPP</t>
        </is>
      </c>
      <c r="G418">
        <f>_xlfn.IMAGE("http://slimages.macys.com/is/image/MCY/products/0/optimized/23006298_fpx.tif")</f>
        <v/>
      </c>
      <c r="H418">
        <f>_xlfn.IMAGE("https://m.media-amazon.com/images/I/51OkVXhDAAL._AC_UL320_.jpg")</f>
        <v/>
      </c>
      <c r="K418" t="inlineStr">
        <is>
          <t>5.93</t>
        </is>
      </c>
      <c r="L418" t="n">
        <v>24.99</v>
      </c>
      <c r="M418" s="2" t="inlineStr">
        <is>
          <t>321.42%</t>
        </is>
      </c>
      <c r="N418" t="n">
        <v>5</v>
      </c>
      <c r="O418" t="n">
        <v>2</v>
      </c>
      <c r="Q418" t="inlineStr">
        <is>
          <t>InStock</t>
        </is>
      </c>
      <c r="R418" t="inlineStr">
        <is>
          <t>undefined</t>
        </is>
      </c>
      <c r="S418" t="inlineStr">
        <is>
          <t>14656004</t>
        </is>
      </c>
    </row>
    <row r="419" ht="75" customHeight="1">
      <c r="A419" s="1">
        <f>HYPERLINK("https://www.toysrus.com/pop-movies-jurassic-world-3-claire-dearing-14656004.html", "https://www.toysrus.com/pop-movies-jurassic-world-3-claire-dearing-14656004.html")</f>
        <v/>
      </c>
      <c r="B419" s="1">
        <f>HYPERLINK("https://www.toysrus.com/pop-movies-jurassic-world-3-claire-dearing-14656004.html", "https://www.toysrus.com/pop-movies-jurassic-world-3-claire-dearing-14656004.html")</f>
        <v/>
      </c>
      <c r="C419" t="inlineStr">
        <is>
          <t>Pop Movies Jurassic World 3 Claire Dearing</t>
        </is>
      </c>
      <c r="D419" t="inlineStr">
        <is>
          <t>Funko POP! Movies: Jurassic World 2 - Claire</t>
        </is>
      </c>
      <c r="E419" s="1">
        <f>HYPERLINK("https://www.amazon.com/Funko-POP-Movies-Jurassic-Claire/dp/B079TJ85HN/ref=sr_1_5?keywords=Pop+Movies+Jurassic+World+3+Claire+Dearing&amp;qid=1695588593&amp;sr=8-5", "https://www.amazon.com/Funko-POP-Movies-Jurassic-Claire/dp/B079TJ85HN/ref=sr_1_5?keywords=Pop+Movies+Jurassic+World+3+Claire+Dearing&amp;qid=1695588593&amp;sr=8-5")</f>
        <v/>
      </c>
      <c r="F419" t="inlineStr">
        <is>
          <t>B079TJ85HN</t>
        </is>
      </c>
      <c r="G419">
        <f>_xlfn.IMAGE("http://slimages.macys.com/is/image/MCY/products/0/optimized/23006298_fpx.tif")</f>
        <v/>
      </c>
      <c r="H419">
        <f>_xlfn.IMAGE("https://m.media-amazon.com/images/I/51XvSxIYCdL._AC_UL320_.jpg")</f>
        <v/>
      </c>
      <c r="K419" t="inlineStr">
        <is>
          <t>5.93</t>
        </is>
      </c>
      <c r="L419" t="n">
        <v>17.98</v>
      </c>
      <c r="M419" s="2" t="inlineStr">
        <is>
          <t>203.20%</t>
        </is>
      </c>
      <c r="N419" t="n">
        <v>4.7</v>
      </c>
      <c r="O419" t="n">
        <v>295</v>
      </c>
      <c r="Q419" t="inlineStr">
        <is>
          <t>InStock</t>
        </is>
      </c>
      <c r="R419" t="inlineStr">
        <is>
          <t>undefined</t>
        </is>
      </c>
      <c r="S419" t="inlineStr">
        <is>
          <t>14656004</t>
        </is>
      </c>
    </row>
    <row r="420" ht="75" customHeight="1">
      <c r="A420" s="1">
        <f>HYPERLINK("https://www.toysrus.com/pop-movies-jurassic-world-3-owen-grady-14656003.html", "https://www.toysrus.com/pop-movies-jurassic-world-3-owen-grady-14656003.html")</f>
        <v/>
      </c>
      <c r="B420" s="1">
        <f>HYPERLINK("https://www.toysrus.com/pop-movies-jurassic-world-3-owen-grady-14656003.html", "https://www.toysrus.com/pop-movies-jurassic-world-3-owen-grady-14656003.html")</f>
        <v/>
      </c>
      <c r="C420" t="inlineStr">
        <is>
          <t>Pop Movies Jurassic World 3 Owen Grady</t>
        </is>
      </c>
      <c r="D420" t="inlineStr">
        <is>
          <t>Funko Pop! Movies: Jurassic World 3 Dominion Collectors Set - 5 Figure Set: Ghost, Tiger, Gigaotosaurus, Owen Grady, Claire Dearing</t>
        </is>
      </c>
      <c r="E420" s="1">
        <f>HYPERLINK("https://www.amazon.com/Funko-Pop-Movies-Collectors-Gigaotosaurus/dp/B0B2ZN4HX4/ref=sr_1_1?keywords=Pop+Movies+Jurassic+World+3+Owen+Grady&amp;qid=1695588591&amp;sr=8-1", "https://www.amazon.com/Funko-Pop-Movies-Collectors-Gigaotosaurus/dp/B0B2ZN4HX4/ref=sr_1_1?keywords=Pop+Movies+Jurassic+World+3+Owen+Grady&amp;qid=1695588591&amp;sr=8-1")</f>
        <v/>
      </c>
      <c r="F420" t="inlineStr">
        <is>
          <t>B0B2ZN4HX4</t>
        </is>
      </c>
      <c r="G420">
        <f>_xlfn.IMAGE("http://slimages.macys.com/is/image/MCY/products/0/optimized/23006304_fpx.tif")</f>
        <v/>
      </c>
      <c r="H420">
        <f>_xlfn.IMAGE("https://m.media-amazon.com/images/I/71+4opBBz7L._AC_UL320_.jpg")</f>
        <v/>
      </c>
      <c r="K420" t="inlineStr">
        <is>
          <t>5.93</t>
        </is>
      </c>
      <c r="L420" t="n">
        <v>50.98</v>
      </c>
      <c r="M420" s="2" t="inlineStr">
        <is>
          <t>759.70%</t>
        </is>
      </c>
      <c r="N420" t="n">
        <v>4.6</v>
      </c>
      <c r="O420" t="n">
        <v>25</v>
      </c>
      <c r="Q420" t="inlineStr">
        <is>
          <t>InStock</t>
        </is>
      </c>
      <c r="R420" t="inlineStr">
        <is>
          <t>undefined</t>
        </is>
      </c>
      <c r="S420" t="inlineStr">
        <is>
          <t>14656003</t>
        </is>
      </c>
    </row>
    <row r="421" ht="75" customHeight="1">
      <c r="A421" s="1">
        <f>HYPERLINK("https://www.toysrus.com/pop-movies-jurassic-world-3-owen-grady-14656003.html", "https://www.toysrus.com/pop-movies-jurassic-world-3-owen-grady-14656003.html")</f>
        <v/>
      </c>
      <c r="B421" s="1">
        <f>HYPERLINK("https://www.toysrus.com/pop-movies-jurassic-world-3-owen-grady-14656003.html", "https://www.toysrus.com/pop-movies-jurassic-world-3-owen-grady-14656003.html")</f>
        <v/>
      </c>
      <c r="C421" t="inlineStr">
        <is>
          <t>Pop Movies Jurassic World 3 Owen Grady</t>
        </is>
      </c>
      <c r="D421" t="inlineStr">
        <is>
          <t>Park Jurassic Dinosaur Figure Exclusive World Pop Bundled with Velociraptor Dino Jungle Creature + Adventure Minis Owen Grady + Dr. Ian Malcolm 3 Items</t>
        </is>
      </c>
      <c r="E421" s="1">
        <f>HYPERLINK("https://www.amazon.com/Jurassic-Dinosaur-Exclusive-Velociraptor-Adventure/dp/B0BMXX97LV/ref=sr_1_5?keywords=Pop+Movies+Jurassic+World+3+Owen+Grady&amp;qid=1695588591&amp;sr=8-5", "https://www.amazon.com/Jurassic-Dinosaur-Exclusive-Velociraptor-Adventure/dp/B0BMXX97LV/ref=sr_1_5?keywords=Pop+Movies+Jurassic+World+3+Owen+Grady&amp;qid=1695588591&amp;sr=8-5")</f>
        <v/>
      </c>
      <c r="F421" t="inlineStr">
        <is>
          <t>B0BMXX97LV</t>
        </is>
      </c>
      <c r="G421">
        <f>_xlfn.IMAGE("http://slimages.macys.com/is/image/MCY/products/0/optimized/23006304_fpx.tif")</f>
        <v/>
      </c>
      <c r="H421">
        <f>_xlfn.IMAGE("https://m.media-amazon.com/images/I/71+DcVRgxlL._AC_UL320_.jpg")</f>
        <v/>
      </c>
      <c r="K421" t="inlineStr">
        <is>
          <t>5.93</t>
        </is>
      </c>
      <c r="L421" t="n">
        <v>32.92</v>
      </c>
      <c r="M421" s="2" t="inlineStr">
        <is>
          <t>455.14%</t>
        </is>
      </c>
      <c r="N421" t="n">
        <v>5</v>
      </c>
      <c r="O421" t="n">
        <v>1</v>
      </c>
      <c r="Q421" t="inlineStr">
        <is>
          <t>InStock</t>
        </is>
      </c>
      <c r="R421" t="inlineStr">
        <is>
          <t>undefined</t>
        </is>
      </c>
      <c r="S421" t="inlineStr">
        <is>
          <t>14656003</t>
        </is>
      </c>
    </row>
    <row r="422" ht="75" customHeight="1">
      <c r="A422" s="1">
        <f>HYPERLINK("https://www.toysrus.com/pop-movies-jurassic-world-3-owen-grady-14656003.html", "https://www.toysrus.com/pop-movies-jurassic-world-3-owen-grady-14656003.html")</f>
        <v/>
      </c>
      <c r="B422" s="1">
        <f>HYPERLINK("https://www.toysrus.com/pop-movies-jurassic-world-3-owen-grady-14656003.html", "https://www.toysrus.com/pop-movies-jurassic-world-3-owen-grady-14656003.html")</f>
        <v/>
      </c>
      <c r="C422" t="inlineStr">
        <is>
          <t>Pop Movies Jurassic World 3 Owen Grady</t>
        </is>
      </c>
      <c r="D422" t="inlineStr">
        <is>
          <t>Jungle Jurassic World Dino Figure Dominion Pop Owen Grady Bundled with Adventure Dinosaur Cars Creature Terra Squad Velociraptor Character Cars Giganotosaurus T-Rex Triceratops 5-Items</t>
        </is>
      </c>
      <c r="E422" s="1">
        <f>HYPERLINK("https://www.amazon.com/Jurassic-Dominion-Creature-Adventure-Velociraptor/dp/B0B8MH8S3Q/ref=sr_1_10?keywords=Pop+Movies+Jurassic+World+3+Owen+Grady&amp;qid=1695588591&amp;sr=8-10", "https://www.amazon.com/Jurassic-Dominion-Creature-Adventure-Velociraptor/dp/B0B8MH8S3Q/ref=sr_1_10?keywords=Pop+Movies+Jurassic+World+3+Owen+Grady&amp;qid=1695588591&amp;sr=8-10")</f>
        <v/>
      </c>
      <c r="F422" t="inlineStr">
        <is>
          <t>B0B8MH8S3Q</t>
        </is>
      </c>
      <c r="G422">
        <f>_xlfn.IMAGE("http://slimages.macys.com/is/image/MCY/products/0/optimized/23006304_fpx.tif")</f>
        <v/>
      </c>
      <c r="H422">
        <f>_xlfn.IMAGE("https://m.media-amazon.com/images/I/71RZHPirsCL._AC_UL320_.jpg")</f>
        <v/>
      </c>
      <c r="K422" t="inlineStr">
        <is>
          <t>5.93</t>
        </is>
      </c>
      <c r="L422" t="n">
        <v>32.72</v>
      </c>
      <c r="M422" s="2" t="inlineStr">
        <is>
          <t>451.77%</t>
        </is>
      </c>
      <c r="N422" t="n">
        <v>5</v>
      </c>
      <c r="O422" t="n">
        <v>1</v>
      </c>
      <c r="Q422" t="inlineStr">
        <is>
          <t>InStock</t>
        </is>
      </c>
      <c r="R422" t="inlineStr">
        <is>
          <t>undefined</t>
        </is>
      </c>
      <c r="S422" t="inlineStr">
        <is>
          <t>14656003</t>
        </is>
      </c>
    </row>
    <row r="423" ht="75" customHeight="1">
      <c r="A423" s="1">
        <f>HYPERLINK("https://www.toysrus.com/pop-movies-jurassic-world-3-owen-grady-14656003.html", "https://www.toysrus.com/pop-movies-jurassic-world-3-owen-grady-14656003.html")</f>
        <v/>
      </c>
      <c r="B423" s="1">
        <f>HYPERLINK("https://www.toysrus.com/pop-movies-jurassic-world-3-owen-grady-14656003.html", "https://www.toysrus.com/pop-movies-jurassic-world-3-owen-grady-14656003.html")</f>
        <v/>
      </c>
      <c r="C423" t="inlineStr">
        <is>
          <t>Pop Movies Jurassic World 3 Owen Grady</t>
        </is>
      </c>
      <c r="D423" t="inlineStr">
        <is>
          <t>Funko Pop! Movies #589 Jurassic World Owen with Baby Raptor (Target Exclusive)</t>
        </is>
      </c>
      <c r="E423" s="1">
        <f>HYPERLINK("https://www.amazon.com/Funko-Movies-Jurassic-Raptor-Exclusive/dp/B07DKYHFCP/ref=sr_1_9?keywords=Pop+Movies+Jurassic+World+3+Owen+Grady&amp;qid=1695588591&amp;sr=8-9", "https://www.amazon.com/Funko-Movies-Jurassic-Raptor-Exclusive/dp/B07DKYHFCP/ref=sr_1_9?keywords=Pop+Movies+Jurassic+World+3+Owen+Grady&amp;qid=1695588591&amp;sr=8-9")</f>
        <v/>
      </c>
      <c r="F423" t="inlineStr">
        <is>
          <t>B07DKYHFCP</t>
        </is>
      </c>
      <c r="G423">
        <f>_xlfn.IMAGE("http://slimages.macys.com/is/image/MCY/products/0/optimized/23006304_fpx.tif")</f>
        <v/>
      </c>
      <c r="H423">
        <f>_xlfn.IMAGE("https://m.media-amazon.com/images/I/81Gfd5OB8cL._AC_UL320_.jpg")</f>
        <v/>
      </c>
      <c r="K423" t="inlineStr">
        <is>
          <t>5.93</t>
        </is>
      </c>
      <c r="L423" t="n">
        <v>31.89</v>
      </c>
      <c r="M423" s="2" t="inlineStr">
        <is>
          <t>437.77%</t>
        </is>
      </c>
      <c r="N423" t="n">
        <v>4.7</v>
      </c>
      <c r="O423" t="n">
        <v>119</v>
      </c>
      <c r="Q423" t="inlineStr">
        <is>
          <t>InStock</t>
        </is>
      </c>
      <c r="R423" t="inlineStr">
        <is>
          <t>undefined</t>
        </is>
      </c>
      <c r="S423" t="inlineStr">
        <is>
          <t>14656003</t>
        </is>
      </c>
    </row>
    <row r="424" ht="75" customHeight="1">
      <c r="A424" s="1">
        <f>HYPERLINK("https://www.toysrus.com/pop-movies-jurassic-world-3-owen-grady-14656003.html", "https://www.toysrus.com/pop-movies-jurassic-world-3-owen-grady-14656003.html")</f>
        <v/>
      </c>
      <c r="B424" s="1">
        <f>HYPERLINK("https://www.toysrus.com/pop-movies-jurassic-world-3-owen-grady-14656003.html", "https://www.toysrus.com/pop-movies-jurassic-world-3-owen-grady-14656003.html")</f>
        <v/>
      </c>
      <c r="C424" t="inlineStr">
        <is>
          <t>Pop Movies Jurassic World 3 Owen Grady</t>
        </is>
      </c>
      <c r="D424" t="inlineStr">
        <is>
          <t>Funko POP! Movies: Jurassic World 2 - Owen</t>
        </is>
      </c>
      <c r="E424" s="1">
        <f>HYPERLINK("https://www.amazon.com/Funko-POP-Movies-Jurassic-World/dp/B079THSMTM/ref=sr_1_2?keywords=Pop+Movies+Jurassic+World+3+Owen+Grady&amp;qid=1695588591&amp;sr=8-2", "https://www.amazon.com/Funko-POP-Movies-Jurassic-World/dp/B079THSMTM/ref=sr_1_2?keywords=Pop+Movies+Jurassic+World+3+Owen+Grady&amp;qid=1695588591&amp;sr=8-2")</f>
        <v/>
      </c>
      <c r="F424" t="inlineStr">
        <is>
          <t>B079THSMTM</t>
        </is>
      </c>
      <c r="G424">
        <f>_xlfn.IMAGE("http://slimages.macys.com/is/image/MCY/products/0/optimized/23006304_fpx.tif")</f>
        <v/>
      </c>
      <c r="H424">
        <f>_xlfn.IMAGE("https://m.media-amazon.com/images/I/51Op6TJUlKL._AC_UL320_.jpg")</f>
        <v/>
      </c>
      <c r="K424" t="inlineStr">
        <is>
          <t>5.93</t>
        </is>
      </c>
      <c r="L424" t="n">
        <v>24.95</v>
      </c>
      <c r="M424" s="2" t="inlineStr">
        <is>
          <t>320.74%</t>
        </is>
      </c>
      <c r="N424" t="n">
        <v>4.8</v>
      </c>
      <c r="O424" t="n">
        <v>511</v>
      </c>
      <c r="Q424" t="inlineStr">
        <is>
          <t>InStock</t>
        </is>
      </c>
      <c r="R424" t="inlineStr">
        <is>
          <t>undefined</t>
        </is>
      </c>
      <c r="S424" t="inlineStr">
        <is>
          <t>14656003</t>
        </is>
      </c>
    </row>
    <row r="425" ht="75" customHeight="1">
      <c r="A425" s="1">
        <f>HYPERLINK("https://www.toysrus.com/pop-movies-jurassic-world-3-owen-grady-14656003.html", "https://www.toysrus.com/pop-movies-jurassic-world-3-owen-grady-14656003.html")</f>
        <v/>
      </c>
      <c r="B425" s="1">
        <f>HYPERLINK("https://www.toysrus.com/pop-movies-jurassic-world-3-owen-grady-14656003.html", "https://www.toysrus.com/pop-movies-jurassic-world-3-owen-grady-14656003.html")</f>
        <v/>
      </c>
      <c r="C425" t="inlineStr">
        <is>
          <t>Pop Movies Jurassic World 3 Owen Grady</t>
        </is>
      </c>
      <c r="D425" t="inlineStr">
        <is>
          <t>POP Jurassic World Dominion - Owen Grady Funko Pop! Vinyl Figure (Bundled with Compatible Pop Box Protector Case), Multicolor, 3.75 inches</t>
        </is>
      </c>
      <c r="E425" s="1">
        <f>HYPERLINK("https://www.amazon.com/POP-Jurassic-World-Dominion-Compatible/dp/B0B42WNMCK/ref=sr_1_4?keywords=Pop+Movies+Jurassic+World+3+Owen+Grady&amp;qid=1695588591&amp;sr=8-4", "https://www.amazon.com/POP-Jurassic-World-Dominion-Compatible/dp/B0B42WNMCK/ref=sr_1_4?keywords=Pop+Movies+Jurassic+World+3+Owen+Grady&amp;qid=1695588591&amp;sr=8-4")</f>
        <v/>
      </c>
      <c r="F425" t="inlineStr">
        <is>
          <t>B0B42WNMCK</t>
        </is>
      </c>
      <c r="G425">
        <f>_xlfn.IMAGE("http://slimages.macys.com/is/image/MCY/products/0/optimized/23006304_fpx.tif")</f>
        <v/>
      </c>
      <c r="H425">
        <f>_xlfn.IMAGE("https://m.media-amazon.com/images/I/51HvfiiDC+L._AC_UL320_.jpg")</f>
        <v/>
      </c>
      <c r="K425" t="inlineStr">
        <is>
          <t>5.93</t>
        </is>
      </c>
      <c r="L425" t="n">
        <v>17.89</v>
      </c>
      <c r="M425" s="2" t="inlineStr">
        <is>
          <t>201.69%</t>
        </is>
      </c>
      <c r="N425" t="n">
        <v>5</v>
      </c>
      <c r="O425" t="n">
        <v>8</v>
      </c>
      <c r="Q425" t="inlineStr">
        <is>
          <t>InStock</t>
        </is>
      </c>
      <c r="R425" t="inlineStr">
        <is>
          <t>undefined</t>
        </is>
      </c>
      <c r="S425" t="inlineStr">
        <is>
          <t>14656003</t>
        </is>
      </c>
    </row>
    <row r="426" ht="75" customHeight="1">
      <c r="A426" s="1">
        <f>HYPERLINK("https://www.toysrus.com/power-tools-pretend-play-electric-toy-chain-saw-G4897099390374.html", "https://www.toysrus.com/power-tools-pretend-play-electric-toy-chain-saw-G4897099390374.html")</f>
        <v/>
      </c>
      <c r="B426" s="1">
        <f>HYPERLINK("https://www.toysrus.com/power-tools-pretend-play-electric-toy-chain-saw-G4897099390374.html", "https://www.toysrus.com/power-tools-pretend-play-electric-toy-chain-saw-G4897099390374.html")</f>
        <v/>
      </c>
      <c r="C426" t="inlineStr">
        <is>
          <t>Power Tools Pretend Play Electric Toy Chain Saw</t>
        </is>
      </c>
      <c r="D426" t="inlineStr">
        <is>
          <t>Kids Tool Set with Electric Toy Drill Chainsaw Jigsaw Toy Tools for Girl, Realistic Kids Power Construction Pretend Play Tools Set Toddler Toys Playset Kit for Toddler Boy Girl Kid Child Tool Toy Pink</t>
        </is>
      </c>
      <c r="E426" s="1">
        <f>HYPERLINK("https://www.amazon.com/Electric-Chainsaw-Realistic-Construction-Pretend/dp/B08PKQCKYD/ref=sr_1_6?keywords=Power+Tools+Pretend+Play+Electric+Toy+Chain+Saw&amp;qid=1695588201&amp;sr=8-6", "https://www.amazon.com/Electric-Chainsaw-Realistic-Construction-Pretend/dp/B08PKQCKYD/ref=sr_1_6?keywords=Power+Tools+Pretend+Play+Electric+Toy+Chain+Saw&amp;qid=1695588201&amp;sr=8-6")</f>
        <v/>
      </c>
      <c r="F426" t="inlineStr">
        <is>
          <t>B08PKQCKYD</t>
        </is>
      </c>
      <c r="G426">
        <f>_xlfn.IMAGE("https://images.toysrus.com/28598/4897099390374_1.jpg")</f>
        <v/>
      </c>
      <c r="H426">
        <f>_xlfn.IMAGE("https://m.media-amazon.com/images/I/71IK+cijyJL._AC_UL320_.jpg")</f>
        <v/>
      </c>
      <c r="K426" t="inlineStr">
        <is>
          <t>12.99</t>
        </is>
      </c>
      <c r="L426" t="n">
        <v>49.99</v>
      </c>
      <c r="M426" s="2" t="inlineStr">
        <is>
          <t>284.83%</t>
        </is>
      </c>
      <c r="N426" t="n">
        <v>4.5</v>
      </c>
      <c r="O426" t="n">
        <v>540</v>
      </c>
      <c r="Q426" t="inlineStr">
        <is>
          <t>InStock</t>
        </is>
      </c>
      <c r="R426" t="inlineStr">
        <is>
          <t>undefined</t>
        </is>
      </c>
      <c r="S426" t="inlineStr">
        <is>
          <t>G4897099390374</t>
        </is>
      </c>
    </row>
    <row r="427" ht="75" customHeight="1">
      <c r="A427" s="1">
        <f>HYPERLINK("https://www.toysrus.com/power-tools-pretend-play-electric-toy-chain-saw-G4897099390374.html", "https://www.toysrus.com/power-tools-pretend-play-electric-toy-chain-saw-G4897099390374.html")</f>
        <v/>
      </c>
      <c r="B427" s="1">
        <f>HYPERLINK("https://www.toysrus.com/power-tools-pretend-play-electric-toy-chain-saw-G4897099390374.html", "https://www.toysrus.com/power-tools-pretend-play-electric-toy-chain-saw-G4897099390374.html")</f>
        <v/>
      </c>
      <c r="C427" t="inlineStr">
        <is>
          <t>Power Tools Pretend Play Electric Toy Chain Saw</t>
        </is>
      </c>
      <c r="D427" t="inlineStr">
        <is>
          <t>Kids Tool Set with Electric Toy Drill Chainsaw Jigsaw Toy Tools, Realistic Kids Power Construction Pretend Play Tools Set Toy STEM Playset Toddler Toys Kit for Toddler Boy Girl Kid Child Tool Set Toy</t>
        </is>
      </c>
      <c r="E427" s="1">
        <f>HYPERLINK("https://www.amazon.com/Electric-Chainsaw-Realistic-Construction-Pretend/dp/B08BFFP1KW/ref=sr_1_4?keywords=Power+Tools+Pretend+Play+Electric+Toy+Chain+Saw&amp;qid=1695588201&amp;sr=8-4", "https://www.amazon.com/Electric-Chainsaw-Realistic-Construction-Pretend/dp/B08BFFP1KW/ref=sr_1_4?keywords=Power+Tools+Pretend+Play+Electric+Toy+Chain+Saw&amp;qid=1695588201&amp;sr=8-4")</f>
        <v/>
      </c>
      <c r="F427" t="inlineStr">
        <is>
          <t>B08BFFP1KW</t>
        </is>
      </c>
      <c r="G427">
        <f>_xlfn.IMAGE("https://images.toysrus.com/28598/4897099390374_1.jpg")</f>
        <v/>
      </c>
      <c r="H427">
        <f>_xlfn.IMAGE("https://m.media-amazon.com/images/I/71-XG3bTriL._AC_UL320_.jpg")</f>
        <v/>
      </c>
      <c r="K427" t="inlineStr">
        <is>
          <t>12.99</t>
        </is>
      </c>
      <c r="L427" t="n">
        <v>46.99</v>
      </c>
      <c r="M427" s="2" t="inlineStr">
        <is>
          <t>261.74%</t>
        </is>
      </c>
      <c r="N427" t="n">
        <v>4.3</v>
      </c>
      <c r="O427" t="n">
        <v>795</v>
      </c>
      <c r="Q427" t="inlineStr">
        <is>
          <t>InStock</t>
        </is>
      </c>
      <c r="R427" t="inlineStr">
        <is>
          <t>undefined</t>
        </is>
      </c>
      <c r="S427" t="inlineStr">
        <is>
          <t>G4897099390374</t>
        </is>
      </c>
    </row>
    <row r="428" ht="75" customHeight="1">
      <c r="A428" s="1">
        <f>HYPERLINK("https://www.toysrus.com/power-tools-pretend-play-electric-toy-chain-saw-G4897099390374.html", "https://www.toysrus.com/power-tools-pretend-play-electric-toy-chain-saw-G4897099390374.html")</f>
        <v/>
      </c>
      <c r="B428" s="1">
        <f>HYPERLINK("https://www.toysrus.com/power-tools-pretend-play-electric-toy-chain-saw-G4897099390374.html", "https://www.toysrus.com/power-tools-pretend-play-electric-toy-chain-saw-G4897099390374.html")</f>
        <v/>
      </c>
      <c r="C428" t="inlineStr">
        <is>
          <t>Power Tools Pretend Play Electric Toy Chain Saw</t>
        </is>
      </c>
      <c r="D428" t="inlineStr">
        <is>
          <t>Kids Tool Set with Electric Toy Drill Chainsaw Jigsaw Toy Tools, Realistic Kids Power Construction Pretend Play Tools Set Toddler Toys Playset Kit for Toddler Boy Girl Kid Child Tool Toy Blue</t>
        </is>
      </c>
      <c r="E428" s="1">
        <f>HYPERLINK("https://www.amazon.com/Electric-Chainsaw-Realistic-Construction-Pretend/dp/B0BW46DMWX/ref=sr_1_2?keywords=Power+Tools+Pretend+Play+Electric+Toy+Chain+Saw&amp;qid=1695588201&amp;sr=8-2", "https://www.amazon.com/Electric-Chainsaw-Realistic-Construction-Pretend/dp/B0BW46DMWX/ref=sr_1_2?keywords=Power+Tools+Pretend+Play+Electric+Toy+Chain+Saw&amp;qid=1695588201&amp;sr=8-2")</f>
        <v/>
      </c>
      <c r="F428" t="inlineStr">
        <is>
          <t>B0BW46DMWX</t>
        </is>
      </c>
      <c r="G428">
        <f>_xlfn.IMAGE("https://images.toysrus.com/28598/4897099390374_1.jpg")</f>
        <v/>
      </c>
      <c r="H428">
        <f>_xlfn.IMAGE("https://m.media-amazon.com/images/I/7185843yObL._AC_UL320_.jpg")</f>
        <v/>
      </c>
      <c r="K428" t="inlineStr">
        <is>
          <t>12.99</t>
        </is>
      </c>
      <c r="L428" t="n">
        <v>45.99</v>
      </c>
      <c r="M428" s="2" t="inlineStr">
        <is>
          <t>254.04%</t>
        </is>
      </c>
      <c r="N428" t="n">
        <v>4.6</v>
      </c>
      <c r="O428" t="n">
        <v>27</v>
      </c>
      <c r="Q428" t="inlineStr">
        <is>
          <t>InStock</t>
        </is>
      </c>
      <c r="R428" t="inlineStr">
        <is>
          <t>undefined</t>
        </is>
      </c>
      <c r="S428" t="inlineStr">
        <is>
          <t>G4897099390374</t>
        </is>
      </c>
    </row>
    <row r="429" ht="75" customHeight="1">
      <c r="A429" s="1">
        <f>HYPERLINK("https://www.toysrus.com/power-tools-pretend-play-electric-toy-chain-saw-G4897099390374.html", "https://www.toysrus.com/power-tools-pretend-play-electric-toy-chain-saw-G4897099390374.html")</f>
        <v/>
      </c>
      <c r="B429" s="1">
        <f>HYPERLINK("https://www.toysrus.com/power-tools-pretend-play-electric-toy-chain-saw-G4897099390374.html", "https://www.toysrus.com/power-tools-pretend-play-electric-toy-chain-saw-G4897099390374.html")</f>
        <v/>
      </c>
      <c r="C429" t="inlineStr">
        <is>
          <t>Power Tools Pretend Play Electric Toy Chain Saw</t>
        </is>
      </c>
      <c r="D429" t="inlineStr">
        <is>
          <t>STEAM Life Kids Tool Set Electric Toy Chainsaw - Prop Chainsaw with Sound - Fake Chainsaw Toy Power Tools Include Battery Powered Chain Saw - Pretend Play Construction Toy Tools for Boys and Girls</t>
        </is>
      </c>
      <c r="E429" s="1">
        <f>HYPERLINK("https://www.amazon.com/STEAM-Life-Electric-Chainsaw-Costume/dp/B07VQPVZV3/ref=sr_1_5?keywords=Power+Tools+Pretend+Play+Electric+Toy+Chain+Saw&amp;qid=1695588201&amp;sr=8-5", "https://www.amazon.com/STEAM-Life-Electric-Chainsaw-Costume/dp/B07VQPVZV3/ref=sr_1_5?keywords=Power+Tools+Pretend+Play+Electric+Toy+Chain+Saw&amp;qid=1695588201&amp;sr=8-5")</f>
        <v/>
      </c>
      <c r="F429" t="inlineStr">
        <is>
          <t>B07VQPVZV3</t>
        </is>
      </c>
      <c r="G429">
        <f>_xlfn.IMAGE("https://images.toysrus.com/28598/4897099390374_1.jpg")</f>
        <v/>
      </c>
      <c r="H429">
        <f>_xlfn.IMAGE("https://m.media-amazon.com/images/I/71wPfWzoY9L._AC_UL320_.jpg")</f>
        <v/>
      </c>
      <c r="K429" t="inlineStr">
        <is>
          <t>12.99</t>
        </is>
      </c>
      <c r="L429" t="n">
        <v>39.97</v>
      </c>
      <c r="M429" s="2" t="inlineStr">
        <is>
          <t>207.70%</t>
        </is>
      </c>
      <c r="N429" t="n">
        <v>4.2</v>
      </c>
      <c r="O429" t="n">
        <v>786</v>
      </c>
      <c r="Q429" t="inlineStr">
        <is>
          <t>InStock</t>
        </is>
      </c>
      <c r="R429" t="inlineStr">
        <is>
          <t>undefined</t>
        </is>
      </c>
      <c r="S429" t="inlineStr">
        <is>
          <t>G4897099390374</t>
        </is>
      </c>
    </row>
    <row r="430" ht="75" customHeight="1">
      <c r="A430" s="1">
        <f>HYPERLINK("https://www.toysrus.com/power-tools-pretend-play-electric-toy-chain-saw-G4897099390374.html", "https://www.toysrus.com/power-tools-pretend-play-electric-toy-chain-saw-G4897099390374.html")</f>
        <v/>
      </c>
      <c r="B430" s="1">
        <f>HYPERLINK("https://www.toysrus.com/power-tools-pretend-play-electric-toy-chain-saw-G4897099390374.html", "https://www.toysrus.com/power-tools-pretend-play-electric-toy-chain-saw-G4897099390374.html")</f>
        <v/>
      </c>
      <c r="C430" t="inlineStr">
        <is>
          <t>Power Tools Pretend Play Electric Toy Chain Saw</t>
        </is>
      </c>
      <c r="D430" t="inlineStr">
        <is>
          <t>Kids Tool Set-47 PCS Play Tools Box with Electric Power Toy Drill &amp; Chainsaw, Pretend Play Kids Construction Toy Tool Sets for Toddles Boys Ages 3 4 5 6 7 Years Old, Halloween</t>
        </is>
      </c>
      <c r="E430" s="1">
        <f>HYPERLINK("https://www.amazon.com/skirtoy-Electric-Chainsaw-Adjustable-Construction/dp/B09P621T6G/ref=sr_1_10?keywords=Power+Tools+Pretend+Play+Electric+Toy+Chain+Saw&amp;qid=1695588201&amp;sr=8-10", "https://www.amazon.com/skirtoy-Electric-Chainsaw-Adjustable-Construction/dp/B09P621T6G/ref=sr_1_10?keywords=Power+Tools+Pretend+Play+Electric+Toy+Chain+Saw&amp;qid=1695588201&amp;sr=8-10")</f>
        <v/>
      </c>
      <c r="F430" t="inlineStr">
        <is>
          <t>B09P621T6G</t>
        </is>
      </c>
      <c r="G430">
        <f>_xlfn.IMAGE("https://images.toysrus.com/28598/4897099390374_1.jpg")</f>
        <v/>
      </c>
      <c r="H430">
        <f>_xlfn.IMAGE("https://m.media-amazon.com/images/I/8100J+JNVBL._AC_UL320_.jpg")</f>
        <v/>
      </c>
      <c r="K430" t="inlineStr">
        <is>
          <t>12.99</t>
        </is>
      </c>
      <c r="L430" t="n">
        <v>35.99</v>
      </c>
      <c r="M430" s="2" t="inlineStr">
        <is>
          <t>177.06%</t>
        </is>
      </c>
      <c r="N430" t="n">
        <v>4.6</v>
      </c>
      <c r="O430" t="n">
        <v>349</v>
      </c>
      <c r="Q430" t="inlineStr">
        <is>
          <t>InStock</t>
        </is>
      </c>
      <c r="R430" t="inlineStr">
        <is>
          <t>undefined</t>
        </is>
      </c>
      <c r="S430" t="inlineStr">
        <is>
          <t>G4897099390374</t>
        </is>
      </c>
    </row>
    <row r="431" ht="75" customHeight="1">
      <c r="A431" s="1">
        <f>HYPERLINK("https://www.toysrus.com/power-tools-pretend-play-electric-toy-chain-saw-G4897099390374.html", "https://www.toysrus.com/power-tools-pretend-play-electric-toy-chain-saw-G4897099390374.html")</f>
        <v/>
      </c>
      <c r="B431" s="1">
        <f>HYPERLINK("https://www.toysrus.com/power-tools-pretend-play-electric-toy-chain-saw-G4897099390374.html", "https://www.toysrus.com/power-tools-pretend-play-electric-toy-chain-saw-G4897099390374.html")</f>
        <v/>
      </c>
      <c r="C431" t="inlineStr">
        <is>
          <t>Power Tools Pretend Play Electric Toy Chain Saw</t>
        </is>
      </c>
      <c r="D431" t="inlineStr">
        <is>
          <t>Sunny Days Entertainment Maxx Action Power Tools Chainsaw – Construction Tool with Lights and Sounds | Pretend Play Toy for Kids</t>
        </is>
      </c>
      <c r="E431" s="1">
        <f>HYPERLINK("https://www.amazon.com/Sunny-Days-Entertainment-Toy-Chain/dp/B07TSFGSZZ/ref=sr_1_9?keywords=Power+Tools+Pretend+Play+Electric+Toy+Chain+Saw&amp;qid=1695588201&amp;sr=8-9", "https://www.amazon.com/Sunny-Days-Entertainment-Toy-Chain/dp/B07TSFGSZZ/ref=sr_1_9?keywords=Power+Tools+Pretend+Play+Electric+Toy+Chain+Saw&amp;qid=1695588201&amp;sr=8-9")</f>
        <v/>
      </c>
      <c r="F431" t="inlineStr">
        <is>
          <t>B07TSFGSZZ</t>
        </is>
      </c>
      <c r="G431">
        <f>_xlfn.IMAGE("https://images.toysrus.com/28598/4897099390374_1.jpg")</f>
        <v/>
      </c>
      <c r="H431">
        <f>_xlfn.IMAGE("https://m.media-amazon.com/images/I/71CtSU8BDJL._AC_UL320_.jpg")</f>
        <v/>
      </c>
      <c r="K431" t="inlineStr">
        <is>
          <t>12.99</t>
        </is>
      </c>
      <c r="L431" t="n">
        <v>27.24</v>
      </c>
      <c r="M431" s="2" t="inlineStr">
        <is>
          <t>109.70%</t>
        </is>
      </c>
      <c r="N431" t="n">
        <v>4.2</v>
      </c>
      <c r="O431" t="n">
        <v>191</v>
      </c>
      <c r="Q431" t="inlineStr">
        <is>
          <t>InStock</t>
        </is>
      </c>
      <c r="R431" t="inlineStr">
        <is>
          <t>undefined</t>
        </is>
      </c>
      <c r="S431" t="inlineStr">
        <is>
          <t>G4897099390374</t>
        </is>
      </c>
    </row>
    <row r="432" ht="75" customHeight="1">
      <c r="A432" s="1">
        <f>HYPERLINK("https://www.toysrus.com/power-tools-pretend-play-electric-toy-chain-saw-G4897099390374.html", "https://www.toysrus.com/power-tools-pretend-play-electric-toy-chain-saw-G4897099390374.html")</f>
        <v/>
      </c>
      <c r="B432" s="1">
        <f>HYPERLINK("https://www.toysrus.com/power-tools-pretend-play-electric-toy-chain-saw-G4897099390374.html", "https://www.toysrus.com/power-tools-pretend-play-electric-toy-chain-saw-G4897099390374.html")</f>
        <v/>
      </c>
      <c r="C432" t="inlineStr">
        <is>
          <t>Power Tools Pretend Play Electric Toy Chain Saw</t>
        </is>
      </c>
      <c r="D432" t="inlineStr">
        <is>
          <t>Liberty Imports Kids Electric Chainsaw Toy Tool Pretend Play Set with Safety Goggles, Work Gloves | Rotating Chain and Realistic Sound Effects</t>
        </is>
      </c>
      <c r="E432" s="1">
        <f>HYPERLINK("https://www.amazon.com/Liberty-Imports-Electric-Chainsaw-Realistic/dp/B08JX7ZGMG/ref=sr_1_8?keywords=Power+Tools+Pretend+Play+Electric+Toy+Chain+Saw&amp;qid=1695588201&amp;sr=8-8", "https://www.amazon.com/Liberty-Imports-Electric-Chainsaw-Realistic/dp/B08JX7ZGMG/ref=sr_1_8?keywords=Power+Tools+Pretend+Play+Electric+Toy+Chain+Saw&amp;qid=1695588201&amp;sr=8-8")</f>
        <v/>
      </c>
      <c r="F432" t="inlineStr">
        <is>
          <t>B08JX7ZGMG</t>
        </is>
      </c>
      <c r="G432">
        <f>_xlfn.IMAGE("https://images.toysrus.com/28598/4897099390374_1.jpg")</f>
        <v/>
      </c>
      <c r="H432">
        <f>_xlfn.IMAGE("https://m.media-amazon.com/images/I/714VrGNq0YL._AC_UL320_.jpg")</f>
        <v/>
      </c>
      <c r="K432" t="inlineStr">
        <is>
          <t>12.99</t>
        </is>
      </c>
      <c r="L432" t="n">
        <v>24.95</v>
      </c>
      <c r="M432" s="2" t="inlineStr">
        <is>
          <t>92.07%</t>
        </is>
      </c>
      <c r="N432" t="n">
        <v>4.4</v>
      </c>
      <c r="O432" t="n">
        <v>256</v>
      </c>
      <c r="Q432" t="inlineStr">
        <is>
          <t>InStock</t>
        </is>
      </c>
      <c r="R432" t="inlineStr">
        <is>
          <t>undefined</t>
        </is>
      </c>
      <c r="S432" t="inlineStr">
        <is>
          <t>G4897099390374</t>
        </is>
      </c>
    </row>
    <row r="433" ht="75" customHeight="1">
      <c r="A433" s="1">
        <f>HYPERLINK("https://www.toysrus.com/pressman-checker-chess-backgammon-with-folding-board-G021853011135.html", "https://www.toysrus.com/pressman-checker-chess-backgammon-with-folding-board-G021853011135.html")</f>
        <v/>
      </c>
      <c r="B433" s="1">
        <f>HYPERLINK("https://www.toysrus.com/pressman-checker-chess-backgammon-with-folding-board-G021853011135.html", "https://www.toysrus.com/pressman-checker-chess-backgammon-with-folding-board-G021853011135.html")</f>
        <v/>
      </c>
      <c r="C433" t="inlineStr">
        <is>
          <t>Pressman Checker/Chess/Backgammon with Folding Board</t>
        </is>
      </c>
      <c r="D433" t="inlineStr">
        <is>
          <t>Magnetic Chess Set for Kids and Adults, 13 inch 3 in 1 Chess Checkers Backgammon Travel Portable Folding Sets, Gift Children Board Game with Extra Queen</t>
        </is>
      </c>
      <c r="E433" s="1">
        <f>HYPERLINK("https://www.amazon.com/Magnetic-Joneytech-Portable-Checkers-Backgammon/dp/B07TBJ234N/ref=sr_1_4?keywords=Pressman+Checker%2FChess%2FBackgammon+with+Folding+Board&amp;qid=1695588257&amp;sr=8-4", "https://www.amazon.com/Magnetic-Joneytech-Portable-Checkers-Backgammon/dp/B07TBJ234N/ref=sr_1_4?keywords=Pressman+Checker%2FChess%2FBackgammon+with+Folding+Board&amp;qid=1695588257&amp;sr=8-4")</f>
        <v/>
      </c>
      <c r="F433" t="inlineStr">
        <is>
          <t>B07TBJ234N</t>
        </is>
      </c>
      <c r="G433">
        <f>_xlfn.IMAGE("https://images.toysrus.com/1285/021853011135_1.jpg")</f>
        <v/>
      </c>
      <c r="H433">
        <f>_xlfn.IMAGE("https://m.media-amazon.com/images/I/71qsCQix-GL._AC_UL320_.jpg")</f>
        <v/>
      </c>
      <c r="K433" t="inlineStr">
        <is>
          <t>9.99</t>
        </is>
      </c>
      <c r="L433" t="n">
        <v>19.99</v>
      </c>
      <c r="M433" s="2" t="inlineStr">
        <is>
          <t>100.10%</t>
        </is>
      </c>
      <c r="N433" t="n">
        <v>4.6</v>
      </c>
      <c r="O433" t="n">
        <v>352</v>
      </c>
      <c r="Q433" t="inlineStr">
        <is>
          <t>InStock</t>
        </is>
      </c>
      <c r="R433" t="inlineStr">
        <is>
          <t>10.99</t>
        </is>
      </c>
      <c r="S433" t="inlineStr">
        <is>
          <t>G021853011135</t>
        </is>
      </c>
    </row>
    <row r="434" ht="75" customHeight="1">
      <c r="A434" s="1">
        <f>HYPERLINK("https://www.toysrus.com/pressman-checker-chess-backgammon-with-folding-board-G021853011135.html", "https://www.toysrus.com/pressman-checker-chess-backgammon-with-folding-board-G021853011135.html")</f>
        <v/>
      </c>
      <c r="B434" s="1">
        <f>HYPERLINK("https://www.toysrus.com/pressman-checker-chess-backgammon-with-folding-board-G021853011135.html", "https://www.toysrus.com/pressman-checker-chess-backgammon-with-folding-board-G021853011135.html")</f>
        <v/>
      </c>
      <c r="C434" t="inlineStr">
        <is>
          <t>Pressman Checker/Chess/Backgammon with Folding Board</t>
        </is>
      </c>
      <c r="D434" t="inlineStr">
        <is>
          <t>Chess Set，Folding Storage Wooden Chess Board Sets，3 in 1 Chess Board Game for Adults and Kids （Chess，Backgammon，Checkers），Exquisite Wooden Chess Set</t>
        </is>
      </c>
      <c r="E434" s="1" t="n"/>
      <c r="F434" t="inlineStr">
        <is>
          <t>B0BBRBP38F</t>
        </is>
      </c>
      <c r="G434">
        <f>_xlfn.IMAGE("https://images.toysrus.com/1285/021853011135_1.jpg")</f>
        <v/>
      </c>
      <c r="H434">
        <f>_xlfn.IMAGE("https://m.media-amazon.com/images/I/71r4-LeR9jL._AC_UL320_.jpg")</f>
        <v/>
      </c>
      <c r="K434" t="inlineStr">
        <is>
          <t>9.99</t>
        </is>
      </c>
      <c r="L434" t="n">
        <v>16.99</v>
      </c>
      <c r="M434" s="2" t="inlineStr">
        <is>
          <t>70.07%</t>
        </is>
      </c>
      <c r="N434" t="n">
        <v>4.3</v>
      </c>
      <c r="O434" t="n">
        <v>113</v>
      </c>
      <c r="Q434" t="inlineStr">
        <is>
          <t>InStock</t>
        </is>
      </c>
      <c r="R434" t="inlineStr">
        <is>
          <t>10.99</t>
        </is>
      </c>
      <c r="S434" t="inlineStr">
        <is>
          <t>G021853011135</t>
        </is>
      </c>
    </row>
    <row r="435" ht="75" customHeight="1">
      <c r="A435" s="1">
        <f>HYPERLINK("https://www.toysrus.com/pressman-checker-chess-backgammon-with-folding-board-G021853011135.html", "https://www.toysrus.com/pressman-checker-chess-backgammon-with-folding-board-G021853011135.html")</f>
        <v/>
      </c>
      <c r="B435" s="1">
        <f>HYPERLINK("https://www.toysrus.com/pressman-checker-chess-backgammon-with-folding-board-G021853011135.html", "https://www.toysrus.com/pressman-checker-chess-backgammon-with-folding-board-G021853011135.html")</f>
        <v/>
      </c>
      <c r="C435" t="inlineStr">
        <is>
          <t>Pressman Checker/Chess/Backgammon with Folding Board</t>
        </is>
      </c>
      <c r="D435" t="inlineStr">
        <is>
          <t>Leksak Games 10'' Magnetic Chess Checkers Backgammon Set 3 in 1 - Travel Board Games Portable Case Folding Board - Beginner Chess Set for Kids and Adults - 30 Checkers Pieces</t>
        </is>
      </c>
      <c r="E435" s="1">
        <f>HYPERLINK("https://www.amazon.com/Leksak-Games-Magnetic-Checkers-Backgammon/dp/B09XGFVWVG/ref=sr_1_10?keywords=Pressman+Checker%2FChess%2FBackgammon+with+Folding+Board&amp;qid=1695588257&amp;sr=8-10", "https://www.amazon.com/Leksak-Games-Magnetic-Checkers-Backgammon/dp/B09XGFVWVG/ref=sr_1_10?keywords=Pressman+Checker%2FChess%2FBackgammon+with+Folding+Board&amp;qid=1695588257&amp;sr=8-10")</f>
        <v/>
      </c>
      <c r="F435" t="inlineStr">
        <is>
          <t>B09XGFVWVG</t>
        </is>
      </c>
      <c r="G435">
        <f>_xlfn.IMAGE("https://images.toysrus.com/1285/021853011135_1.jpg")</f>
        <v/>
      </c>
      <c r="H435">
        <f>_xlfn.IMAGE("https://m.media-amazon.com/images/I/71Voaph2+IL._AC_UL320_.jpg")</f>
        <v/>
      </c>
      <c r="K435" t="inlineStr">
        <is>
          <t>9.99</t>
        </is>
      </c>
      <c r="L435" t="n">
        <v>16.95</v>
      </c>
      <c r="M435" s="2" t="inlineStr">
        <is>
          <t>69.67%</t>
        </is>
      </c>
      <c r="N435" t="n">
        <v>4.4</v>
      </c>
      <c r="O435" t="n">
        <v>158</v>
      </c>
      <c r="Q435" t="inlineStr">
        <is>
          <t>InStock</t>
        </is>
      </c>
      <c r="R435" t="inlineStr">
        <is>
          <t>10.99</t>
        </is>
      </c>
      <c r="S435" t="inlineStr">
        <is>
          <t>G021853011135</t>
        </is>
      </c>
    </row>
    <row r="436" ht="75" customHeight="1">
      <c r="A436" s="1">
        <f>HYPERLINK("https://www.toysrus.com/pressman-checker-chess-backgammon-with-folding-board-G021853011135.html", "https://www.toysrus.com/pressman-checker-chess-backgammon-with-folding-board-G021853011135.html")</f>
        <v/>
      </c>
      <c r="B436" s="1">
        <f>HYPERLINK("https://www.toysrus.com/pressman-checker-chess-backgammon-with-folding-board-G021853011135.html", "https://www.toysrus.com/pressman-checker-chess-backgammon-with-folding-board-G021853011135.html")</f>
        <v/>
      </c>
      <c r="C436" t="inlineStr">
        <is>
          <t>Pressman Checker/Chess/Backgammon with Folding Board</t>
        </is>
      </c>
      <c r="D436" t="inlineStr">
        <is>
          <t>Magnetic Chess Set for Kids and Adults, 13 inch 3 in 1 Chess Checkers Backgammon Travel Portable Folding Sets, Gift Children Board Game with Extra Queen</t>
        </is>
      </c>
      <c r="E436" s="1">
        <f>HYPERLINK("https://www.amazon.com/Magnetic-Joneytech-Portable-Checkers-Backgammon/dp/B07TBJ234N/ref=sr_1_4?keywords=Pressman+Checker%2FChess%2FBackgammon+with+Folding+Board&amp;qid=1695588774&amp;sr=8-4", "https://www.amazon.com/Magnetic-Joneytech-Portable-Checkers-Backgammon/dp/B07TBJ234N/ref=sr_1_4?keywords=Pressman+Checker%2FChess%2FBackgammon+with+Folding+Board&amp;qid=1695588774&amp;sr=8-4")</f>
        <v/>
      </c>
      <c r="F436" t="inlineStr">
        <is>
          <t>B07TBJ234N</t>
        </is>
      </c>
      <c r="G436">
        <f>_xlfn.IMAGE("https://images.toysrus.com/1285/021853011135_1.jpg")</f>
        <v/>
      </c>
      <c r="H436">
        <f>_xlfn.IMAGE("https://m.media-amazon.com/images/I/71qsCQix-GL._AC_UL320_.jpg")</f>
        <v/>
      </c>
      <c r="K436" t="inlineStr">
        <is>
          <t>9.99</t>
        </is>
      </c>
      <c r="L436" t="n">
        <v>19.99</v>
      </c>
      <c r="M436" s="2" t="inlineStr">
        <is>
          <t>100.10%</t>
        </is>
      </c>
      <c r="N436" t="n">
        <v>4.6</v>
      </c>
      <c r="O436" t="n">
        <v>352</v>
      </c>
      <c r="Q436" t="inlineStr">
        <is>
          <t>InStock</t>
        </is>
      </c>
      <c r="R436" t="inlineStr">
        <is>
          <t>10.99</t>
        </is>
      </c>
      <c r="S436" t="inlineStr">
        <is>
          <t>G021853011135</t>
        </is>
      </c>
    </row>
    <row r="437" ht="75" customHeight="1">
      <c r="A437" s="1">
        <f>HYPERLINK("https://www.toysrus.com/pressman-checker-chess-backgammon-with-folding-board-G021853011135.html", "https://www.toysrus.com/pressman-checker-chess-backgammon-with-folding-board-G021853011135.html")</f>
        <v/>
      </c>
      <c r="B437" s="1">
        <f>HYPERLINK("https://www.toysrus.com/pressman-checker-chess-backgammon-with-folding-board-G021853011135.html", "https://www.toysrus.com/pressman-checker-chess-backgammon-with-folding-board-G021853011135.html")</f>
        <v/>
      </c>
      <c r="C437" t="inlineStr">
        <is>
          <t>Pressman Checker/Chess/Backgammon with Folding Board</t>
        </is>
      </c>
      <c r="D437" t="inlineStr">
        <is>
          <t>Chess Set，Folding Storage Wooden Chess Board Sets，3 in 1 Chess Board Game for Adults and Kids （Chess，Backgammon，Checkers），Exquisite Wooden Chess Set</t>
        </is>
      </c>
      <c r="E437" s="1" t="n"/>
      <c r="F437" t="inlineStr">
        <is>
          <t>B0BBRBP38F</t>
        </is>
      </c>
      <c r="G437">
        <f>_xlfn.IMAGE("https://images.toysrus.com/1285/021853011135_1.jpg")</f>
        <v/>
      </c>
      <c r="H437">
        <f>_xlfn.IMAGE("https://m.media-amazon.com/images/I/71r4-LeR9jL._AC_UL320_.jpg")</f>
        <v/>
      </c>
      <c r="K437" t="inlineStr">
        <is>
          <t>9.99</t>
        </is>
      </c>
      <c r="L437" t="n">
        <v>16.99</v>
      </c>
      <c r="M437" s="2" t="inlineStr">
        <is>
          <t>70.07%</t>
        </is>
      </c>
      <c r="N437" t="n">
        <v>4.3</v>
      </c>
      <c r="O437" t="n">
        <v>113</v>
      </c>
      <c r="Q437" t="inlineStr">
        <is>
          <t>InStock</t>
        </is>
      </c>
      <c r="R437" t="inlineStr">
        <is>
          <t>10.99</t>
        </is>
      </c>
      <c r="S437" t="inlineStr">
        <is>
          <t>G021853011135</t>
        </is>
      </c>
    </row>
    <row r="438" ht="75" customHeight="1">
      <c r="A438" s="1">
        <f>HYPERLINK("https://www.toysrus.com/pressman-checker-chess-backgammon-with-folding-board-G021853011135.html", "https://www.toysrus.com/pressman-checker-chess-backgammon-with-folding-board-G021853011135.html")</f>
        <v/>
      </c>
      <c r="B438" s="1">
        <f>HYPERLINK("https://www.toysrus.com/pressman-checker-chess-backgammon-with-folding-board-G021853011135.html", "https://www.toysrus.com/pressman-checker-chess-backgammon-with-folding-board-G021853011135.html")</f>
        <v/>
      </c>
      <c r="C438" t="inlineStr">
        <is>
          <t>Pressman Checker/Chess/Backgammon with Folding Board</t>
        </is>
      </c>
      <c r="D438" t="inlineStr">
        <is>
          <t>Leksak Games 10'' Magnetic Chess Checkers Backgammon Set 3 in 1 - Travel Board Games Portable Case Folding Board - Beginner Chess Set for Kids and Adults - 30 Checkers Pieces</t>
        </is>
      </c>
      <c r="E438" s="1">
        <f>HYPERLINK("https://www.amazon.com/Leksak-Games-Magnetic-Checkers-Backgammon/dp/B09XGFVWVG/ref=sr_1_9?keywords=Pressman+Checker%2FChess%2FBackgammon+with+Folding+Board&amp;qid=1695588774&amp;sr=8-9", "https://www.amazon.com/Leksak-Games-Magnetic-Checkers-Backgammon/dp/B09XGFVWVG/ref=sr_1_9?keywords=Pressman+Checker%2FChess%2FBackgammon+with+Folding+Board&amp;qid=1695588774&amp;sr=8-9")</f>
        <v/>
      </c>
      <c r="F438" t="inlineStr">
        <is>
          <t>B09XGFVWVG</t>
        </is>
      </c>
      <c r="G438">
        <f>_xlfn.IMAGE("https://images.toysrus.com/1285/021853011135_1.jpg")</f>
        <v/>
      </c>
      <c r="H438">
        <f>_xlfn.IMAGE("https://m.media-amazon.com/images/I/71Voaph2+IL._AC_UL320_.jpg")</f>
        <v/>
      </c>
      <c r="K438" t="inlineStr">
        <is>
          <t>9.99</t>
        </is>
      </c>
      <c r="L438" t="n">
        <v>16.95</v>
      </c>
      <c r="M438" s="2" t="inlineStr">
        <is>
          <t>69.67%</t>
        </is>
      </c>
      <c r="N438" t="n">
        <v>4.4</v>
      </c>
      <c r="O438" t="n">
        <v>158</v>
      </c>
      <c r="Q438" t="inlineStr">
        <is>
          <t>InStock</t>
        </is>
      </c>
      <c r="R438" t="inlineStr">
        <is>
          <t>10.99</t>
        </is>
      </c>
      <c r="S438" t="inlineStr">
        <is>
          <t>G021853011135</t>
        </is>
      </c>
    </row>
    <row r="439" ht="75" customHeight="1">
      <c r="A439" s="1">
        <f>HYPERLINK("https://www.toysrus.com/quatermain---a-deck-building-game-of-adventure-G0682131892282.html", "https://www.toysrus.com/quatermain---a-deck-building-game-of-adventure-G0682131892282.html")</f>
        <v/>
      </c>
      <c r="B439" s="1">
        <f>HYPERLINK("https://www.toysrus.com/quatermain---a-deck-building-game-of-adventure-G0682131892282.html", "https://www.toysrus.com/quatermain---a-deck-building-game-of-adventure-G0682131892282.html")</f>
        <v/>
      </c>
      <c r="C439" t="inlineStr">
        <is>
          <t>Quatermain - A Deck Building Game Of Adventure</t>
        </is>
      </c>
      <c r="D439" t="inlineStr">
        <is>
          <t>The Lord of The Rings: The Return of King Deck Building Game</t>
        </is>
      </c>
      <c r="E439" s="1">
        <f>HYPERLINK("https://www.amazon.com/Lord-Rings-Return-King-Building/dp/B00FRLW6XQ/ref=sr_1_5?keywords=Quatermain+-+A+Deck+Building+Game+Of+Adventure&amp;qid=1695588447&amp;sr=8-5", "https://www.amazon.com/Lord-Rings-Return-King-Building/dp/B00FRLW6XQ/ref=sr_1_5?keywords=Quatermain+-+A+Deck+Building+Game+Of+Adventure&amp;qid=1695588447&amp;sr=8-5")</f>
        <v/>
      </c>
      <c r="F439" t="inlineStr">
        <is>
          <t>B00FRLW6XQ</t>
        </is>
      </c>
      <c r="G439">
        <f>_xlfn.IMAGE("https://images.toysrus.com/1285/682131892282_1.jpg")</f>
        <v/>
      </c>
      <c r="H439">
        <f>_xlfn.IMAGE("https://m.media-amazon.com/images/I/91ozWJ8Dy7L._AC_UL320_.jpg")</f>
        <v/>
      </c>
      <c r="K439" t="inlineStr">
        <is>
          <t>54.99</t>
        </is>
      </c>
      <c r="L439" t="n">
        <v>99.98999999999999</v>
      </c>
      <c r="M439" s="2" t="inlineStr">
        <is>
          <t>81.83%</t>
        </is>
      </c>
      <c r="N439" t="n">
        <v>4.7</v>
      </c>
      <c r="O439" t="n">
        <v>58</v>
      </c>
      <c r="Q439" t="inlineStr">
        <is>
          <t>InStock</t>
        </is>
      </c>
      <c r="R439" t="inlineStr">
        <is>
          <t>undefined</t>
        </is>
      </c>
      <c r="S439" t="inlineStr">
        <is>
          <t>G0682131892282</t>
        </is>
      </c>
    </row>
    <row r="440" ht="75" customHeight="1">
      <c r="A440" s="1">
        <f>HYPERLINK("https://www.toysrus.com/rainbocorns-bunnycorn-surprise-by-zuru-15400673.html", "https://www.toysrus.com/rainbocorns-bunnycorn-surprise-by-zuru-15400673.html")</f>
        <v/>
      </c>
      <c r="B440" s="1">
        <f>HYPERLINK("https://www.toysrus.com/rainbocorns-bunnycorn-surprise-by-zuru-15400673.html", "https://www.toysrus.com/rainbocorns-bunnycorn-surprise-by-zuru-15400673.html")</f>
        <v/>
      </c>
      <c r="C440" t="inlineStr">
        <is>
          <t>Rainbocorns Bunnycorn Surprise by ZURU</t>
        </is>
      </c>
      <c r="D440" t="inlineStr">
        <is>
          <t>Rainbocorns Sparkle Heart Surprise Mystery Egg Plush by ZURU - Unicorn</t>
        </is>
      </c>
      <c r="E440" s="1">
        <f>HYPERLINK("https://www.amazon.com/Rainbocorns-Sparkle-Heart-Surprise-Mystery/dp/B07MWV4W2J/ref=sr_1_3?keywords=Rainbocorns+Bunnycorn+Surprise+by+ZURU&amp;qid=1695588584&amp;sr=8-3", "https://www.amazon.com/Rainbocorns-Sparkle-Heart-Surprise-Mystery/dp/B07MWV4W2J/ref=sr_1_3?keywords=Rainbocorns+Bunnycorn+Surprise+by+ZURU&amp;qid=1695588584&amp;sr=8-3")</f>
        <v/>
      </c>
      <c r="F440" t="inlineStr">
        <is>
          <t>B07MWV4W2J</t>
        </is>
      </c>
      <c r="G440">
        <f>_xlfn.IMAGE("http://slimages.macys.com/is/image/MCY/products/0/optimized/24504234_fpx.tif")</f>
        <v/>
      </c>
      <c r="H440">
        <f>_xlfn.IMAGE("https://m.media-amazon.com/images/I/91wMqmJm7rL._AC_UL320_.jpg")</f>
        <v/>
      </c>
      <c r="K440" t="inlineStr">
        <is>
          <t>8.99</t>
        </is>
      </c>
      <c r="L440" t="n">
        <v>49.99</v>
      </c>
      <c r="M440" s="2" t="inlineStr">
        <is>
          <t>456.06%</t>
        </is>
      </c>
      <c r="N440" t="n">
        <v>4.5</v>
      </c>
      <c r="O440" t="n">
        <v>1755</v>
      </c>
      <c r="Q440" t="inlineStr">
        <is>
          <t>InStock</t>
        </is>
      </c>
      <c r="R440" t="inlineStr">
        <is>
          <t>undefined</t>
        </is>
      </c>
      <c r="S440" t="inlineStr">
        <is>
          <t>15400673</t>
        </is>
      </c>
    </row>
    <row r="441" ht="75" customHeight="1">
      <c r="A441" s="1">
        <f>HYPERLINK("https://www.toysrus.com/rainbocorns-bunnycorn-surprise-by-zuru-15400673.html", "https://www.toysrus.com/rainbocorns-bunnycorn-surprise-by-zuru-15400673.html")</f>
        <v/>
      </c>
      <c r="B441" s="1">
        <f>HYPERLINK("https://www.toysrus.com/rainbocorns-bunnycorn-surprise-by-zuru-15400673.html", "https://www.toysrus.com/rainbocorns-bunnycorn-surprise-by-zuru-15400673.html")</f>
        <v/>
      </c>
      <c r="C441" t="inlineStr">
        <is>
          <t>Rainbocorns Bunnycorn Surprise by ZURU</t>
        </is>
      </c>
      <c r="D441" t="inlineStr">
        <is>
          <t>Rainbocorns Eggzania Surprise Mania Series 1 (Bunny) by ZURU, Collectible Plush Stuffed Animal, Surprise Eggs, 5 Mini Eggs, Stickers, DIY Jewelry, Slime, Ages 3+ for Girls, Children</t>
        </is>
      </c>
      <c r="E441" s="1">
        <f>HYPERLINK("https://www.amazon.com/Rainbocorns-9258-Rainbocorns-EGGZANIA-SERIES1-Bunny-ZURU/dp/B09NR1XFH3/ref=sr_1_9?keywords=Rainbocorns+Bunnycorn+Surprise+by+ZURU&amp;qid=1695588584&amp;sr=8-9", "https://www.amazon.com/Rainbocorns-9258-Rainbocorns-EGGZANIA-SERIES1-Bunny-ZURU/dp/B09NR1XFH3/ref=sr_1_9?keywords=Rainbocorns+Bunnycorn+Surprise+by+ZURU&amp;qid=1695588584&amp;sr=8-9")</f>
        <v/>
      </c>
      <c r="F441" t="inlineStr">
        <is>
          <t>B09NR1XFH3</t>
        </is>
      </c>
      <c r="G441">
        <f>_xlfn.IMAGE("http://slimages.macys.com/is/image/MCY/products/0/optimized/24504234_fpx.tif")</f>
        <v/>
      </c>
      <c r="H441">
        <f>_xlfn.IMAGE("https://m.media-amazon.com/images/I/91lIz95wkmL._AC_UL320_.jpg")</f>
        <v/>
      </c>
      <c r="K441" t="inlineStr">
        <is>
          <t>8.99</t>
        </is>
      </c>
      <c r="L441" t="n">
        <v>29.99</v>
      </c>
      <c r="M441" s="2" t="inlineStr">
        <is>
          <t>233.59%</t>
        </is>
      </c>
      <c r="N441" t="n">
        <v>4.6</v>
      </c>
      <c r="O441" t="n">
        <v>542</v>
      </c>
      <c r="Q441" t="inlineStr">
        <is>
          <t>InStock</t>
        </is>
      </c>
      <c r="R441" t="inlineStr">
        <is>
          <t>undefined</t>
        </is>
      </c>
      <c r="S441" t="inlineStr">
        <is>
          <t>15400673</t>
        </is>
      </c>
    </row>
    <row r="442" ht="75" customHeight="1">
      <c r="A442" s="1">
        <f>HYPERLINK("https://www.toysrus.com/rainbocorns-bunnycorn-surprise-by-zuru-15400673.html", "https://www.toysrus.com/rainbocorns-bunnycorn-surprise-by-zuru-15400673.html")</f>
        <v/>
      </c>
      <c r="B442" s="1">
        <f>HYPERLINK("https://www.toysrus.com/rainbocorns-bunnycorn-surprise-by-zuru-15400673.html", "https://www.toysrus.com/rainbocorns-bunnycorn-surprise-by-zuru-15400673.html")</f>
        <v/>
      </c>
      <c r="C442" t="inlineStr">
        <is>
          <t>Rainbocorns Bunnycorn Surprise by ZURU</t>
        </is>
      </c>
      <c r="D442" t="inlineStr">
        <is>
          <t>Rainbocorns Fairycorn Princess Surprise (Bunny) by ZURU 11" Collectible Plush Stuffed Animal, Surprise Egg, Wearable Fairy Wings, Magical Fairy Princess, Ages 3+ for Girls, Children</t>
        </is>
      </c>
      <c r="E442" s="1">
        <f>HYPERLINK("https://www.amazon.com/Rainbocorns-Fairycorn-Princess-Surprise-Collectible/dp/B0BS8ZJRRC/ref=sr_1_6?keywords=Rainbocorns+Bunnycorn+Surprise+by+ZURU&amp;qid=1695588584&amp;sr=8-6", "https://www.amazon.com/Rainbocorns-Fairycorn-Princess-Surprise-Collectible/dp/B0BS8ZJRRC/ref=sr_1_6?keywords=Rainbocorns+Bunnycorn+Surprise+by+ZURU&amp;qid=1695588584&amp;sr=8-6")</f>
        <v/>
      </c>
      <c r="F442" t="inlineStr">
        <is>
          <t>B0BS8ZJRRC</t>
        </is>
      </c>
      <c r="G442">
        <f>_xlfn.IMAGE("http://slimages.macys.com/is/image/MCY/products/0/optimized/24504234_fpx.tif")</f>
        <v/>
      </c>
      <c r="H442">
        <f>_xlfn.IMAGE("https://m.media-amazon.com/images/I/91ANE3btSXL._AC_UL320_.jpg")</f>
        <v/>
      </c>
      <c r="K442" t="inlineStr">
        <is>
          <t>8.99</t>
        </is>
      </c>
      <c r="L442" t="n">
        <v>26.99</v>
      </c>
      <c r="M442" s="2" t="inlineStr">
        <is>
          <t>200.22%</t>
        </is>
      </c>
      <c r="N442" t="n">
        <v>4.8</v>
      </c>
      <c r="O442" t="n">
        <v>80</v>
      </c>
      <c r="Q442" t="inlineStr">
        <is>
          <t>InStock</t>
        </is>
      </c>
      <c r="R442" t="inlineStr">
        <is>
          <t>undefined</t>
        </is>
      </c>
      <c r="S442" t="inlineStr">
        <is>
          <t>15400673</t>
        </is>
      </c>
    </row>
    <row r="443" ht="75" customHeight="1">
      <c r="A443" s="1">
        <f>HYPERLINK("https://www.toysrus.com/rainbocorns-bunnycorn-surprise-by-zuru-15400673.html", "https://www.toysrus.com/rainbocorns-bunnycorn-surprise-by-zuru-15400673.html")</f>
        <v/>
      </c>
      <c r="B443" s="1">
        <f>HYPERLINK("https://www.toysrus.com/rainbocorns-bunnycorn-surprise-by-zuru-15400673.html", "https://www.toysrus.com/rainbocorns-bunnycorn-surprise-by-zuru-15400673.html")</f>
        <v/>
      </c>
      <c r="C443" t="inlineStr">
        <is>
          <t>Rainbocorns Bunnycorn Surprise by ZURU</t>
        </is>
      </c>
      <c r="D443" t="inlineStr">
        <is>
          <t>Rainbocorns Fairycorn Kitty Surprise by ZURU - 11" Plush Stuffed Animal, Fairy Wings, Unicorn Slime, Sequin Heart, Ages 3+ for Girls</t>
        </is>
      </c>
      <c r="E443" s="1">
        <f>HYPERLINK("https://www.amazon.com/Rainbocorns-Sequin-Surprise-Fairycorn-Surprise-9238G/dp/B08TB2RCST/ref=sr_1_10?keywords=Rainbocorns+Bunnycorn+Surprise+by+ZURU&amp;qid=1695588584&amp;sr=8-10", "https://www.amazon.com/Rainbocorns-Sequin-Surprise-Fairycorn-Surprise-9238G/dp/B08TB2RCST/ref=sr_1_10?keywords=Rainbocorns+Bunnycorn+Surprise+by+ZURU&amp;qid=1695588584&amp;sr=8-10")</f>
        <v/>
      </c>
      <c r="F443" t="inlineStr">
        <is>
          <t>B08TB2RCST</t>
        </is>
      </c>
      <c r="G443">
        <f>_xlfn.IMAGE("http://slimages.macys.com/is/image/MCY/products/0/optimized/24504234_fpx.tif")</f>
        <v/>
      </c>
      <c r="H443">
        <f>_xlfn.IMAGE("https://m.media-amazon.com/images/I/71LiBXJ0hgS._AC_UL320_.jpg")</f>
        <v/>
      </c>
      <c r="K443" t="inlineStr">
        <is>
          <t>8.99</t>
        </is>
      </c>
      <c r="L443" t="n">
        <v>24.99</v>
      </c>
      <c r="M443" s="2" t="inlineStr">
        <is>
          <t>177.98%</t>
        </is>
      </c>
      <c r="N443" t="n">
        <v>4.7</v>
      </c>
      <c r="O443" t="n">
        <v>1511</v>
      </c>
      <c r="Q443" t="inlineStr">
        <is>
          <t>InStock</t>
        </is>
      </c>
      <c r="R443" t="inlineStr">
        <is>
          <t>undefined</t>
        </is>
      </c>
      <c r="S443" t="inlineStr">
        <is>
          <t>15400673</t>
        </is>
      </c>
    </row>
    <row r="444" ht="75" customHeight="1">
      <c r="A444" s="1">
        <f>HYPERLINK("https://www.toysrus.com/rainbocorns-bunnycorn-surprise-by-zuru-15400673.html", "https://www.toysrus.com/rainbocorns-bunnycorn-surprise-by-zuru-15400673.html")</f>
        <v/>
      </c>
      <c r="B444" s="1">
        <f>HYPERLINK("https://www.toysrus.com/rainbocorns-bunnycorn-surprise-by-zuru-15400673.html", "https://www.toysrus.com/rainbocorns-bunnycorn-surprise-by-zuru-15400673.html")</f>
        <v/>
      </c>
      <c r="C444" t="inlineStr">
        <is>
          <t>Rainbocorns Bunnycorn Surprise by ZURU</t>
        </is>
      </c>
      <c r="D444" t="inlineStr">
        <is>
          <t>RAINBOCORNS Sequin Surprise Monkeycorn (Yellow) Plush in Mystery Egg by Zuru, Multicolor (9201G2)</t>
        </is>
      </c>
      <c r="E444" s="1">
        <f>HYPERLINK("https://www.amazon.com/RAINBOCORNS-Surprise-Monkeycorn-Multicolor-9201G2/dp/B07F1JZ87K/ref=sr_1_4?keywords=Rainbocorns+Bunnycorn+Surprise+by+ZURU&amp;qid=1695588584&amp;sr=8-4", "https://www.amazon.com/RAINBOCORNS-Surprise-Monkeycorn-Multicolor-9201G2/dp/B07F1JZ87K/ref=sr_1_4?keywords=Rainbocorns+Bunnycorn+Surprise+by+ZURU&amp;qid=1695588584&amp;sr=8-4")</f>
        <v/>
      </c>
      <c r="F444" t="inlineStr">
        <is>
          <t>B07F1JZ87K</t>
        </is>
      </c>
      <c r="G444">
        <f>_xlfn.IMAGE("http://slimages.macys.com/is/image/MCY/products/0/optimized/24504234_fpx.tif")</f>
        <v/>
      </c>
      <c r="H444">
        <f>_xlfn.IMAGE("https://m.media-amazon.com/images/I/71WhaXSC67L._AC_UL320_.jpg")</f>
        <v/>
      </c>
      <c r="K444" t="inlineStr">
        <is>
          <t>8.99</t>
        </is>
      </c>
      <c r="L444" t="n">
        <v>20.16</v>
      </c>
      <c r="M444" s="2" t="inlineStr">
        <is>
          <t>124.25%</t>
        </is>
      </c>
      <c r="N444" t="n">
        <v>4.5</v>
      </c>
      <c r="O444" t="n">
        <v>100</v>
      </c>
      <c r="Q444" t="inlineStr">
        <is>
          <t>InStock</t>
        </is>
      </c>
      <c r="R444" t="inlineStr">
        <is>
          <t>undefined</t>
        </is>
      </c>
      <c r="S444" t="inlineStr">
        <is>
          <t>15400673</t>
        </is>
      </c>
    </row>
    <row r="445" ht="75" customHeight="1">
      <c r="A445" s="1">
        <f>HYPERLINK("https://www.toysrus.com/rainbocorns-puppycorn-bow-surprise-by-zuru-15400674.html", "https://www.toysrus.com/rainbocorns-puppycorn-bow-surprise-by-zuru-15400674.html")</f>
        <v/>
      </c>
      <c r="B445" s="1">
        <f>HYPERLINK("https://www.toysrus.com/rainbocorns-puppycorn-bow-surprise-by-zuru-15400674.html", "https://www.toysrus.com/rainbocorns-puppycorn-bow-surprise-by-zuru-15400674.html")</f>
        <v/>
      </c>
      <c r="C445" t="inlineStr">
        <is>
          <t>Rainbocorns Puppycorn Bow Surprise by ZURU</t>
        </is>
      </c>
      <c r="D445" t="inlineStr">
        <is>
          <t>Rainbocorns Epic Golden Egg by ZURU (Seal), Girls Toy Includes Stuffed Animal with 25+ Golden Surprises, with Rings, Stickers, Bows, and More - Girls Gift Idea</t>
        </is>
      </c>
      <c r="E445" s="1">
        <f>HYPERLINK("https://www.amazon.com/Rainbocorns-Big-Surprise-Golden-Surprise-Mailer/dp/B08TB2QMX1/ref=sr_1_10?keywords=Rainbocorns+Puppycorn+Bow+Surprise+by+ZURU&amp;qid=1695588569&amp;sr=8-10", "https://www.amazon.com/Rainbocorns-Big-Surprise-Golden-Surprise-Mailer/dp/B08TB2QMX1/ref=sr_1_10?keywords=Rainbocorns+Puppycorn+Bow+Surprise+by+ZURU&amp;qid=1695588569&amp;sr=8-10")</f>
        <v/>
      </c>
      <c r="F445" t="inlineStr">
        <is>
          <t>B08TB2QMX1</t>
        </is>
      </c>
      <c r="G445">
        <f>_xlfn.IMAGE("http://slimages.macys.com/is/image/MCY/products/0/optimized/24125250_fpx.tif")</f>
        <v/>
      </c>
      <c r="H445">
        <f>_xlfn.IMAGE("https://m.media-amazon.com/images/I/91TrzOF4asL._AC_UL320_.jpg")</f>
        <v/>
      </c>
      <c r="K445" t="inlineStr">
        <is>
          <t>12.99</t>
        </is>
      </c>
      <c r="L445" t="n">
        <v>45</v>
      </c>
      <c r="M445" s="2" t="inlineStr">
        <is>
          <t>246.42%</t>
        </is>
      </c>
      <c r="N445" t="n">
        <v>4.8</v>
      </c>
      <c r="O445" t="n">
        <v>670</v>
      </c>
      <c r="Q445" t="inlineStr">
        <is>
          <t>InStock</t>
        </is>
      </c>
      <c r="R445" t="inlineStr">
        <is>
          <t>undefined</t>
        </is>
      </c>
      <c r="S445" t="inlineStr">
        <is>
          <t>15400674</t>
        </is>
      </c>
    </row>
    <row r="446" ht="75" customHeight="1">
      <c r="A446" s="1">
        <f>HYPERLINK("https://www.toysrus.com/rainbocorns-puppycorn-bow-surprise-by-zuru-15400674.html", "https://www.toysrus.com/rainbocorns-puppycorn-bow-surprise-by-zuru-15400674.html")</f>
        <v/>
      </c>
      <c r="B446" s="1">
        <f>HYPERLINK("https://www.toysrus.com/rainbocorns-puppycorn-bow-surprise-by-zuru-15400674.html", "https://www.toysrus.com/rainbocorns-puppycorn-bow-surprise-by-zuru-15400674.html")</f>
        <v/>
      </c>
      <c r="C446" t="inlineStr">
        <is>
          <t>Rainbocorns Puppycorn Bow Surprise by ZURU</t>
        </is>
      </c>
      <c r="D446" t="inlineStr">
        <is>
          <t>Rainbocorns Puppycorn Rescue (Poodle) by ZURU, Collectible Plush, Stuffed Animal Girl Toys, Surprise Egg, Stickers, Syringe Slime, Ages 3+ for Girls, Children</t>
        </is>
      </c>
      <c r="E446" s="1">
        <f>HYPERLINK("https://www.amazon.com/Rainbocorns-Sequin-Surprise-Puppycorn-Rescue-Poodle/dp/B09NR1XFHC/ref=sr_1_4?keywords=Rainbocorns+Puppycorn+Bow+Surprise+by+ZURU&amp;qid=1695588569&amp;sr=8-4", "https://www.amazon.com/Rainbocorns-Sequin-Surprise-Puppycorn-Rescue-Poodle/dp/B09NR1XFHC/ref=sr_1_4?keywords=Rainbocorns+Puppycorn+Bow+Surprise+by+ZURU&amp;qid=1695588569&amp;sr=8-4")</f>
        <v/>
      </c>
      <c r="F446" t="inlineStr">
        <is>
          <t>B09NR1XFHC</t>
        </is>
      </c>
      <c r="G446">
        <f>_xlfn.IMAGE("http://slimages.macys.com/is/image/MCY/products/0/optimized/24125250_fpx.tif")</f>
        <v/>
      </c>
      <c r="H446">
        <f>_xlfn.IMAGE("https://m.media-amazon.com/images/I/91AAP-qebXL._AC_UL320_.jpg")</f>
        <v/>
      </c>
      <c r="K446" t="inlineStr">
        <is>
          <t>12.99</t>
        </is>
      </c>
      <c r="L446" t="n">
        <v>26.99</v>
      </c>
      <c r="M446" s="2" t="inlineStr">
        <is>
          <t>107.78%</t>
        </is>
      </c>
      <c r="N446" t="n">
        <v>4.7</v>
      </c>
      <c r="O446" t="n">
        <v>1416</v>
      </c>
      <c r="Q446" t="inlineStr">
        <is>
          <t>InStock</t>
        </is>
      </c>
      <c r="R446" t="inlineStr">
        <is>
          <t>undefined</t>
        </is>
      </c>
      <c r="S446" t="inlineStr">
        <is>
          <t>15400674</t>
        </is>
      </c>
    </row>
    <row r="447" ht="75" customHeight="1">
      <c r="A447" s="1">
        <f>HYPERLINK("https://www.toysrus.com/ready-to-race-car-builder-red-kids-car-15358043.html", "https://www.toysrus.com/ready-to-race-car-builder-red-kids-car-15358043.html")</f>
        <v/>
      </c>
      <c r="B447" s="1">
        <f>HYPERLINK("https://www.toysrus.com/ready-to-race-car-builder-red-kids-car-15358043.html", "https://www.toysrus.com/ready-to-race-car-builder-red-kids-car-15358043.html")</f>
        <v/>
      </c>
      <c r="C447" t="inlineStr">
        <is>
          <t>Ready to Race Car Builder, Red Kids Car</t>
        </is>
      </c>
      <c r="D447" t="inlineStr">
        <is>
          <t>Hot Wheels Ready to Race Car Builder Playset Custom Vehicle Toy Car for Kids</t>
        </is>
      </c>
      <c r="E447" s="1">
        <f>HYPERLINK("https://www.amazon.com/Hot-Wheels-Builder-Playset-Vehicle/dp/B09X7GX44G/ref=sr_1_4?keywords=Ready+to+Race+Car+Builder%2C+Red+Kids+Car&amp;qid=1695588715&amp;sr=8-4", "https://www.amazon.com/Hot-Wheels-Builder-Playset-Vehicle/dp/B09X7GX44G/ref=sr_1_4?keywords=Ready+to+Race+Car+Builder%2C+Red+Kids+Car&amp;qid=1695588715&amp;sr=8-4")</f>
        <v/>
      </c>
      <c r="F447" t="inlineStr">
        <is>
          <t>B09X7GX44G</t>
        </is>
      </c>
      <c r="G447">
        <f>_xlfn.IMAGE("http://slimages.macys.com/is/image/MCY/products/0/optimized/24010879_fpx.tif")</f>
        <v/>
      </c>
      <c r="H447">
        <f>_xlfn.IMAGE("https://m.media-amazon.com/images/I/51sFgyZBm5L._AC_UL320_.jpg")</f>
        <v/>
      </c>
      <c r="K447" t="inlineStr">
        <is>
          <t>19.99</t>
        </is>
      </c>
      <c r="L447" t="n">
        <v>45</v>
      </c>
      <c r="M447" s="2" t="inlineStr">
        <is>
          <t>125.11%</t>
        </is>
      </c>
      <c r="N447" t="n">
        <v>4.8</v>
      </c>
      <c r="O447" t="n">
        <v>6</v>
      </c>
      <c r="Q447" t="inlineStr">
        <is>
          <t>InStock</t>
        </is>
      </c>
      <c r="R447" t="inlineStr">
        <is>
          <t>undefined</t>
        </is>
      </c>
      <c r="S447" t="inlineStr">
        <is>
          <t>15358043</t>
        </is>
      </c>
    </row>
    <row r="448" ht="75" customHeight="1">
      <c r="A448" s="1">
        <f>HYPERLINK("https://www.toysrus.com/red-flags-the-date-deck-card-game-G0653341666505.html", "https://www.toysrus.com/red-flags-the-date-deck-card-game-G0653341666505.html")</f>
        <v/>
      </c>
      <c r="B448" s="1">
        <f>HYPERLINK("https://www.toysrus.com/red-flags-the-date-deck-card-game-G0653341666505.html", "https://www.toysrus.com/red-flags-the-date-deck-card-game-G0653341666505.html")</f>
        <v/>
      </c>
      <c r="C448" t="inlineStr">
        <is>
          <t>Red Flags: The Date Deck Card Game</t>
        </is>
      </c>
      <c r="D448" t="inlineStr">
        <is>
          <t>Red Flags: The Game of Terrible Dates | Funny Card Game/Party Game for Adults, 3-10 Players | by Jack Dire, Creator of Superfight</t>
        </is>
      </c>
      <c r="E448" s="1">
        <f>HYPERLINK("https://www.amazon.com/Jack-Dire-Studios-Red-Flags/dp/B087QTT1WN/ref=sr_1_5?keywords=Red+Flags%3A+The+Date+Deck+Card+Game&amp;qid=1695588324&amp;sr=8-5", "https://www.amazon.com/Jack-Dire-Studios-Red-Flags/dp/B087QTT1WN/ref=sr_1_5?keywords=Red+Flags%3A+The+Date+Deck+Card+Game&amp;qid=1695588324&amp;sr=8-5")</f>
        <v/>
      </c>
      <c r="F448" t="inlineStr">
        <is>
          <t>B087QTT1WN</t>
        </is>
      </c>
      <c r="G448">
        <f>_xlfn.IMAGE("https://images.toysrus.com/1285980/653341666505_1.jpg")</f>
        <v/>
      </c>
      <c r="H448">
        <f>_xlfn.IMAGE("https://m.media-amazon.com/images/I/51lzI+mhmAL._AC_UL320_.jpg")</f>
        <v/>
      </c>
      <c r="K448" t="inlineStr">
        <is>
          <t>11.99</t>
        </is>
      </c>
      <c r="L448" t="n">
        <v>25</v>
      </c>
      <c r="M448" s="2" t="inlineStr">
        <is>
          <t>108.51%</t>
        </is>
      </c>
      <c r="N448" t="n">
        <v>4.7</v>
      </c>
      <c r="O448" t="n">
        <v>2636</v>
      </c>
      <c r="Q448" t="inlineStr">
        <is>
          <t>InStock</t>
        </is>
      </c>
      <c r="R448" t="inlineStr">
        <is>
          <t>undefined</t>
        </is>
      </c>
      <c r="S448" t="inlineStr">
        <is>
          <t>G0653341666505</t>
        </is>
      </c>
    </row>
    <row r="449" ht="75" customHeight="1">
      <c r="A449" s="1">
        <f>HYPERLINK("https://www.toysrus.com/renegade-games-vampire-the-masquerade-rivals---the-wolf-and-the-rat-game-expansion-G0810011721937.html", "https://www.toysrus.com/renegade-games-vampire-the-masquerade-rivals---the-wolf-and-the-rat-game-expansion-G0810011721937.html")</f>
        <v/>
      </c>
      <c r="B449" s="1">
        <f>HYPERLINK("https://www.toysrus.com/renegade-games-vampire-the-masquerade-rivals---the-wolf-and-the-rat-game-expansion-G0810011721937.html", "https://www.toysrus.com/renegade-games-vampire-the-masquerade-rivals---the-wolf-and-the-rat-game-expansion-G0810011721937.html")</f>
        <v/>
      </c>
      <c r="C449" t="inlineStr">
        <is>
          <t>Renegade Games Vampire: The Masquerade Rivals - The Wolf &amp; The Rat Game Expansion</t>
        </is>
      </c>
      <c r="D449" t="inlineStr">
        <is>
          <t>The Bloodsuckers |Vampire Rivals Adversaries| Card Game &amp;The EXPANSIONS: The Wolf &amp; The Rat, Blood &amp; Alchemy Bundle With Random Color Drawstring Bag Plus COMPATIBLES Blood Tokens</t>
        </is>
      </c>
      <c r="E449" s="1">
        <f>HYPERLINK("https://www.amazon.com/Bloodsuckers-Vampire-Rivals-Adversaries-EXPANSIONS/dp/B09TTXMBC7/ref=sr_1_2?keywords=Renegade+Games+Vampire%3A+The+Masquerade+Rivals+-+The+Wolf&amp;qid=1695588437&amp;sr=8-2", "https://www.amazon.com/Bloodsuckers-Vampire-Rivals-Adversaries-EXPANSIONS/dp/B09TTXMBC7/ref=sr_1_2?keywords=Renegade+Games+Vampire%3A+The+Masquerade+Rivals+-+The+Wolf&amp;qid=1695588437&amp;sr=8-2")</f>
        <v/>
      </c>
      <c r="F449" t="inlineStr">
        <is>
          <t>B09TTXMBC7</t>
        </is>
      </c>
      <c r="G449">
        <f>_xlfn.IMAGE("https://images.toysrus.com/1285980/810011721937_1.jpg")</f>
        <v/>
      </c>
      <c r="H449">
        <f>_xlfn.IMAGE("https://m.media-amazon.com/images/I/91auhP-48xL._AC_UL320_.jpg")</f>
        <v/>
      </c>
      <c r="K449" t="inlineStr">
        <is>
          <t>29.99</t>
        </is>
      </c>
      <c r="L449" t="n">
        <v>134.99</v>
      </c>
      <c r="M449" s="2" t="inlineStr">
        <is>
          <t>350.12%</t>
        </is>
      </c>
      <c r="N449" t="n">
        <v>5</v>
      </c>
      <c r="O449" t="n">
        <v>6</v>
      </c>
      <c r="Q449" t="inlineStr">
        <is>
          <t>InStock</t>
        </is>
      </c>
      <c r="R449" t="inlineStr">
        <is>
          <t>undefined</t>
        </is>
      </c>
      <c r="S449" t="inlineStr">
        <is>
          <t>G0810011721937</t>
        </is>
      </c>
    </row>
    <row r="450" ht="75" customHeight="1">
      <c r="A450" s="1">
        <f>HYPERLINK("https://www.toysrus.com/rick-and-morty-the-morty-zone-dice-game-G814552028296.html", "https://www.toysrus.com/rick-and-morty-the-morty-zone-dice-game-G814552028296.html")</f>
        <v/>
      </c>
      <c r="B450" s="1">
        <f>HYPERLINK("https://www.toysrus.com/rick-and-morty-the-morty-zone-dice-game-G814552028296.html", "https://www.toysrus.com/rick-and-morty-the-morty-zone-dice-game-G814552028296.html")</f>
        <v/>
      </c>
      <c r="C450" t="inlineStr">
        <is>
          <t>Rick and Morty: The Morty Zone Dice Game</t>
        </is>
      </c>
      <c r="D450" t="inlineStr">
        <is>
          <t>Cryptozoic Entertainment Mr. Meeseeks' Box O' Fun The Rick and Morty Dice Dares Game</t>
        </is>
      </c>
      <c r="E450" s="1">
        <f>HYPERLINK("https://www.amazon.com/Cryptozoic-Entertainment-Meeseeks-Morty-Dares/dp/B01BEZTAGE/ref=sr_1_3?keywords=Rick+and+Morty%3A+The+Morty+Zone+Dice+Game&amp;qid=1695588363&amp;sr=8-3", "https://www.amazon.com/Cryptozoic-Entertainment-Meeseeks-Morty-Dares/dp/B01BEZTAGE/ref=sr_1_3?keywords=Rick+and+Morty%3A+The+Morty+Zone+Dice+Game&amp;qid=1695588363&amp;sr=8-3")</f>
        <v/>
      </c>
      <c r="F450" t="inlineStr">
        <is>
          <t>B01BEZTAGE</t>
        </is>
      </c>
      <c r="G450">
        <f>_xlfn.IMAGE("https://images.toysrus.com/1285/814552028296_1.jpg")</f>
        <v/>
      </c>
      <c r="H450">
        <f>_xlfn.IMAGE("https://m.media-amazon.com/images/I/61LXQwE3KWL._AC_UL320_.jpg")</f>
        <v/>
      </c>
      <c r="K450" t="inlineStr">
        <is>
          <t>12.95</t>
        </is>
      </c>
      <c r="L450" t="n">
        <v>22</v>
      </c>
      <c r="M450" s="2" t="inlineStr">
        <is>
          <t>69.88%</t>
        </is>
      </c>
      <c r="N450" t="n">
        <v>4.6</v>
      </c>
      <c r="O450" t="n">
        <v>905</v>
      </c>
      <c r="Q450" t="inlineStr">
        <is>
          <t>InStock</t>
        </is>
      </c>
      <c r="R450" t="inlineStr">
        <is>
          <t>undefined</t>
        </is>
      </c>
      <c r="S450" t="inlineStr">
        <is>
          <t>G814552028296</t>
        </is>
      </c>
    </row>
    <row r="451" ht="75" customHeight="1">
      <c r="A451" s="1">
        <f>HYPERLINK("https://www.toysrus.com/rio-grande-games-dominion-renaissance-board-game-G655132005586.html", "https://www.toysrus.com/rio-grande-games-dominion-renaissance-board-game-G655132005586.html")</f>
        <v/>
      </c>
      <c r="B451" s="1">
        <f>HYPERLINK("https://www.toysrus.com/rio-grande-games-dominion-renaissance-board-game-G655132005586.html", "https://www.toysrus.com/rio-grande-games-dominion-renaissance-board-game-G655132005586.html")</f>
        <v/>
      </c>
      <c r="C451" t="inlineStr">
        <is>
          <t>Rio Grande Games Dominion: Renaissance Board Game</t>
        </is>
      </c>
      <c r="D451" t="inlineStr">
        <is>
          <t>Rio Grande Games: Dominion Big Box 2nd Edition: Strategy Board Game, Comes with Extra Base Cards for 5-6 Players, Compatible with all Dominion Expansions</t>
        </is>
      </c>
      <c r="E451" s="1">
        <f>HYPERLINK("https://www.amazon.com/Rio-Grande-Games-Compatible-Expansions/dp/B01MA5AJY9/ref=sr_1_2?keywords=Rio+Grande+Games+Dominion%3A+Renaissance+Board+Game&amp;qid=1695588331&amp;sr=8-2", "https://www.amazon.com/Rio-Grande-Games-Compatible-Expansions/dp/B01MA5AJY9/ref=sr_1_2?keywords=Rio+Grande+Games+Dominion%3A+Renaissance+Board+Game&amp;qid=1695588331&amp;sr=8-2")</f>
        <v/>
      </c>
      <c r="F451" t="inlineStr">
        <is>
          <t>B01MA5AJY9</t>
        </is>
      </c>
      <c r="G451">
        <f>_xlfn.IMAGE("https://images.toysrus.com/1128598/655132005586_1.jpg")</f>
        <v/>
      </c>
      <c r="H451">
        <f>_xlfn.IMAGE("https://m.media-amazon.com/images/I/81pQ76xmsHS._AC_UL320_.jpg")</f>
        <v/>
      </c>
      <c r="K451" t="inlineStr">
        <is>
          <t>44.99</t>
        </is>
      </c>
      <c r="L451" t="n">
        <v>74.98999999999999</v>
      </c>
      <c r="M451" s="2" t="inlineStr">
        <is>
          <t>66.68%</t>
        </is>
      </c>
      <c r="N451" t="n">
        <v>4.8</v>
      </c>
      <c r="O451" t="n">
        <v>1766</v>
      </c>
      <c r="Q451" t="inlineStr">
        <is>
          <t>InStock</t>
        </is>
      </c>
      <c r="R451" t="inlineStr">
        <is>
          <t>undefined</t>
        </is>
      </c>
      <c r="S451" t="inlineStr">
        <is>
          <t>G655132005586</t>
        </is>
      </c>
    </row>
    <row r="452" ht="75" customHeight="1">
      <c r="A452" s="1">
        <f>HYPERLINK("https://www.toysrus.com/root-the-roleplaying-game-core-rulebook-G9781952885082.html", "https://www.toysrus.com/root-the-roleplaying-game-core-rulebook-G9781952885082.html")</f>
        <v/>
      </c>
      <c r="B452" s="1">
        <f>HYPERLINK("https://www.toysrus.com/root-the-roleplaying-game-core-rulebook-G9781952885082.html", "https://www.toysrus.com/root-the-roleplaying-game-core-rulebook-G9781952885082.html")</f>
        <v/>
      </c>
      <c r="C452" t="inlineStr">
        <is>
          <t>Root: The Roleplaying Game Core Rulebook</t>
        </is>
      </c>
      <c r="D452" t="inlineStr">
        <is>
          <t>Magpie Games Root- The Roleplaying Game Deluxe Edition - Set Includes Core Rulebook &amp; Travelers &amp; Outsiders Supplement, Alternate Foil Stamped Cover &amp; Lush Hard Slipcase, 3-5 Player, 2-4 Hour Run Time</t>
        </is>
      </c>
      <c r="E452" s="1">
        <f>HYPERLINK("https://www.amazon.com/Root-Roleplaying-Game-Deluxe-Slipcase/dp/1952885205/ref=sr_1_1?keywords=Root%3A+The+Roleplaying+Game+Core+Rulebook&amp;qid=1695588526&amp;sr=8-1", "https://www.amazon.com/Root-Roleplaying-Game-Deluxe-Slipcase/dp/1952885205/ref=sr_1_1?keywords=Root%3A+The+Roleplaying+Game+Core+Rulebook&amp;qid=1695588526&amp;sr=8-1")</f>
        <v/>
      </c>
      <c r="F452" t="inlineStr">
        <is>
          <t>1952885205</t>
        </is>
      </c>
      <c r="G452">
        <f>_xlfn.IMAGE("https://images.toysrus.com/28598/9781952885082_1.jpg")</f>
        <v/>
      </c>
      <c r="H452">
        <f>_xlfn.IMAGE("https://m.media-amazon.com/images/I/81kpIKG886L._AC_UY218_.jpg")</f>
        <v/>
      </c>
      <c r="K452" t="inlineStr">
        <is>
          <t>39.99</t>
        </is>
      </c>
      <c r="L452" t="n">
        <v>91.14</v>
      </c>
      <c r="M452" s="2" t="inlineStr">
        <is>
          <t>127.91%</t>
        </is>
      </c>
      <c r="N452" t="n">
        <v>4.8</v>
      </c>
      <c r="O452" t="n">
        <v>5</v>
      </c>
      <c r="Q452" t="inlineStr">
        <is>
          <t>InStock</t>
        </is>
      </c>
      <c r="R452" t="inlineStr">
        <is>
          <t>undefined</t>
        </is>
      </c>
      <c r="S452" t="inlineStr">
        <is>
          <t>G9781952885082</t>
        </is>
      </c>
    </row>
    <row r="453" ht="75" customHeight="1">
      <c r="A453" s="1">
        <f>HYPERLINK("https://www.toysrus.com/rush-m.d.---artipia-games-cooperative-board-game-worker-placement-strategy-dexerity-ages-14-1-4-players-30-45-mins-G0700615556199.html", "https://www.toysrus.com/rush-m.d.---artipia-games-cooperative-board-game-worker-placement-strategy-dexerity-ages-14-1-4-players-30-45-mins-G0700615556199.html")</f>
        <v/>
      </c>
      <c r="B453" s="1">
        <f>HYPERLINK("https://www.toysrus.com/rush-m.d.---artipia-games-cooperative-board-game-worker-placement-strategy-dexerity-ages-14-1-4-players-30-45-mins-G0700615556199.html", "https://www.toysrus.com/rush-m.d.---artipia-games-cooperative-board-game-worker-placement-strategy-dexerity-ages-14-1-4-players-30-45-mins-G0700615556199.html")</f>
        <v/>
      </c>
      <c r="C453" t="inlineStr">
        <is>
          <t>Rush M.D. - Artipia Games Cooperative Board Game, Worker Placement, Strategy, Dexerity, Ages 14+, 1-4 Players, 30-45 Mins</t>
        </is>
      </c>
      <c r="D453" t="inlineStr">
        <is>
          <t>Rush M.D. - Artipia Games Cooperative Board Game, Worker Placement, Strategy, Dexerity, Ages 14+, 1-4 Players, 30-45 Mins</t>
        </is>
      </c>
      <c r="E453" s="1">
        <f>HYPERLINK("https://www.amazon.com/Artipiagames-Rush-M-D/dp/B0948G5X6B/ref=sr_1_1?keywords=Rush+M.D.+-+Artipia+Games+Cooperative+Board+Game%2C+Worker+Placement%2C+Strategy%2C+Dexerity%2C+Ages+14+%2C+1-4+Players%2C+30-45+Mins&amp;qid=1695588380&amp;sr=8-1", "https://www.amazon.com/Artipiagames-Rush-M-D/dp/B0948G5X6B/ref=sr_1_1?keywords=Rush+M.D.+-+Artipia+Games+Cooperative+Board+Game%2C+Worker+Placement%2C+Strategy%2C+Dexerity%2C+Ages+14+%2C+1-4+Players%2C+30-45+Mins&amp;qid=1695588380&amp;sr=8-1")</f>
        <v/>
      </c>
      <c r="F453" t="inlineStr">
        <is>
          <t>B0948G5X6B</t>
        </is>
      </c>
      <c r="G453">
        <f>_xlfn.IMAGE("https://images.toysrus.com/1285/700615556199_1.jpg")</f>
        <v/>
      </c>
      <c r="H453">
        <f>_xlfn.IMAGE("https://m.media-amazon.com/images/I/81N+HYVKkUL._AC_UL320_.jpg")</f>
        <v/>
      </c>
      <c r="I453" t="n">
        <v>0</v>
      </c>
      <c r="J453" t="inlineStr">
        <is>
          <t>low roi</t>
        </is>
      </c>
      <c r="K453" t="inlineStr">
        <is>
          <t>29.99</t>
        </is>
      </c>
      <c r="L453" t="n">
        <v>50.34</v>
      </c>
      <c r="M453" s="2" t="inlineStr">
        <is>
          <t>67.86%</t>
        </is>
      </c>
      <c r="N453" t="n">
        <v>4.5</v>
      </c>
      <c r="O453" t="n">
        <v>30</v>
      </c>
      <c r="Q453" t="inlineStr">
        <is>
          <t>InStock</t>
        </is>
      </c>
      <c r="R453" t="inlineStr">
        <is>
          <t>29.99</t>
        </is>
      </c>
      <c r="S453" t="inlineStr">
        <is>
          <t>G0700615556199</t>
        </is>
      </c>
    </row>
    <row r="454" ht="75" customHeight="1">
      <c r="A454" s="1">
        <f>HYPERLINK("https://www.toysrus.com/rush-m.d.-icu-expansion---artipia-games-cooperative-board-game-worker-placement-strategy-ages-14-1-4-players-30-45-mins-G0700615556601.html", "https://www.toysrus.com/rush-m.d.-icu-expansion---artipia-games-cooperative-board-game-worker-placement-strategy-ages-14-1-4-players-30-45-mins-G0700615556601.html")</f>
        <v/>
      </c>
      <c r="B454" s="1">
        <f>HYPERLINK("https://www.toysrus.com/rush-m.d.-icu-expansion---artipia-games-cooperative-board-game-worker-placement-strategy-ages-14-1-4-players-30-45-mins-G0700615556601.html", "https://www.toysrus.com/rush-m.d.-icu-expansion---artipia-games-cooperative-board-game-worker-placement-strategy-ages-14-1-4-players-30-45-mins-G0700615556601.html")</f>
        <v/>
      </c>
      <c r="C454" t="inlineStr">
        <is>
          <t>Rush M.D.: ICU Expansion - Artipia Games Cooperative Board Game, Worker Placement, Strategy, Ages 14+, 1-4 Players, 30-45 Mins</t>
        </is>
      </c>
      <c r="D454" t="inlineStr">
        <is>
          <t>Artipiagames Rush M.D. - Artipia Games Cooperative Board Game, Worker Placement, Strategy, Dexerity, Ages 14+, 1-4 Players, 30-45 Mins</t>
        </is>
      </c>
      <c r="E454" s="1">
        <f>HYPERLINK("https://www.amazon.com/Artipiagames-Rush-M-D/dp/B0948G5X6B/ref=sr_1_2?keywords=Rush+M.D.%3A+ICU+Expansion+-+Artipia+Games+Cooperative+Board+Game%2C+Worker+Placement%2C+Strategy%2C+Ages+14+%2C+1-4+Players%2C+30-45+Mins&amp;qid=1695588291&amp;sr=8-2", "https://www.amazon.com/Artipiagames-Rush-M-D/dp/B0948G5X6B/ref=sr_1_2?keywords=Rush+M.D.%3A+ICU+Expansion+-+Artipia+Games+Cooperative+Board+Game%2C+Worker+Placement%2C+Strategy%2C+Ages+14+%2C+1-4+Players%2C+30-45+Mins&amp;qid=1695588291&amp;sr=8-2")</f>
        <v/>
      </c>
      <c r="F454" t="inlineStr">
        <is>
          <t>B0948G5X6B</t>
        </is>
      </c>
      <c r="G454">
        <f>_xlfn.IMAGE("https://images.toysrus.com/1285/700615556601_1.jpg")</f>
        <v/>
      </c>
      <c r="H454">
        <f>_xlfn.IMAGE("https://m.media-amazon.com/images/I/81N+HYVKkUL._AC_UL320_.jpg")</f>
        <v/>
      </c>
      <c r="K454" t="inlineStr">
        <is>
          <t>17.99</t>
        </is>
      </c>
      <c r="L454" t="n">
        <v>50.29</v>
      </c>
      <c r="M454" s="2" t="inlineStr">
        <is>
          <t>179.54%</t>
        </is>
      </c>
      <c r="N454" t="n">
        <v>4.5</v>
      </c>
      <c r="O454" t="n">
        <v>30</v>
      </c>
      <c r="Q454" t="inlineStr">
        <is>
          <t>InStock</t>
        </is>
      </c>
      <c r="R454" t="inlineStr">
        <is>
          <t>34.99</t>
        </is>
      </c>
      <c r="S454" t="inlineStr">
        <is>
          <t>G0700615556601</t>
        </is>
      </c>
    </row>
    <row r="455" ht="75" customHeight="1">
      <c r="A455" s="1">
        <f>HYPERLINK("https://www.toysrus.com/rush-m.d.-icu-expansion---artipia-games-cooperative-board-game-worker-placement-strategy-ages-14-1-4-players-30-45-mins-G0700615556601.html", "https://www.toysrus.com/rush-m.d.-icu-expansion---artipia-games-cooperative-board-game-worker-placement-strategy-ages-14-1-4-players-30-45-mins-G0700615556601.html")</f>
        <v/>
      </c>
      <c r="B455" s="1">
        <f>HYPERLINK("https://www.toysrus.com/rush-m.d.-icu-expansion---artipia-games-cooperative-board-game-worker-placement-strategy-ages-14-1-4-players-30-45-mins-G0700615556601.html", "https://www.toysrus.com/rush-m.d.-icu-expansion---artipia-games-cooperative-board-game-worker-placement-strategy-ages-14-1-4-players-30-45-mins-G0700615556601.html")</f>
        <v/>
      </c>
      <c r="C455" t="inlineStr">
        <is>
          <t>Rush M.D.: ICU Expansion - Artipia Games Cooperative Board Game, Worker Placement, Strategy, Ages 14+, 1-4 Players, 30-45 Mins</t>
        </is>
      </c>
      <c r="D455" t="inlineStr">
        <is>
          <t>Artipiagames Rush M.D.: ICU Expansion - Artipia Games Cooperative Board Game, Worker Placement, Strategy, Ages 14+, 1-4 Players, 30-45 Mins</t>
        </is>
      </c>
      <c r="E455" s="1" t="n"/>
      <c r="F455" t="inlineStr">
        <is>
          <t>B0B4F3WG1M</t>
        </is>
      </c>
      <c r="G455">
        <f>_xlfn.IMAGE("https://images.toysrus.com/1285/700615556601_1.jpg")</f>
        <v/>
      </c>
      <c r="H455">
        <f>_xlfn.IMAGE("https://m.media-amazon.com/images/I/81D5N8XlJcL._AC_UL320_.jpg")</f>
        <v/>
      </c>
      <c r="I455" t="n">
        <v>0</v>
      </c>
      <c r="J455" t="inlineStr">
        <is>
          <t>low roi</t>
        </is>
      </c>
      <c r="K455" t="inlineStr">
        <is>
          <t>17.99</t>
        </is>
      </c>
      <c r="L455" t="n">
        <v>33.76</v>
      </c>
      <c r="M455" s="2" t="inlineStr">
        <is>
          <t>87.66%</t>
        </is>
      </c>
      <c r="N455" t="n">
        <v>5</v>
      </c>
      <c r="O455" t="n">
        <v>2</v>
      </c>
      <c r="Q455" t="inlineStr">
        <is>
          <t>InStock</t>
        </is>
      </c>
      <c r="R455" t="inlineStr">
        <is>
          <t>34.99</t>
        </is>
      </c>
      <c r="S455" t="inlineStr">
        <is>
          <t>G0700615556601</t>
        </is>
      </c>
    </row>
    <row r="456" ht="75" customHeight="1">
      <c r="A456" s="1">
        <f>HYPERLINK("https://www.toysrus.com/sargent-art---supreme-series-artist-pencil-set-G0042229272950.html", "https://www.toysrus.com/sargent-art---supreme-series-artist-pencil-set-G0042229272950.html")</f>
        <v/>
      </c>
      <c r="B456" s="1">
        <f>HYPERLINK("https://www.toysrus.com/sargent-art---supreme-series-artist-pencil-set-G0042229272950.html", "https://www.toysrus.com/sargent-art---supreme-series-artist-pencil-set-G0042229272950.html")</f>
        <v/>
      </c>
      <c r="C456" t="inlineStr">
        <is>
          <t>Sargent Art - Supreme Series Artist Pencil Set</t>
        </is>
      </c>
      <c r="D456" t="inlineStr">
        <is>
          <t>Sargent Art Set of 72 Different Colored Pencils, Artist Quality, Writing, Drawing, Illustration, Non-Toxic</t>
        </is>
      </c>
      <c r="E456" s="1">
        <f>HYPERLINK("https://www.amazon.com/Sargent-Art-22-7287-Pencils-Coloring/dp/B06XDDTNFN/ref=sr_1_1?keywords=Sargent+Art+-+Supreme+Series+Artist+Pencil+Set&amp;qid=1695588681&amp;sr=8-1", "https://www.amazon.com/Sargent-Art-22-7287-Pencils-Coloring/dp/B06XDDTNFN/ref=sr_1_1?keywords=Sargent+Art+-+Supreme+Series+Artist+Pencil+Set&amp;qid=1695588681&amp;sr=8-1")</f>
        <v/>
      </c>
      <c r="F456" t="inlineStr">
        <is>
          <t>B06XDDTNFN</t>
        </is>
      </c>
      <c r="G456">
        <f>_xlfn.IMAGE("https://images.toysrus.com/1285/042229272950_1.jpg")</f>
        <v/>
      </c>
      <c r="H456">
        <f>_xlfn.IMAGE("https://m.media-amazon.com/images/I/91B0HHNgWNL._AC_UL320_.jpg")</f>
        <v/>
      </c>
      <c r="K456" t="inlineStr">
        <is>
          <t>19.99</t>
        </is>
      </c>
      <c r="L456" t="n">
        <v>38.3</v>
      </c>
      <c r="M456" s="2" t="inlineStr">
        <is>
          <t>91.60%</t>
        </is>
      </c>
      <c r="N456" t="n">
        <v>4.5</v>
      </c>
      <c r="O456" t="n">
        <v>309</v>
      </c>
      <c r="Q456" t="inlineStr">
        <is>
          <t>InStock</t>
        </is>
      </c>
      <c r="R456" t="inlineStr">
        <is>
          <t>undefined</t>
        </is>
      </c>
      <c r="S456" t="inlineStr">
        <is>
          <t>G0042229272950</t>
        </is>
      </c>
    </row>
    <row r="457" ht="75" customHeight="1">
      <c r="A457" s="1">
        <f>HYPERLINK("https://www.toysrus.com/schylling-loop-refill-for-metal-potholder-loom-G019649227372.html", "https://www.toysrus.com/schylling-loop-refill-for-metal-potholder-loom-G019649227372.html")</f>
        <v/>
      </c>
      <c r="B457" s="1">
        <f>HYPERLINK("https://www.toysrus.com/schylling-loop-refill-for-metal-potholder-loom-G019649227372.html", "https://www.toysrus.com/schylling-loop-refill-for-metal-potholder-loom-G019649227372.html")</f>
        <v/>
      </c>
      <c r="C457" t="inlineStr">
        <is>
          <t>Schylling Loop Refill For Metal Potholder Loom</t>
        </is>
      </c>
      <c r="D457" t="inlineStr">
        <is>
          <t>Friendly Loom 10" PRO Size Black Potholder Metal Loom Kit with Bright Rainbow Color Cotton Loops to Make 2 Potholders, Weaving Crafts for Kids &amp; Adults MADE IN THE USA by Harrisville Designs</t>
        </is>
      </c>
      <c r="E457" s="1">
        <f>HYPERLINK("https://www.amazon.com/Harrisville-Designs-Potholder-Packaging-Black/dp/B002EDNZD0/ref=sr_1_2?keywords=Schylling+Loop+Refill+For+Metal+Potholder+Loom&amp;qid=1695588676&amp;sr=8-2", "https://www.amazon.com/Harrisville-Designs-Potholder-Packaging-Black/dp/B002EDNZD0/ref=sr_1_2?keywords=Schylling+Loop+Refill+For+Metal+Potholder+Loom&amp;qid=1695588676&amp;sr=8-2")</f>
        <v/>
      </c>
      <c r="F457" t="inlineStr">
        <is>
          <t>B002EDNZD0</t>
        </is>
      </c>
      <c r="G457">
        <f>_xlfn.IMAGE("https://images.toysrus.com/28598/019649227372_1.jpg")</f>
        <v/>
      </c>
      <c r="H457">
        <f>_xlfn.IMAGE("https://m.media-amazon.com/images/I/81zE9COHh8L._AC_UL320_.jpg")</f>
        <v/>
      </c>
      <c r="K457" t="inlineStr">
        <is>
          <t>6.99</t>
        </is>
      </c>
      <c r="L457" t="n">
        <v>32.95</v>
      </c>
      <c r="M457" s="2" t="inlineStr">
        <is>
          <t>371.39%</t>
        </is>
      </c>
      <c r="N457" t="n">
        <v>4.7</v>
      </c>
      <c r="O457" t="n">
        <v>2253</v>
      </c>
      <c r="Q457" t="inlineStr">
        <is>
          <t>InStock</t>
        </is>
      </c>
      <c r="R457" t="inlineStr">
        <is>
          <t>undefined</t>
        </is>
      </c>
      <c r="S457" t="inlineStr">
        <is>
          <t>G019649227372</t>
        </is>
      </c>
    </row>
    <row r="458" ht="75" customHeight="1">
      <c r="A458" s="1">
        <f>HYPERLINK("https://www.toysrus.com/schylling-loop-refill-for-metal-potholder-loom-G019649227372.html", "https://www.toysrus.com/schylling-loop-refill-for-metal-potholder-loom-G019649227372.html")</f>
        <v/>
      </c>
      <c r="B458" s="1">
        <f>HYPERLINK("https://www.toysrus.com/schylling-loop-refill-for-metal-potholder-loom-G019649227372.html", "https://www.toysrus.com/schylling-loop-refill-for-metal-potholder-loom-G019649227372.html")</f>
        <v/>
      </c>
      <c r="C458" t="inlineStr">
        <is>
          <t>Schylling Loop Refill For Metal Potholder Loom</t>
        </is>
      </c>
      <c r="D458" t="inlineStr">
        <is>
          <t>Aodaer 288 Pieces Loom Potholder Loops Weaving Loom Loops Elastic Potholder Loops Weaving Craft Loops Refill with Multiple Colors for DIY Crafts Supplies Favors, Compatible with 7 Inch Weaving Loom</t>
        </is>
      </c>
      <c r="E458" s="1">
        <f>HYPERLINK("https://www.amazon.com/Aodaer-Potholder-Multiple-Supplies-Compatible/dp/B08JSQLP78/ref=sr_1_3?keywords=Schylling+Loop+Refill+For+Metal+Potholder+Loom&amp;qid=1695588676&amp;sr=8-3", "https://www.amazon.com/Aodaer-Potholder-Multiple-Supplies-Compatible/dp/B08JSQLP78/ref=sr_1_3?keywords=Schylling+Loop+Refill+For+Metal+Potholder+Loom&amp;qid=1695588676&amp;sr=8-3")</f>
        <v/>
      </c>
      <c r="F458" t="inlineStr">
        <is>
          <t>B08JSQLP78</t>
        </is>
      </c>
      <c r="G458">
        <f>_xlfn.IMAGE("https://images.toysrus.com/28598/019649227372_1.jpg")</f>
        <v/>
      </c>
      <c r="H458">
        <f>_xlfn.IMAGE("https://m.media-amazon.com/images/I/81n83bzlKFL._AC_UL320_.jpg")</f>
        <v/>
      </c>
      <c r="K458" t="inlineStr">
        <is>
          <t>6.99</t>
        </is>
      </c>
      <c r="L458" t="n">
        <v>17.99</v>
      </c>
      <c r="M458" s="2" t="inlineStr">
        <is>
          <t>157.37%</t>
        </is>
      </c>
      <c r="N458" t="n">
        <v>4.6</v>
      </c>
      <c r="O458" t="n">
        <v>187</v>
      </c>
      <c r="Q458" t="inlineStr">
        <is>
          <t>InStock</t>
        </is>
      </c>
      <c r="R458" t="inlineStr">
        <is>
          <t>undefined</t>
        </is>
      </c>
      <c r="S458" t="inlineStr">
        <is>
          <t>G019649227372</t>
        </is>
      </c>
    </row>
    <row r="459" ht="75" customHeight="1">
      <c r="A459" s="1">
        <f>HYPERLINK("https://www.toysrus.com/scythe-the-wind-gambit-expansion-strategy-board-game-G653341027702.html", "https://www.toysrus.com/scythe-the-wind-gambit-expansion-strategy-board-game-G653341027702.html")</f>
        <v/>
      </c>
      <c r="B459" s="1">
        <f>HYPERLINK("https://www.toysrus.com/scythe-the-wind-gambit-expansion-strategy-board-game-G653341027702.html", "https://www.toysrus.com/scythe-the-wind-gambit-expansion-strategy-board-game-G653341027702.html")</f>
        <v/>
      </c>
      <c r="C459" t="inlineStr">
        <is>
          <t>Scythe: The Wind Gambit Expansion Strategy Board Game</t>
        </is>
      </c>
      <c r="D459" t="inlineStr">
        <is>
          <t>TowerRex Board Game Organizer for Scythe board game Legendary Box, Scythe Invaders from Afar expansion, Scythe Rise of Fenris expansion, Scythe Wind Gambit expansion, Scythe LB game organizer storage</t>
        </is>
      </c>
      <c r="E459" s="1">
        <f>HYPERLINK("https://www.amazon.com/TowerRex-Storage-Organizer-Scythe-Legendary/dp/B0BCX9TLBZ/ref=sr_1_4?keywords=Scythe%3A+The+Wind+Gambit+Expansion+Strategy+Board+Game&amp;qid=1695588187&amp;sr=8-4", "https://www.amazon.com/TowerRex-Storage-Organizer-Scythe-Legendary/dp/B0BCX9TLBZ/ref=sr_1_4?keywords=Scythe%3A+The+Wind+Gambit+Expansion+Strategy+Board+Game&amp;qid=1695588187&amp;sr=8-4")</f>
        <v/>
      </c>
      <c r="F459" t="inlineStr">
        <is>
          <t>B0BCX9TLBZ</t>
        </is>
      </c>
      <c r="G459">
        <f>_xlfn.IMAGE("https://images.toysrus.com/1285980/653341027702_1.jpg")</f>
        <v/>
      </c>
      <c r="H459">
        <f>_xlfn.IMAGE("https://m.media-amazon.com/images/I/71C1YQZnh8L._AC_UL320_.jpg")</f>
        <v/>
      </c>
      <c r="K459" t="inlineStr">
        <is>
          <t>24.99</t>
        </is>
      </c>
      <c r="L459" t="n">
        <v>68.98999999999999</v>
      </c>
      <c r="M459" s="2" t="inlineStr">
        <is>
          <t>176.07%</t>
        </is>
      </c>
      <c r="N459" t="n">
        <v>3.9</v>
      </c>
      <c r="O459" t="n">
        <v>2</v>
      </c>
      <c r="Q459" t="inlineStr">
        <is>
          <t>InStock</t>
        </is>
      </c>
      <c r="R459" t="inlineStr">
        <is>
          <t>undefined</t>
        </is>
      </c>
      <c r="S459" t="inlineStr">
        <is>
          <t>G653341027702</t>
        </is>
      </c>
    </row>
    <row r="460" ht="75" customHeight="1">
      <c r="A460" s="1">
        <f>HYPERLINK("https://www.toysrus.com/sentinels-of-the-multiverse-villains-of-the-multiverse--comic-book-game-card-game-G798304338980.html", "https://www.toysrus.com/sentinels-of-the-multiverse-villains-of-the-multiverse--comic-book-game-card-game-G798304338980.html")</f>
        <v/>
      </c>
      <c r="B460" s="1">
        <f>HYPERLINK("https://www.toysrus.com/sentinels-of-the-multiverse-villains-of-the-multiverse--comic-book-game-card-game-G798304338980.html", "https://www.toysrus.com/sentinels-of-the-multiverse-villains-of-the-multiverse--comic-book-game-card-game-G798304338980.html")</f>
        <v/>
      </c>
      <c r="C460" t="inlineStr">
        <is>
          <t>Sentinels of the Multiverse: Villains of the Multiverse- Comic Book Game Card Game</t>
        </is>
      </c>
      <c r="D460" t="inlineStr">
        <is>
          <t>Greater Than Games: Sentinels of The Multiverse: Definitive Edition, The Classic Comic Book Card Game, 2 to 6 Players, for Ages 14 and up</t>
        </is>
      </c>
      <c r="E460" s="1">
        <f>HYPERLINK("https://www.amazon.com/Greater-Than-Games-Sentinels-Multiverse/dp/B0992PXW6L/ref=sr_1_1?keywords=Sentinels+of+the+Multiverse%3A+Villains+of+the+Multiverse-+Comic+Book+Game+Card+Game&amp;qid=1695588282&amp;sr=8-1", "https://www.amazon.com/Greater-Than-Games-Sentinels-Multiverse/dp/B0992PXW6L/ref=sr_1_1?keywords=Sentinels+of+the+Multiverse%3A+Villains+of+the+Multiverse-+Comic+Book+Game+Card+Game&amp;qid=1695588282&amp;sr=8-1")</f>
        <v/>
      </c>
      <c r="F460" t="inlineStr">
        <is>
          <t>B0992PXW6L</t>
        </is>
      </c>
      <c r="G460">
        <f>_xlfn.IMAGE("https://images.toysrus.com/1285980/798304338980_1.jpg")</f>
        <v/>
      </c>
      <c r="H460">
        <f>_xlfn.IMAGE("https://m.media-amazon.com/images/I/71YzKtLAJlL._AC_UL320_.jpg")</f>
        <v/>
      </c>
      <c r="K460" t="inlineStr">
        <is>
          <t>29.95</t>
        </is>
      </c>
      <c r="L460" t="n">
        <v>60.14</v>
      </c>
      <c r="M460" s="2" t="inlineStr">
        <is>
          <t>100.80%</t>
        </is>
      </c>
      <c r="N460" t="n">
        <v>4.8</v>
      </c>
      <c r="O460" t="n">
        <v>116</v>
      </c>
      <c r="Q460" t="inlineStr">
        <is>
          <t>InStock</t>
        </is>
      </c>
      <c r="R460" t="inlineStr">
        <is>
          <t>undefined</t>
        </is>
      </c>
      <c r="S460" t="inlineStr">
        <is>
          <t>G798304338980</t>
        </is>
      </c>
    </row>
    <row r="461" ht="75" customHeight="1">
      <c r="A461" s="1">
        <f>HYPERLINK("https://www.toysrus.com/short-vowels-dominoes-junior-learning-G858136006843.html", "https://www.toysrus.com/short-vowels-dominoes-junior-learning-G858136006843.html")</f>
        <v/>
      </c>
      <c r="B461" s="1">
        <f>HYPERLINK("https://www.toysrus.com/short-vowels-dominoes-junior-learning-G858136006843.html", "https://www.toysrus.com/short-vowels-dominoes-junior-learning-G858136006843.html")</f>
        <v/>
      </c>
      <c r="C461" t="inlineStr">
        <is>
          <t>Short Vowels Dominoes Junior Learning</t>
        </is>
      </c>
      <c r="D461" t="inlineStr">
        <is>
          <t>Junior Learning Long Vowels Dominoes, 2/Bundle (Jrl495-2)</t>
        </is>
      </c>
      <c r="E461" s="1">
        <f>HYPERLINK("https://www.amazon.com/Junior-Learning-JRL495-2-Vowels-Dominoes/dp/B081NTN4CM/ref=sr_1_3?keywords=Short+Vowels+Dominoes+Junior+Learning&amp;qid=1695588243&amp;sr=8-3", "https://www.amazon.com/Junior-Learning-JRL495-2-Vowels-Dominoes/dp/B081NTN4CM/ref=sr_1_3?keywords=Short+Vowels+Dominoes+Junior+Learning&amp;qid=1695588243&amp;sr=8-3")</f>
        <v/>
      </c>
      <c r="F461" t="inlineStr">
        <is>
          <t>B081NTN4CM</t>
        </is>
      </c>
      <c r="G461">
        <f>_xlfn.IMAGE("https://images.toysrus.com/1285980/858136006843_1.jpg")</f>
        <v/>
      </c>
      <c r="H461">
        <f>_xlfn.IMAGE("https://m.media-amazon.com/images/I/714LkI+R2qL._AC_UL320_.jpg")</f>
        <v/>
      </c>
      <c r="K461" t="inlineStr">
        <is>
          <t>12.99</t>
        </is>
      </c>
      <c r="L461" t="n">
        <v>29.49</v>
      </c>
      <c r="M461" s="2" t="inlineStr">
        <is>
          <t>127.02%</t>
        </is>
      </c>
      <c r="N461" t="n">
        <v>5</v>
      </c>
      <c r="O461" t="n">
        <v>1</v>
      </c>
      <c r="Q461" t="inlineStr">
        <is>
          <t>InStock</t>
        </is>
      </c>
      <c r="R461" t="inlineStr">
        <is>
          <t>undefined</t>
        </is>
      </c>
      <c r="S461" t="inlineStr">
        <is>
          <t>G858136006843</t>
        </is>
      </c>
    </row>
    <row r="462" ht="75" customHeight="1">
      <c r="A462" s="1">
        <f>HYPERLINK("https://www.toysrus.com/simba---my-first-purse-set-G0806044005007.html", "https://www.toysrus.com/simba---my-first-purse-set-G0806044005007.html")</f>
        <v/>
      </c>
      <c r="B462" s="1">
        <f>HYPERLINK("https://www.toysrus.com/simba---my-first-purse-set-G0806044005007.html", "https://www.toysrus.com/simba---my-first-purse-set-G0806044005007.html")</f>
        <v/>
      </c>
      <c r="C462" t="inlineStr">
        <is>
          <t>Simba - My First Purse Set</t>
        </is>
      </c>
      <c r="D462" t="inlineStr">
        <is>
          <t>Personalized My First Playset for Baby (My First Purse Playset)</t>
        </is>
      </c>
      <c r="E462" s="1">
        <f>HYPERLINK("https://www.amazon.com/Personalized-First-Playset-Baby-Purse/dp/B015I03CI8/ref=sr_1_9?keywords=Simba+-+My+First+Purse+Set&amp;qid=1695588329&amp;sr=8-9", "https://www.amazon.com/Personalized-First-Playset-Baby-Purse/dp/B015I03CI8/ref=sr_1_9?keywords=Simba+-+My+First+Purse+Set&amp;qid=1695588329&amp;sr=8-9")</f>
        <v/>
      </c>
      <c r="F462" t="inlineStr">
        <is>
          <t>B015I03CI8</t>
        </is>
      </c>
      <c r="G462">
        <f>_xlfn.IMAGE("https://images.toysrus.com/1285/806044005007_1.jpg")</f>
        <v/>
      </c>
      <c r="H462">
        <f>_xlfn.IMAGE("https://m.media-amazon.com/images/I/61OG38g4cBL._AC_UL320_.jpg")</f>
        <v/>
      </c>
      <c r="K462" t="inlineStr">
        <is>
          <t>9.99</t>
        </is>
      </c>
      <c r="L462" t="n">
        <v>39.95</v>
      </c>
      <c r="M462" s="2" t="inlineStr">
        <is>
          <t>299.90%</t>
        </is>
      </c>
      <c r="N462" t="n">
        <v>4.6</v>
      </c>
      <c r="O462" t="n">
        <v>453</v>
      </c>
      <c r="Q462" t="inlineStr">
        <is>
          <t>InStock</t>
        </is>
      </c>
      <c r="R462" t="inlineStr">
        <is>
          <t>undefined</t>
        </is>
      </c>
      <c r="S462" t="inlineStr">
        <is>
          <t>G0806044005007</t>
        </is>
      </c>
    </row>
    <row r="463" ht="75" customHeight="1">
      <c r="A463" s="1">
        <f>HYPERLINK("https://www.toysrus.com/simba---my-first-purse-set-G0806044005007.html", "https://www.toysrus.com/simba---my-first-purse-set-G0806044005007.html")</f>
        <v/>
      </c>
      <c r="B463" s="1">
        <f>HYPERLINK("https://www.toysrus.com/simba---my-first-purse-set-G0806044005007.html", "https://www.toysrus.com/simba---my-first-purse-set-G0806044005007.html")</f>
        <v/>
      </c>
      <c r="C463" t="inlineStr">
        <is>
          <t>Simba - My First Purse Set</t>
        </is>
      </c>
      <c r="D463" t="inlineStr">
        <is>
          <t>Playkidz Princess My First Purse Set, 2 Pretend Play Toy Sets with Cool Girl Accessories</t>
        </is>
      </c>
      <c r="E463" s="1">
        <f>HYPERLINK("https://www.amazon.com/Playkidz-Princess-First-Pretend-Accessories/dp/B0BLCT86TN/ref=sr_1_6?keywords=Simba+-+My+First+Purse+Set&amp;qid=1695588329&amp;sr=8-6", "https://www.amazon.com/Playkidz-Princess-First-Pretend-Accessories/dp/B0BLCT86TN/ref=sr_1_6?keywords=Simba+-+My+First+Purse+Set&amp;qid=1695588329&amp;sr=8-6")</f>
        <v/>
      </c>
      <c r="F463" t="inlineStr">
        <is>
          <t>B0BLCT86TN</t>
        </is>
      </c>
      <c r="G463">
        <f>_xlfn.IMAGE("https://images.toysrus.com/1285/806044005007_1.jpg")</f>
        <v/>
      </c>
      <c r="H463">
        <f>_xlfn.IMAGE("https://m.media-amazon.com/images/I/61L7T3LnzjL._AC_UL320_.jpg")</f>
        <v/>
      </c>
      <c r="K463" t="inlineStr">
        <is>
          <t>9.99</t>
        </is>
      </c>
      <c r="L463" t="n">
        <v>34.99</v>
      </c>
      <c r="M463" s="2" t="inlineStr">
        <is>
          <t>250.25%</t>
        </is>
      </c>
      <c r="N463" t="n">
        <v>5</v>
      </c>
      <c r="O463" t="n">
        <v>1</v>
      </c>
      <c r="Q463" t="inlineStr">
        <is>
          <t>InStock</t>
        </is>
      </c>
      <c r="R463" t="inlineStr">
        <is>
          <t>undefined</t>
        </is>
      </c>
      <c r="S463" t="inlineStr">
        <is>
          <t>G0806044005007</t>
        </is>
      </c>
    </row>
    <row r="464" ht="75" customHeight="1">
      <c r="A464" s="1">
        <f>HYPERLINK("https://www.toysrus.com/simba---my-first-purse-set-G0806044005007.html", "https://www.toysrus.com/simba---my-first-purse-set-G0806044005007.html")</f>
        <v/>
      </c>
      <c r="B464" s="1">
        <f>HYPERLINK("https://www.toysrus.com/simba---my-first-purse-set-G0806044005007.html", "https://www.toysrus.com/simba---my-first-purse-set-G0806044005007.html")</f>
        <v/>
      </c>
      <c r="C464" t="inlineStr">
        <is>
          <t>Simba - My First Purse Set</t>
        </is>
      </c>
      <c r="D464" t="inlineStr">
        <is>
          <t>Playkidz Princess My First Purse Set - 7 Pieces Kids Play Purse and Accessories, Pretend Play Toy Set with Cool Girl Accessories, Includes Phone and Bag with Cards</t>
        </is>
      </c>
      <c r="E464" s="1">
        <f>HYPERLINK("https://www.amazon.com/Playkidz-Princess-First-Purse-Set/dp/B08NWJZNF3/ref=sr_1_2?keywords=Simba+-+My+First+Purse+Set&amp;qid=1695588329&amp;sr=8-2", "https://www.amazon.com/Playkidz-Princess-First-Purse-Set/dp/B08NWJZNF3/ref=sr_1_2?keywords=Simba+-+My+First+Purse+Set&amp;qid=1695588329&amp;sr=8-2")</f>
        <v/>
      </c>
      <c r="F464" t="inlineStr">
        <is>
          <t>B08NWJZNF3</t>
        </is>
      </c>
      <c r="G464">
        <f>_xlfn.IMAGE("https://images.toysrus.com/1285/806044005007_1.jpg")</f>
        <v/>
      </c>
      <c r="H464">
        <f>_xlfn.IMAGE("https://m.media-amazon.com/images/I/71fBG2pnnwL._AC_UL320_.jpg")</f>
        <v/>
      </c>
      <c r="K464" t="inlineStr">
        <is>
          <t>9.99</t>
        </is>
      </c>
      <c r="L464" t="n">
        <v>22.99</v>
      </c>
      <c r="M464" s="2" t="inlineStr">
        <is>
          <t>130.13%</t>
        </is>
      </c>
      <c r="N464" t="n">
        <v>4.6</v>
      </c>
      <c r="O464" t="n">
        <v>650</v>
      </c>
      <c r="Q464" t="inlineStr">
        <is>
          <t>InStock</t>
        </is>
      </c>
      <c r="R464" t="inlineStr">
        <is>
          <t>undefined</t>
        </is>
      </c>
      <c r="S464" t="inlineStr">
        <is>
          <t>G0806044005007</t>
        </is>
      </c>
    </row>
    <row r="465" ht="75" customHeight="1">
      <c r="A465" s="1">
        <f>HYPERLINK("https://www.toysrus.com/simba---my-first-purse-set-G0806044005007.html", "https://www.toysrus.com/simba---my-first-purse-set-G0806044005007.html")</f>
        <v/>
      </c>
      <c r="B465" s="1">
        <f>HYPERLINK("https://www.toysrus.com/simba---my-first-purse-set-G0806044005007.html", "https://www.toysrus.com/simba---my-first-purse-set-G0806044005007.html")</f>
        <v/>
      </c>
      <c r="C465" t="inlineStr">
        <is>
          <t>Simba - My First Purse Set</t>
        </is>
      </c>
      <c r="D465" t="inlineStr">
        <is>
          <t>Learn2M Play Purse for Little Girls Ages 3-6, My First Purse Toy with Handbag, Makeup Set, Sunglasses, Smartphone, Wallet, Car Keys, Credit Cards and Fake Money</t>
        </is>
      </c>
      <c r="E465" s="1">
        <f>HYPERLINK("https://www.amazon.com/Learn2M-Little-Handbag-Sunglasses-Smartphone/dp/B0BDRCKZ4H/ref=sr_1_8?keywords=Simba+-+My+First+Purse+Set&amp;qid=1695588329&amp;sr=8-8", "https://www.amazon.com/Learn2M-Little-Handbag-Sunglasses-Smartphone/dp/B0BDRCKZ4H/ref=sr_1_8?keywords=Simba+-+My+First+Purse+Set&amp;qid=1695588329&amp;sr=8-8")</f>
        <v/>
      </c>
      <c r="F465" t="inlineStr">
        <is>
          <t>B0BDRCKZ4H</t>
        </is>
      </c>
      <c r="G465">
        <f>_xlfn.IMAGE("https://images.toysrus.com/1285/806044005007_1.jpg")</f>
        <v/>
      </c>
      <c r="H465">
        <f>_xlfn.IMAGE("https://m.media-amazon.com/images/I/81rB4ElHE8L._AC_UL320_.jpg")</f>
        <v/>
      </c>
      <c r="K465" t="inlineStr">
        <is>
          <t>9.99</t>
        </is>
      </c>
      <c r="L465" t="n">
        <v>20.99</v>
      </c>
      <c r="M465" s="2" t="inlineStr">
        <is>
          <t>110.11%</t>
        </is>
      </c>
      <c r="N465" t="n">
        <v>4.5</v>
      </c>
      <c r="O465" t="n">
        <v>158</v>
      </c>
      <c r="Q465" t="inlineStr">
        <is>
          <t>InStock</t>
        </is>
      </c>
      <c r="R465" t="inlineStr">
        <is>
          <t>undefined</t>
        </is>
      </c>
      <c r="S465" t="inlineStr">
        <is>
          <t>G0806044005007</t>
        </is>
      </c>
    </row>
    <row r="466" ht="75" customHeight="1">
      <c r="A466" s="1">
        <f>HYPERLINK("https://www.toysrus.com/simba---my-first-purse-set-G0806044005007.html", "https://www.toysrus.com/simba---my-first-purse-set-G0806044005007.html")</f>
        <v/>
      </c>
      <c r="B466" s="1">
        <f>HYPERLINK("https://www.toysrus.com/simba---my-first-purse-set-G0806044005007.html", "https://www.toysrus.com/simba---my-first-purse-set-G0806044005007.html")</f>
        <v/>
      </c>
      <c r="C466" t="inlineStr">
        <is>
          <t>Simba - My First Purse Set</t>
        </is>
      </c>
      <c r="D466" t="inlineStr">
        <is>
          <t>Playkidz Princess My First Purse Set - 8 Pieces Kids Play Purse and Accessories, Pretend Play Toy Set with Cool Girl Accessories, Includes Phone and Bag with Lights and Sound</t>
        </is>
      </c>
      <c r="E466" s="1">
        <f>HYPERLINK("https://www.amazon.com/Playkidiz-Princess-First-Purse-Set/dp/B07YSYTHZJ/ref=sr_1_3?keywords=Simba+-+My+First+Purse+Set&amp;qid=1695588329&amp;sr=8-3", "https://www.amazon.com/Playkidiz-Princess-First-Purse-Set/dp/B07YSYTHZJ/ref=sr_1_3?keywords=Simba+-+My+First+Purse+Set&amp;qid=1695588329&amp;sr=8-3")</f>
        <v/>
      </c>
      <c r="F466" t="inlineStr">
        <is>
          <t>B07YSYTHZJ</t>
        </is>
      </c>
      <c r="G466">
        <f>_xlfn.IMAGE("https://images.toysrus.com/1285/806044005007_1.jpg")</f>
        <v/>
      </c>
      <c r="H466">
        <f>_xlfn.IMAGE("https://m.media-amazon.com/images/I/716jPypeXML._AC_UL320_.jpg")</f>
        <v/>
      </c>
      <c r="K466" t="inlineStr">
        <is>
          <t>9.99</t>
        </is>
      </c>
      <c r="L466" t="n">
        <v>19.99</v>
      </c>
      <c r="M466" s="2" t="inlineStr">
        <is>
          <t>100.10%</t>
        </is>
      </c>
      <c r="N466" t="n">
        <v>4.5</v>
      </c>
      <c r="O466" t="n">
        <v>13697</v>
      </c>
      <c r="Q466" t="inlineStr">
        <is>
          <t>InStock</t>
        </is>
      </c>
      <c r="R466" t="inlineStr">
        <is>
          <t>undefined</t>
        </is>
      </c>
      <c r="S466" t="inlineStr">
        <is>
          <t>G0806044005007</t>
        </is>
      </c>
    </row>
    <row r="467" ht="75" customHeight="1">
      <c r="A467" s="1">
        <f>HYPERLINK("https://www.toysrus.com/simba---my-first-purse-set-G0806044005007.html", "https://www.toysrus.com/simba---my-first-purse-set-G0806044005007.html")</f>
        <v/>
      </c>
      <c r="B467" s="1">
        <f>HYPERLINK("https://www.toysrus.com/simba---my-first-purse-set-G0806044005007.html", "https://www.toysrus.com/simba---my-first-purse-set-G0806044005007.html")</f>
        <v/>
      </c>
      <c r="C467" t="inlineStr">
        <is>
          <t>Simba - My First Purse Set</t>
        </is>
      </c>
      <c r="D467" t="inlineStr">
        <is>
          <t>Purple Play Purse for Little Girls Ages 3-6, My First Purse Toy with Handbag, Makeup Set, Sunglasses, Smartphone, Wallet, Car Keys, Credit Cards and Fake Money</t>
        </is>
      </c>
      <c r="E467" s="1">
        <f>HYPERLINK("https://www.amazon.com/Learn2M-Purple-Handbag-Sunglasses-Smartphone/dp/B0C5XGXCMR/ref=sr_1_4?keywords=Simba+-+My+First+Purse+Set&amp;qid=1695588329&amp;sr=8-4", "https://www.amazon.com/Learn2M-Purple-Handbag-Sunglasses-Smartphone/dp/B0C5XGXCMR/ref=sr_1_4?keywords=Simba+-+My+First+Purse+Set&amp;qid=1695588329&amp;sr=8-4")</f>
        <v/>
      </c>
      <c r="F467" t="inlineStr">
        <is>
          <t>B0C5XGXCMR</t>
        </is>
      </c>
      <c r="G467">
        <f>_xlfn.IMAGE("https://images.toysrus.com/1285/806044005007_1.jpg")</f>
        <v/>
      </c>
      <c r="H467">
        <f>_xlfn.IMAGE("https://m.media-amazon.com/images/I/81Y5ZKrM0fL._AC_UL320_.jpg")</f>
        <v/>
      </c>
      <c r="K467" t="inlineStr">
        <is>
          <t>9.99</t>
        </is>
      </c>
      <c r="L467" t="n">
        <v>19.99</v>
      </c>
      <c r="M467" s="2" t="inlineStr">
        <is>
          <t>100.10%</t>
        </is>
      </c>
      <c r="N467" t="n">
        <v>4.6</v>
      </c>
      <c r="O467" t="n">
        <v>23</v>
      </c>
      <c r="Q467" t="inlineStr">
        <is>
          <t>InStock</t>
        </is>
      </c>
      <c r="R467" t="inlineStr">
        <is>
          <t>undefined</t>
        </is>
      </c>
      <c r="S467" t="inlineStr">
        <is>
          <t>G0806044005007</t>
        </is>
      </c>
    </row>
    <row r="468" ht="75" customHeight="1">
      <c r="A468" s="1">
        <f>HYPERLINK("https://www.toysrus.com/simba---my-first-purse-set-G0806044005007.html", "https://www.toysrus.com/simba---my-first-purse-set-G0806044005007.html")</f>
        <v/>
      </c>
      <c r="B468" s="1">
        <f>HYPERLINK("https://www.toysrus.com/simba---my-first-purse-set-G0806044005007.html", "https://www.toysrus.com/simba---my-first-purse-set-G0806044005007.html")</f>
        <v/>
      </c>
      <c r="C468" t="inlineStr">
        <is>
          <t>Simba - My First Purse Set</t>
        </is>
      </c>
      <c r="D468" t="inlineStr">
        <is>
          <t>SainSmart Jr. Toddler Purse My First Purse with Pretend Play Set for Princess 9 PCS, Pink</t>
        </is>
      </c>
      <c r="E468" s="1">
        <f>HYPERLINK("https://www.amazon.com/SainSmart-Jr-Toddler-Pretend-Princess/dp/B0728LS8KC/ref=sr_1_10?keywords=Simba+-+My+First+Purse+Set&amp;qid=1695588329&amp;sr=8-10", "https://www.amazon.com/SainSmart-Jr-Toddler-Pretend-Princess/dp/B0728LS8KC/ref=sr_1_10?keywords=Simba+-+My+First+Purse+Set&amp;qid=1695588329&amp;sr=8-10")</f>
        <v/>
      </c>
      <c r="F468" t="inlineStr">
        <is>
          <t>B0728LS8KC</t>
        </is>
      </c>
      <c r="G468">
        <f>_xlfn.IMAGE("https://images.toysrus.com/1285/806044005007_1.jpg")</f>
        <v/>
      </c>
      <c r="H468">
        <f>_xlfn.IMAGE("https://m.media-amazon.com/images/I/71INWGdrEAL._AC_UL320_.jpg")</f>
        <v/>
      </c>
      <c r="K468" t="inlineStr">
        <is>
          <t>9.99</t>
        </is>
      </c>
      <c r="L468" t="n">
        <v>19.99</v>
      </c>
      <c r="M468" s="2" t="inlineStr">
        <is>
          <t>100.10%</t>
        </is>
      </c>
      <c r="N468" t="n">
        <v>4.5</v>
      </c>
      <c r="O468" t="n">
        <v>1270</v>
      </c>
      <c r="Q468" t="inlineStr">
        <is>
          <t>InStock</t>
        </is>
      </c>
      <c r="R468" t="inlineStr">
        <is>
          <t>undefined</t>
        </is>
      </c>
      <c r="S468" t="inlineStr">
        <is>
          <t>G0806044005007</t>
        </is>
      </c>
    </row>
    <row r="469" ht="75" customHeight="1">
      <c r="A469" s="1">
        <f>HYPERLINK("https://www.toysrus.com/simba---my-first-purse-set-G0806044005007.html", "https://www.toysrus.com/simba---my-first-purse-set-G0806044005007.html")</f>
        <v/>
      </c>
      <c r="B469" s="1">
        <f>HYPERLINK("https://www.toysrus.com/simba---my-first-purse-set-G0806044005007.html", "https://www.toysrus.com/simba---my-first-purse-set-G0806044005007.html")</f>
        <v/>
      </c>
      <c r="C469" t="inlineStr">
        <is>
          <t>Simba - My First Purse Set</t>
        </is>
      </c>
      <c r="D469" t="inlineStr">
        <is>
          <t>Pretend My First Purse Princess Set for Girls, Fashion Stylish Handbag with Pretend Play Beauty Makeup Accessories, Smart Phone, Watches, Glasses, Keys, Petty Cards for Little Kid, 17 Pcs</t>
        </is>
      </c>
      <c r="E469" s="1">
        <f>HYPERLINK("https://www.amazon.com/WenToyce-Pretend-Princess-Fashion-Accessories/dp/B094Q3JJJC/ref=sr_1_5?keywords=Simba+-+My+First+Purse+Set&amp;qid=1695588329&amp;sr=8-5", "https://www.amazon.com/WenToyce-Pretend-Princess-Fashion-Accessories/dp/B094Q3JJJC/ref=sr_1_5?keywords=Simba+-+My+First+Purse+Set&amp;qid=1695588329&amp;sr=8-5")</f>
        <v/>
      </c>
      <c r="F469" t="inlineStr">
        <is>
          <t>B094Q3JJJC</t>
        </is>
      </c>
      <c r="G469">
        <f>_xlfn.IMAGE("https://images.toysrus.com/1285/806044005007_1.jpg")</f>
        <v/>
      </c>
      <c r="H469">
        <f>_xlfn.IMAGE("https://m.media-amazon.com/images/I/61BNoxbrpFL._AC_UL320_.jpg")</f>
        <v/>
      </c>
      <c r="K469" t="inlineStr">
        <is>
          <t>9.99</t>
        </is>
      </c>
      <c r="L469" t="n">
        <v>17.99</v>
      </c>
      <c r="M469" s="2" t="inlineStr">
        <is>
          <t>80.08%</t>
        </is>
      </c>
      <c r="N469" t="n">
        <v>4.3</v>
      </c>
      <c r="O469" t="n">
        <v>366</v>
      </c>
      <c r="Q469" t="inlineStr">
        <is>
          <t>InStock</t>
        </is>
      </c>
      <c r="R469" t="inlineStr">
        <is>
          <t>undefined</t>
        </is>
      </c>
      <c r="S469" t="inlineStr">
        <is>
          <t>G0806044005007</t>
        </is>
      </c>
    </row>
    <row r="470" ht="75" customHeight="1">
      <c r="A470" s="1">
        <f>HYPERLINK("https://www.toysrus.com/simba-toys---abc-baby-stacking-playset-G0806044004550.html", "https://www.toysrus.com/simba-toys---abc-baby-stacking-playset-G0806044004550.html")</f>
        <v/>
      </c>
      <c r="B470" s="1">
        <f>HYPERLINK("https://www.toysrus.com/simba-toys---abc-baby-stacking-playset-G0806044004550.html", "https://www.toysrus.com/simba-toys---abc-baby-stacking-playset-G0806044004550.html")</f>
        <v/>
      </c>
      <c r="C470" t="inlineStr">
        <is>
          <t>Simba Toys - ABC Baby Stacking Playset</t>
        </is>
      </c>
      <c r="D470" t="inlineStr">
        <is>
          <t>86Pcs Wooden Building Blocks Set ABC Blocks- Wood Stacking Blocks Stacker for Toddlers Baby Natural Wooden Blocks Construction Preschool Early Learning Toys Sorting 26 ABC Alphabets Blocks</t>
        </is>
      </c>
      <c r="E470" s="1">
        <f>HYPERLINK("https://www.amazon.com/Agirlgle-Building-Construction-Preschool-Alphabets/dp/B0C1GLGQ96/ref=sr_1_4?keywords=Simba+Toys+-+ABC+Baby+Stacking+Playset&amp;qid=1695588774&amp;sr=8-4", "https://www.amazon.com/Agirlgle-Building-Construction-Preschool-Alphabets/dp/B0C1GLGQ96/ref=sr_1_4?keywords=Simba+Toys+-+ABC+Baby+Stacking+Playset&amp;qid=1695588774&amp;sr=8-4")</f>
        <v/>
      </c>
      <c r="F470" t="inlineStr">
        <is>
          <t>B0C1GLGQ96</t>
        </is>
      </c>
      <c r="G470">
        <f>_xlfn.IMAGE("https://images.toysrus.com/1285/806044004550_1.jpg")</f>
        <v/>
      </c>
      <c r="H470">
        <f>_xlfn.IMAGE("https://m.media-amazon.com/images/I/71VlmCi8QKL._AC_UL320_.jpg")</f>
        <v/>
      </c>
      <c r="K470" t="inlineStr">
        <is>
          <t>9.99</t>
        </is>
      </c>
      <c r="L470" t="n">
        <v>32.96</v>
      </c>
      <c r="M470" s="2" t="inlineStr">
        <is>
          <t>229.93%</t>
        </is>
      </c>
      <c r="N470" t="n">
        <v>4.6</v>
      </c>
      <c r="O470" t="n">
        <v>3</v>
      </c>
      <c r="Q470" t="inlineStr">
        <is>
          <t>InStock</t>
        </is>
      </c>
      <c r="R470" t="inlineStr">
        <is>
          <t>undefined</t>
        </is>
      </c>
      <c r="S470" t="inlineStr">
        <is>
          <t>G0806044004550</t>
        </is>
      </c>
    </row>
    <row r="471" ht="75" customHeight="1">
      <c r="A471" s="1">
        <f>HYPERLINK("https://www.toysrus.com/simba-toys---abc-baby-stacking-playset-G0806044004550.html", "https://www.toysrus.com/simba-toys---abc-baby-stacking-playset-G0806044004550.html")</f>
        <v/>
      </c>
      <c r="B471" s="1">
        <f>HYPERLINK("https://www.toysrus.com/simba-toys---abc-baby-stacking-playset-G0806044004550.html", "https://www.toysrus.com/simba-toys---abc-baby-stacking-playset-G0806044004550.html")</f>
        <v/>
      </c>
      <c r="C471" t="inlineStr">
        <is>
          <t>Simba Toys - ABC Baby Stacking Playset</t>
        </is>
      </c>
      <c r="D471" t="inlineStr">
        <is>
          <t>QUOKKA Wooden Blocks for Toddlers 1-3 - 26 ABC Learning Baby Blocks for Kids 3-5 Year Olds Stacking Alphabet Wood Toys for 2-4 yo - Educational with Letters Numbers</t>
        </is>
      </c>
      <c r="E471" s="1">
        <f>HYPERLINK("https://www.amazon.com/QUOKKA-Wooden-Blocks-Toddlers-1-3/dp/B0BS3Z61JY/ref=sr_1_2?keywords=Simba+Toys+-+ABC+Baby+Stacking+Playset&amp;qid=1695588774&amp;sr=8-2", "https://www.amazon.com/QUOKKA-Wooden-Blocks-Toddlers-1-3/dp/B0BS3Z61JY/ref=sr_1_2?keywords=Simba+Toys+-+ABC+Baby+Stacking+Playset&amp;qid=1695588774&amp;sr=8-2")</f>
        <v/>
      </c>
      <c r="F471" t="inlineStr">
        <is>
          <t>B0BS3Z61JY</t>
        </is>
      </c>
      <c r="G471">
        <f>_xlfn.IMAGE("https://images.toysrus.com/1285/806044004550_1.jpg")</f>
        <v/>
      </c>
      <c r="H471">
        <f>_xlfn.IMAGE("https://m.media-amazon.com/images/I/61ZyYnpZK+L._AC_UL320_.jpg")</f>
        <v/>
      </c>
      <c r="K471" t="inlineStr">
        <is>
          <t>9.99</t>
        </is>
      </c>
      <c r="L471" t="n">
        <v>24.99</v>
      </c>
      <c r="M471" s="2" t="inlineStr">
        <is>
          <t>150.15%</t>
        </is>
      </c>
      <c r="N471" t="n">
        <v>4.7</v>
      </c>
      <c r="O471" t="n">
        <v>459</v>
      </c>
      <c r="Q471" t="inlineStr">
        <is>
          <t>InStock</t>
        </is>
      </c>
      <c r="R471" t="inlineStr">
        <is>
          <t>undefined</t>
        </is>
      </c>
      <c r="S471" t="inlineStr">
        <is>
          <t>G0806044004550</t>
        </is>
      </c>
    </row>
    <row r="472" ht="75" customHeight="1">
      <c r="A472" s="1">
        <f>HYPERLINK("https://www.toysrus.com/simba-toys---abc-baby-stacking-playset-G0806044004550.html", "https://www.toysrus.com/simba-toys---abc-baby-stacking-playset-G0806044004550.html")</f>
        <v/>
      </c>
      <c r="B472" s="1">
        <f>HYPERLINK("https://www.toysrus.com/simba-toys---abc-baby-stacking-playset-G0806044004550.html", "https://www.toysrus.com/simba-toys---abc-baby-stacking-playset-G0806044004550.html")</f>
        <v/>
      </c>
      <c r="C472" t="inlineStr">
        <is>
          <t>Simba Toys - ABC Baby Stacking Playset</t>
        </is>
      </c>
      <c r="D472" t="inlineStr">
        <is>
          <t>PLAY ABC Building Blocks for Toddlers 1-3,28pcs Plastic Baby Alphabet Letters Number Stacking Blocks, Preschool Learning Educational Montessori Sensory Toys Gifts for Kids Girls Boys</t>
        </is>
      </c>
      <c r="E472" s="1">
        <f>HYPERLINK("https://www.amazon.com/Building-Toddlers-Preschool-Educational-Montessori/dp/B09TKLS152/ref=sr_1_9?keywords=Simba+Toys+-+ABC+Baby+Stacking+Playset&amp;qid=1695588774&amp;sr=8-9", "https://www.amazon.com/Building-Toddlers-Preschool-Educational-Montessori/dp/B09TKLS152/ref=sr_1_9?keywords=Simba+Toys+-+ABC+Baby+Stacking+Playset&amp;qid=1695588774&amp;sr=8-9")</f>
        <v/>
      </c>
      <c r="F472" t="inlineStr">
        <is>
          <t>B09TKLS152</t>
        </is>
      </c>
      <c r="G472">
        <f>_xlfn.IMAGE("https://images.toysrus.com/1285/806044004550_1.jpg")</f>
        <v/>
      </c>
      <c r="H472">
        <f>_xlfn.IMAGE("https://m.media-amazon.com/images/I/81Ji2q0K5KL._AC_UL320_.jpg")</f>
        <v/>
      </c>
      <c r="K472" t="inlineStr">
        <is>
          <t>9.99</t>
        </is>
      </c>
      <c r="L472" t="n">
        <v>22.99</v>
      </c>
      <c r="M472" s="2" t="inlineStr">
        <is>
          <t>130.13%</t>
        </is>
      </c>
      <c r="N472" t="n">
        <v>4.6</v>
      </c>
      <c r="O472" t="n">
        <v>166</v>
      </c>
      <c r="Q472" t="inlineStr">
        <is>
          <t>InStock</t>
        </is>
      </c>
      <c r="R472" t="inlineStr">
        <is>
          <t>undefined</t>
        </is>
      </c>
      <c r="S472" t="inlineStr">
        <is>
          <t>G0806044004550</t>
        </is>
      </c>
    </row>
    <row r="473" ht="75" customHeight="1">
      <c r="A473" s="1">
        <f>HYPERLINK("https://www.toysrus.com/simba-toys---abc-baby-stacking-playset-G0806044004550.html", "https://www.toysrus.com/simba-toys---abc-baby-stacking-playset-G0806044004550.html")</f>
        <v/>
      </c>
      <c r="B473" s="1">
        <f>HYPERLINK("https://www.toysrus.com/simba-toys---abc-baby-stacking-playset-G0806044004550.html", "https://www.toysrus.com/simba-toys---abc-baby-stacking-playset-G0806044004550.html")</f>
        <v/>
      </c>
      <c r="C473" t="inlineStr">
        <is>
          <t>Simba Toys - ABC Baby Stacking Playset</t>
        </is>
      </c>
      <c r="D473" t="inlineStr">
        <is>
          <t>Simba Toys - ABC Baby Stacking Playset</t>
        </is>
      </c>
      <c r="E473" s="1">
        <f>HYPERLINK("https://www.amazon.com/Simba-Toys-Baby-Stacking-Playset/dp/B07ZPHJSM3/ref=sr_1_1?keywords=Simba+Toys+-+ABC+Baby+Stacking+Playset&amp;qid=1695588774&amp;sr=8-1", "https://www.amazon.com/Simba-Toys-Baby-Stacking-Playset/dp/B07ZPHJSM3/ref=sr_1_1?keywords=Simba+Toys+-+ABC+Baby+Stacking+Playset&amp;qid=1695588774&amp;sr=8-1")</f>
        <v/>
      </c>
      <c r="F473" t="inlineStr">
        <is>
          <t>B07ZPHJSM3</t>
        </is>
      </c>
      <c r="G473">
        <f>_xlfn.IMAGE("https://images.toysrus.com/1285/806044004550_1.jpg")</f>
        <v/>
      </c>
      <c r="H473">
        <f>_xlfn.IMAGE("https://m.media-amazon.com/images/I/712g9P4qAaL._AC_UL320_.jpg")</f>
        <v/>
      </c>
      <c r="K473" t="inlineStr">
        <is>
          <t>9.99</t>
        </is>
      </c>
      <c r="L473" t="n">
        <v>16.88</v>
      </c>
      <c r="M473" s="2" t="inlineStr">
        <is>
          <t>68.97%</t>
        </is>
      </c>
      <c r="N473" t="n">
        <v>5</v>
      </c>
      <c r="O473" t="n">
        <v>4</v>
      </c>
      <c r="Q473" t="inlineStr">
        <is>
          <t>InStock</t>
        </is>
      </c>
      <c r="R473" t="inlineStr">
        <is>
          <t>undefined</t>
        </is>
      </c>
      <c r="S473" t="inlineStr">
        <is>
          <t>G0806044004550</t>
        </is>
      </c>
    </row>
    <row r="474" ht="75" customHeight="1">
      <c r="A474" s="1">
        <f>HYPERLINK("https://www.toysrus.com/sla-industries-gms-pack---2nd-edition-G9780995649774.html", "https://www.toysrus.com/sla-industries-gms-pack---2nd-edition-G9780995649774.html")</f>
        <v/>
      </c>
      <c r="B474" s="1">
        <f>HYPERLINK("https://www.toysrus.com/sla-industries-gms-pack---2nd-edition-G9780995649774.html", "https://www.toysrus.com/sla-industries-gms-pack---2nd-edition-G9780995649774.html")</f>
        <v/>
      </c>
      <c r="C474" t="inlineStr">
        <is>
          <t>SLA Industries GMs Pack - 2nd Edition</t>
        </is>
      </c>
      <c r="D474" t="inlineStr">
        <is>
          <t>SLA Industries - Special Retail 2nd Edition</t>
        </is>
      </c>
      <c r="E474" s="1">
        <f>HYPERLINK("https://www.amazon.com/SLA-Industries-2nd-Special-Retail/dp/0995649782/ref=sr_1_2?keywords=SLA+Industries+GMs+Pack+-+2nd+Edition&amp;qid=1695588352&amp;sr=8-2", "https://www.amazon.com/SLA-Industries-2nd-Special-Retail/dp/0995649782/ref=sr_1_2?keywords=SLA+Industries+GMs+Pack+-+2nd+Edition&amp;qid=1695588352&amp;sr=8-2")</f>
        <v/>
      </c>
      <c r="F474" t="inlineStr">
        <is>
          <t>0995649782</t>
        </is>
      </c>
      <c r="G474">
        <f>_xlfn.IMAGE("https://images.toysrus.com/1285/9780995649774_1.jpg")</f>
        <v/>
      </c>
      <c r="H474">
        <f>_xlfn.IMAGE("https://m.media-amazon.com/images/I/81GmlEyYn+L._AC_UY218_.jpg")</f>
        <v/>
      </c>
      <c r="K474" t="inlineStr">
        <is>
          <t>24.99</t>
        </is>
      </c>
      <c r="L474" t="n">
        <v>78.19</v>
      </c>
      <c r="M474" s="2" t="inlineStr">
        <is>
          <t>212.89%</t>
        </is>
      </c>
      <c r="N474" t="n">
        <v>5</v>
      </c>
      <c r="O474" t="n">
        <v>2</v>
      </c>
      <c r="Q474" t="inlineStr">
        <is>
          <t>InStock</t>
        </is>
      </c>
      <c r="R474" t="inlineStr">
        <is>
          <t>undefined</t>
        </is>
      </c>
      <c r="S474" t="inlineStr">
        <is>
          <t>G9780995649774</t>
        </is>
      </c>
    </row>
    <row r="475" ht="75" customHeight="1">
      <c r="A475" s="1">
        <f>HYPERLINK("https://www.toysrus.com/smoby---cat-house-G3032163404002.html", "https://www.toysrus.com/smoby---cat-house-G3032163404002.html")</f>
        <v/>
      </c>
      <c r="B475" s="1">
        <f>HYPERLINK("https://www.toysrus.com/smoby---cat-house-G3032163404002.html", "https://www.toysrus.com/smoby---cat-house-G3032163404002.html")</f>
        <v/>
      </c>
      <c r="C475" t="inlineStr">
        <is>
          <t>Smoby - Cat House</t>
        </is>
      </c>
      <c r="D475" t="inlineStr">
        <is>
          <t>Tangkula Outdoor Cat House Wooden, 2-Story Outside Cat Shelter Condo Enclosure with Escape Door, Openable Asphalt Roof, Jumping Platform, Weatherproof Cat Houses for Feral Cats</t>
        </is>
      </c>
      <c r="E475" s="1">
        <f>HYPERLINK("https://www.amazon.com/Tangkula-Enclosure-Openable-Platform-Weatherproof/dp/B09NRQ36B4/ref=sr_1_6?keywords=Smoby+-+Cat+House&amp;qid=1695588917&amp;sr=8-6", "https://www.amazon.com/Tangkula-Enclosure-Openable-Platform-Weatherproof/dp/B09NRQ36B4/ref=sr_1_6?keywords=Smoby+-+Cat+House&amp;qid=1695588917&amp;sr=8-6")</f>
        <v/>
      </c>
      <c r="F475" t="inlineStr">
        <is>
          <t>B09NRQ36B4</t>
        </is>
      </c>
      <c r="G475">
        <f>_xlfn.IMAGE("https://images.toysrus.com/1285/3032163404002_1.jpg")</f>
        <v/>
      </c>
      <c r="H475">
        <f>_xlfn.IMAGE("https://m.media-amazon.com/images/I/71CKDq0UJSL._AC_UL320_.jpg")</f>
        <v/>
      </c>
      <c r="K475" t="inlineStr">
        <is>
          <t>12.99</t>
        </is>
      </c>
      <c r="L475" t="n">
        <v>89.98999999999999</v>
      </c>
      <c r="M475" s="2" t="inlineStr">
        <is>
          <t>592.76%</t>
        </is>
      </c>
      <c r="N475" t="n">
        <v>4</v>
      </c>
      <c r="O475" t="n">
        <v>87</v>
      </c>
      <c r="Q475" t="inlineStr">
        <is>
          <t>InStock</t>
        </is>
      </c>
      <c r="R475" t="inlineStr">
        <is>
          <t>undefined</t>
        </is>
      </c>
      <c r="S475" t="inlineStr">
        <is>
          <t>G3032163404002</t>
        </is>
      </c>
    </row>
    <row r="476" ht="75" customHeight="1">
      <c r="A476" s="1">
        <f>HYPERLINK("https://www.toysrus.com/smoby---cat-house-G3032163404002.html", "https://www.toysrus.com/smoby---cat-house-G3032163404002.html")</f>
        <v/>
      </c>
      <c r="B476" s="1">
        <f>HYPERLINK("https://www.toysrus.com/smoby---cat-house-G3032163404002.html", "https://www.toysrus.com/smoby---cat-house-G3032163404002.html")</f>
        <v/>
      </c>
      <c r="C476" t="inlineStr">
        <is>
          <t>Smoby - Cat House</t>
        </is>
      </c>
      <c r="D476" t="inlineStr">
        <is>
          <t>GUTINNEEN Outdoor Cat House Wooden Feral Cat Shelter with Escape Door Weatherproof</t>
        </is>
      </c>
      <c r="E476" s="1">
        <f>HYPERLINK("https://www.amazon.com/GUTINNEEN-Outdoor-Wooden-Shelter-Weatherproof/dp/B0C6F3MGQ6/ref=sr_1_4?keywords=Smoby+-+Cat+House&amp;qid=1695588917&amp;sr=8-4", "https://www.amazon.com/GUTINNEEN-Outdoor-Wooden-Shelter-Weatherproof/dp/B0C6F3MGQ6/ref=sr_1_4?keywords=Smoby+-+Cat+House&amp;qid=1695588917&amp;sr=8-4")</f>
        <v/>
      </c>
      <c r="F476" t="inlineStr">
        <is>
          <t>B0C6F3MGQ6</t>
        </is>
      </c>
      <c r="G476">
        <f>_xlfn.IMAGE("https://images.toysrus.com/1285/3032163404002_1.jpg")</f>
        <v/>
      </c>
      <c r="H476">
        <f>_xlfn.IMAGE("https://m.media-amazon.com/images/I/81enz3Ge+PL._AC_UL320_.jpg")</f>
        <v/>
      </c>
      <c r="K476" t="inlineStr">
        <is>
          <t>12.99</t>
        </is>
      </c>
      <c r="L476" t="n">
        <v>78.98999999999999</v>
      </c>
      <c r="M476" s="2" t="inlineStr">
        <is>
          <t>508.08%</t>
        </is>
      </c>
      <c r="N476" t="n">
        <v>4.5</v>
      </c>
      <c r="O476" t="n">
        <v>2</v>
      </c>
      <c r="Q476" t="inlineStr">
        <is>
          <t>InStock</t>
        </is>
      </c>
      <c r="R476" t="inlineStr">
        <is>
          <t>undefined</t>
        </is>
      </c>
      <c r="S476" t="inlineStr">
        <is>
          <t>G3032163404002</t>
        </is>
      </c>
    </row>
    <row r="477" ht="75" customHeight="1">
      <c r="A477" s="1">
        <f>HYPERLINK("https://www.toysrus.com/smoby---cat-house-G3032163404002.html", "https://www.toysrus.com/smoby---cat-house-G3032163404002.html")</f>
        <v/>
      </c>
      <c r="B477" s="1">
        <f>HYPERLINK("https://www.toysrus.com/smoby---cat-house-G3032163404002.html", "https://www.toysrus.com/smoby---cat-house-G3032163404002.html")</f>
        <v/>
      </c>
      <c r="C477" t="inlineStr">
        <is>
          <t>Smoby - Cat House</t>
        </is>
      </c>
      <c r="D477" t="inlineStr">
        <is>
          <t>Objoy Outdoor Cat Houses Feral Cat Shelter Wooden Stray Cat Condo Outside Sturdy Waterproof and Insulated with Escape Door</t>
        </is>
      </c>
      <c r="E477" s="1">
        <f>HYPERLINK("https://www.amazon.com/Outdoor-Shelter-Outside-Waterproof-Insulated/dp/B0BW8YFTPM/ref=sr_1_8?keywords=Smoby+-+Cat+House&amp;qid=1695588917&amp;sr=8-8", "https://www.amazon.com/Outdoor-Shelter-Outside-Waterproof-Insulated/dp/B0BW8YFTPM/ref=sr_1_8?keywords=Smoby+-+Cat+House&amp;qid=1695588917&amp;sr=8-8")</f>
        <v/>
      </c>
      <c r="F477" t="inlineStr">
        <is>
          <t>B0BW8YFTPM</t>
        </is>
      </c>
      <c r="G477">
        <f>_xlfn.IMAGE("https://images.toysrus.com/1285/3032163404002_1.jpg")</f>
        <v/>
      </c>
      <c r="H477">
        <f>_xlfn.IMAGE("https://m.media-amazon.com/images/I/51J8+RhBqQL._AC_UL320_.jpg")</f>
        <v/>
      </c>
      <c r="K477" t="inlineStr">
        <is>
          <t>12.99</t>
        </is>
      </c>
      <c r="L477" t="n">
        <v>47.99</v>
      </c>
      <c r="M477" s="2" t="inlineStr">
        <is>
          <t>269.44%</t>
        </is>
      </c>
      <c r="N477" t="n">
        <v>4</v>
      </c>
      <c r="O477" t="n">
        <v>13</v>
      </c>
      <c r="Q477" t="inlineStr">
        <is>
          <t>InStock</t>
        </is>
      </c>
      <c r="R477" t="inlineStr">
        <is>
          <t>undefined</t>
        </is>
      </c>
      <c r="S477" t="inlineStr">
        <is>
          <t>G3032163404002</t>
        </is>
      </c>
    </row>
    <row r="478" ht="75" customHeight="1">
      <c r="A478" s="1">
        <f>HYPERLINK("https://www.toysrus.com/smoby---cat-house-G3032163404002.html", "https://www.toysrus.com/smoby---cat-house-G3032163404002.html")</f>
        <v/>
      </c>
      <c r="B478" s="1">
        <f>HYPERLINK("https://www.toysrus.com/smoby---cat-house-G3032163404002.html", "https://www.toysrus.com/smoby---cat-house-G3032163404002.html")</f>
        <v/>
      </c>
      <c r="C478" t="inlineStr">
        <is>
          <t>Smoby - Cat House</t>
        </is>
      </c>
      <c r="D478" t="inlineStr">
        <is>
          <t>Jiupety Cat Bed House | 2 in 1 Cat Houses for Indoor Cats | 16 Inch Cubic Large House | DIY | Multi-Colors (Sky Gray &amp; White)</t>
        </is>
      </c>
      <c r="E478" s="1">
        <f>HYPERLINK("https://www.amazon.com/Jiupety-House-Houses-Indoor-Multi-Colors/dp/B0C27RVYBH/ref=sr_1_9?keywords=Smoby+-+Cat+House&amp;qid=1695588917&amp;sr=8-9", "https://www.amazon.com/Jiupety-House-Houses-Indoor-Multi-Colors/dp/B0C27RVYBH/ref=sr_1_9?keywords=Smoby+-+Cat+House&amp;qid=1695588917&amp;sr=8-9")</f>
        <v/>
      </c>
      <c r="F478" t="inlineStr">
        <is>
          <t>B0C27RVYBH</t>
        </is>
      </c>
      <c r="G478">
        <f>_xlfn.IMAGE("https://images.toysrus.com/1285/3032163404002_1.jpg")</f>
        <v/>
      </c>
      <c r="H478">
        <f>_xlfn.IMAGE("https://m.media-amazon.com/images/I/814phKB-scL._AC_UL320_.jpg")</f>
        <v/>
      </c>
      <c r="K478" t="inlineStr">
        <is>
          <t>12.99</t>
        </is>
      </c>
      <c r="L478" t="n">
        <v>45.99</v>
      </c>
      <c r="M478" s="2" t="inlineStr">
        <is>
          <t>254.04%</t>
        </is>
      </c>
      <c r="N478" t="n">
        <v>5</v>
      </c>
      <c r="O478" t="n">
        <v>1</v>
      </c>
      <c r="Q478" t="inlineStr">
        <is>
          <t>InStock</t>
        </is>
      </c>
      <c r="R478" t="inlineStr">
        <is>
          <t>undefined</t>
        </is>
      </c>
      <c r="S478" t="inlineStr">
        <is>
          <t>G3032163404002</t>
        </is>
      </c>
    </row>
    <row r="479" ht="75" customHeight="1">
      <c r="A479" s="1">
        <f>HYPERLINK("https://www.toysrus.com/smoby---cat-house-G3032163404002.html", "https://www.toysrus.com/smoby---cat-house-G3032163404002.html")</f>
        <v/>
      </c>
      <c r="B479" s="1">
        <f>HYPERLINK("https://www.toysrus.com/smoby---cat-house-G3032163404002.html", "https://www.toysrus.com/smoby---cat-house-G3032163404002.html")</f>
        <v/>
      </c>
      <c r="C479" t="inlineStr">
        <is>
          <t>Smoby - Cat House</t>
        </is>
      </c>
      <c r="D479" t="inlineStr">
        <is>
          <t>Meow-N-Out Cardboard Cat House - Durable Construction, Interactive Design with Peek-a-Boo Holes and Scratching Surfaces - Easy Assembly and Portability for Endless Feline Fun</t>
        </is>
      </c>
      <c r="E479" s="1">
        <f>HYPERLINK("https://www.amazon.com/Meow-N-Out-Cardboard-House-Peek-Boo/dp/B0C8PLZ8G7/ref=sr_1_1?keywords=Smoby+-+Cat+House&amp;qid=1695588917&amp;sr=8-1", "https://www.amazon.com/Meow-N-Out-Cardboard-House-Peek-Boo/dp/B0C8PLZ8G7/ref=sr_1_1?keywords=Smoby+-+Cat+House&amp;qid=1695588917&amp;sr=8-1")</f>
        <v/>
      </c>
      <c r="F479" t="inlineStr">
        <is>
          <t>B0C8PLZ8G7</t>
        </is>
      </c>
      <c r="G479">
        <f>_xlfn.IMAGE("https://images.toysrus.com/1285/3032163404002_1.jpg")</f>
        <v/>
      </c>
      <c r="H479">
        <f>_xlfn.IMAGE("https://m.media-amazon.com/images/I/71gOXzdpGaL._AC_UL320_.jpg")</f>
        <v/>
      </c>
      <c r="K479" t="inlineStr">
        <is>
          <t>12.99</t>
        </is>
      </c>
      <c r="L479" t="n">
        <v>29.99</v>
      </c>
      <c r="M479" s="2" t="inlineStr">
        <is>
          <t>130.87%</t>
        </is>
      </c>
      <c r="N479" t="n">
        <v>5</v>
      </c>
      <c r="O479" t="n">
        <v>1</v>
      </c>
      <c r="Q479" t="inlineStr">
        <is>
          <t>InStock</t>
        </is>
      </c>
      <c r="R479" t="inlineStr">
        <is>
          <t>undefined</t>
        </is>
      </c>
      <c r="S479" t="inlineStr">
        <is>
          <t>G3032163404002</t>
        </is>
      </c>
    </row>
    <row r="480" ht="75" customHeight="1">
      <c r="A480" s="1">
        <f>HYPERLINK("https://www.toysrus.com/smoby---cat-house-G3032163404002.html", "https://www.toysrus.com/smoby---cat-house-G3032163404002.html")</f>
        <v/>
      </c>
      <c r="B480" s="1">
        <f>HYPERLINK("https://www.toysrus.com/smoby---cat-house-G3032163404002.html", "https://www.toysrus.com/smoby---cat-house-G3032163404002.html")</f>
        <v/>
      </c>
      <c r="C480" t="inlineStr">
        <is>
          <t>Smoby - Cat House</t>
        </is>
      </c>
      <c r="D480" t="inlineStr">
        <is>
          <t>Nacho's Cat Scratcher House and Cat Hideout - Fish Market</t>
        </is>
      </c>
      <c r="E480" s="1">
        <f>HYPERLINK("https://www.amazon.com/Nachos-Cat-Scratcher-House-Hideout/dp/B0BHX91K8S/ref=sr_1_5?keywords=Smoby+-+Cat+House&amp;qid=1695588917&amp;sr=8-5", "https://www.amazon.com/Nachos-Cat-Scratcher-House-Hideout/dp/B0BHX91K8S/ref=sr_1_5?keywords=Smoby+-+Cat+House&amp;qid=1695588917&amp;sr=8-5")</f>
        <v/>
      </c>
      <c r="F480" t="inlineStr">
        <is>
          <t>B0BHX91K8S</t>
        </is>
      </c>
      <c r="G480">
        <f>_xlfn.IMAGE("https://images.toysrus.com/1285/3032163404002_1.jpg")</f>
        <v/>
      </c>
      <c r="H480">
        <f>_xlfn.IMAGE("https://m.media-amazon.com/images/I/81Hs7k9kbzL._AC_UL320_.jpg")</f>
        <v/>
      </c>
      <c r="K480" t="inlineStr">
        <is>
          <t>12.99</t>
        </is>
      </c>
      <c r="L480" t="n">
        <v>29.99</v>
      </c>
      <c r="M480" s="2" t="inlineStr">
        <is>
          <t>130.87%</t>
        </is>
      </c>
      <c r="N480" t="n">
        <v>3.8</v>
      </c>
      <c r="O480" t="n">
        <v>32</v>
      </c>
      <c r="Q480" t="inlineStr">
        <is>
          <t>InStock</t>
        </is>
      </c>
      <c r="R480" t="inlineStr">
        <is>
          <t>undefined</t>
        </is>
      </c>
      <c r="S480" t="inlineStr">
        <is>
          <t>G3032163404002</t>
        </is>
      </c>
    </row>
    <row r="481" ht="75" customHeight="1">
      <c r="A481" s="1">
        <f>HYPERLINK("https://www.toysrus.com/smoby---cat-house-G3032163404002.html", "https://www.toysrus.com/smoby---cat-house-G3032163404002.html")</f>
        <v/>
      </c>
      <c r="B481" s="1">
        <f>HYPERLINK("https://www.toysrus.com/smoby---cat-house-G3032163404002.html", "https://www.toysrus.com/smoby---cat-house-G3032163404002.html")</f>
        <v/>
      </c>
      <c r="C481" t="inlineStr">
        <is>
          <t>Smoby - Cat House</t>
        </is>
      </c>
      <c r="D481" t="inlineStr">
        <is>
          <t>Gaorui Portable Pet Cat Tower House - Multi-Functional Oxford Cat Tree House Climbing Condo with Two Layer Platform Peek Holes (Pink)</t>
        </is>
      </c>
      <c r="E481" s="1">
        <f>HYPERLINK("https://www.amazon.com/Gaorui-Portable-Tower-House-Multi-Functional/dp/B08TW76KFC/ref=sr_1_7?keywords=Smoby+-+Cat+House&amp;qid=1695588917&amp;sr=8-7", "https://www.amazon.com/Gaorui-Portable-Tower-House-Multi-Functional/dp/B08TW76KFC/ref=sr_1_7?keywords=Smoby+-+Cat+House&amp;qid=1695588917&amp;sr=8-7")</f>
        <v/>
      </c>
      <c r="F481" t="inlineStr">
        <is>
          <t>B08TW76KFC</t>
        </is>
      </c>
      <c r="G481">
        <f>_xlfn.IMAGE("https://images.toysrus.com/1285/3032163404002_1.jpg")</f>
        <v/>
      </c>
      <c r="H481">
        <f>_xlfn.IMAGE("https://m.media-amazon.com/images/I/61+VwjR2XLL._AC_UL320_.jpg")</f>
        <v/>
      </c>
      <c r="K481" t="inlineStr">
        <is>
          <t>12.99</t>
        </is>
      </c>
      <c r="L481" t="n">
        <v>21.99</v>
      </c>
      <c r="M481" s="2" t="inlineStr">
        <is>
          <t>69.28%</t>
        </is>
      </c>
      <c r="N481" t="n">
        <v>4.2</v>
      </c>
      <c r="O481" t="n">
        <v>94</v>
      </c>
      <c r="Q481" t="inlineStr">
        <is>
          <t>InStock</t>
        </is>
      </c>
      <c r="R481" t="inlineStr">
        <is>
          <t>undefined</t>
        </is>
      </c>
      <c r="S481" t="inlineStr">
        <is>
          <t>G3032163404002</t>
        </is>
      </c>
    </row>
    <row r="482" ht="75" customHeight="1">
      <c r="A482" s="1">
        <f>HYPERLINK("https://www.toysrus.com/smoby---cotoons-activity-table-shape-sorter-toy-G3032161104263.html", "https://www.toysrus.com/smoby---cotoons-activity-table-shape-sorter-toy-G3032161104263.html")</f>
        <v/>
      </c>
      <c r="B482" s="1">
        <f>HYPERLINK("https://www.toysrus.com/smoby---cotoons-activity-table-shape-sorter-toy-G3032161104263.html", "https://www.toysrus.com/smoby---cotoons-activity-table-shape-sorter-toy-G3032161104263.html")</f>
        <v/>
      </c>
      <c r="C482" t="inlineStr">
        <is>
          <t>Smoby - Cotoons Activity Table Shape Sorter Toy</t>
        </is>
      </c>
      <c r="D482" t="inlineStr">
        <is>
          <t>Smoby - Cotoons Activity Table Shape Sorter Toy,Mixed</t>
        </is>
      </c>
      <c r="E482" s="1">
        <f>HYPERLINK("https://www.amazon.com/Smoby-Cotoons-Activity-Table-Sorter/dp/B07PRYHLQX/ref=sr_1_1?keywords=Smoby+-+Cotoons+Activity+Table+Shape+Sorter+Toy&amp;qid=1695588823&amp;sr=8-1", "https://www.amazon.com/Smoby-Cotoons-Activity-Table-Sorter/dp/B07PRYHLQX/ref=sr_1_1?keywords=Smoby+-+Cotoons+Activity+Table+Shape+Sorter+Toy&amp;qid=1695588823&amp;sr=8-1")</f>
        <v/>
      </c>
      <c r="F482" t="inlineStr">
        <is>
          <t>B07PRYHLQX</t>
        </is>
      </c>
      <c r="G482">
        <f>_xlfn.IMAGE("https://images.toysrus.com/1128598/3032161104263_1.jpg")</f>
        <v/>
      </c>
      <c r="H482">
        <f>_xlfn.IMAGE("https://m.media-amazon.com/images/I/511G-giE15L._AC_UL320_.jpg")</f>
        <v/>
      </c>
      <c r="K482" t="inlineStr">
        <is>
          <t>29.99</t>
        </is>
      </c>
      <c r="L482" t="n">
        <v>59.99</v>
      </c>
      <c r="M482" s="2" t="inlineStr">
        <is>
          <t>100.03%</t>
        </is>
      </c>
      <c r="N482" t="n">
        <v>4.6</v>
      </c>
      <c r="O482" t="n">
        <v>882</v>
      </c>
      <c r="Q482" t="inlineStr">
        <is>
          <t>InStock</t>
        </is>
      </c>
      <c r="R482" t="inlineStr">
        <is>
          <t>undefined</t>
        </is>
      </c>
      <c r="S482" t="inlineStr">
        <is>
          <t>G3032161104263</t>
        </is>
      </c>
    </row>
    <row r="483" ht="75" customHeight="1">
      <c r="A483" s="1">
        <f>HYPERLINK("https://www.toysrus.com/soapsox-paw-patrol-marshall-bath-toy-sponge-12947982.html", "https://www.toysrus.com/soapsox-paw-patrol-marshall-bath-toy-sponge-12947982.html")</f>
        <v/>
      </c>
      <c r="B483" s="1">
        <f>HYPERLINK("https://www.toysrus.com/soapsox-paw-patrol-marshall-bath-toy-sponge-12947982.html", "https://www.toysrus.com/soapsox-paw-patrol-marshall-bath-toy-sponge-12947982.html")</f>
        <v/>
      </c>
      <c r="C483" t="inlineStr">
        <is>
          <t>SoapSox Paw Patrol Marshall Bath Toy Sponge</t>
        </is>
      </c>
      <c r="D483" t="inlineStr">
        <is>
          <t>SoapSox Kids Bath Sponge, 3pcs PAW Patrol Chase, Marshall &amp; Skye, Soft Washcloth Toy for Fun and Easy Bath Time, Built-in Finger and Soap Pockets, Machine Washable &amp; Dryer Safe, Polyester Terry Cloth</t>
        </is>
      </c>
      <c r="E483" s="1">
        <f>HYPERLINK("https://www.amazon.com/SoapSox-Marshall-Washcloth-Washable-Polyester/dp/B0C2S97C92/ref=sr_1_1?keywords=SoapSox+Paw+Patrol+Marshall+Bath+Toy+Sponge&amp;qid=1695588834&amp;sr=8-1", "https://www.amazon.com/SoapSox-Marshall-Washcloth-Washable-Polyester/dp/B0C2S97C92/ref=sr_1_1?keywords=SoapSox+Paw+Patrol+Marshall+Bath+Toy+Sponge&amp;qid=1695588834&amp;sr=8-1")</f>
        <v/>
      </c>
      <c r="F483" t="inlineStr">
        <is>
          <t>B0C2S97C92</t>
        </is>
      </c>
      <c r="G483">
        <f>_xlfn.IMAGE("http://slimages.macys.com/is/image/MCY/products/0/optimized/20017830_fpx.tif")</f>
        <v/>
      </c>
      <c r="H483">
        <f>_xlfn.IMAGE("https://m.media-amazon.com/images/I/71rlg7Eg9YL._AC_UL320_.jpg")</f>
        <v/>
      </c>
      <c r="K483" t="inlineStr">
        <is>
          <t>11.99</t>
        </is>
      </c>
      <c r="L483" t="n">
        <v>34.99</v>
      </c>
      <c r="M483" s="2" t="inlineStr">
        <is>
          <t>191.83%</t>
        </is>
      </c>
      <c r="N483" t="n">
        <v>4.3</v>
      </c>
      <c r="O483" t="n">
        <v>173</v>
      </c>
      <c r="Q483" t="inlineStr">
        <is>
          <t>InStock</t>
        </is>
      </c>
      <c r="R483" t="inlineStr">
        <is>
          <t>undefined</t>
        </is>
      </c>
      <c r="S483" t="inlineStr">
        <is>
          <t>12947982</t>
        </is>
      </c>
    </row>
    <row r="484" ht="75" customHeight="1">
      <c r="A484" s="1">
        <f>HYPERLINK("https://www.toysrus.com/soapsox-paw-patrol-skye-bath-toy-sponge-12947983.html", "https://www.toysrus.com/soapsox-paw-patrol-skye-bath-toy-sponge-12947983.html")</f>
        <v/>
      </c>
      <c r="B484" s="1">
        <f>HYPERLINK("https://www.toysrus.com/soapsox-paw-patrol-skye-bath-toy-sponge-12947983.html", "https://www.toysrus.com/soapsox-paw-patrol-skye-bath-toy-sponge-12947983.html")</f>
        <v/>
      </c>
      <c r="C484" t="inlineStr">
        <is>
          <t>SoapSox Paw Patrol Skye Bath Toy Sponge</t>
        </is>
      </c>
      <c r="D484" t="inlineStr">
        <is>
          <t>SoapSox Kids Bath Sponge, 3pcs PAW Patrol Chase, Marshall &amp; Skye, Soft Washcloth Toy for Fun and Easy Bath Time, Built-in Finger and Soap Pockets, Machine Washable &amp; Dryer Safe, Polyester Terry Cloth</t>
        </is>
      </c>
      <c r="E484" s="1">
        <f>HYPERLINK("https://www.amazon.com/SoapSox-Marshall-Washcloth-Washable-Polyester/dp/B0C2S97C92/ref=sr_1_1?keywords=SoapSox+Paw+Patrol+Skye+Bath+Toy+Sponge&amp;qid=1695588844&amp;sr=8-1", "https://www.amazon.com/SoapSox-Marshall-Washcloth-Washable-Polyester/dp/B0C2S97C92/ref=sr_1_1?keywords=SoapSox+Paw+Patrol+Skye+Bath+Toy+Sponge&amp;qid=1695588844&amp;sr=8-1")</f>
        <v/>
      </c>
      <c r="F484" t="inlineStr">
        <is>
          <t>B0C2S97C92</t>
        </is>
      </c>
      <c r="G484">
        <f>_xlfn.IMAGE("http://slimages.macys.com/is/image/MCY/products/0/optimized/20017828_fpx.tif")</f>
        <v/>
      </c>
      <c r="H484">
        <f>_xlfn.IMAGE("https://m.media-amazon.com/images/I/71rlg7Eg9YL._AC_UL320_.jpg")</f>
        <v/>
      </c>
      <c r="K484" t="inlineStr">
        <is>
          <t>11.99</t>
        </is>
      </c>
      <c r="L484" t="n">
        <v>34.99</v>
      </c>
      <c r="M484" s="2" t="inlineStr">
        <is>
          <t>191.83%</t>
        </is>
      </c>
      <c r="N484" t="n">
        <v>4.3</v>
      </c>
      <c r="O484" t="n">
        <v>173</v>
      </c>
      <c r="Q484" t="inlineStr">
        <is>
          <t>InStock</t>
        </is>
      </c>
      <c r="R484" t="inlineStr">
        <is>
          <t>undefined</t>
        </is>
      </c>
      <c r="S484" t="inlineStr">
        <is>
          <t>12947983</t>
        </is>
      </c>
    </row>
    <row r="485" ht="75" customHeight="1">
      <c r="A485" s="1">
        <f>HYPERLINK("https://www.toysrus.com/sopwith-camel-model-kit-G072365008014.html", "https://www.toysrus.com/sopwith-camel-model-kit-G072365008014.html")</f>
        <v/>
      </c>
      <c r="B485" s="1">
        <f>HYPERLINK("https://www.toysrus.com/sopwith-camel-model-kit-G072365008014.html", "https://www.toysrus.com/sopwith-camel-model-kit-G072365008014.html")</f>
        <v/>
      </c>
      <c r="C485" t="inlineStr">
        <is>
          <t>Sopwith Camel Model Kit</t>
        </is>
      </c>
      <c r="D485" t="inlineStr">
        <is>
          <t>Model Airways SOPWITH Camel WW1 Historically Accurate Plane Wood &amp; Metal Model KIT 1:16 Scale</t>
        </is>
      </c>
      <c r="E485" s="1">
        <f>HYPERLINK("https://www.amazon.com/Model-Airways-SOPWITH-Camel-Plane/dp/B095PNSJVF/ref=sr_1_6?keywords=Sopwith+Camel+Model+Kit&amp;qid=1695588773&amp;sr=8-6", "https://www.amazon.com/Model-Airways-SOPWITH-Camel-Plane/dp/B095PNSJVF/ref=sr_1_6?keywords=Sopwith+Camel+Model+Kit&amp;qid=1695588773&amp;sr=8-6")</f>
        <v/>
      </c>
      <c r="F485" t="inlineStr">
        <is>
          <t>B095PNSJVF</t>
        </is>
      </c>
      <c r="G485">
        <f>_xlfn.IMAGE("https://images.toysrus.com/1285/072365008014_1.jpg")</f>
        <v/>
      </c>
      <c r="H485">
        <f>_xlfn.IMAGE("https://m.media-amazon.com/images/I/71TGZUwD7KS._AC_UL320_.jpg")</f>
        <v/>
      </c>
      <c r="K485" t="inlineStr">
        <is>
          <t>79.99</t>
        </is>
      </c>
      <c r="L485" t="n">
        <v>199.99</v>
      </c>
      <c r="M485" s="2" t="inlineStr">
        <is>
          <t>150.02%</t>
        </is>
      </c>
      <c r="N485" t="n">
        <v>4</v>
      </c>
      <c r="O485" t="n">
        <v>5</v>
      </c>
      <c r="Q485" t="inlineStr">
        <is>
          <t>InStock</t>
        </is>
      </c>
      <c r="R485" t="inlineStr">
        <is>
          <t>undefined</t>
        </is>
      </c>
      <c r="S485" t="inlineStr">
        <is>
          <t>G072365008014</t>
        </is>
      </c>
    </row>
    <row r="486" ht="75" customHeight="1">
      <c r="A486" s="1">
        <f>HYPERLINK("https://www.toysrus.com/sopwith-camel-model-kit-G072365008014.html", "https://www.toysrus.com/sopwith-camel-model-kit-G072365008014.html")</f>
        <v/>
      </c>
      <c r="B486" s="1">
        <f>HYPERLINK("https://www.toysrus.com/sopwith-camel-model-kit-G072365008014.html", "https://www.toysrus.com/sopwith-camel-model-kit-G072365008014.html")</f>
        <v/>
      </c>
      <c r="C486" t="inlineStr">
        <is>
          <t>Sopwith Camel Model Kit</t>
        </is>
      </c>
      <c r="D486" t="inlineStr">
        <is>
          <t>Model Airways SOPWITH Camel WW1 Historically Accurate Plane Wood &amp; Metal Model KIT 1:16 Scale</t>
        </is>
      </c>
      <c r="E486" s="1" t="n"/>
      <c r="F486" t="inlineStr">
        <is>
          <t>B095PNSJVF</t>
        </is>
      </c>
      <c r="G486">
        <f>_xlfn.IMAGE("https://images.toysrus.com/1285/072365008014_1.jpg")</f>
        <v/>
      </c>
      <c r="H486">
        <f>_xlfn.IMAGE("https://m.media-amazon.com/images/I/71TGZUwD7KS._AC_UL320_.jpg")</f>
        <v/>
      </c>
      <c r="K486" t="inlineStr">
        <is>
          <t>79.99</t>
        </is>
      </c>
      <c r="L486" t="n">
        <v>199.99</v>
      </c>
      <c r="M486" s="2" t="inlineStr">
        <is>
          <t>150.02%</t>
        </is>
      </c>
      <c r="N486" t="n">
        <v>4</v>
      </c>
      <c r="O486" t="n">
        <v>5</v>
      </c>
      <c r="Q486" t="inlineStr">
        <is>
          <t>InStock</t>
        </is>
      </c>
      <c r="R486" t="inlineStr">
        <is>
          <t>undefined</t>
        </is>
      </c>
      <c r="S486" t="inlineStr">
        <is>
          <t>G072365008014</t>
        </is>
      </c>
    </row>
    <row r="487" ht="75" customHeight="1">
      <c r="A487" s="1">
        <f>HYPERLINK("https://www.toysrus.com/speedsterz-city-park-and-drive-with-5-cars-G5050841668810.html", "https://www.toysrus.com/speedsterz-city-park-and-drive-with-5-cars-G5050841668810.html")</f>
        <v/>
      </c>
      <c r="B487" s="1">
        <f>HYPERLINK("https://www.toysrus.com/speedsterz-city-park-and-drive-with-5-cars-G5050841668810.html", "https://www.toysrus.com/speedsterz-city-park-and-drive-with-5-cars-G5050841668810.html")</f>
        <v/>
      </c>
      <c r="C487" t="inlineStr">
        <is>
          <t>Speedsterz City Park &amp; Drive with 5 Cars</t>
        </is>
      </c>
      <c r="D487" t="inlineStr">
        <is>
          <t>Speedsterz City Park &amp; Drive with 5 Cars</t>
        </is>
      </c>
      <c r="E487" s="1">
        <f>HYPERLINK("https://www.amazon.com/TEAMSTERZ-City-Drive-Garage-DIECAST/dp/B07G387TQ6/ref=sr_1_1?keywords=Speedsterz+City+Park+%26+Drive+with+5+Cars&amp;qid=1695588330&amp;sr=8-1", "https://www.amazon.com/TEAMSTERZ-City-Drive-Garage-DIECAST/dp/B07G387TQ6/ref=sr_1_1?keywords=Speedsterz+City+Park+%26+Drive+with+5+Cars&amp;qid=1695588330&amp;sr=8-1")</f>
        <v/>
      </c>
      <c r="F487" t="inlineStr">
        <is>
          <t>B07G387TQ6</t>
        </is>
      </c>
      <c r="G487">
        <f>_xlfn.IMAGE("https://images.toysrus.com/1285/5050841668810_1.jpg")</f>
        <v/>
      </c>
      <c r="H487">
        <f>_xlfn.IMAGE("https://m.media-amazon.com/images/I/81+Ae7mrY2L._AC_UL320_.jpg")</f>
        <v/>
      </c>
      <c r="K487" t="inlineStr">
        <is>
          <t>9.99</t>
        </is>
      </c>
      <c r="L487" t="n">
        <v>16.99</v>
      </c>
      <c r="M487" s="2" t="inlineStr">
        <is>
          <t>70.07%</t>
        </is>
      </c>
      <c r="N487" t="n">
        <v>4.1</v>
      </c>
      <c r="O487" t="n">
        <v>14</v>
      </c>
      <c r="Q487" t="inlineStr">
        <is>
          <t>InStock</t>
        </is>
      </c>
      <c r="R487" t="inlineStr">
        <is>
          <t>undefined</t>
        </is>
      </c>
      <c r="S487" t="inlineStr">
        <is>
          <t>G5050841668810</t>
        </is>
      </c>
    </row>
    <row r="488" ht="75" customHeight="1">
      <c r="A488" s="1">
        <f>HYPERLINK("https://www.toysrus.com/speedsterz-city-park-and-drive-with-5-cars-G5050841668810.html", "https://www.toysrus.com/speedsterz-city-park-and-drive-with-5-cars-G5050841668810.html")</f>
        <v/>
      </c>
      <c r="B488" s="1">
        <f>HYPERLINK("https://www.toysrus.com/speedsterz-city-park-and-drive-with-5-cars-G5050841668810.html", "https://www.toysrus.com/speedsterz-city-park-and-drive-with-5-cars-G5050841668810.html")</f>
        <v/>
      </c>
      <c r="C488" t="inlineStr">
        <is>
          <t>Speedsterz City Park &amp; Drive with 5 Cars</t>
        </is>
      </c>
      <c r="D488" t="inlineStr">
        <is>
          <t>Speedsterz City Park &amp; Drive with 5 Cars</t>
        </is>
      </c>
      <c r="E488" s="1">
        <f>HYPERLINK("https://www.amazon.com/TEAMSTERZ-City-Drive-Garage-DIECAST/dp/B07G387TQ6/ref=sr_1_1?keywords=Speedsterz+City+Park&amp;qid=1695588765&amp;sr=8-1", "https://www.amazon.com/TEAMSTERZ-City-Drive-Garage-DIECAST/dp/B07G387TQ6/ref=sr_1_1?keywords=Speedsterz+City+Park&amp;qid=1695588765&amp;sr=8-1")</f>
        <v/>
      </c>
      <c r="F488" t="inlineStr">
        <is>
          <t>B07G387TQ6</t>
        </is>
      </c>
      <c r="G488">
        <f>_xlfn.IMAGE("https://images.toysrus.com/1285/5050841668810_1.jpg")</f>
        <v/>
      </c>
      <c r="H488">
        <f>_xlfn.IMAGE("https://m.media-amazon.com/images/I/81+Ae7mrY2L._AC_UL320_.jpg")</f>
        <v/>
      </c>
      <c r="K488" t="inlineStr">
        <is>
          <t>9.99</t>
        </is>
      </c>
      <c r="L488" t="n">
        <v>16.99</v>
      </c>
      <c r="M488" s="2" t="inlineStr">
        <is>
          <t>70.07%</t>
        </is>
      </c>
      <c r="N488" t="n">
        <v>4.1</v>
      </c>
      <c r="O488" t="n">
        <v>14</v>
      </c>
      <c r="Q488" t="inlineStr">
        <is>
          <t>InStock</t>
        </is>
      </c>
      <c r="R488" t="inlineStr">
        <is>
          <t>undefined</t>
        </is>
      </c>
      <c r="S488" t="inlineStr">
        <is>
          <t>G5050841668810</t>
        </is>
      </c>
    </row>
    <row r="489" ht="75" customHeight="1">
      <c r="A489" s="1">
        <f>HYPERLINK("https://www.toysrus.com/stanley-jr-diy-toolbox-kit-for-kids-G0878834004033.html", "https://www.toysrus.com/stanley-jr-diy-toolbox-kit-for-kids-G0878834004033.html")</f>
        <v/>
      </c>
      <c r="B489" s="1">
        <f>HYPERLINK("https://www.toysrus.com/stanley-jr-diy-toolbox-kit-for-kids-G0878834004033.html", "https://www.toysrus.com/stanley-jr-diy-toolbox-kit-for-kids-G0878834004033.html")</f>
        <v/>
      </c>
      <c r="C489" t="inlineStr">
        <is>
          <t>STANLEY Jr DIY Toolbox Kit for Kids</t>
        </is>
      </c>
      <c r="D489" t="inlineStr">
        <is>
          <t>My First Tool Set by DIYjr – Real Tool Set for Kids Steel Forged Tools for Children Kids Toolbelt Child-Sized Tools Tool Bag for Kids Real Tools for Boys Tool Kit for Girls Tools for Small Hands</t>
        </is>
      </c>
      <c r="E489" s="1">
        <f>HYPERLINK("https://www.amazon.com/First-Tool-Set-DIYjr-Child-sized/dp/B077PYS1JM/ref=sr_1_5?keywords=STANLEY+Jr+DIY+Toolbox+Kit+for+Kids&amp;qid=1695588443&amp;sr=8-5", "https://www.amazon.com/First-Tool-Set-DIYjr-Child-sized/dp/B077PYS1JM/ref=sr_1_5?keywords=STANLEY+Jr+DIY+Toolbox+Kit+for+Kids&amp;qid=1695588443&amp;sr=8-5")</f>
        <v/>
      </c>
      <c r="F489" t="inlineStr">
        <is>
          <t>B077PYS1JM</t>
        </is>
      </c>
      <c r="G489">
        <f>_xlfn.IMAGE("https://images.toysrus.com/1285/856522005272_1.jpg")</f>
        <v/>
      </c>
      <c r="H489">
        <f>_xlfn.IMAGE("https://m.media-amazon.com/images/I/919FuJX0faL._AC_UL320_.jpg")</f>
        <v/>
      </c>
      <c r="K489" t="inlineStr">
        <is>
          <t>24.99</t>
        </is>
      </c>
      <c r="L489" t="n">
        <v>49.99</v>
      </c>
      <c r="M489" s="2" t="inlineStr">
        <is>
          <t>100.04%</t>
        </is>
      </c>
      <c r="N489" t="n">
        <v>4.8</v>
      </c>
      <c r="O489" t="n">
        <v>1015</v>
      </c>
      <c r="Q489" t="inlineStr">
        <is>
          <t>InStock</t>
        </is>
      </c>
      <c r="R489" t="inlineStr">
        <is>
          <t>undefined</t>
        </is>
      </c>
      <c r="S489" t="inlineStr">
        <is>
          <t>G0878834004033</t>
        </is>
      </c>
    </row>
    <row r="490" ht="75" customHeight="1">
      <c r="A490" s="1">
        <f>HYPERLINK("https://www.toysrus.com/star-wars-elf-interactive-14635155.html", "https://www.toysrus.com/star-wars-elf-interactive-14635155.html")</f>
        <v/>
      </c>
      <c r="B490" s="1">
        <f>HYPERLINK("https://www.toysrus.com/star-wars-elf-interactive-14635155.html", "https://www.toysrus.com/star-wars-elf-interactive-14635155.html")</f>
        <v/>
      </c>
      <c r="C490" t="inlineStr">
        <is>
          <t>Star Wars Elf Interactive</t>
        </is>
      </c>
      <c r="D490" t="inlineStr">
        <is>
          <t>Star Wars Episode 9 The Rise of Skywalker D-O Bluetooth Interactive Droid</t>
        </is>
      </c>
      <c r="E490" s="1">
        <f>HYPERLINK("https://www.amazon.com/Episode-Skywalker-Bluetooth-Interactive-Droid/dp/B07X2KKXHZ/ref=sr_1_6?keywords=Star+Wars+Elf+Interactive&amp;qid=1695588568&amp;sr=8-6", "https://www.amazon.com/Episode-Skywalker-Bluetooth-Interactive-Droid/dp/B07X2KKXHZ/ref=sr_1_6?keywords=Star+Wars+Elf+Interactive&amp;qid=1695588568&amp;sr=8-6")</f>
        <v/>
      </c>
      <c r="F490" t="inlineStr">
        <is>
          <t>B07X2KKXHZ</t>
        </is>
      </c>
      <c r="G490">
        <f>_xlfn.IMAGE("http://slimages.macys.com/is/image/MCY/products/0/optimized/22878383_fpx.tif")</f>
        <v/>
      </c>
      <c r="H490">
        <f>_xlfn.IMAGE("https://m.media-amazon.com/images/I/71FmW+uoPbL._AC_UL320_.jpg")</f>
        <v/>
      </c>
      <c r="K490" t="inlineStr">
        <is>
          <t>24.43</t>
        </is>
      </c>
      <c r="L490" t="n">
        <v>75</v>
      </c>
      <c r="M490" s="2" t="inlineStr">
        <is>
          <t>207.00%</t>
        </is>
      </c>
      <c r="N490" t="n">
        <v>4</v>
      </c>
      <c r="O490" t="n">
        <v>190</v>
      </c>
      <c r="Q490" t="inlineStr">
        <is>
          <t>InStock</t>
        </is>
      </c>
      <c r="R490" t="inlineStr">
        <is>
          <t>undefined</t>
        </is>
      </c>
      <c r="S490" t="inlineStr">
        <is>
          <t>14635155</t>
        </is>
      </c>
    </row>
    <row r="491" ht="75" customHeight="1">
      <c r="A491" s="1">
        <f>HYPERLINK("https://www.toysrus.com/star-wars-elf-interactive-14635155.html", "https://www.toysrus.com/star-wars-elf-interactive-14635155.html")</f>
        <v/>
      </c>
      <c r="B491" s="1">
        <f>HYPERLINK("https://www.toysrus.com/star-wars-elf-interactive-14635155.html", "https://www.toysrus.com/star-wars-elf-interactive-14635155.html")</f>
        <v/>
      </c>
      <c r="C491" t="inlineStr">
        <is>
          <t>Star Wars Elf Interactive</t>
        </is>
      </c>
      <c r="D491" t="inlineStr">
        <is>
          <t>Star Wars Ultimate Co-Pilot Chewie Interactive Plush Toy, Brought to Life by FurReal, 100+ Sound-and-Motion Combinations, Brown, Standard</t>
        </is>
      </c>
      <c r="E491" s="1">
        <f>HYPERLINK("https://www.amazon.com/Star-Wars-Ultimate-Interactive-Combinations/dp/B076JGYZYB/ref=sr_1_3?keywords=Star+Wars+Elf+Interactive&amp;qid=1695588568&amp;sr=8-3", "https://www.amazon.com/Star-Wars-Ultimate-Interactive-Combinations/dp/B076JGYZYB/ref=sr_1_3?keywords=Star+Wars+Elf+Interactive&amp;qid=1695588568&amp;sr=8-3")</f>
        <v/>
      </c>
      <c r="F491" t="inlineStr">
        <is>
          <t>B076JGYZYB</t>
        </is>
      </c>
      <c r="G491">
        <f>_xlfn.IMAGE("http://slimages.macys.com/is/image/MCY/products/0/optimized/22878383_fpx.tif")</f>
        <v/>
      </c>
      <c r="H491">
        <f>_xlfn.IMAGE("https://m.media-amazon.com/images/I/81GSWrjh6UL._AC_UL320_.jpg")</f>
        <v/>
      </c>
      <c r="K491" t="inlineStr">
        <is>
          <t>24.43</t>
        </is>
      </c>
      <c r="L491" t="n">
        <v>49.88</v>
      </c>
      <c r="M491" s="2" t="inlineStr">
        <is>
          <t>104.18%</t>
        </is>
      </c>
      <c r="N491" t="n">
        <v>4.7</v>
      </c>
      <c r="O491" t="n">
        <v>1544</v>
      </c>
      <c r="Q491" t="inlineStr">
        <is>
          <t>InStock</t>
        </is>
      </c>
      <c r="R491" t="inlineStr">
        <is>
          <t>undefined</t>
        </is>
      </c>
      <c r="S491" t="inlineStr">
        <is>
          <t>14635155</t>
        </is>
      </c>
    </row>
    <row r="492" ht="75" customHeight="1">
      <c r="A492" s="1">
        <f>HYPERLINK("https://www.toysrus.com/steamforged-epic-encounters-caverns-of-the-frost-giant-G5060453695340.html", "https://www.toysrus.com/steamforged-epic-encounters-caverns-of-the-frost-giant-G5060453695340.html")</f>
        <v/>
      </c>
      <c r="B492" s="1">
        <f>HYPERLINK("https://www.toysrus.com/steamforged-epic-encounters-caverns-of-the-frost-giant-G5060453695340.html", "https://www.toysrus.com/steamforged-epic-encounters-caverns-of-the-frost-giant-G5060453695340.html")</f>
        <v/>
      </c>
      <c r="C492" t="inlineStr">
        <is>
          <t>Steamforged Epic Encounters: Caverns of The Frost Giant</t>
        </is>
      </c>
      <c r="D492" t="inlineStr">
        <is>
          <t>Steamforged Epic Encounters Caverns of The Frost Giant and Halls of The Orc King Bundle (2 Items)</t>
        </is>
      </c>
      <c r="E492" s="1">
        <f>HYPERLINK("https://www.amazon.com/Epic-Encounters-Bundle-Caverns-Frost/dp/B08P828BRD/ref=sr_1_1?keywords=Steamforged+Epic+Encounters%3A+Caverns+of+The+Frost+Giant&amp;qid=1695588270&amp;sr=8-1", "https://www.amazon.com/Epic-Encounters-Bundle-Caverns-Frost/dp/B08P828BRD/ref=sr_1_1?keywords=Steamforged+Epic+Encounters%3A+Caverns+of+The+Frost+Giant&amp;qid=1695588270&amp;sr=8-1")</f>
        <v/>
      </c>
      <c r="F492" t="inlineStr">
        <is>
          <t>B08P828BRD</t>
        </is>
      </c>
      <c r="G492">
        <f>_xlfn.IMAGE("https://images.toysrus.com/1285/5060453695340_1.jpg")</f>
        <v/>
      </c>
      <c r="H492">
        <f>_xlfn.IMAGE("https://m.media-amazon.com/images/I/7137tIdq73L._AC_UL320_.jpg")</f>
        <v/>
      </c>
      <c r="K492" t="inlineStr">
        <is>
          <t>24.99</t>
        </is>
      </c>
      <c r="L492" t="n">
        <v>54.95</v>
      </c>
      <c r="M492" s="2" t="inlineStr">
        <is>
          <t>119.89%</t>
        </is>
      </c>
      <c r="N492" t="n">
        <v>4.9</v>
      </c>
      <c r="O492" t="n">
        <v>66</v>
      </c>
      <c r="Q492" t="inlineStr">
        <is>
          <t>InStock</t>
        </is>
      </c>
      <c r="R492" t="inlineStr">
        <is>
          <t>undefined</t>
        </is>
      </c>
      <c r="S492" t="inlineStr">
        <is>
          <t>G5060453695340</t>
        </is>
      </c>
    </row>
    <row r="493" ht="75" customHeight="1">
      <c r="A493" s="1">
        <f>HYPERLINK("https://www.toysrus.com/stearman-pt-17-model-kit-G072365008038.html", "https://www.toysrus.com/stearman-pt-17-model-kit-G072365008038.html")</f>
        <v/>
      </c>
      <c r="B493" s="1">
        <f>HYPERLINK("https://www.toysrus.com/stearman-pt-17-model-kit-G072365008038.html", "https://www.toysrus.com/stearman-pt-17-model-kit-G072365008038.html")</f>
        <v/>
      </c>
      <c r="C493" t="inlineStr">
        <is>
          <t>Stearman PT-17 Model Kit</t>
        </is>
      </c>
      <c r="D493" t="inlineStr">
        <is>
          <t>Boeing™ PT-17 Stearman Limited Edition Large Mahogany Model</t>
        </is>
      </c>
      <c r="E493" s="1">
        <f>HYPERLINK("https://www.amazon.com/High-Flying-Models-Stearman-Mahogany/dp/B08KGVLNH7/ref=sr_1_8?keywords=Stearman+PT-17+Model+Kit&amp;qid=1695588768&amp;sr=8-8", "https://www.amazon.com/High-Flying-Models-Stearman-Mahogany/dp/B08KGVLNH7/ref=sr_1_8?keywords=Stearman+PT-17+Model+Kit&amp;qid=1695588768&amp;sr=8-8")</f>
        <v/>
      </c>
      <c r="F493" t="inlineStr">
        <is>
          <t>B08KGVLNH7</t>
        </is>
      </c>
      <c r="G493">
        <f>_xlfn.IMAGE("https://images.toysrus.com/1285/072365008038_1.jpg")</f>
        <v/>
      </c>
      <c r="H493">
        <f>_xlfn.IMAGE("https://m.media-amazon.com/images/I/51H6CM366KL._AC_UL320_.jpg")</f>
        <v/>
      </c>
      <c r="K493" t="inlineStr">
        <is>
          <t>69.99</t>
        </is>
      </c>
      <c r="L493" t="n">
        <v>278.87</v>
      </c>
      <c r="M493" s="2" t="inlineStr">
        <is>
          <t>298.44%</t>
        </is>
      </c>
      <c r="N493" t="n">
        <v>5</v>
      </c>
      <c r="O493" t="n">
        <v>1</v>
      </c>
      <c r="Q493" t="inlineStr">
        <is>
          <t>InStock</t>
        </is>
      </c>
      <c r="R493" t="inlineStr">
        <is>
          <t>undefined</t>
        </is>
      </c>
      <c r="S493" t="inlineStr">
        <is>
          <t>G072365008038</t>
        </is>
      </c>
    </row>
    <row r="494" ht="75" customHeight="1">
      <c r="A494" s="1">
        <f>HYPERLINK("https://www.toysrus.com/stick-pony-in-purple-with-sound-G888865000393.html", "https://www.toysrus.com/stick-pony-in-purple-with-sound-G888865000393.html")</f>
        <v/>
      </c>
      <c r="B494" s="1">
        <f>HYPERLINK("https://www.toysrus.com/stick-pony-in-purple-with-sound-G888865000393.html", "https://www.toysrus.com/stick-pony-in-purple-with-sound-G888865000393.html")</f>
        <v/>
      </c>
      <c r="C494" t="inlineStr">
        <is>
          <t>Stick Pony In Purple with Sound</t>
        </is>
      </c>
      <c r="D494" t="inlineStr">
        <is>
          <t>HollyHOME Outdoor Stick Horse with Wood Wheels Real Pony Neighing and Galloping Sounds Grey Pony Plush Toy 36 Inches(AA Batteries Required)</t>
        </is>
      </c>
      <c r="E494" s="1">
        <f>HYPERLINK("https://www.amazon.com/HollyHOME-Neighing-Galloping-Batteries-Required/dp/B0C6TBBQ9Y/ref=sr_1_9?keywords=Stick+Pony+In+Purple+with+Sound&amp;qid=1695588885&amp;sr=8-9", "https://www.amazon.com/HollyHOME-Neighing-Galloping-Batteries-Required/dp/B0C6TBBQ9Y/ref=sr_1_9?keywords=Stick+Pony+In+Purple+with+Sound&amp;qid=1695588885&amp;sr=8-9")</f>
        <v/>
      </c>
      <c r="F494" t="inlineStr">
        <is>
          <t>B0C6TBBQ9Y</t>
        </is>
      </c>
      <c r="G494">
        <f>_xlfn.IMAGE("https://images.toysrus.com/1128598/888865000393_1.jpg")</f>
        <v/>
      </c>
      <c r="H494">
        <f>_xlfn.IMAGE("https://m.media-amazon.com/images/I/610fLJwuKBL._AC_UL320_.jpg")</f>
        <v/>
      </c>
      <c r="K494" t="inlineStr">
        <is>
          <t>14.99</t>
        </is>
      </c>
      <c r="L494" t="n">
        <v>37.99</v>
      </c>
      <c r="M494" s="2" t="inlineStr">
        <is>
          <t>153.44%</t>
        </is>
      </c>
      <c r="N494" t="n">
        <v>4.3</v>
      </c>
      <c r="O494" t="n">
        <v>1278</v>
      </c>
      <c r="Q494" t="inlineStr">
        <is>
          <t>InStock</t>
        </is>
      </c>
      <c r="R494" t="inlineStr">
        <is>
          <t>undefined</t>
        </is>
      </c>
      <c r="S494" t="inlineStr">
        <is>
          <t>G888865000393</t>
        </is>
      </c>
    </row>
    <row r="495" ht="75" customHeight="1">
      <c r="A495" s="1">
        <f>HYPERLINK("https://www.toysrus.com/stick-pony-in-purple-with-sound-G888865000393.html", "https://www.toysrus.com/stick-pony-in-purple-with-sound-G888865000393.html")</f>
        <v/>
      </c>
      <c r="B495" s="1">
        <f>HYPERLINK("https://www.toysrus.com/stick-pony-in-purple-with-sound-G888865000393.html", "https://www.toysrus.com/stick-pony-in-purple-with-sound-G888865000393.html")</f>
        <v/>
      </c>
      <c r="C495" t="inlineStr">
        <is>
          <t>Stick Pony In Purple with Sound</t>
        </is>
      </c>
      <c r="D495" t="inlineStr">
        <is>
          <t>HollyHOME Plush Unicorn Stick Horse with Wood Wheels Real Pony Neighing and Galloping Sounds Plush Unicorn Toy Purple 37 Inches(AA Batteries Required)</t>
        </is>
      </c>
      <c r="E495" s="1">
        <f>HYPERLINK("https://www.amazon.com/HollyHOME-Neighing-Galloping-Batteries-Required/dp/B09S9TVW4V/ref=sr_1_4?keywords=Stick+Pony+In+Purple+with+Sound&amp;qid=1695588885&amp;sr=8-4", "https://www.amazon.com/HollyHOME-Neighing-Galloping-Batteries-Required/dp/B09S9TVW4V/ref=sr_1_4?keywords=Stick+Pony+In+Purple+with+Sound&amp;qid=1695588885&amp;sr=8-4")</f>
        <v/>
      </c>
      <c r="F495" t="inlineStr">
        <is>
          <t>B09S9TVW4V</t>
        </is>
      </c>
      <c r="G495">
        <f>_xlfn.IMAGE("https://images.toysrus.com/1128598/888865000393_1.jpg")</f>
        <v/>
      </c>
      <c r="H495">
        <f>_xlfn.IMAGE("https://m.media-amazon.com/images/I/61u7rVaf47L._AC_UL320_.jpg")</f>
        <v/>
      </c>
      <c r="K495" t="inlineStr">
        <is>
          <t>14.99</t>
        </is>
      </c>
      <c r="L495" t="n">
        <v>37.99</v>
      </c>
      <c r="M495" s="2" t="inlineStr">
        <is>
          <t>153.44%</t>
        </is>
      </c>
      <c r="N495" t="n">
        <v>4.2</v>
      </c>
      <c r="O495" t="n">
        <v>935</v>
      </c>
      <c r="Q495" t="inlineStr">
        <is>
          <t>InStock</t>
        </is>
      </c>
      <c r="R495" t="inlineStr">
        <is>
          <t>undefined</t>
        </is>
      </c>
      <c r="S495" t="inlineStr">
        <is>
          <t>G888865000393</t>
        </is>
      </c>
    </row>
    <row r="496" ht="75" customHeight="1">
      <c r="A496" s="1">
        <f>HYPERLINK("https://www.toysrus.com/stonemaier-games-wingspan-european-strategy-board-game-expansion-G644216627622.html", "https://www.toysrus.com/stonemaier-games-wingspan-european-strategy-board-game-expansion-G644216627622.html")</f>
        <v/>
      </c>
      <c r="B496" s="1">
        <f>HYPERLINK("https://www.toysrus.com/stonemaier-games-wingspan-european-strategy-board-game-expansion-G644216627622.html", "https://www.toysrus.com/stonemaier-games-wingspan-european-strategy-board-game-expansion-G644216627622.html")</f>
        <v/>
      </c>
      <c r="C496" t="inlineStr">
        <is>
          <t>Stonemaier Games Wingspan European Strategy Board Game Expansion</t>
        </is>
      </c>
      <c r="D496" t="inlineStr">
        <is>
          <t>Wingspan Board Game A Bird-Collection Engine-Building Stonemaier Game Bundle with European Expansion Board Game (2 Items)</t>
        </is>
      </c>
      <c r="E496" s="1">
        <f>HYPERLINK("https://www.amazon.com/Wingspan-Bird-Collection-Engine-Building-Stonemaier-Expansion/dp/B09928CW9M/ref=sr_1_5?keywords=Stonemaier+Games+Wingspan+European+Strategy+Board+Game+Expansion&amp;qid=1695588208&amp;sr=8-5", "https://www.amazon.com/Wingspan-Bird-Collection-Engine-Building-Stonemaier-Expansion/dp/B09928CW9M/ref=sr_1_5?keywords=Stonemaier+Games+Wingspan+European+Strategy+Board+Game+Expansion&amp;qid=1695588208&amp;sr=8-5")</f>
        <v/>
      </c>
      <c r="F496" t="inlineStr">
        <is>
          <t>B09928CW9M</t>
        </is>
      </c>
      <c r="G496">
        <f>_xlfn.IMAGE("https://images.toysrus.com/1128598/644216627622_1.jpg")</f>
        <v/>
      </c>
      <c r="H496">
        <f>_xlfn.IMAGE("https://m.media-amazon.com/images/I/71TJCcfAb7L._AC_UL320_.jpg")</f>
        <v/>
      </c>
      <c r="K496" t="inlineStr">
        <is>
          <t>24.99</t>
        </is>
      </c>
      <c r="L496" t="n">
        <v>89.95</v>
      </c>
      <c r="M496" s="2" t="inlineStr">
        <is>
          <t>259.94%</t>
        </is>
      </c>
      <c r="N496" t="n">
        <v>5</v>
      </c>
      <c r="O496" t="n">
        <v>1</v>
      </c>
      <c r="Q496" t="inlineStr">
        <is>
          <t>InStock</t>
        </is>
      </c>
      <c r="R496" t="inlineStr">
        <is>
          <t>undefined</t>
        </is>
      </c>
      <c r="S496" t="inlineStr">
        <is>
          <t>G644216627622</t>
        </is>
      </c>
    </row>
    <row r="497" ht="75" customHeight="1">
      <c r="A497" s="1">
        <f>HYPERLINK("https://www.toysrus.com/stonemaier-games-wingspan-european-strategy-board-game-expansion-G644216627622.html", "https://www.toysrus.com/stonemaier-games-wingspan-european-strategy-board-game-expansion-G644216627622.html")</f>
        <v/>
      </c>
      <c r="B497" s="1">
        <f>HYPERLINK("https://www.toysrus.com/stonemaier-games-wingspan-european-strategy-board-game-expansion-G644216627622.html", "https://www.toysrus.com/stonemaier-games-wingspan-european-strategy-board-game-expansion-G644216627622.html")</f>
        <v/>
      </c>
      <c r="C497" t="inlineStr">
        <is>
          <t>Stonemaier Games Wingspan European Strategy Board Game Expansion</t>
        </is>
      </c>
      <c r="D497" t="inlineStr">
        <is>
          <t>Stonemaier Games: Wingspan Asia Expansion, Strategy Board Game, Stand Alone Game Or Play with Core Wingspan, Play in Solo Mode or Dual Player, 40-70 Minute Play Time, for Ages 14 and up</t>
        </is>
      </c>
      <c r="E497" s="1">
        <f>HYPERLINK("https://www.amazon.com/Stonemaier-Games-Wingspan-Expansion-Strategy/dp/B0BH72GXZ5/ref=sr_1_2?keywords=Stonemaier+Games+Wingspan+European+Strategy+Board+Game+Expansion&amp;qid=1695588208&amp;sr=8-2", "https://www.amazon.com/Stonemaier-Games-Wingspan-Expansion-Strategy/dp/B0BH72GXZ5/ref=sr_1_2?keywords=Stonemaier+Games+Wingspan+European+Strategy+Board+Game+Expansion&amp;qid=1695588208&amp;sr=8-2")</f>
        <v/>
      </c>
      <c r="F497" t="inlineStr">
        <is>
          <t>B0BH72GXZ5</t>
        </is>
      </c>
      <c r="G497">
        <f>_xlfn.IMAGE("https://images.toysrus.com/1128598/644216627622_1.jpg")</f>
        <v/>
      </c>
      <c r="H497">
        <f>_xlfn.IMAGE("https://m.media-amazon.com/images/I/812noL4zLgL._AC_UL320_.jpg")</f>
        <v/>
      </c>
      <c r="K497" t="inlineStr">
        <is>
          <t>24.99</t>
        </is>
      </c>
      <c r="L497" t="n">
        <v>43.95</v>
      </c>
      <c r="M497" s="2" t="inlineStr">
        <is>
          <t>75.87%</t>
        </is>
      </c>
      <c r="N497" t="n">
        <v>4.9</v>
      </c>
      <c r="O497" t="n">
        <v>454</v>
      </c>
      <c r="Q497" t="inlineStr">
        <is>
          <t>InStock</t>
        </is>
      </c>
      <c r="R497" t="inlineStr">
        <is>
          <t>undefined</t>
        </is>
      </c>
      <c r="S497" t="inlineStr">
        <is>
          <t>G644216627622</t>
        </is>
      </c>
    </row>
    <row r="498" ht="75" customHeight="1">
      <c r="A498" s="1">
        <f>HYPERLINK("https://www.toysrus.com/superfight-the-blue-deck-2-card-game-G0653341665508.html", "https://www.toysrus.com/superfight-the-blue-deck-2-card-game-G0653341665508.html")</f>
        <v/>
      </c>
      <c r="B498" s="1">
        <f>HYPERLINK("https://www.toysrus.com/superfight-the-blue-deck-2-card-game-G0653341665508.html", "https://www.toysrus.com/superfight-the-blue-deck-2-card-game-G0653341665508.html")</f>
        <v/>
      </c>
      <c r="C498" t="inlineStr">
        <is>
          <t>Superfight: The Blue Deck 2 Card Game</t>
        </is>
      </c>
      <c r="D498" t="inlineStr">
        <is>
          <t>Skybound Superfight Challenge Deck 2: 100 New Condition Cards for The Game of Absurd Arguments | Expansion for Kids Teens Adults, 3 or More Players, Ages 8+</t>
        </is>
      </c>
      <c r="E498" s="1">
        <f>HYPERLINK("https://www.amazon.com/SUPERFIGHT-the-Challenge-Deck-2/dp/B0714BC59H/ref=sr_1_3?keywords=Superfight%3A+The+Blue+Deck+2+Card+Game&amp;qid=1695588247&amp;sr=8-3", "https://www.amazon.com/SUPERFIGHT-the-Challenge-Deck-2/dp/B0714BC59H/ref=sr_1_3?keywords=Superfight%3A+The+Blue+Deck+2+Card+Game&amp;qid=1695588247&amp;sr=8-3")</f>
        <v/>
      </c>
      <c r="F498" t="inlineStr">
        <is>
          <t>B0714BC59H</t>
        </is>
      </c>
      <c r="G498">
        <f>_xlfn.IMAGE("https://images.toysrus.com/1285980/653341665508_1.jpg")</f>
        <v/>
      </c>
      <c r="H498">
        <f>_xlfn.IMAGE("https://m.media-amazon.com/images/I/61fCkbNiNIL._AC_UL320_.jpg")</f>
        <v/>
      </c>
      <c r="K498" t="inlineStr">
        <is>
          <t>11.99</t>
        </is>
      </c>
      <c r="L498" t="n">
        <v>20.62</v>
      </c>
      <c r="M498" s="2" t="inlineStr">
        <is>
          <t>71.98%</t>
        </is>
      </c>
      <c r="N498" t="n">
        <v>4.9</v>
      </c>
      <c r="O498" t="n">
        <v>35</v>
      </c>
      <c r="Q498" t="inlineStr">
        <is>
          <t>OutOfStock</t>
        </is>
      </c>
      <c r="R498" t="inlineStr">
        <is>
          <t>undefined</t>
        </is>
      </c>
      <c r="S498" t="inlineStr">
        <is>
          <t>G0653341665508</t>
        </is>
      </c>
    </row>
    <row r="499" ht="75" customHeight="1">
      <c r="A499" s="1">
        <f>HYPERLINK("https://www.toysrus.com/super-mario-deluxe-bowsers-ship-playset-12893916.html", "https://www.toysrus.com/super-mario-deluxe-bowsers-ship-playset-12893916.html")</f>
        <v/>
      </c>
      <c r="B499" s="1">
        <f>HYPERLINK("https://www.toysrus.com/super-mario-deluxe-bowsers-ship-playset-12893916.html", "https://www.toysrus.com/super-mario-deluxe-bowsers-ship-playset-12893916.html")</f>
        <v/>
      </c>
      <c r="C499" t="inlineStr">
        <is>
          <t>Super Mario Deluxe Bowsers Ship Playset</t>
        </is>
      </c>
      <c r="D499" t="inlineStr">
        <is>
          <t>Nintendo Super Mario Deluxe Playset - Bowser Ship - Includes 5 Figures 6.5 cm &amp; 4 Accessories</t>
        </is>
      </c>
      <c r="E499" s="1">
        <f>HYPERLINK("https://www.amazon.com/Nintendo-Super-Mario-Deluxe-Playset/dp/B0B3RWD7MH/ref=sr_1_2?keywords=Super+Mario+Deluxe+Bowsers+Ship+Playset&amp;qid=1695588560&amp;sr=8-2", "https://www.amazon.com/Nintendo-Super-Mario-Deluxe-Playset/dp/B0B3RWD7MH/ref=sr_1_2?keywords=Super+Mario+Deluxe+Bowsers+Ship+Playset&amp;qid=1695588560&amp;sr=8-2")</f>
        <v/>
      </c>
      <c r="F499" t="inlineStr">
        <is>
          <t>B0B3RWD7MH</t>
        </is>
      </c>
      <c r="G499">
        <f>_xlfn.IMAGE("http://slimages.macys.com/is/image/MCY/products/0/optimized/20100266_fpx.tif")</f>
        <v/>
      </c>
      <c r="H499">
        <f>_xlfn.IMAGE("https://m.media-amazon.com/images/I/71MYxr1B0IS._AC_UL320_.jpg")</f>
        <v/>
      </c>
      <c r="K499" t="inlineStr">
        <is>
          <t>44.99</t>
        </is>
      </c>
      <c r="L499" t="n">
        <v>89.98</v>
      </c>
      <c r="M499" s="2" t="inlineStr">
        <is>
          <t>100.00%</t>
        </is>
      </c>
      <c r="N499" t="n">
        <v>4.2</v>
      </c>
      <c r="O499" t="n">
        <v>151</v>
      </c>
      <c r="Q499" t="inlineStr">
        <is>
          <t>InStock</t>
        </is>
      </c>
      <c r="R499" t="inlineStr">
        <is>
          <t>undefined</t>
        </is>
      </c>
      <c r="S499" t="inlineStr">
        <is>
          <t>12893916</t>
        </is>
      </c>
    </row>
    <row r="500" ht="75" customHeight="1">
      <c r="A500" s="1">
        <f>HYPERLINK("https://www.toysrus.com/syma-mini-drone-x20p-one-key-take-off-and-landing-G6946702902997.html", "https://www.toysrus.com/syma-mini-drone-x20p-one-key-take-off-and-landing-G6946702902997.html")</f>
        <v/>
      </c>
      <c r="B500" s="1">
        <f>HYPERLINK("https://www.toysrus.com/syma-mini-drone-x20p-one-key-take-off-and-landing-G6946702902997.html", "https://www.toysrus.com/syma-mini-drone-x20p-one-key-take-off-and-landing-G6946702902997.html")</f>
        <v/>
      </c>
      <c r="C500" t="inlineStr">
        <is>
          <t>SYMA Mini Drone X20P, One Key Take Off and Landing</t>
        </is>
      </c>
      <c r="D500" t="inlineStr">
        <is>
          <t>RC Drone for Kids and Military Fans, SYMA Quadcopter Helicopter Toys with Multiple Stunt Flying, One Key Take Off/Landing, Low Battery Reminder, 4 Channel Fly and 2 Speeds, Black</t>
        </is>
      </c>
      <c r="E500" s="1">
        <f>HYPERLINK("https://www.amazon.com/Military-SYMA-Quadcopter-Helicopter-Multiple/dp/B0C7T6GNZG/ref=sr_1_8?keywords=SYMA+Mini+Drone+X20P%2C+One+Key+Take+Off+and+Landing&amp;qid=1695588798&amp;sr=8-8", "https://www.amazon.com/Military-SYMA-Quadcopter-Helicopter-Multiple/dp/B0C7T6GNZG/ref=sr_1_8?keywords=SYMA+Mini+Drone+X20P%2C+One+Key+Take+Off+and+Landing&amp;qid=1695588798&amp;sr=8-8")</f>
        <v/>
      </c>
      <c r="F500" t="inlineStr">
        <is>
          <t>B0C7T6GNZG</t>
        </is>
      </c>
      <c r="G500">
        <f>_xlfn.IMAGE("https://images.toysrus.com/1285/6946702902997_1.jpg")</f>
        <v/>
      </c>
      <c r="H500">
        <f>_xlfn.IMAGE("https://m.media-amazon.com/images/I/71Mi0UOn2bL._AC_UL320_.jpg")</f>
        <v/>
      </c>
      <c r="K500" t="inlineStr">
        <is>
          <t>34.99</t>
        </is>
      </c>
      <c r="L500" t="n">
        <v>69.98999999999999</v>
      </c>
      <c r="M500" s="2" t="inlineStr">
        <is>
          <t>100.03%</t>
        </is>
      </c>
      <c r="N500" t="n">
        <v>4.5</v>
      </c>
      <c r="O500" t="n">
        <v>12</v>
      </c>
      <c r="Q500" t="inlineStr">
        <is>
          <t>InStock</t>
        </is>
      </c>
      <c r="R500" t="inlineStr">
        <is>
          <t>undefined</t>
        </is>
      </c>
      <c r="S500" t="inlineStr">
        <is>
          <t>G6946702902997</t>
        </is>
      </c>
    </row>
    <row r="501" ht="75" customHeight="1">
      <c r="A501" s="1">
        <f>HYPERLINK("https://www.toysrus.com/tammany-hall---board-game-pandasaurus-games-family-game-ages-10-3-5-players-60-90-min-G854382007610.html", "https://www.toysrus.com/tammany-hall---board-game-pandasaurus-games-family-game-ages-10-3-5-players-60-90-min-G854382007610.html")</f>
        <v/>
      </c>
      <c r="B501" s="1">
        <f>HYPERLINK("https://www.toysrus.com/tammany-hall---board-game-pandasaurus-games-family-game-ages-10-3-5-players-60-90-min-G854382007610.html", "https://www.toysrus.com/tammany-hall---board-game-pandasaurus-games-family-game-ages-10-3-5-players-60-90-min-G854382007610.html")</f>
        <v/>
      </c>
      <c r="C501" t="inlineStr">
        <is>
          <t>Tammany Hall - Board Game, Pandasaurus Games, Family Game, Ages 10+, 3-5 Players, 60-90 Min</t>
        </is>
      </c>
      <c r="D501" t="inlineStr">
        <is>
          <t>Tammany Hall Board Game - Immersive Political Strategy Game Set in Historic New York City, Family Game for Kids and Adults, Ages 12+, 3-5 Players, 60-90 Minute Playtime, Made by Pandasaurus Games</t>
        </is>
      </c>
      <c r="E501" s="1">
        <f>HYPERLINK("https://www.amazon.com/Pandasaurus-Tammany-Hall-Board-Game/dp/B08DR9KP91/ref=sr_1_1?keywords=Tammany+Hall+-+Board+Game%2C+Pandasaurus+Games%2C+Family+Game%2C+Ages+10%2B%2C+3-5+Players%2C+60-90+Min&amp;qid=1695588364&amp;sr=8-1", "https://www.amazon.com/Pandasaurus-Tammany-Hall-Board-Game/dp/B08DR9KP91/ref=sr_1_1?keywords=Tammany+Hall+-+Board+Game%2C+Pandasaurus+Games%2C+Family+Game%2C+Ages+10%2B%2C+3-5+Players%2C+60-90+Min&amp;qid=1695588364&amp;sr=8-1")</f>
        <v/>
      </c>
      <c r="F501" t="inlineStr">
        <is>
          <t>B08DR9KP91</t>
        </is>
      </c>
      <c r="G501">
        <f>_xlfn.IMAGE("https://images.toysrus.com/1285/854382007610_1.jpg")</f>
        <v/>
      </c>
      <c r="H501">
        <f>_xlfn.IMAGE("https://m.media-amazon.com/images/I/71iNlRwrgzL._AC_UL320_.jpg")</f>
        <v/>
      </c>
      <c r="K501" t="inlineStr">
        <is>
          <t>19.99</t>
        </is>
      </c>
      <c r="L501" t="n">
        <v>39.94</v>
      </c>
      <c r="M501" s="2" t="inlineStr">
        <is>
          <t>99.80%</t>
        </is>
      </c>
      <c r="N501" t="n">
        <v>4.6</v>
      </c>
      <c r="O501" t="n">
        <v>47</v>
      </c>
      <c r="Q501" t="inlineStr">
        <is>
          <t>OutOfStock</t>
        </is>
      </c>
      <c r="R501" t="inlineStr">
        <is>
          <t>19.99</t>
        </is>
      </c>
      <c r="S501" t="inlineStr">
        <is>
          <t>G854382007610</t>
        </is>
      </c>
    </row>
    <row r="502" ht="75" customHeight="1">
      <c r="A502" s="1">
        <f>HYPERLINK("https://www.toysrus.com/-tea-time-with-peppa-play-set-13863275.html", "https://www.toysrus.com/-tea-time-with-peppa-play-set-13863275.html")</f>
        <v/>
      </c>
      <c r="B502" s="1">
        <f>HYPERLINK("https://www.toysrus.com/-tea-time-with-peppa-play-set-13863275.html", "https://www.toysrus.com/-tea-time-with-peppa-play-set-13863275.html")</f>
        <v/>
      </c>
      <c r="C502" t="inlineStr">
        <is>
          <t>Tea Time with Peppa Play Set</t>
        </is>
      </c>
      <c r="D502" t="inlineStr">
        <is>
          <t>Disney Princess Playset Dinnerware Set - Plastic Princess Pretend Play Tea Time Play Set for Girls Kids Toddlers with Disney Princess Stickers and More</t>
        </is>
      </c>
      <c r="E502" s="1">
        <f>HYPERLINK("https://www.amazon.com/Disney-Princess-Playset-Dinnerware-Set/dp/B08C2DTSG3/ref=sr_1_2?keywords=Tea+Time+with+Peppa+Play+Set&amp;qid=1695588830&amp;sr=8-2", "https://www.amazon.com/Disney-Princess-Playset-Dinnerware-Set/dp/B08C2DTSG3/ref=sr_1_2?keywords=Tea+Time+with+Peppa+Play+Set&amp;qid=1695588830&amp;sr=8-2")</f>
        <v/>
      </c>
      <c r="F502" t="inlineStr">
        <is>
          <t>B08C2DTSG3</t>
        </is>
      </c>
      <c r="G502">
        <f>_xlfn.IMAGE("http://slimages.macys.com/is/image/MCY/products/0/optimized/21220742_fpx.tif")</f>
        <v/>
      </c>
      <c r="H502">
        <f>_xlfn.IMAGE("https://m.media-amazon.com/images/I/81QOFveV-cL._AC_UL320_.jpg")</f>
        <v/>
      </c>
      <c r="K502" t="inlineStr">
        <is>
          <t>11.99</t>
        </is>
      </c>
      <c r="L502" t="n">
        <v>27.95</v>
      </c>
      <c r="M502" s="2" t="inlineStr">
        <is>
          <t>133.11%</t>
        </is>
      </c>
      <c r="N502" t="n">
        <v>4.5</v>
      </c>
      <c r="O502" t="n">
        <v>33</v>
      </c>
      <c r="Q502" t="inlineStr">
        <is>
          <t>InStock</t>
        </is>
      </c>
      <c r="R502" t="inlineStr">
        <is>
          <t>undefined</t>
        </is>
      </c>
      <c r="S502" t="inlineStr">
        <is>
          <t>13863275</t>
        </is>
      </c>
    </row>
    <row r="503" ht="75" customHeight="1">
      <c r="A503" s="1">
        <f>HYPERLINK("https://www.toysrus.com/-tea-time-with-peppa-play-set-13863275.html", "https://www.toysrus.com/-tea-time-with-peppa-play-set-13863275.html")</f>
        <v/>
      </c>
      <c r="B503" s="1">
        <f>HYPERLINK("https://www.toysrus.com/-tea-time-with-peppa-play-set-13863275.html", "https://www.toysrus.com/-tea-time-with-peppa-play-set-13863275.html")</f>
        <v/>
      </c>
      <c r="C503" t="inlineStr">
        <is>
          <t>Tea Time with Peppa Play Set</t>
        </is>
      </c>
      <c r="D503" t="inlineStr">
        <is>
          <t>Tea Set for Little Girls,Unicorn Tea Party Set for Kids,Princess Tea Time Play Kitchen Toy,Pretend Tin Teapot with Dessert, Doughnut, Carrying Case-Birthday Gifts Toddlers Age 3 4 5 6</t>
        </is>
      </c>
      <c r="E503" s="1">
        <f>HYPERLINK("https://www.amazon.com/Princess-Doughnut-Carrying-Case-Birthday-Toddlers/dp/B0C3XVLLWP/ref=sr_1_9?keywords=Tea+Time+with+Peppa+Play+Set&amp;qid=1695588830&amp;sr=8-9", "https://www.amazon.com/Princess-Doughnut-Carrying-Case-Birthday-Toddlers/dp/B0C3XVLLWP/ref=sr_1_9?keywords=Tea+Time+with+Peppa+Play+Set&amp;qid=1695588830&amp;sr=8-9")</f>
        <v/>
      </c>
      <c r="F503" t="inlineStr">
        <is>
          <t>B0C3XVLLWP</t>
        </is>
      </c>
      <c r="G503">
        <f>_xlfn.IMAGE("http://slimages.macys.com/is/image/MCY/products/0/optimized/21220742_fpx.tif")</f>
        <v/>
      </c>
      <c r="H503">
        <f>_xlfn.IMAGE("https://m.media-amazon.com/images/I/71BnDnGExhL._AC_UL320_.jpg")</f>
        <v/>
      </c>
      <c r="K503" t="inlineStr">
        <is>
          <t>11.99</t>
        </is>
      </c>
      <c r="L503" t="n">
        <v>25.99</v>
      </c>
      <c r="M503" s="2" t="inlineStr">
        <is>
          <t>116.76%</t>
        </is>
      </c>
      <c r="N503" t="n">
        <v>4.6</v>
      </c>
      <c r="O503" t="n">
        <v>60</v>
      </c>
      <c r="Q503" t="inlineStr">
        <is>
          <t>InStock</t>
        </is>
      </c>
      <c r="R503" t="inlineStr">
        <is>
          <t>undefined</t>
        </is>
      </c>
      <c r="S503" t="inlineStr">
        <is>
          <t>13863275</t>
        </is>
      </c>
    </row>
    <row r="504" ht="75" customHeight="1">
      <c r="A504" s="1">
        <f>HYPERLINK("https://www.toysrus.com/-tea-time-with-peppa-play-set-13863275.html", "https://www.toysrus.com/-tea-time-with-peppa-play-set-13863275.html")</f>
        <v/>
      </c>
      <c r="B504" s="1">
        <f>HYPERLINK("https://www.toysrus.com/-tea-time-with-peppa-play-set-13863275.html", "https://www.toysrus.com/-tea-time-with-peppa-play-set-13863275.html")</f>
        <v/>
      </c>
      <c r="C504" t="inlineStr">
        <is>
          <t>Tea Time with Peppa Play Set</t>
        </is>
      </c>
      <c r="D504" t="inlineStr">
        <is>
          <t>Toys Tea Set 35 Pcs Tea Party Set for Little Girls, Princess Tea Time Accessories with Carrying Case Tablecloth Dessert Tray Candy Cookies Kitchen Pretend Play Toy for Toddlers Kids Girls Boys Age 3-6</t>
        </is>
      </c>
      <c r="E504" s="1">
        <f>HYPERLINK("https://www.amazon.com/Princess-Accessories-Carrying-Tablecloth-Macaroons/dp/B096VX5J5L/ref=sr_1_4?keywords=Tea+Time+with+Peppa+Play+Set&amp;qid=1695588830&amp;sr=8-4", "https://www.amazon.com/Princess-Accessories-Carrying-Tablecloth-Macaroons/dp/B096VX5J5L/ref=sr_1_4?keywords=Tea+Time+with+Peppa+Play+Set&amp;qid=1695588830&amp;sr=8-4")</f>
        <v/>
      </c>
      <c r="F504" t="inlineStr">
        <is>
          <t>B096VX5J5L</t>
        </is>
      </c>
      <c r="G504">
        <f>_xlfn.IMAGE("http://slimages.macys.com/is/image/MCY/products/0/optimized/21220742_fpx.tif")</f>
        <v/>
      </c>
      <c r="H504">
        <f>_xlfn.IMAGE("https://m.media-amazon.com/images/I/81slg1QlfzL._AC_UL320_.jpg")</f>
        <v/>
      </c>
      <c r="K504" t="inlineStr">
        <is>
          <t>11.99</t>
        </is>
      </c>
      <c r="L504" t="n">
        <v>22.99</v>
      </c>
      <c r="M504" s="2" t="inlineStr">
        <is>
          <t>91.74%</t>
        </is>
      </c>
      <c r="N504" t="n">
        <v>4.5</v>
      </c>
      <c r="O504" t="n">
        <v>141</v>
      </c>
      <c r="Q504" t="inlineStr">
        <is>
          <t>InStock</t>
        </is>
      </c>
      <c r="R504" t="inlineStr">
        <is>
          <t>undefined</t>
        </is>
      </c>
      <c r="S504" t="inlineStr">
        <is>
          <t>13863275</t>
        </is>
      </c>
    </row>
    <row r="505" ht="75" customHeight="1">
      <c r="A505" s="1">
        <f>HYPERLINK("https://www.toysrus.com/-tea-time-with-peppa-play-set-13863275.html", "https://www.toysrus.com/-tea-time-with-peppa-play-set-13863275.html")</f>
        <v/>
      </c>
      <c r="B505" s="1">
        <f>HYPERLINK("https://www.toysrus.com/-tea-time-with-peppa-play-set-13863275.html", "https://www.toysrus.com/-tea-time-with-peppa-play-set-13863275.html")</f>
        <v/>
      </c>
      <c r="C505" t="inlineStr">
        <is>
          <t>Tea Time with Peppa Play Set</t>
        </is>
      </c>
      <c r="D505" t="inlineStr">
        <is>
          <t>JOYIN 35Pcs Unicorn Tea Party Set for Little Girls, Pretend Tin Teapot Set, Princess Tea Time Play Kitchen Toy with Dessert, Doughnut, Carrying Case for Birthday Easter Gifts Kids Toddlers Age 3 4 5 6</t>
        </is>
      </c>
      <c r="E505" s="1">
        <f>HYPERLINK("https://www.amazon.com/JOYIN-Unicorn-Pretend-Princess-Accessories/dp/B09222LB69/ref=sr_1_7?keywords=Tea+Time+with+Peppa+Play+Set&amp;qid=1695588830&amp;sr=8-7", "https://www.amazon.com/JOYIN-Unicorn-Pretend-Princess-Accessories/dp/B09222LB69/ref=sr_1_7?keywords=Tea+Time+with+Peppa+Play+Set&amp;qid=1695588830&amp;sr=8-7")</f>
        <v/>
      </c>
      <c r="F505" t="inlineStr">
        <is>
          <t>B09222LB69</t>
        </is>
      </c>
      <c r="G505">
        <f>_xlfn.IMAGE("http://slimages.macys.com/is/image/MCY/products/0/optimized/21220742_fpx.tif")</f>
        <v/>
      </c>
      <c r="H505">
        <f>_xlfn.IMAGE("https://m.media-amazon.com/images/I/81n01ZgtzLL._AC_UL320_.jpg")</f>
        <v/>
      </c>
      <c r="K505" t="inlineStr">
        <is>
          <t>11.99</t>
        </is>
      </c>
      <c r="L505" t="n">
        <v>21.99</v>
      </c>
      <c r="M505" s="2" t="inlineStr">
        <is>
          <t>83.40%</t>
        </is>
      </c>
      <c r="N505" t="n">
        <v>4.7</v>
      </c>
      <c r="O505" t="n">
        <v>947</v>
      </c>
      <c r="Q505" t="inlineStr">
        <is>
          <t>InStock</t>
        </is>
      </c>
      <c r="R505" t="inlineStr">
        <is>
          <t>undefined</t>
        </is>
      </c>
      <c r="S505" t="inlineStr">
        <is>
          <t>13863275</t>
        </is>
      </c>
    </row>
    <row r="506" ht="75" customHeight="1">
      <c r="A506" s="1">
        <f>HYPERLINK("https://www.toysrus.com/the-original-glowstars---glow-in-the-dark-markers-G5060122731027.html", "https://www.toysrus.com/the-original-glowstars---glow-in-the-dark-markers-G5060122731027.html")</f>
        <v/>
      </c>
      <c r="B506" s="1">
        <f>HYPERLINK("https://www.toysrus.com/the-original-glowstars---glow-in-the-dark-markers-G5060122731027.html", "https://www.toysrus.com/the-original-glowstars---glow-in-the-dark-markers-G5060122731027.html")</f>
        <v/>
      </c>
      <c r="C506" t="inlineStr">
        <is>
          <t>The Original Glowstars - Glow-In-The-Dark Markers</t>
        </is>
      </c>
      <c r="D506" t="inlineStr">
        <is>
          <t>The Original Glowstars - Glow-in-The-Dark Set, Glow Superstars</t>
        </is>
      </c>
      <c r="E506" s="1">
        <f>HYPERLINK("https://www.amazon.com/Brainstorm-Original-Glowstars-Company-Superstars/dp/B0020HRBYE/ref=sr_1_4?keywords=The+Original+Glowstars+-+Glow-In-The-Dark+Markers&amp;qid=1695588641&amp;sr=8-4", "https://www.amazon.com/Brainstorm-Original-Glowstars-Company-Superstars/dp/B0020HRBYE/ref=sr_1_4?keywords=The+Original+Glowstars+-+Glow-In-The-Dark+Markers&amp;qid=1695588641&amp;sr=8-4")</f>
        <v/>
      </c>
      <c r="F506" t="inlineStr">
        <is>
          <t>B0020HRBYE</t>
        </is>
      </c>
      <c r="G506">
        <f>_xlfn.IMAGE("https://images.toysrus.com/1285980/5060122731027_1.jpg")</f>
        <v/>
      </c>
      <c r="H506">
        <f>_xlfn.IMAGE("https://m.media-amazon.com/images/I/91cKa-BRAbL._AC_UL320_.jpg")</f>
        <v/>
      </c>
      <c r="K506" t="inlineStr">
        <is>
          <t>7.99</t>
        </is>
      </c>
      <c r="L506" t="n">
        <v>29.99</v>
      </c>
      <c r="M506" s="2" t="inlineStr">
        <is>
          <t>275.34%</t>
        </is>
      </c>
      <c r="N506" t="n">
        <v>4.2</v>
      </c>
      <c r="O506" t="n">
        <v>106</v>
      </c>
      <c r="Q506" t="inlineStr">
        <is>
          <t>InStock</t>
        </is>
      </c>
      <c r="R506" t="inlineStr">
        <is>
          <t>undefined</t>
        </is>
      </c>
      <c r="S506" t="inlineStr">
        <is>
          <t>G5060122731027</t>
        </is>
      </c>
    </row>
    <row r="507" ht="75" customHeight="1">
      <c r="A507" s="1">
        <f>HYPERLINK("https://www.toysrus.com/the-pursuit-of-happiness---board-game-G0700615556885.html", "https://www.toysrus.com/the-pursuit-of-happiness---board-game-G0700615556885.html")</f>
        <v/>
      </c>
      <c r="B507" s="1">
        <f>HYPERLINK("https://www.toysrus.com/the-pursuit-of-happiness---board-game-G0700615556885.html", "https://www.toysrus.com/the-pursuit-of-happiness---board-game-G0700615556885.html")</f>
        <v/>
      </c>
      <c r="C507" t="inlineStr">
        <is>
          <t>The Pursuit of Happiness - Board Game</t>
        </is>
      </c>
      <c r="D507" t="inlineStr">
        <is>
          <t>Artipiagames The Pursuit of Happiness: All-in Big Box - Includes Base Game, Expansions (Community, Experiences, Nostalgia) &amp; 4 Mini</t>
        </is>
      </c>
      <c r="E507" s="1">
        <f>HYPERLINK("https://www.amazon.com/Artipiagames-Pursuit-Happiness-All-Experiences/dp/B0C3DBPNQ2/ref=sr_1_1?keywords=The+Pursuit+of+Happiness+-+Board+Game&amp;qid=1695588447&amp;sr=8-1", "https://www.amazon.com/Artipiagames-Pursuit-Happiness-All-Experiences/dp/B0C3DBPNQ2/ref=sr_1_1?keywords=The+Pursuit+of+Happiness+-+Board+Game&amp;qid=1695588447&amp;sr=8-1")</f>
        <v/>
      </c>
      <c r="F507" t="inlineStr">
        <is>
          <t>B0C3DBPNQ2</t>
        </is>
      </c>
      <c r="G507">
        <f>_xlfn.IMAGE("https://images.toysrus.com/1285/700615556885_1.jpg")</f>
        <v/>
      </c>
      <c r="H507">
        <f>_xlfn.IMAGE("https://m.media-amazon.com/images/I/81U+LuwlCiL._AC_UL320_.jpg")</f>
        <v/>
      </c>
      <c r="K507" t="inlineStr">
        <is>
          <t>59.99</t>
        </is>
      </c>
      <c r="L507" t="n">
        <v>111.97</v>
      </c>
      <c r="M507" s="2" t="inlineStr">
        <is>
          <t>86.65%</t>
        </is>
      </c>
      <c r="N507" t="n">
        <v>4.5</v>
      </c>
      <c r="O507" t="n">
        <v>2</v>
      </c>
      <c r="Q507" t="inlineStr">
        <is>
          <t>InStock</t>
        </is>
      </c>
      <c r="R507" t="inlineStr">
        <is>
          <t>undefined</t>
        </is>
      </c>
      <c r="S507" t="inlineStr">
        <is>
          <t>G0700615556885</t>
        </is>
      </c>
    </row>
    <row r="508" ht="75" customHeight="1">
      <c r="A508" s="1">
        <f>HYPERLINK("https://www.toysrus.com/the-pursuit-of-happiness-experiences-expansion-G0700615556076.html", "https://www.toysrus.com/the-pursuit-of-happiness-experiences-expansion-G0700615556076.html")</f>
        <v/>
      </c>
      <c r="B508" s="1">
        <f>HYPERLINK("https://www.toysrus.com/the-pursuit-of-happiness-experiences-expansion-G0700615556076.html", "https://www.toysrus.com/the-pursuit-of-happiness-experiences-expansion-G0700615556076.html")</f>
        <v/>
      </c>
      <c r="C508" t="inlineStr">
        <is>
          <t>The Pursuit of Happiness: Experiences Expansion</t>
        </is>
      </c>
      <c r="D508" t="inlineStr">
        <is>
          <t>The Pursuit of Happiness: All-in Big Box - Includes Base Game, Expansions (Community, Experiences, Nostalgia) &amp; 4 Mini</t>
        </is>
      </c>
      <c r="E508" s="1">
        <f>HYPERLINK("https://www.amazon.com/Artipiagames-Pursuit-Happiness-All-Experiences/dp/B0C3DBPNQ2/ref=sr_1_2?keywords=The+Pursuit+of+Happiness%3A+Experiences+Expansion&amp;qid=1695588392&amp;sr=8-2", "https://www.amazon.com/Artipiagames-Pursuit-Happiness-All-Experiences/dp/B0C3DBPNQ2/ref=sr_1_2?keywords=The+Pursuit+of+Happiness%3A+Experiences+Expansion&amp;qid=1695588392&amp;sr=8-2")</f>
        <v/>
      </c>
      <c r="F508" t="inlineStr">
        <is>
          <t>B0C3DBPNQ2</t>
        </is>
      </c>
      <c r="G508">
        <f>_xlfn.IMAGE("https://images.toysrus.com/1285/700615556076_1.jpg")</f>
        <v/>
      </c>
      <c r="H508">
        <f>_xlfn.IMAGE("https://m.media-amazon.com/images/I/81U+LuwlCiL._AC_UL320_.jpg")</f>
        <v/>
      </c>
      <c r="K508" t="inlineStr">
        <is>
          <t>34.99</t>
        </is>
      </c>
      <c r="L508" t="n">
        <v>111.92</v>
      </c>
      <c r="M508" s="2" t="inlineStr">
        <is>
          <t>219.86%</t>
        </is>
      </c>
      <c r="N508" t="n">
        <v>4.5</v>
      </c>
      <c r="O508" t="n">
        <v>2</v>
      </c>
      <c r="Q508" t="inlineStr">
        <is>
          <t>InStock</t>
        </is>
      </c>
      <c r="R508" t="inlineStr">
        <is>
          <t>undefined</t>
        </is>
      </c>
      <c r="S508" t="inlineStr">
        <is>
          <t>G0700615556076</t>
        </is>
      </c>
    </row>
    <row r="509" ht="75" customHeight="1">
      <c r="A509" s="1">
        <f>HYPERLINK("https://www.toysrus.com/the-west-kingdom-tomesaga-G810011721265.html", "https://www.toysrus.com/the-west-kingdom-tomesaga-G810011721265.html")</f>
        <v/>
      </c>
      <c r="B509" s="1">
        <f>HYPERLINK("https://www.toysrus.com/the-west-kingdom-tomesaga-G810011721265.html", "https://www.toysrus.com/the-west-kingdom-tomesaga-G810011721265.html")</f>
        <v/>
      </c>
      <c r="C509" t="inlineStr">
        <is>
          <t>The West Kingdom Tomesaga</t>
        </is>
      </c>
      <c r="D509" t="inlineStr">
        <is>
          <t>Renegade Game Studios Architects of The West Kingdom Game for 1-5 Players Aged 12 &amp; Up</t>
        </is>
      </c>
      <c r="E509" s="1">
        <f>HYPERLINK("https://www.amazon.com/Architects-of-the-West-Kingdom/dp/B07BHHC4S1/ref=sr_1_10?keywords=the+west+kingdom+tome+saga&amp;qid=1695588216&amp;sr=8-10", "https://www.amazon.com/Architects-of-the-West-Kingdom/dp/B07BHHC4S1/ref=sr_1_10?keywords=the+west+kingdom+tome+saga&amp;qid=1695588216&amp;sr=8-10")</f>
        <v/>
      </c>
      <c r="F509" t="inlineStr">
        <is>
          <t>B07BHHC4S1</t>
        </is>
      </c>
      <c r="G509">
        <f>_xlfn.IMAGE("https://images.toysrus.com/28598/810011721265_1.jpg")</f>
        <v/>
      </c>
      <c r="H509">
        <f>_xlfn.IMAGE("https://m.media-amazon.com/images/I/81maS-CTMfL._AC_UY218_.jpg")</f>
        <v/>
      </c>
      <c r="K509" t="inlineStr">
        <is>
          <t>29.99</t>
        </is>
      </c>
      <c r="L509" t="n">
        <v>50.11</v>
      </c>
      <c r="M509" s="2" t="inlineStr">
        <is>
          <t>67.09%</t>
        </is>
      </c>
      <c r="N509" t="n">
        <v>4.8</v>
      </c>
      <c r="O509" t="n">
        <v>991</v>
      </c>
      <c r="Q509" t="inlineStr">
        <is>
          <t>InStock</t>
        </is>
      </c>
      <c r="R509" t="inlineStr">
        <is>
          <t>undefined</t>
        </is>
      </c>
      <c r="S509" t="inlineStr">
        <is>
          <t>G810011721265</t>
        </is>
      </c>
    </row>
    <row r="510" ht="75" customHeight="1">
      <c r="A510" s="1">
        <f>HYPERLINK("https://www.toysrus.com/the-west-kingdom-tomesaga-G810011721265.html", "https://www.toysrus.com/the-west-kingdom-tomesaga-G810011721265.html")</f>
        <v/>
      </c>
      <c r="B510" s="1">
        <f>HYPERLINK("https://www.toysrus.com/the-west-kingdom-tomesaga-G810011721265.html", "https://www.toysrus.com/the-west-kingdom-tomesaga-G810011721265.html")</f>
        <v/>
      </c>
      <c r="C510" t="inlineStr">
        <is>
          <t>The West Kingdom Tomesaga</t>
        </is>
      </c>
      <c r="D510" t="inlineStr">
        <is>
          <t>Paladins of The West Kingdom Strategy Board Game, 1-4 Players, Ages 12 and Up, 90-120 Min Play Time, Most Victory Points Win, Build Outposts, Fortifications, Commission Monks, &amp; Confront Outsiders</t>
        </is>
      </c>
      <c r="E510" s="1">
        <f>HYPERLINK("https://www.amazon.com/Renegade-Game-Studios-Paladins-Kingdom/dp/B07VHSBQ58/ref=sr_1_9?keywords=the+west+kingdom+tome+saga&amp;qid=1695588216&amp;sr=8-9", "https://www.amazon.com/Renegade-Game-Studios-Paladins-Kingdom/dp/B07VHSBQ58/ref=sr_1_9?keywords=the+west+kingdom+tome+saga&amp;qid=1695588216&amp;sr=8-9")</f>
        <v/>
      </c>
      <c r="F510" t="inlineStr">
        <is>
          <t>B07VHSBQ58</t>
        </is>
      </c>
      <c r="G510">
        <f>_xlfn.IMAGE("https://images.toysrus.com/28598/810011721265_1.jpg")</f>
        <v/>
      </c>
      <c r="H510">
        <f>_xlfn.IMAGE("https://m.media-amazon.com/images/I/71JgB4ZhetL._AC_UY218_.jpg")</f>
        <v/>
      </c>
      <c r="K510" t="inlineStr">
        <is>
          <t>29.99</t>
        </is>
      </c>
      <c r="L510" t="n">
        <v>50.03</v>
      </c>
      <c r="M510" s="2" t="inlineStr">
        <is>
          <t>66.82%</t>
        </is>
      </c>
      <c r="N510" t="n">
        <v>4.7</v>
      </c>
      <c r="O510" t="n">
        <v>633</v>
      </c>
      <c r="Q510" t="inlineStr">
        <is>
          <t>InStock</t>
        </is>
      </c>
      <c r="R510" t="inlineStr">
        <is>
          <t>undefined</t>
        </is>
      </c>
      <c r="S510" t="inlineStr">
        <is>
          <t>G810011721265</t>
        </is>
      </c>
    </row>
    <row r="511" ht="75" customHeight="1">
      <c r="A511" s="1">
        <f>HYPERLINK("https://www.toysrus.com/tiger-tribe-dinosaur-coloring-set-G9341736004629.html", "https://www.toysrus.com/tiger-tribe-dinosaur-coloring-set-G9341736004629.html")</f>
        <v/>
      </c>
      <c r="B511" s="1">
        <f>HYPERLINK("https://www.toysrus.com/tiger-tribe-dinosaur-coloring-set-G9341736004629.html", "https://www.toysrus.com/tiger-tribe-dinosaur-coloring-set-G9341736004629.html")</f>
        <v/>
      </c>
      <c r="C511" t="inlineStr">
        <is>
          <t>Tiger Tribe Dinosaur Coloring Set</t>
        </is>
      </c>
      <c r="D511" t="inlineStr">
        <is>
          <t>Tiger Tribe Neon Coloring Set - Glow Friends - Black Paper Art - Take Along Travel Kit - All Supplies Included - Easy Clean Up and Storage - Ages 5+ 60329</t>
        </is>
      </c>
      <c r="E511" s="1">
        <f>HYPERLINK("https://www.amazon.com/Neon-Colouring-Sets-glow-Friends/dp/B074VYQ2DQ/ref=sr_1_8?keywords=Tiger+Tribe+Dinosaur+Coloring+Set&amp;qid=1695588667&amp;sr=8-8", "https://www.amazon.com/Neon-Colouring-Sets-glow-Friends/dp/B074VYQ2DQ/ref=sr_1_8?keywords=Tiger+Tribe+Dinosaur+Coloring+Set&amp;qid=1695588667&amp;sr=8-8")</f>
        <v/>
      </c>
      <c r="F511" t="inlineStr">
        <is>
          <t>B074VYQ2DQ</t>
        </is>
      </c>
      <c r="G511">
        <f>_xlfn.IMAGE("https://images.toysrus.com/28598/9341736004629_1.jpg")</f>
        <v/>
      </c>
      <c r="H511">
        <f>_xlfn.IMAGE("https://m.media-amazon.com/images/I/81x42ZMTfBL._AC_UL320_.jpg")</f>
        <v/>
      </c>
      <c r="K511" t="inlineStr">
        <is>
          <t>10.99</t>
        </is>
      </c>
      <c r="L511" t="n">
        <v>19.91</v>
      </c>
      <c r="M511" s="2" t="inlineStr">
        <is>
          <t>81.16%</t>
        </is>
      </c>
      <c r="N511" t="n">
        <v>4.3</v>
      </c>
      <c r="O511" t="n">
        <v>41</v>
      </c>
      <c r="Q511" t="inlineStr">
        <is>
          <t>InStock</t>
        </is>
      </c>
      <c r="R511" t="inlineStr">
        <is>
          <t>undefined</t>
        </is>
      </c>
      <c r="S511" t="inlineStr">
        <is>
          <t>G9341736004629</t>
        </is>
      </c>
    </row>
    <row r="512" ht="75" customHeight="1">
      <c r="A512" s="1">
        <f>HYPERLINK("https://www.toysrus.com/tiger-tribe-mermaids-coloring-set-G9341736008597.html", "https://www.toysrus.com/tiger-tribe-mermaids-coloring-set-G9341736008597.html")</f>
        <v/>
      </c>
      <c r="B512" s="1">
        <f>HYPERLINK("https://www.toysrus.com/tiger-tribe-mermaids-coloring-set-G9341736008597.html", "https://www.toysrus.com/tiger-tribe-mermaids-coloring-set-G9341736008597.html")</f>
        <v/>
      </c>
      <c r="C512" t="inlineStr">
        <is>
          <t>Tiger Tribe Mermaids Coloring Set</t>
        </is>
      </c>
      <c r="D512" t="inlineStr">
        <is>
          <t>Tiger Tribe Neon Coloring Set - Glow Friends - Black Paper Art - Take Along Travel Kit - All Supplies Included - Easy Clean Up and Storage - Ages 5+ 60329</t>
        </is>
      </c>
      <c r="E512" s="1">
        <f>HYPERLINK("https://www.amazon.com/Neon-Colouring-Sets-glow-Friends/dp/B074VYQ2DQ/ref=sr_1_9?keywords=Tiger+Tribe+Mermaids+Coloring+Set&amp;qid=1695588664&amp;sr=8-9", "https://www.amazon.com/Neon-Colouring-Sets-glow-Friends/dp/B074VYQ2DQ/ref=sr_1_9?keywords=Tiger+Tribe+Mermaids+Coloring+Set&amp;qid=1695588664&amp;sr=8-9")</f>
        <v/>
      </c>
      <c r="F512" t="inlineStr">
        <is>
          <t>B074VYQ2DQ</t>
        </is>
      </c>
      <c r="G512">
        <f>_xlfn.IMAGE("https://images.toysrus.com/28598/9341736008597_1.jpg")</f>
        <v/>
      </c>
      <c r="H512">
        <f>_xlfn.IMAGE("https://m.media-amazon.com/images/I/81x42ZMTfBL._AC_UL320_.jpg")</f>
        <v/>
      </c>
      <c r="K512" t="inlineStr">
        <is>
          <t>10.99</t>
        </is>
      </c>
      <c r="L512" t="n">
        <v>19.91</v>
      </c>
      <c r="M512" s="2" t="inlineStr">
        <is>
          <t>81.16%</t>
        </is>
      </c>
      <c r="N512" t="n">
        <v>4.3</v>
      </c>
      <c r="O512" t="n">
        <v>41</v>
      </c>
      <c r="Q512" t="inlineStr">
        <is>
          <t>InStock</t>
        </is>
      </c>
      <c r="R512" t="inlineStr">
        <is>
          <t>undefined</t>
        </is>
      </c>
      <c r="S512" t="inlineStr">
        <is>
          <t>G9341736008597</t>
        </is>
      </c>
    </row>
    <row r="513" ht="75" customHeight="1">
      <c r="A513" s="1">
        <f>HYPERLINK("https://www.toysrus.com/tinkerturf-sci-fi-terrain-guard-tower-add-on---abandoned-theme-G0855223008452.html", "https://www.toysrus.com/tinkerturf-sci-fi-terrain-guard-tower-add-on---abandoned-theme-G0855223008452.html")</f>
        <v/>
      </c>
      <c r="B513" s="1">
        <f>HYPERLINK("https://www.toysrus.com/tinkerturf-sci-fi-terrain-guard-tower-add-on---abandoned-theme-G0855223008452.html", "https://www.toysrus.com/tinkerturf-sci-fi-terrain-guard-tower-add-on---abandoned-theme-G0855223008452.html")</f>
        <v/>
      </c>
      <c r="C513" t="inlineStr">
        <is>
          <t>TinkerTurf Sci-Fi Terrain: Guard Tower Add-On - Abandoned Theme</t>
        </is>
      </c>
      <c r="D513" t="inlineStr">
        <is>
          <t>TinkerTurf Sci-Fi Terrain: MagLev Depot v2, Abandoned Theme, Sturdy, Affordable, Great-Looking Full-Color Terrain, Quick and Easy to Assemble, Virtually Limitless Setups</t>
        </is>
      </c>
      <c r="E513" s="1">
        <f>HYPERLINK("https://www.amazon.com/TinkerTurf-Sci-Fi-Terrain-MagLev-Abandoned/dp/B0B5M1BGWR/ref=sr_1_6?keywords=TinkerTurf+Sci-Fi+Terrain%3A+Guard+Tower+Add-On+-+Abandoned+Theme&amp;qid=1695588260&amp;sr=8-6", "https://www.amazon.com/TinkerTurf-Sci-Fi-Terrain-MagLev-Abandoned/dp/B0B5M1BGWR/ref=sr_1_6?keywords=TinkerTurf+Sci-Fi+Terrain%3A+Guard+Tower+Add-On+-+Abandoned+Theme&amp;qid=1695588260&amp;sr=8-6")</f>
        <v/>
      </c>
      <c r="F513" t="inlineStr">
        <is>
          <t>B0B5M1BGWR</t>
        </is>
      </c>
      <c r="G513">
        <f>_xlfn.IMAGE("https://images.toysrus.com/1285980/855223008452_1.jpg")</f>
        <v/>
      </c>
      <c r="H513">
        <f>_xlfn.IMAGE("https://m.media-amazon.com/images/I/71g5yN6XEiL._AC_UL320_.jpg")</f>
        <v/>
      </c>
      <c r="K513" t="inlineStr">
        <is>
          <t>21.99</t>
        </is>
      </c>
      <c r="L513" t="n">
        <v>51.25</v>
      </c>
      <c r="M513" s="2" t="inlineStr">
        <is>
          <t>133.06%</t>
        </is>
      </c>
      <c r="N513" t="n">
        <v>5</v>
      </c>
      <c r="O513" t="n">
        <v>4</v>
      </c>
      <c r="Q513" t="inlineStr">
        <is>
          <t>InStock</t>
        </is>
      </c>
      <c r="R513" t="inlineStr">
        <is>
          <t>undefined</t>
        </is>
      </c>
      <c r="S513" t="inlineStr">
        <is>
          <t>G0855223008452</t>
        </is>
      </c>
    </row>
    <row r="514" ht="75" customHeight="1">
      <c r="A514" s="1">
        <f>HYPERLINK("https://www.toysrus.com/tinkerturf-sci-fi-terrain-guard-tower-add-on---abandoned-theme-G0855223008452.html", "https://www.toysrus.com/tinkerturf-sci-fi-terrain-guard-tower-add-on---abandoned-theme-G0855223008452.html")</f>
        <v/>
      </c>
      <c r="B514" s="1">
        <f>HYPERLINK("https://www.toysrus.com/tinkerturf-sci-fi-terrain-guard-tower-add-on---abandoned-theme-G0855223008452.html", "https://www.toysrus.com/tinkerturf-sci-fi-terrain-guard-tower-add-on---abandoned-theme-G0855223008452.html")</f>
        <v/>
      </c>
      <c r="C514" t="inlineStr">
        <is>
          <t>TinkerTurf Sci-Fi Terrain: Guard Tower Add-On - Abandoned Theme</t>
        </is>
      </c>
      <c r="D514" t="inlineStr">
        <is>
          <t>TinkerTurf Sci-Fi Terrain: SatComm Installation, Abandoned Theme, Sturdy, Affordable, Great-Looking Full-Color Terrain, Quick and Easy to Assemble, Virtually Limitless Setups</t>
        </is>
      </c>
      <c r="E514" s="1">
        <f>HYPERLINK("https://www.amazon.com/TinkerTurf-Sci-Fi-Terrain-Installation-Abandoned/dp/B0B5M2BZ2T/ref=sr_1_5?keywords=TinkerTurf+Sci-Fi+Terrain%3A+Guard+Tower+Add-On+-+Abandoned+Theme&amp;qid=1695588260&amp;sr=8-5", "https://www.amazon.com/TinkerTurf-Sci-Fi-Terrain-Installation-Abandoned/dp/B0B5M2BZ2T/ref=sr_1_5?keywords=TinkerTurf+Sci-Fi+Terrain%3A+Guard+Tower+Add-On+-+Abandoned+Theme&amp;qid=1695588260&amp;sr=8-5")</f>
        <v/>
      </c>
      <c r="F514" t="inlineStr">
        <is>
          <t>B0B5M2BZ2T</t>
        </is>
      </c>
      <c r="G514">
        <f>_xlfn.IMAGE("https://images.toysrus.com/1285980/855223008452_1.jpg")</f>
        <v/>
      </c>
      <c r="H514">
        <f>_xlfn.IMAGE("https://m.media-amazon.com/images/I/71va6mfcRSL._AC_UL320_.jpg")</f>
        <v/>
      </c>
      <c r="K514" t="inlineStr">
        <is>
          <t>21.99</t>
        </is>
      </c>
      <c r="L514" t="n">
        <v>40.93</v>
      </c>
      <c r="M514" s="2" t="inlineStr">
        <is>
          <t>86.13%</t>
        </is>
      </c>
      <c r="N514" t="n">
        <v>5</v>
      </c>
      <c r="O514" t="n">
        <v>3</v>
      </c>
      <c r="Q514" t="inlineStr">
        <is>
          <t>InStock</t>
        </is>
      </c>
      <c r="R514" t="inlineStr">
        <is>
          <t>undefined</t>
        </is>
      </c>
      <c r="S514" t="inlineStr">
        <is>
          <t>G0855223008452</t>
        </is>
      </c>
    </row>
    <row r="515" ht="75" customHeight="1">
      <c r="A515" s="1">
        <f>HYPERLINK("https://www.toysrus.com/tinkerturf-sci-fi-terrain-guard-tower-add-on---neutral-theme-G0855223008469.html", "https://www.toysrus.com/tinkerturf-sci-fi-terrain-guard-tower-add-on---neutral-theme-G0855223008469.html")</f>
        <v/>
      </c>
      <c r="B515" s="1">
        <f>HYPERLINK("https://www.toysrus.com/tinkerturf-sci-fi-terrain-guard-tower-add-on---neutral-theme-G0855223008469.html", "https://www.toysrus.com/tinkerturf-sci-fi-terrain-guard-tower-add-on---neutral-theme-G0855223008469.html")</f>
        <v/>
      </c>
      <c r="C515" t="inlineStr">
        <is>
          <t>TinkerTurf Sci-Fi Terrain: Guard Tower Add-On - Neutral Theme</t>
        </is>
      </c>
      <c r="D515" t="inlineStr">
        <is>
          <t>TinkerTurf Sci-Fi Terrain: SatComm Installation, Neutral Theme, Sturdy, Affordable, Great-Looking Full-Color Terrain, Quick and Easy to Assemble, Virtually Limitless Setups</t>
        </is>
      </c>
      <c r="E515" s="1">
        <f>HYPERLINK("https://www.amazon.com/TinkerTurf-Sci-Fi-Terrain-SatComm-Installation/dp/B0B5M2PMPL/ref=sr_1_7?keywords=TinkerTurf+Sci-Fi+Terrain%3A+Guard+Tower+Add-On+-+Neutral+Theme&amp;qid=1695588395&amp;sr=8-7", "https://www.amazon.com/TinkerTurf-Sci-Fi-Terrain-SatComm-Installation/dp/B0B5M2PMPL/ref=sr_1_7?keywords=TinkerTurf+Sci-Fi+Terrain%3A+Guard+Tower+Add-On+-+Neutral+Theme&amp;qid=1695588395&amp;sr=8-7")</f>
        <v/>
      </c>
      <c r="F515" t="inlineStr">
        <is>
          <t>B0B5M2PMPL</t>
        </is>
      </c>
      <c r="G515">
        <f>_xlfn.IMAGE("https://images.toysrus.com/1285980/855223008469_1.jpg")</f>
        <v/>
      </c>
      <c r="H515">
        <f>_xlfn.IMAGE("https://m.media-amazon.com/images/I/71GbZ9s0uXL._AC_UL320_.jpg")</f>
        <v/>
      </c>
      <c r="K515" t="inlineStr">
        <is>
          <t>21.99</t>
        </is>
      </c>
      <c r="L515" t="n">
        <v>66.48999999999999</v>
      </c>
      <c r="M515" s="2" t="inlineStr">
        <is>
          <t>202.36%</t>
        </is>
      </c>
      <c r="N515" t="n">
        <v>5</v>
      </c>
      <c r="O515" t="n">
        <v>1</v>
      </c>
      <c r="Q515" t="inlineStr">
        <is>
          <t>InStock</t>
        </is>
      </c>
      <c r="R515" t="inlineStr">
        <is>
          <t>undefined</t>
        </is>
      </c>
      <c r="S515" t="inlineStr">
        <is>
          <t>G0855223008469</t>
        </is>
      </c>
    </row>
    <row r="516" ht="75" customHeight="1">
      <c r="A516" s="1">
        <f>HYPERLINK("https://www.toysrus.com/tinkerturf-sci-fi-terrain-scatter-cover-add-on---abandoned-theme-G0855223008100.html", "https://www.toysrus.com/tinkerturf-sci-fi-terrain-scatter-cover-add-on---abandoned-theme-G0855223008100.html")</f>
        <v/>
      </c>
      <c r="B516" s="1">
        <f>HYPERLINK("https://www.toysrus.com/tinkerturf-sci-fi-terrain-scatter-cover-add-on---abandoned-theme-G0855223008100.html", "https://www.toysrus.com/tinkerturf-sci-fi-terrain-scatter-cover-add-on---abandoned-theme-G0855223008100.html")</f>
        <v/>
      </c>
      <c r="C516" t="inlineStr">
        <is>
          <t>TinkerTurf Sci-Fi Terrain: Scatter Cover Add-On - Abandoned Theme</t>
        </is>
      </c>
      <c r="D516" t="inlineStr">
        <is>
          <t>TinkerTurf Sci-Fi Terrain: MagLev Depot v2, Abandoned Theme, Sturdy, Affordable, Great-Looking Full-Color Terrain, Quick and Easy to Assemble, Virtually Limitless Setups</t>
        </is>
      </c>
      <c r="E516" s="1">
        <f>HYPERLINK("https://www.amazon.com/TinkerTurf-Sci-Fi-Terrain-MagLev-Abandoned/dp/B0B5M1BGWR/ref=sr_1_9?keywords=TinkerTurf+Sci-Fi+Terrain%3A+Scatter+Cover+Add-On+-+Abandoned+Theme&amp;qid=1695588431&amp;sr=8-9", "https://www.amazon.com/TinkerTurf-Sci-Fi-Terrain-MagLev-Abandoned/dp/B0B5M1BGWR/ref=sr_1_9?keywords=TinkerTurf+Sci-Fi+Terrain%3A+Scatter+Cover+Add-On+-+Abandoned+Theme&amp;qid=1695588431&amp;sr=8-9")</f>
        <v/>
      </c>
      <c r="F516" t="inlineStr">
        <is>
          <t>B0B5M1BGWR</t>
        </is>
      </c>
      <c r="G516">
        <f>_xlfn.IMAGE("https://images.toysrus.com/1285980/855223008100_1.jpg")</f>
        <v/>
      </c>
      <c r="H516">
        <f>_xlfn.IMAGE("https://m.media-amazon.com/images/I/71g5yN6XEiL._AC_UL320_.jpg")</f>
        <v/>
      </c>
      <c r="K516" t="inlineStr">
        <is>
          <t>21.99</t>
        </is>
      </c>
      <c r="L516" t="n">
        <v>51.25</v>
      </c>
      <c r="M516" s="2" t="inlineStr">
        <is>
          <t>133.06%</t>
        </is>
      </c>
      <c r="N516" t="n">
        <v>5</v>
      </c>
      <c r="O516" t="n">
        <v>4</v>
      </c>
      <c r="Q516" t="inlineStr">
        <is>
          <t>InStock</t>
        </is>
      </c>
      <c r="R516" t="inlineStr">
        <is>
          <t>undefined</t>
        </is>
      </c>
      <c r="S516" t="inlineStr">
        <is>
          <t>G0855223008100</t>
        </is>
      </c>
    </row>
    <row r="517" ht="75" customHeight="1">
      <c r="A517" s="1">
        <f>HYPERLINK("https://www.toysrus.com/tinkerturf-sci-fi-terrain-scatter-cover-add-on---abandoned-theme-G0855223008100.html", "https://www.toysrus.com/tinkerturf-sci-fi-terrain-scatter-cover-add-on---abandoned-theme-G0855223008100.html")</f>
        <v/>
      </c>
      <c r="B517" s="1">
        <f>HYPERLINK("https://www.toysrus.com/tinkerturf-sci-fi-terrain-scatter-cover-add-on---abandoned-theme-G0855223008100.html", "https://www.toysrus.com/tinkerturf-sci-fi-terrain-scatter-cover-add-on---abandoned-theme-G0855223008100.html")</f>
        <v/>
      </c>
      <c r="C517" t="inlineStr">
        <is>
          <t>TinkerTurf Sci-Fi Terrain: Scatter Cover Add-On - Abandoned Theme</t>
        </is>
      </c>
      <c r="D517" t="inlineStr">
        <is>
          <t>TinkerTurf Sci-Fi Terrain: Perimeter Wall, Abandoned Theme, Sturdy, Affordable, Great-Looking Full-Color Terrain, Quick and Easy to Assemble, Virtually Limitless Setups</t>
        </is>
      </c>
      <c r="E517" s="1">
        <f>HYPERLINK("https://www.amazon.com/TinkerTurf-Sci-Fi-Terrain-Perimeter-Add/dp/B0B5M3GTNM/ref=sr_1_3?keywords=TinkerTurf+Sci-Fi+Terrain%3A+Scatter+Cover+Add-On+-+Abandoned+Theme&amp;qid=1695588431&amp;sr=8-3", "https://www.amazon.com/TinkerTurf-Sci-Fi-Terrain-Perimeter-Add/dp/B0B5M3GTNM/ref=sr_1_3?keywords=TinkerTurf+Sci-Fi+Terrain%3A+Scatter+Cover+Add-On+-+Abandoned+Theme&amp;qid=1695588431&amp;sr=8-3")</f>
        <v/>
      </c>
      <c r="F517" t="inlineStr">
        <is>
          <t>B0B5M3GTNM</t>
        </is>
      </c>
      <c r="G517">
        <f>_xlfn.IMAGE("https://images.toysrus.com/1285980/855223008100_1.jpg")</f>
        <v/>
      </c>
      <c r="H517">
        <f>_xlfn.IMAGE("https://m.media-amazon.com/images/I/71RVDARUZJL._AC_UL320_.jpg")</f>
        <v/>
      </c>
      <c r="K517" t="inlineStr">
        <is>
          <t>21.99</t>
        </is>
      </c>
      <c r="L517" t="n">
        <v>43.99</v>
      </c>
      <c r="M517" s="2" t="inlineStr">
        <is>
          <t>100.05%</t>
        </is>
      </c>
      <c r="N517" t="n">
        <v>5</v>
      </c>
      <c r="O517" t="n">
        <v>4</v>
      </c>
      <c r="Q517" t="inlineStr">
        <is>
          <t>InStock</t>
        </is>
      </c>
      <c r="R517" t="inlineStr">
        <is>
          <t>undefined</t>
        </is>
      </c>
      <c r="S517" t="inlineStr">
        <is>
          <t>G0855223008100</t>
        </is>
      </c>
    </row>
    <row r="518" ht="75" customHeight="1">
      <c r="A518" s="1">
        <f>HYPERLINK("https://www.toysrus.com/tinkerturf-sci-fi-terrain-scatter-cover-add-on---abandoned-theme-G0855223008100.html", "https://www.toysrus.com/tinkerturf-sci-fi-terrain-scatter-cover-add-on---abandoned-theme-G0855223008100.html")</f>
        <v/>
      </c>
      <c r="B518" s="1">
        <f>HYPERLINK("https://www.toysrus.com/tinkerturf-sci-fi-terrain-scatter-cover-add-on---abandoned-theme-G0855223008100.html", "https://www.toysrus.com/tinkerturf-sci-fi-terrain-scatter-cover-add-on---abandoned-theme-G0855223008100.html")</f>
        <v/>
      </c>
      <c r="C518" t="inlineStr">
        <is>
          <t>TinkerTurf Sci-Fi Terrain: Scatter Cover Add-On - Abandoned Theme</t>
        </is>
      </c>
      <c r="D518" t="inlineStr">
        <is>
          <t>TinkerTurf Sci-Fi Terrain: SatComm Installation, Abandoned Theme, Sturdy, Affordable, Great-Looking Full-Color Terrain, Quick and Easy to Assemble, Virtually Limitless Setups</t>
        </is>
      </c>
      <c r="E518" s="1">
        <f>HYPERLINK("https://www.amazon.com/TinkerTurf-Sci-Fi-Terrain-Installation-Abandoned/dp/B0B5M2BZ2T/ref=sr_1_4?keywords=TinkerTurf+Sci-Fi+Terrain%3A+Scatter+Cover+Add-On+-+Abandoned+Theme&amp;qid=1695588431&amp;sr=8-4", "https://www.amazon.com/TinkerTurf-Sci-Fi-Terrain-Installation-Abandoned/dp/B0B5M2BZ2T/ref=sr_1_4?keywords=TinkerTurf+Sci-Fi+Terrain%3A+Scatter+Cover+Add-On+-+Abandoned+Theme&amp;qid=1695588431&amp;sr=8-4")</f>
        <v/>
      </c>
      <c r="F518" t="inlineStr">
        <is>
          <t>B0B5M2BZ2T</t>
        </is>
      </c>
      <c r="G518">
        <f>_xlfn.IMAGE("https://images.toysrus.com/1285980/855223008100_1.jpg")</f>
        <v/>
      </c>
      <c r="H518">
        <f>_xlfn.IMAGE("https://m.media-amazon.com/images/I/71va6mfcRSL._AC_UL320_.jpg")</f>
        <v/>
      </c>
      <c r="K518" t="inlineStr">
        <is>
          <t>21.99</t>
        </is>
      </c>
      <c r="L518" t="n">
        <v>40.93</v>
      </c>
      <c r="M518" s="2" t="inlineStr">
        <is>
          <t>86.13%</t>
        </is>
      </c>
      <c r="N518" t="n">
        <v>5</v>
      </c>
      <c r="O518" t="n">
        <v>3</v>
      </c>
      <c r="Q518" t="inlineStr">
        <is>
          <t>InStock</t>
        </is>
      </c>
      <c r="R518" t="inlineStr">
        <is>
          <t>undefined</t>
        </is>
      </c>
      <c r="S518" t="inlineStr">
        <is>
          <t>G0855223008100</t>
        </is>
      </c>
    </row>
    <row r="519" ht="75" customHeight="1">
      <c r="A519" s="1">
        <f>HYPERLINK("https://www.toysrus.com/tinkerturf-sci-fi-terrain-scatter-cover-add-on---neutral-theme-G0855223008117.html", "https://www.toysrus.com/tinkerturf-sci-fi-terrain-scatter-cover-add-on---neutral-theme-G0855223008117.html")</f>
        <v/>
      </c>
      <c r="B519" s="1">
        <f>HYPERLINK("https://www.toysrus.com/tinkerturf-sci-fi-terrain-scatter-cover-add-on---neutral-theme-G0855223008117.html", "https://www.toysrus.com/tinkerturf-sci-fi-terrain-scatter-cover-add-on---neutral-theme-G0855223008117.html")</f>
        <v/>
      </c>
      <c r="C519" t="inlineStr">
        <is>
          <t>TinkerTurf Sci-Fi Terrain: Scatter Cover Add-On - Neutral Theme</t>
        </is>
      </c>
      <c r="D519" t="inlineStr">
        <is>
          <t>TinkerTurf Sci-Fi Terrain: SatComm Installation, Neutral Theme, Sturdy, Affordable, Great-Looking Full-Color Terrain, Quick and Easy to Assemble, Virtually Limitless Setups</t>
        </is>
      </c>
      <c r="E519" s="1">
        <f>HYPERLINK("https://www.amazon.com/TinkerTurf-Sci-Fi-Terrain-SatComm-Installation/dp/B0B5M2PMPL/ref=sr_1_9?keywords=TinkerTurf+Sci-Fi+Terrain%3A+Scatter+Cover+Add-On+-+Neutral+Theme&amp;qid=1695588177&amp;sr=8-9", "https://www.amazon.com/TinkerTurf-Sci-Fi-Terrain-SatComm-Installation/dp/B0B5M2PMPL/ref=sr_1_9?keywords=TinkerTurf+Sci-Fi+Terrain%3A+Scatter+Cover+Add-On+-+Neutral+Theme&amp;qid=1695588177&amp;sr=8-9")</f>
        <v/>
      </c>
      <c r="F519" t="inlineStr">
        <is>
          <t>B0B5M2PMPL</t>
        </is>
      </c>
      <c r="G519">
        <f>_xlfn.IMAGE("https://images.toysrus.com/1285980/855223008117_1.jpg")</f>
        <v/>
      </c>
      <c r="H519">
        <f>_xlfn.IMAGE("https://m.media-amazon.com/images/I/71GbZ9s0uXL._AC_UL320_.jpg")</f>
        <v/>
      </c>
      <c r="K519" t="inlineStr">
        <is>
          <t>21.99</t>
        </is>
      </c>
      <c r="L519" t="n">
        <v>66.48999999999999</v>
      </c>
      <c r="M519" s="2" t="inlineStr">
        <is>
          <t>202.36%</t>
        </is>
      </c>
      <c r="N519" t="n">
        <v>5</v>
      </c>
      <c r="O519" t="n">
        <v>1</v>
      </c>
      <c r="Q519" t="inlineStr">
        <is>
          <t>InStock</t>
        </is>
      </c>
      <c r="R519" t="inlineStr">
        <is>
          <t>undefined</t>
        </is>
      </c>
      <c r="S519" t="inlineStr">
        <is>
          <t>G0855223008117</t>
        </is>
      </c>
    </row>
    <row r="520" ht="75" customHeight="1">
      <c r="A520" s="1">
        <f>HYPERLINK("https://www.toysrus.com/tiny-treasures-baby-doll-with-carseat-set-G812046025448.html", "https://www.toysrus.com/tiny-treasures-baby-doll-with-carseat-set-G812046025448.html")</f>
        <v/>
      </c>
      <c r="B520" s="1">
        <f>HYPERLINK("https://www.toysrus.com/tiny-treasures-baby-doll-with-carseat-set-G812046025448.html", "https://www.toysrus.com/tiny-treasures-baby-doll-with-carseat-set-G812046025448.html")</f>
        <v/>
      </c>
      <c r="C520" t="inlineStr">
        <is>
          <t>Tiny Treasures Baby Doll with carseat Set</t>
        </is>
      </c>
      <c r="D520" t="inlineStr">
        <is>
          <t>Tiny Treasures Baby Doll with carseat Set (Brown Hair) (KK5351)</t>
        </is>
      </c>
      <c r="E520" s="1">
        <f>HYPERLINK("https://www.amazon.com/Tiny-Treasures-Baby-carseat-Brown/dp/B086Z15HT5/ref=sr_1_1?keywords=Tiny+Treasures+Baby+Doll+with+carseat+Set&amp;qid=1695588385&amp;sr=8-1", "https://www.amazon.com/Tiny-Treasures-Baby-carseat-Brown/dp/B086Z15HT5/ref=sr_1_1?keywords=Tiny+Treasures+Baby+Doll+with+carseat+Set&amp;qid=1695588385&amp;sr=8-1")</f>
        <v/>
      </c>
      <c r="F520" t="inlineStr">
        <is>
          <t>B086Z15HT5</t>
        </is>
      </c>
      <c r="G520">
        <f>_xlfn.IMAGE("https://images.toysrus.com/1285/812046025448_1.jpg")</f>
        <v/>
      </c>
      <c r="H520">
        <f>_xlfn.IMAGE("https://m.media-amazon.com/images/I/71fAMWf1GDL._AC_UL320_.jpg")</f>
        <v/>
      </c>
      <c r="K520" t="inlineStr">
        <is>
          <t>39.99</t>
        </is>
      </c>
      <c r="L520" t="n">
        <v>65.98999999999999</v>
      </c>
      <c r="M520" s="2" t="inlineStr">
        <is>
          <t>65.02%</t>
        </is>
      </c>
      <c r="N520" t="n">
        <v>5</v>
      </c>
      <c r="O520" t="n">
        <v>1</v>
      </c>
      <c r="Q520" t="inlineStr">
        <is>
          <t>InStock</t>
        </is>
      </c>
      <c r="R520" t="inlineStr">
        <is>
          <t>undefined</t>
        </is>
      </c>
      <c r="S520" t="inlineStr">
        <is>
          <t>G812046025448</t>
        </is>
      </c>
    </row>
    <row r="521" ht="75" customHeight="1">
      <c r="A521" s="1">
        <f>HYPERLINK("https://www.toysrus.com/tomy---john-deere-15-big-scoop-dump-truck-G0036881357667.html", "https://www.toysrus.com/tomy---john-deere-15-big-scoop-dump-truck-G0036881357667.html")</f>
        <v/>
      </c>
      <c r="B521" s="1">
        <f>HYPERLINK("https://www.toysrus.com/tomy---john-deere-15-big-scoop-dump-truck-G0036881357667.html", "https://www.toysrus.com/tomy---john-deere-15-big-scoop-dump-truck-G0036881357667.html")</f>
        <v/>
      </c>
      <c r="C521" t="inlineStr">
        <is>
          <t>TOMY - John Deere 15" Big Scoop Dump Truck</t>
        </is>
      </c>
      <c r="D521" t="inlineStr">
        <is>
          <t>TOMY John Deere Durable Construction Vehicles Toy for Kids, Big Scoop Dump Truck, 21 Inch</t>
        </is>
      </c>
      <c r="E521" s="1">
        <f>HYPERLINK("https://www.amazon.com/John-Deere-Scoop-Dump-Truck/dp/B000UZI26E/ref=sr_1_5?keywords=TOMY+-+John+Deere+15%22+Big+Scoop+Dump+Truck&amp;qid=1695588375&amp;sr=8-5", "https://www.amazon.com/John-Deere-Scoop-Dump-Truck/dp/B000UZI26E/ref=sr_1_5?keywords=TOMY+-+John+Deere+15%22+Big+Scoop+Dump+Truck&amp;qid=1695588375&amp;sr=8-5")</f>
        <v/>
      </c>
      <c r="F521" t="inlineStr">
        <is>
          <t>B000UZI26E</t>
        </is>
      </c>
      <c r="G521">
        <f>_xlfn.IMAGE("https://images.toysrus.com/1285/036881357667_1.jpg")</f>
        <v/>
      </c>
      <c r="H521">
        <f>_xlfn.IMAGE("https://m.media-amazon.com/images/I/81R3A90l4iS._AC_UL320_.jpg")</f>
        <v/>
      </c>
      <c r="K521" t="inlineStr">
        <is>
          <t>24.99</t>
        </is>
      </c>
      <c r="L521" t="n">
        <v>77.94</v>
      </c>
      <c r="M521" s="2" t="inlineStr">
        <is>
          <t>211.88%</t>
        </is>
      </c>
      <c r="N521" t="n">
        <v>4.7</v>
      </c>
      <c r="O521" t="n">
        <v>473</v>
      </c>
      <c r="Q521" t="inlineStr">
        <is>
          <t>InStock</t>
        </is>
      </c>
      <c r="R521" t="inlineStr">
        <is>
          <t>undefined</t>
        </is>
      </c>
      <c r="S521" t="inlineStr">
        <is>
          <t>G0036881357667</t>
        </is>
      </c>
    </row>
    <row r="522" ht="75" customHeight="1">
      <c r="A522" s="1">
        <f>HYPERLINK("https://www.toysrus.com/tomy---john-deere-15-big-scoop-dump-truck-G0036881357667.html", "https://www.toysrus.com/tomy---john-deere-15-big-scoop-dump-truck-G0036881357667.html")</f>
        <v/>
      </c>
      <c r="B522" s="1">
        <f>HYPERLINK("https://www.toysrus.com/tomy---john-deere-15-big-scoop-dump-truck-G0036881357667.html", "https://www.toysrus.com/tomy---john-deere-15-big-scoop-dump-truck-G0036881357667.html")</f>
        <v/>
      </c>
      <c r="C522" t="inlineStr">
        <is>
          <t>TOMY - John Deere 15" Big Scoop Dump Truck</t>
        </is>
      </c>
      <c r="D522" t="inlineStr">
        <is>
          <t>TOMY John Deere Durable Construction Vehicles Toy for Kids, Big Scoop Dump Truck, 21 Inch</t>
        </is>
      </c>
      <c r="E522" s="1">
        <f>HYPERLINK("https://www.amazon.com/John-Deere-Scoop-Dump-Truck/dp/B000UZI26E/ref=sr_1_5?keywords=TOMY+-+John+Deere+15%22+Big+Scoop+Dump+Truck&amp;qid=1695588771&amp;sr=8-5", "https://www.amazon.com/John-Deere-Scoop-Dump-Truck/dp/B000UZI26E/ref=sr_1_5?keywords=TOMY+-+John+Deere+15%22+Big+Scoop+Dump+Truck&amp;qid=1695588771&amp;sr=8-5")</f>
        <v/>
      </c>
      <c r="F522" t="inlineStr">
        <is>
          <t>B000UZI26E</t>
        </is>
      </c>
      <c r="G522">
        <f>_xlfn.IMAGE("https://images.toysrus.com/1285/036881357667_1.jpg")</f>
        <v/>
      </c>
      <c r="H522">
        <f>_xlfn.IMAGE("https://m.media-amazon.com/images/I/81R3A90l4iS._AC_UL320_.jpg")</f>
        <v/>
      </c>
      <c r="K522" t="inlineStr">
        <is>
          <t>24.99</t>
        </is>
      </c>
      <c r="L522" t="n">
        <v>77.94</v>
      </c>
      <c r="M522" s="2" t="inlineStr">
        <is>
          <t>211.88%</t>
        </is>
      </c>
      <c r="N522" t="n">
        <v>4.7</v>
      </c>
      <c r="O522" t="n">
        <v>473</v>
      </c>
      <c r="Q522" t="inlineStr">
        <is>
          <t>InStock</t>
        </is>
      </c>
      <c r="R522" t="inlineStr">
        <is>
          <t>undefined</t>
        </is>
      </c>
      <c r="S522" t="inlineStr">
        <is>
          <t>G0036881357667</t>
        </is>
      </c>
    </row>
    <row r="523" ht="75" customHeight="1">
      <c r="A523" s="1">
        <f>HYPERLINK("https://www.toysrus.com/tomy---john-deere-big-scoop-tractor-G0036881467014.html", "https://www.toysrus.com/tomy---john-deere-big-scoop-tractor-G0036881467014.html")</f>
        <v/>
      </c>
      <c r="B523" s="1">
        <f>HYPERLINK("https://www.toysrus.com/tomy---john-deere-big-scoop-tractor-G0036881467014.html", "https://www.toysrus.com/tomy---john-deere-big-scoop-tractor-G0036881467014.html")</f>
        <v/>
      </c>
      <c r="C523" t="inlineStr">
        <is>
          <t>TOMY - John Deere Big Scoop Tractor</t>
        </is>
      </c>
      <c r="D523" t="inlineStr">
        <is>
          <t>John Deere Tomy Kids' Tractor and Scraper Farm Toy, Multi</t>
        </is>
      </c>
      <c r="E523" s="1">
        <f>HYPERLINK("https://www.amazon.com/ERTL-Deere-Tractor-Scraper-Multi/dp/B08C64PPZQ/ref=sr_1_5?keywords=TOMY+-+John+Deere+Big+Scoop+Tractor&amp;qid=1695588444&amp;sr=8-5", "https://www.amazon.com/ERTL-Deere-Tractor-Scraper-Multi/dp/B08C64PPZQ/ref=sr_1_5?keywords=TOMY+-+John+Deere+Big+Scoop+Tractor&amp;qid=1695588444&amp;sr=8-5")</f>
        <v/>
      </c>
      <c r="F523" t="inlineStr">
        <is>
          <t>B08C64PPZQ</t>
        </is>
      </c>
      <c r="G523">
        <f>_xlfn.IMAGE("https://images.toysrus.com/1285/036881467014_1.jpg")</f>
        <v/>
      </c>
      <c r="H523">
        <f>_xlfn.IMAGE("https://m.media-amazon.com/images/I/71o8NEZ6AiL._AC_UL320_.jpg")</f>
        <v/>
      </c>
      <c r="K523" t="inlineStr">
        <is>
          <t>24.99</t>
        </is>
      </c>
      <c r="L523" t="n">
        <v>179</v>
      </c>
      <c r="M523" s="2" t="inlineStr">
        <is>
          <t>616.29%</t>
        </is>
      </c>
      <c r="N523" t="n">
        <v>4.7</v>
      </c>
      <c r="O523" t="n">
        <v>1207</v>
      </c>
      <c r="Q523" t="inlineStr">
        <is>
          <t>InStock</t>
        </is>
      </c>
      <c r="R523" t="inlineStr">
        <is>
          <t>undefined</t>
        </is>
      </c>
      <c r="S523" t="inlineStr">
        <is>
          <t>G0036881467014</t>
        </is>
      </c>
    </row>
    <row r="524" ht="75" customHeight="1">
      <c r="A524" s="1">
        <f>HYPERLINK("https://www.toysrus.com/tomy---john-deere-big-scoop-tractor-G0036881467014.html", "https://www.toysrus.com/tomy---john-deere-big-scoop-tractor-G0036881467014.html")</f>
        <v/>
      </c>
      <c r="B524" s="1">
        <f>HYPERLINK("https://www.toysrus.com/tomy---john-deere-big-scoop-tractor-G0036881467014.html", "https://www.toysrus.com/tomy---john-deere-big-scoop-tractor-G0036881467014.html")</f>
        <v/>
      </c>
      <c r="C524" t="inlineStr">
        <is>
          <t>TOMY - John Deere Big Scoop Tractor</t>
        </is>
      </c>
      <c r="D524" t="inlineStr">
        <is>
          <t>TOMY John Deere 1/16 5125R Tractor with Loader</t>
        </is>
      </c>
      <c r="E524" s="1">
        <f>HYPERLINK("https://www.amazon.com/John-Deere-5125R-Tractor-Loader/dp/B074D4B3Y3/ref=sr_1_7?keywords=TOMY+-+John+Deere+Big+Scoop+Tractor&amp;qid=1695588444&amp;sr=8-7", "https://www.amazon.com/John-Deere-5125R-Tractor-Loader/dp/B074D4B3Y3/ref=sr_1_7?keywords=TOMY+-+John+Deere+Big+Scoop+Tractor&amp;qid=1695588444&amp;sr=8-7")</f>
        <v/>
      </c>
      <c r="F524" t="inlineStr">
        <is>
          <t>B074D4B3Y3</t>
        </is>
      </c>
      <c r="G524">
        <f>_xlfn.IMAGE("https://images.toysrus.com/1285/036881467014_1.jpg")</f>
        <v/>
      </c>
      <c r="H524">
        <f>_xlfn.IMAGE("https://m.media-amazon.com/images/I/61O8Fdph1rL._AC_UL320_.jpg")</f>
        <v/>
      </c>
      <c r="K524" t="inlineStr">
        <is>
          <t>24.99</t>
        </is>
      </c>
      <c r="L524" t="n">
        <v>72.15000000000001</v>
      </c>
      <c r="M524" s="2" t="inlineStr">
        <is>
          <t>188.72%</t>
        </is>
      </c>
      <c r="N524" t="n">
        <v>4.6</v>
      </c>
      <c r="O524" t="n">
        <v>27</v>
      </c>
      <c r="Q524" t="inlineStr">
        <is>
          <t>InStock</t>
        </is>
      </c>
      <c r="R524" t="inlineStr">
        <is>
          <t>undefined</t>
        </is>
      </c>
      <c r="S524" t="inlineStr">
        <is>
          <t>G0036881467014</t>
        </is>
      </c>
    </row>
    <row r="525" ht="75" customHeight="1">
      <c r="A525" s="1">
        <f>HYPERLINK("https://www.toysrus.com/tomy---john-deere-big-scoop-tractor-G0036881467014.html", "https://www.toysrus.com/tomy---john-deere-big-scoop-tractor-G0036881467014.html")</f>
        <v/>
      </c>
      <c r="B525" s="1">
        <f>HYPERLINK("https://www.toysrus.com/tomy---john-deere-big-scoop-tractor-G0036881467014.html", "https://www.toysrus.com/tomy---john-deere-big-scoop-tractor-G0036881467014.html")</f>
        <v/>
      </c>
      <c r="C525" t="inlineStr">
        <is>
          <t>TOMY - John Deere Big Scoop Tractor</t>
        </is>
      </c>
      <c r="D525" t="inlineStr">
        <is>
          <t>TOMY Big Deere 1:16 6210R Tractor With Loader</t>
        </is>
      </c>
      <c r="E525" s="1">
        <f>HYPERLINK("https://www.amazon.com/Ertl-Big-Deere-Tractor-Loader/dp/B009719SII/ref=sr_1_9?keywords=TOMY+-+John+Deere+Big+Scoop+Tractor&amp;qid=1695588444&amp;sr=8-9", "https://www.amazon.com/Ertl-Big-Deere-Tractor-Loader/dp/B009719SII/ref=sr_1_9?keywords=TOMY+-+John+Deere+Big+Scoop+Tractor&amp;qid=1695588444&amp;sr=8-9")</f>
        <v/>
      </c>
      <c r="F525" t="inlineStr">
        <is>
          <t>B009719SII</t>
        </is>
      </c>
      <c r="G525">
        <f>_xlfn.IMAGE("https://images.toysrus.com/1285/036881467014_1.jpg")</f>
        <v/>
      </c>
      <c r="H525">
        <f>_xlfn.IMAGE("https://m.media-amazon.com/images/I/81FA9+cP0XL._AC_UL320_.jpg")</f>
        <v/>
      </c>
      <c r="K525" t="inlineStr">
        <is>
          <t>24.99</t>
        </is>
      </c>
      <c r="L525" t="n">
        <v>59.99</v>
      </c>
      <c r="M525" s="2" t="inlineStr">
        <is>
          <t>140.06%</t>
        </is>
      </c>
      <c r="N525" t="n">
        <v>4.6</v>
      </c>
      <c r="O525" t="n">
        <v>606</v>
      </c>
      <c r="Q525" t="inlineStr">
        <is>
          <t>InStock</t>
        </is>
      </c>
      <c r="R525" t="inlineStr">
        <is>
          <t>undefined</t>
        </is>
      </c>
      <c r="S525" t="inlineStr">
        <is>
          <t>G0036881467014</t>
        </is>
      </c>
    </row>
    <row r="526" ht="75" customHeight="1">
      <c r="A526" s="1">
        <f>HYPERLINK("https://www.toysrus.com/tomy---john-deere-big-scoop-tractor-G0036881467014.html", "https://www.toysrus.com/tomy---john-deere-big-scoop-tractor-G0036881467014.html")</f>
        <v/>
      </c>
      <c r="B526" s="1">
        <f>HYPERLINK("https://www.toysrus.com/tomy---john-deere-big-scoop-tractor-G0036881467014.html", "https://www.toysrus.com/tomy---john-deere-big-scoop-tractor-G0036881467014.html")</f>
        <v/>
      </c>
      <c r="C526" t="inlineStr">
        <is>
          <t>TOMY - John Deere Big Scoop Tractor</t>
        </is>
      </c>
      <c r="D526" t="inlineStr">
        <is>
          <t>John Deere Big Scoop Sandbox Dump Truck Toy with Loader - Toddler Outdoor Toys - Oversized Dump Truck Sandbox Toys - Kids Toys Ages 3 Years and Up , 21"</t>
        </is>
      </c>
      <c r="E526" s="1">
        <f>HYPERLINK("https://www.amazon.com/TOMY-John-Deere-Scoop-Tractor/dp/B002IC0T8G/ref=sr_1_1?keywords=TOMY+-+John+Deere+Big+Scoop+Tractor&amp;qid=1695588444&amp;sr=8-1", "https://www.amazon.com/TOMY-John-Deere-Scoop-Tractor/dp/B002IC0T8G/ref=sr_1_1?keywords=TOMY+-+John+Deere+Big+Scoop+Tractor&amp;qid=1695588444&amp;sr=8-1")</f>
        <v/>
      </c>
      <c r="F526" t="inlineStr">
        <is>
          <t>B002IC0T8G</t>
        </is>
      </c>
      <c r="G526">
        <f>_xlfn.IMAGE("https://images.toysrus.com/1285/036881467014_1.jpg")</f>
        <v/>
      </c>
      <c r="H526">
        <f>_xlfn.IMAGE("https://m.media-amazon.com/images/I/71v2MJq3tvL._AC_UL320_.jpg")</f>
        <v/>
      </c>
      <c r="K526" t="inlineStr">
        <is>
          <t>24.99</t>
        </is>
      </c>
      <c r="L526" t="n">
        <v>56.2</v>
      </c>
      <c r="M526" s="2" t="inlineStr">
        <is>
          <t>124.89%</t>
        </is>
      </c>
      <c r="N526" t="n">
        <v>4.7</v>
      </c>
      <c r="O526" t="n">
        <v>620</v>
      </c>
      <c r="Q526" t="inlineStr">
        <is>
          <t>InStock</t>
        </is>
      </c>
      <c r="R526" t="inlineStr">
        <is>
          <t>undefined</t>
        </is>
      </c>
      <c r="S526" t="inlineStr">
        <is>
          <t>G0036881467014</t>
        </is>
      </c>
    </row>
    <row r="527" ht="75" customHeight="1">
      <c r="A527" s="1">
        <f>HYPERLINK("https://www.toysrus.com/tomy---john-deere-big-scoop-tractor-G0036881467014.html", "https://www.toysrus.com/tomy---john-deere-big-scoop-tractor-G0036881467014.html")</f>
        <v/>
      </c>
      <c r="B527" s="1">
        <f>HYPERLINK("https://www.toysrus.com/tomy---john-deere-big-scoop-tractor-G0036881467014.html", "https://www.toysrus.com/tomy---john-deere-big-scoop-tractor-G0036881467014.html")</f>
        <v/>
      </c>
      <c r="C527" t="inlineStr">
        <is>
          <t>TOMY - John Deere Big Scoop Tractor</t>
        </is>
      </c>
      <c r="D527" t="inlineStr">
        <is>
          <t>John Deere Tomy Kids' Tractor and Scraper Farm Toy, Multi</t>
        </is>
      </c>
      <c r="E527" s="1">
        <f>HYPERLINK("https://www.amazon.com/ERTL-Deere-Tractor-Scraper-Multi/dp/B08C64PPZQ/ref=sr_1_5?keywords=TOMY+-+John+Deere+Big+Scoop+Tractor&amp;qid=1695588777&amp;sr=8-5", "https://www.amazon.com/ERTL-Deere-Tractor-Scraper-Multi/dp/B08C64PPZQ/ref=sr_1_5?keywords=TOMY+-+John+Deere+Big+Scoop+Tractor&amp;qid=1695588777&amp;sr=8-5")</f>
        <v/>
      </c>
      <c r="F527" t="inlineStr">
        <is>
          <t>B08C64PPZQ</t>
        </is>
      </c>
      <c r="G527">
        <f>_xlfn.IMAGE("https://images.toysrus.com/1285/036881467014_1.jpg")</f>
        <v/>
      </c>
      <c r="H527">
        <f>_xlfn.IMAGE("https://m.media-amazon.com/images/I/71o8NEZ6AiL._AC_UL320_.jpg")</f>
        <v/>
      </c>
      <c r="K527" t="inlineStr">
        <is>
          <t>24.99</t>
        </is>
      </c>
      <c r="L527" t="n">
        <v>179</v>
      </c>
      <c r="M527" s="2" t="inlineStr">
        <is>
          <t>616.29%</t>
        </is>
      </c>
      <c r="N527" t="n">
        <v>4.7</v>
      </c>
      <c r="O527" t="n">
        <v>1207</v>
      </c>
      <c r="Q527" t="inlineStr">
        <is>
          <t>InStock</t>
        </is>
      </c>
      <c r="R527" t="inlineStr">
        <is>
          <t>undefined</t>
        </is>
      </c>
      <c r="S527" t="inlineStr">
        <is>
          <t>G0036881467014</t>
        </is>
      </c>
    </row>
    <row r="528" ht="75" customHeight="1">
      <c r="A528" s="1">
        <f>HYPERLINK("https://www.toysrus.com/tomy---john-deere-big-scoop-tractor-G0036881467014.html", "https://www.toysrus.com/tomy---john-deere-big-scoop-tractor-G0036881467014.html")</f>
        <v/>
      </c>
      <c r="B528" s="1">
        <f>HYPERLINK("https://www.toysrus.com/tomy---john-deere-big-scoop-tractor-G0036881467014.html", "https://www.toysrus.com/tomy---john-deere-big-scoop-tractor-G0036881467014.html")</f>
        <v/>
      </c>
      <c r="C528" t="inlineStr">
        <is>
          <t>TOMY - John Deere Big Scoop Tractor</t>
        </is>
      </c>
      <c r="D528" t="inlineStr">
        <is>
          <t>TOMY John Deere 1/16 5125R Tractor with Loader</t>
        </is>
      </c>
      <c r="E528" s="1">
        <f>HYPERLINK("https://www.amazon.com/John-Deere-5125R-Tractor-Loader/dp/B074D4B3Y3/ref=sr_1_7?keywords=TOMY+-+John+Deere+Big+Scoop+Tractor&amp;qid=1695588777&amp;sr=8-7", "https://www.amazon.com/John-Deere-5125R-Tractor-Loader/dp/B074D4B3Y3/ref=sr_1_7?keywords=TOMY+-+John+Deere+Big+Scoop+Tractor&amp;qid=1695588777&amp;sr=8-7")</f>
        <v/>
      </c>
      <c r="F528" t="inlineStr">
        <is>
          <t>B074D4B3Y3</t>
        </is>
      </c>
      <c r="G528">
        <f>_xlfn.IMAGE("https://images.toysrus.com/1285/036881467014_1.jpg")</f>
        <v/>
      </c>
      <c r="H528">
        <f>_xlfn.IMAGE("https://m.media-amazon.com/images/I/61O8Fdph1rL._AC_UL320_.jpg")</f>
        <v/>
      </c>
      <c r="K528" t="inlineStr">
        <is>
          <t>24.99</t>
        </is>
      </c>
      <c r="L528" t="n">
        <v>72.15000000000001</v>
      </c>
      <c r="M528" s="2" t="inlineStr">
        <is>
          <t>188.72%</t>
        </is>
      </c>
      <c r="N528" t="n">
        <v>4.6</v>
      </c>
      <c r="O528" t="n">
        <v>27</v>
      </c>
      <c r="Q528" t="inlineStr">
        <is>
          <t>InStock</t>
        </is>
      </c>
      <c r="R528" t="inlineStr">
        <is>
          <t>undefined</t>
        </is>
      </c>
      <c r="S528" t="inlineStr">
        <is>
          <t>G0036881467014</t>
        </is>
      </c>
    </row>
    <row r="529" ht="75" customHeight="1">
      <c r="A529" s="1">
        <f>HYPERLINK("https://www.toysrus.com/tomy---john-deere-big-scoop-tractor-G0036881467014.html", "https://www.toysrus.com/tomy---john-deere-big-scoop-tractor-G0036881467014.html")</f>
        <v/>
      </c>
      <c r="B529" s="1">
        <f>HYPERLINK("https://www.toysrus.com/tomy---john-deere-big-scoop-tractor-G0036881467014.html", "https://www.toysrus.com/tomy---john-deere-big-scoop-tractor-G0036881467014.html")</f>
        <v/>
      </c>
      <c r="C529" t="inlineStr">
        <is>
          <t>TOMY - John Deere Big Scoop Tractor</t>
        </is>
      </c>
      <c r="D529" t="inlineStr">
        <is>
          <t>TOMY Big Deere 1:16 6210R Tractor With Loader</t>
        </is>
      </c>
      <c r="E529" s="1">
        <f>HYPERLINK("https://www.amazon.com/Ertl-Big-Deere-Tractor-Loader/dp/B009719SII/ref=sr_1_8?keywords=TOMY+-+John+Deere+Big+Scoop+Tractor&amp;qid=1695588777&amp;sr=8-8", "https://www.amazon.com/Ertl-Big-Deere-Tractor-Loader/dp/B009719SII/ref=sr_1_8?keywords=TOMY+-+John+Deere+Big+Scoop+Tractor&amp;qid=1695588777&amp;sr=8-8")</f>
        <v/>
      </c>
      <c r="F529" t="inlineStr">
        <is>
          <t>B009719SII</t>
        </is>
      </c>
      <c r="G529">
        <f>_xlfn.IMAGE("https://images.toysrus.com/1285/036881467014_1.jpg")</f>
        <v/>
      </c>
      <c r="H529">
        <f>_xlfn.IMAGE("https://m.media-amazon.com/images/I/81FA9+cP0XL._AC_UL320_.jpg")</f>
        <v/>
      </c>
      <c r="K529" t="inlineStr">
        <is>
          <t>24.99</t>
        </is>
      </c>
      <c r="L529" t="n">
        <v>59.99</v>
      </c>
      <c r="M529" s="2" t="inlineStr">
        <is>
          <t>140.06%</t>
        </is>
      </c>
      <c r="N529" t="n">
        <v>4.6</v>
      </c>
      <c r="O529" t="n">
        <v>606</v>
      </c>
      <c r="Q529" t="inlineStr">
        <is>
          <t>InStock</t>
        </is>
      </c>
      <c r="R529" t="inlineStr">
        <is>
          <t>undefined</t>
        </is>
      </c>
      <c r="S529" t="inlineStr">
        <is>
          <t>G0036881467014</t>
        </is>
      </c>
    </row>
    <row r="530" ht="75" customHeight="1">
      <c r="A530" s="1">
        <f>HYPERLINK("https://www.toysrus.com/tomy---john-deere-big-scoop-tractor-G0036881467014.html", "https://www.toysrus.com/tomy---john-deere-big-scoop-tractor-G0036881467014.html")</f>
        <v/>
      </c>
      <c r="B530" s="1">
        <f>HYPERLINK("https://www.toysrus.com/tomy---john-deere-big-scoop-tractor-G0036881467014.html", "https://www.toysrus.com/tomy---john-deere-big-scoop-tractor-G0036881467014.html")</f>
        <v/>
      </c>
      <c r="C530" t="inlineStr">
        <is>
          <t>TOMY - John Deere Big Scoop Tractor</t>
        </is>
      </c>
      <c r="D530" t="inlineStr">
        <is>
          <t>John Deere Big Scoop Sandbox Dump Truck Toy with Loader - Toddler Outdoor Toys - Oversized Dump Truck Sandbox Toys - Kids Toys Ages 3 Years and Up , 21"</t>
        </is>
      </c>
      <c r="E530" s="1">
        <f>HYPERLINK("https://www.amazon.com/TOMY-John-Deere-Scoop-Tractor/dp/B002IC0T8G/ref=sr_1_1?keywords=TOMY+-+John+Deere+Big+Scoop+Tractor&amp;qid=1695588777&amp;sr=8-1", "https://www.amazon.com/TOMY-John-Deere-Scoop-Tractor/dp/B002IC0T8G/ref=sr_1_1?keywords=TOMY+-+John+Deere+Big+Scoop+Tractor&amp;qid=1695588777&amp;sr=8-1")</f>
        <v/>
      </c>
      <c r="F530" t="inlineStr">
        <is>
          <t>B002IC0T8G</t>
        </is>
      </c>
      <c r="G530">
        <f>_xlfn.IMAGE("https://images.toysrus.com/1285/036881467014_1.jpg")</f>
        <v/>
      </c>
      <c r="H530">
        <f>_xlfn.IMAGE("https://m.media-amazon.com/images/I/71v2MJq3tvL._AC_UL320_.jpg")</f>
        <v/>
      </c>
      <c r="K530" t="inlineStr">
        <is>
          <t>24.99</t>
        </is>
      </c>
      <c r="L530" t="n">
        <v>56.2</v>
      </c>
      <c r="M530" s="2" t="inlineStr">
        <is>
          <t>124.89%</t>
        </is>
      </c>
      <c r="N530" t="n">
        <v>4.7</v>
      </c>
      <c r="O530" t="n">
        <v>620</v>
      </c>
      <c r="Q530" t="inlineStr">
        <is>
          <t>InStock</t>
        </is>
      </c>
      <c r="R530" t="inlineStr">
        <is>
          <t>undefined</t>
        </is>
      </c>
      <c r="S530" t="inlineStr">
        <is>
          <t>G0036881467014</t>
        </is>
      </c>
    </row>
    <row r="531" ht="75" customHeight="1">
      <c r="A531" s="1">
        <f>HYPERLINK("https://www.toysrus.com/tomy---john-deere-lighting-wheels-tractor-G0036881464341.html", "https://www.toysrus.com/tomy---john-deere-lighting-wheels-tractor-G0036881464341.html")</f>
        <v/>
      </c>
      <c r="B531" s="1">
        <f>HYPERLINK("https://www.toysrus.com/tomy---john-deere-lighting-wheels-tractor-G0036881464341.html", "https://www.toysrus.com/tomy---john-deere-lighting-wheels-tractor-G0036881464341.html")</f>
        <v/>
      </c>
      <c r="C531" t="inlineStr">
        <is>
          <t>TOMY - John Deere Lighting Wheels Tractor</t>
        </is>
      </c>
      <c r="D531" t="inlineStr">
        <is>
          <t>TOMY John Deere 1/16 5125R Tractor with Loader</t>
        </is>
      </c>
      <c r="E531" s="1">
        <f>HYPERLINK("https://www.amazon.com/John-Deere-5125R-Tractor-Loader/dp/B074D4B3Y3/ref=sr_1_6?keywords=TOMY+-+John+Deere+Lighting+Wheels+Tractor&amp;qid=1695588744&amp;sr=8-6", "https://www.amazon.com/John-Deere-5125R-Tractor-Loader/dp/B074D4B3Y3/ref=sr_1_6?keywords=TOMY+-+John+Deere+Lighting+Wheels+Tractor&amp;qid=1695588744&amp;sr=8-6")</f>
        <v/>
      </c>
      <c r="F531" t="inlineStr">
        <is>
          <t>B074D4B3Y3</t>
        </is>
      </c>
      <c r="G531">
        <f>_xlfn.IMAGE("https://images.toysrus.com/29580/036881464341_1.jpg")</f>
        <v/>
      </c>
      <c r="H531">
        <f>_xlfn.IMAGE("https://m.media-amazon.com/images/I/61O8Fdph1rL._AC_UL320_.jpg")</f>
        <v/>
      </c>
      <c r="K531" t="inlineStr">
        <is>
          <t>27.99</t>
        </is>
      </c>
      <c r="L531" t="n">
        <v>72.15000000000001</v>
      </c>
      <c r="M531" s="2" t="inlineStr">
        <is>
          <t>157.77%</t>
        </is>
      </c>
      <c r="N531" t="n">
        <v>4.6</v>
      </c>
      <c r="O531" t="n">
        <v>27</v>
      </c>
      <c r="Q531" t="inlineStr">
        <is>
          <t>InStock</t>
        </is>
      </c>
      <c r="R531" t="inlineStr">
        <is>
          <t>undefined</t>
        </is>
      </c>
      <c r="S531" t="inlineStr">
        <is>
          <t>G0036881464341</t>
        </is>
      </c>
    </row>
    <row r="532" ht="75" customHeight="1">
      <c r="A532" s="1">
        <f>HYPERLINK("https://www.toysrus.com/toysmith-3-d-mirascope-instant-illusion-maker-G085761797475.html", "https://www.toysrus.com/toysmith-3-d-mirascope-instant-illusion-maker-G085761797475.html")</f>
        <v/>
      </c>
      <c r="B532" s="1">
        <f>HYPERLINK("https://www.toysrus.com/toysmith-3-d-mirascope-instant-illusion-maker-G085761797475.html", "https://www.toysrus.com/toysmith-3-d-mirascope-instant-illusion-maker-G085761797475.html")</f>
        <v/>
      </c>
      <c r="C532" t="inlineStr">
        <is>
          <t>Toysmith 3-D Mirascope Instant Illusion Maker</t>
        </is>
      </c>
      <c r="D532" t="inlineStr">
        <is>
          <t>3D Mirascope Illusion Toy, Instant Illusion Maker, Instant Mirascope Hologram Image Mirror, Parabolic Optical Image Magic Toy for Kids, Projection Gift for Adult Children</t>
        </is>
      </c>
      <c r="E532" s="1">
        <f>HYPERLINK("https://www.amazon.com/Mirascope-Illusion-Hologram-Parabolic-Projection/dp/B08FC81MCK/ref=sr_1_2?keywords=Toysmith+3-D+Mirascope+Instant+Illusion+Maker&amp;qid=1695588664&amp;sr=8-2", "https://www.amazon.com/Mirascope-Illusion-Hologram-Parabolic-Projection/dp/B08FC81MCK/ref=sr_1_2?keywords=Toysmith+3-D+Mirascope+Instant+Illusion+Maker&amp;qid=1695588664&amp;sr=8-2")</f>
        <v/>
      </c>
      <c r="F532" t="inlineStr">
        <is>
          <t>B08FC81MCK</t>
        </is>
      </c>
      <c r="G532">
        <f>_xlfn.IMAGE("https://images.toysrus.com/28598/085761797475_1.jpg")</f>
        <v/>
      </c>
      <c r="H532">
        <f>_xlfn.IMAGE("https://m.media-amazon.com/images/I/519vZxbyMBS._AC_UL320_.jpg")</f>
        <v/>
      </c>
      <c r="K532" t="inlineStr">
        <is>
          <t>10.99</t>
        </is>
      </c>
      <c r="L532" t="n">
        <v>18.95</v>
      </c>
      <c r="M532" s="2" t="inlineStr">
        <is>
          <t>72.43%</t>
        </is>
      </c>
      <c r="N532" t="n">
        <v>4.5</v>
      </c>
      <c r="O532" t="n">
        <v>13</v>
      </c>
      <c r="Q532" t="inlineStr">
        <is>
          <t>InStock</t>
        </is>
      </c>
      <c r="R532" t="inlineStr">
        <is>
          <t>undefined</t>
        </is>
      </c>
      <c r="S532" t="inlineStr">
        <is>
          <t>G085761797475</t>
        </is>
      </c>
    </row>
    <row r="533" ht="75" customHeight="1">
      <c r="A533" s="1">
        <f>HYPERLINK("https://www.toysrus.com/toysmith-magnetic-dart-board-G085761184879.html", "https://www.toysrus.com/toysmith-magnetic-dart-board-G085761184879.html")</f>
        <v/>
      </c>
      <c r="B533" s="1">
        <f>HYPERLINK("https://www.toysrus.com/toysmith-magnetic-dart-board-G085761184879.html", "https://www.toysrus.com/toysmith-magnetic-dart-board-G085761184879.html")</f>
        <v/>
      </c>
      <c r="C533" t="inlineStr">
        <is>
          <t>Toysmith Magnetic Dart Board</t>
        </is>
      </c>
      <c r="D533" t="inlineStr">
        <is>
          <t>SpringFlower 2 in 1 Magnetic Dart Board - 12 pcs Magnetic Darts 12 Sticky Balls- Excellent Indoor Game and Party Games - Magnetic Dart Board Toys Gifts for 5 6 7 8 9 10 11 12 Year Old Boy Kids</t>
        </is>
      </c>
      <c r="E533" s="1">
        <f>HYPERLINK("https://www.amazon.com/SpringFlower-Magnetic-Dart-Board-Excellent/dp/B0C5X473LC/ref=sr_1_8?keywords=Toysmith+Magnetic+Dart+Board&amp;qid=1695588342&amp;sr=8-8", "https://www.amazon.com/SpringFlower-Magnetic-Dart-Board-Excellent/dp/B0C5X473LC/ref=sr_1_8?keywords=Toysmith+Magnetic+Dart+Board&amp;qid=1695588342&amp;sr=8-8")</f>
        <v/>
      </c>
      <c r="F533" t="inlineStr">
        <is>
          <t>B0C5X473LC</t>
        </is>
      </c>
      <c r="G533">
        <f>_xlfn.IMAGE("https://images.toysrus.com/1285/085761184879_1.jpg")</f>
        <v/>
      </c>
      <c r="H533">
        <f>_xlfn.IMAGE("https://m.media-amazon.com/images/I/81pgvqcJ00L._AC_UL320_.jpg")</f>
        <v/>
      </c>
      <c r="K533" t="inlineStr">
        <is>
          <t>12.99</t>
        </is>
      </c>
      <c r="L533" t="n">
        <v>29.99</v>
      </c>
      <c r="M533" s="2" t="inlineStr">
        <is>
          <t>130.87%</t>
        </is>
      </c>
      <c r="N533" t="n">
        <v>4.5</v>
      </c>
      <c r="O533" t="n">
        <v>26</v>
      </c>
      <c r="Q533" t="inlineStr">
        <is>
          <t>InStock</t>
        </is>
      </c>
      <c r="R533" t="inlineStr">
        <is>
          <t>undefined</t>
        </is>
      </c>
      <c r="S533" t="inlineStr">
        <is>
          <t>G085761184879</t>
        </is>
      </c>
    </row>
    <row r="534" ht="75" customHeight="1">
      <c r="A534" s="1">
        <f>HYPERLINK("https://www.toysrus.com/toysmith-magnetic-dart-board-G085761184879.html", "https://www.toysrus.com/toysmith-magnetic-dart-board-G085761184879.html")</f>
        <v/>
      </c>
      <c r="B534" s="1">
        <f>HYPERLINK("https://www.toysrus.com/toysmith-magnetic-dart-board-G085761184879.html", "https://www.toysrus.com/toysmith-magnetic-dart-board-G085761184879.html")</f>
        <v/>
      </c>
      <c r="C534" t="inlineStr">
        <is>
          <t>Toysmith Magnetic Dart Board</t>
        </is>
      </c>
      <c r="D534" t="inlineStr">
        <is>
          <t>2 in 1 Magnetic Dart Board - 12 pcs Magnetic Darts 12 Sticky Balls- Excellent Indoor Game and Party Games - Magnetic Dart Board Toys Gifts for 5 6 7 8 9 10 11 12 Year Old Boy Kids</t>
        </is>
      </c>
      <c r="E534" s="1">
        <f>HYPERLINK("https://www.amazon.com/Magnetic-Dart-Board-Sticky-Excellent/dp/B0C9YN615W/ref=sr_1_2?keywords=Toysmith+Magnetic+Dart+Board&amp;qid=1695588342&amp;sr=8-2", "https://www.amazon.com/Magnetic-Dart-Board-Sticky-Excellent/dp/B0C9YN615W/ref=sr_1_2?keywords=Toysmith+Magnetic+Dart+Board&amp;qid=1695588342&amp;sr=8-2")</f>
        <v/>
      </c>
      <c r="F534" t="inlineStr">
        <is>
          <t>B0C9YN615W</t>
        </is>
      </c>
      <c r="G534">
        <f>_xlfn.IMAGE("https://images.toysrus.com/1285/085761184879_1.jpg")</f>
        <v/>
      </c>
      <c r="H534">
        <f>_xlfn.IMAGE("https://m.media-amazon.com/images/I/81i5gLuXcFL._AC_UL320_.jpg")</f>
        <v/>
      </c>
      <c r="K534" t="inlineStr">
        <is>
          <t>12.99</t>
        </is>
      </c>
      <c r="L534" t="n">
        <v>26.99</v>
      </c>
      <c r="M534" s="2" t="inlineStr">
        <is>
          <t>107.78%</t>
        </is>
      </c>
      <c r="N534" t="n">
        <v>5</v>
      </c>
      <c r="O534" t="n">
        <v>7</v>
      </c>
      <c r="Q534" t="inlineStr">
        <is>
          <t>InStock</t>
        </is>
      </c>
      <c r="R534" t="inlineStr">
        <is>
          <t>undefined</t>
        </is>
      </c>
      <c r="S534" t="inlineStr">
        <is>
          <t>G085761184879</t>
        </is>
      </c>
    </row>
    <row r="535" ht="75" customHeight="1">
      <c r="A535" s="1">
        <f>HYPERLINK("https://www.toysrus.com/toysmith-magnetic-dart-board-G085761184879.html", "https://www.toysrus.com/toysmith-magnetic-dart-board-G085761184879.html")</f>
        <v/>
      </c>
      <c r="B535" s="1">
        <f>HYPERLINK("https://www.toysrus.com/toysmith-magnetic-dart-board-G085761184879.html", "https://www.toysrus.com/toysmith-magnetic-dart-board-G085761184879.html")</f>
        <v/>
      </c>
      <c r="C535" t="inlineStr">
        <is>
          <t>Toysmith Magnetic Dart Board</t>
        </is>
      </c>
      <c r="D535" t="inlineStr">
        <is>
          <t>Dart Board Toys for Boys Age 8-12, 2 in 1 Magnetic Double Sided Dartboard, Indoor and Outdoor Game for Kids, Ideal Birthday, for Age 8, 9, 10, 11, 12 Years Old</t>
        </is>
      </c>
      <c r="E535" s="1">
        <f>HYPERLINK("https://www.amazon.com/OleFun-Magnetic-Dartboard-Outdoor-Birthday/dp/B0C6K8FL9Y/ref=sr_1_3?keywords=Toysmith+Magnetic+Dart+Board&amp;qid=1695588342&amp;sr=8-3", "https://www.amazon.com/OleFun-Magnetic-Dartboard-Outdoor-Birthday/dp/B0C6K8FL9Y/ref=sr_1_3?keywords=Toysmith+Magnetic+Dart+Board&amp;qid=1695588342&amp;sr=8-3")</f>
        <v/>
      </c>
      <c r="F535" t="inlineStr">
        <is>
          <t>B0C6K8FL9Y</t>
        </is>
      </c>
      <c r="G535">
        <f>_xlfn.IMAGE("https://images.toysrus.com/1285/085761184879_1.jpg")</f>
        <v/>
      </c>
      <c r="H535">
        <f>_xlfn.IMAGE("https://m.media-amazon.com/images/I/81qVkjQmYYL._AC_UL320_.jpg")</f>
        <v/>
      </c>
      <c r="K535" t="inlineStr">
        <is>
          <t>12.99</t>
        </is>
      </c>
      <c r="L535" t="n">
        <v>26.99</v>
      </c>
      <c r="M535" s="2" t="inlineStr">
        <is>
          <t>107.78%</t>
        </is>
      </c>
      <c r="N535" t="n">
        <v>4.2</v>
      </c>
      <c r="O535" t="n">
        <v>7</v>
      </c>
      <c r="Q535" t="inlineStr">
        <is>
          <t>InStock</t>
        </is>
      </c>
      <c r="R535" t="inlineStr">
        <is>
          <t>undefined</t>
        </is>
      </c>
      <c r="S535" t="inlineStr">
        <is>
          <t>G085761184879</t>
        </is>
      </c>
    </row>
    <row r="536" ht="75" customHeight="1">
      <c r="A536" s="1">
        <f>HYPERLINK("https://www.toysrus.com/toysmith-magnetic-dart-board-G085761184879.html", "https://www.toysrus.com/toysmith-magnetic-dart-board-G085761184879.html")</f>
        <v/>
      </c>
      <c r="B536" s="1">
        <f>HYPERLINK("https://www.toysrus.com/toysmith-magnetic-dart-board-G085761184879.html", "https://www.toysrus.com/toysmith-magnetic-dart-board-G085761184879.html")</f>
        <v/>
      </c>
      <c r="C536" t="inlineStr">
        <is>
          <t>Toysmith Magnetic Dart Board</t>
        </is>
      </c>
      <c r="D536" t="inlineStr">
        <is>
          <t>Dart Board Toys for Boys Age 8-12, 2 in 1 Magnetic &amp; Felt Dartboard, Indoor and Outdoor Game for Kids, Ideal Birthday, for Age 8, 9, 10, 11, 12 Years Old</t>
        </is>
      </c>
      <c r="E536" s="1">
        <f>HYPERLINK("https://www.amazon.com/OleFun-Magnetic-Dartboard-Outdoor-Birthday/dp/B0C5X219JQ/ref=sr_1_6?keywords=Toysmith+Magnetic+Dart+Board&amp;qid=1695588342&amp;sr=8-6", "https://www.amazon.com/OleFun-Magnetic-Dartboard-Outdoor-Birthday/dp/B0C5X219JQ/ref=sr_1_6?keywords=Toysmith+Magnetic+Dart+Board&amp;qid=1695588342&amp;sr=8-6")</f>
        <v/>
      </c>
      <c r="F536" t="inlineStr">
        <is>
          <t>B0C5X219JQ</t>
        </is>
      </c>
      <c r="G536">
        <f>_xlfn.IMAGE("https://images.toysrus.com/1285/085761184879_1.jpg")</f>
        <v/>
      </c>
      <c r="H536">
        <f>_xlfn.IMAGE("https://m.media-amazon.com/images/I/81J1YBF5nhL._AC_UL320_.jpg")</f>
        <v/>
      </c>
      <c r="K536" t="inlineStr">
        <is>
          <t>12.99</t>
        </is>
      </c>
      <c r="L536" t="n">
        <v>26.99</v>
      </c>
      <c r="M536" s="2" t="inlineStr">
        <is>
          <t>107.78%</t>
        </is>
      </c>
      <c r="N536" t="n">
        <v>4.8</v>
      </c>
      <c r="O536" t="n">
        <v>15</v>
      </c>
      <c r="Q536" t="inlineStr">
        <is>
          <t>InStock</t>
        </is>
      </c>
      <c r="R536" t="inlineStr">
        <is>
          <t>undefined</t>
        </is>
      </c>
      <c r="S536" t="inlineStr">
        <is>
          <t>G085761184879</t>
        </is>
      </c>
    </row>
    <row r="537" ht="75" customHeight="1">
      <c r="A537" s="1">
        <f>HYPERLINK("https://www.toysrus.com/toysmith-mini-pull-back-train-set-G085761070417.html", "https://www.toysrus.com/toysmith-mini-pull-back-train-set-G085761070417.html")</f>
        <v/>
      </c>
      <c r="B537" s="1">
        <f>HYPERLINK("https://www.toysrus.com/toysmith-mini-pull-back-train-set-G085761070417.html", "https://www.toysrus.com/toysmith-mini-pull-back-train-set-G085761070417.html")</f>
        <v/>
      </c>
      <c r="C537" t="inlineStr">
        <is>
          <t>Toysmith Mini Pull-Back Train Set</t>
        </is>
      </c>
      <c r="D537" t="inlineStr">
        <is>
          <t>ArtCreativity Mini Locomotive Train Playset for Kids, Set of 3, Each Set with 1 Locomotive and 3 Carts, Diecast Train Toy for Boys and Girls with Pullback Motion, Great Birthday Gift</t>
        </is>
      </c>
      <c r="E537" s="1">
        <f>HYPERLINK("https://www.amazon.com/ArtCreativity-Locomotive-Playset-Pullback-Birthday/dp/B09459HP35/ref=sr_1_5?keywords=Toysmith+Mini+Pull-Back+Train+Set&amp;qid=1695588741&amp;sr=8-5", "https://www.amazon.com/ArtCreativity-Locomotive-Playset-Pullback-Birthday/dp/B09459HP35/ref=sr_1_5?keywords=Toysmith+Mini+Pull-Back+Train+Set&amp;qid=1695588741&amp;sr=8-5")</f>
        <v/>
      </c>
      <c r="F537" t="inlineStr">
        <is>
          <t>B09459HP35</t>
        </is>
      </c>
      <c r="G537">
        <f>_xlfn.IMAGE("https://images.toysrus.com/28598/085761070417_1.jpg")</f>
        <v/>
      </c>
      <c r="H537">
        <f>_xlfn.IMAGE("https://m.media-amazon.com/images/I/71nBh-HAz+S._AC_UL320_.jpg")</f>
        <v/>
      </c>
      <c r="K537" t="inlineStr">
        <is>
          <t>11.99</t>
        </is>
      </c>
      <c r="L537" t="n">
        <v>21.97</v>
      </c>
      <c r="M537" s="2" t="inlineStr">
        <is>
          <t>83.24%</t>
        </is>
      </c>
      <c r="N537" t="n">
        <v>4</v>
      </c>
      <c r="O537" t="n">
        <v>94</v>
      </c>
      <c r="Q537" t="inlineStr">
        <is>
          <t>InStock</t>
        </is>
      </c>
      <c r="R537" t="inlineStr">
        <is>
          <t>undefined</t>
        </is>
      </c>
      <c r="S537" t="inlineStr">
        <is>
          <t>G085761070417</t>
        </is>
      </c>
    </row>
    <row r="538" ht="75" customHeight="1">
      <c r="A538" s="1">
        <f>HYPERLINK("https://www.toysrus.com/toysmith-mini-pull-back-train-set-G085761070417.html", "https://www.toysrus.com/toysmith-mini-pull-back-train-set-G085761070417.html")</f>
        <v/>
      </c>
      <c r="B538" s="1">
        <f>HYPERLINK("https://www.toysrus.com/toysmith-mini-pull-back-train-set-G085761070417.html", "https://www.toysrus.com/toysmith-mini-pull-back-train-set-G085761070417.html")</f>
        <v/>
      </c>
      <c r="C538" t="inlineStr">
        <is>
          <t>Toysmith Mini Pull-Back Train Set</t>
        </is>
      </c>
      <c r="D538" t="inlineStr">
        <is>
          <t>Exasinine Mini Simulation Steam Train Pull-Back Train Model Diecasts Locomotive, Set of 4</t>
        </is>
      </c>
      <c r="E538" s="1">
        <f>HYPERLINK("https://www.amazon.com/Easy-99-Simulation-Pull-Back-Locomotive/dp/B07R69D3HW/ref=sr_1_7?keywords=Toysmith+Mini+Pull-Back+Train+Set&amp;qid=1695588741&amp;sr=8-7", "https://www.amazon.com/Easy-99-Simulation-Pull-Back-Locomotive/dp/B07R69D3HW/ref=sr_1_7?keywords=Toysmith+Mini+Pull-Back+Train+Set&amp;qid=1695588741&amp;sr=8-7")</f>
        <v/>
      </c>
      <c r="F538" t="inlineStr">
        <is>
          <t>B07R69D3HW</t>
        </is>
      </c>
      <c r="G538">
        <f>_xlfn.IMAGE("https://images.toysrus.com/28598/085761070417_1.jpg")</f>
        <v/>
      </c>
      <c r="H538">
        <f>_xlfn.IMAGE("https://m.media-amazon.com/images/I/51HOP6M46mL._AC_UL320_.jpg")</f>
        <v/>
      </c>
      <c r="K538" t="inlineStr">
        <is>
          <t>11.99</t>
        </is>
      </c>
      <c r="L538" t="n">
        <v>20.99</v>
      </c>
      <c r="M538" s="2" t="inlineStr">
        <is>
          <t>75.06%</t>
        </is>
      </c>
      <c r="N538" t="n">
        <v>4.2</v>
      </c>
      <c r="O538" t="n">
        <v>206</v>
      </c>
      <c r="Q538" t="inlineStr">
        <is>
          <t>InStock</t>
        </is>
      </c>
      <c r="R538" t="inlineStr">
        <is>
          <t>undefined</t>
        </is>
      </c>
      <c r="S538" t="inlineStr">
        <is>
          <t>G085761070417</t>
        </is>
      </c>
    </row>
    <row r="539" ht="75" customHeight="1">
      <c r="A539" s="1">
        <f>HYPERLINK("https://www.toysrus.com/toysmith-outdoor-discovery-backyard-critter-case-G085761073975.html", "https://www.toysrus.com/toysmith-outdoor-discovery-backyard-critter-case-G085761073975.html")</f>
        <v/>
      </c>
      <c r="B539" s="1">
        <f>HYPERLINK("https://www.toysrus.com/toysmith-outdoor-discovery-backyard-critter-case-G085761073975.html", "https://www.toysrus.com/toysmith-outdoor-discovery-backyard-critter-case-G085761073975.html")</f>
        <v/>
      </c>
      <c r="C539" t="inlineStr">
        <is>
          <t>Toysmith Outdoor Discovery Backyard Critter Case</t>
        </is>
      </c>
      <c r="D539" t="inlineStr">
        <is>
          <t>Toysmith Outdoor Discovery Hoot N Holler Animal Caller and Critter Case; Outdor Play and Discovery Set</t>
        </is>
      </c>
      <c r="E539" s="1">
        <f>HYPERLINK("https://www.amazon.com/Toysmith-Outdoor-Discovery-Holler-Critter/dp/B0BM23ZDYJ/ref=sr_1_6?keywords=Toysmith+Outdoor+Discovery+Backyard+Critter+Case&amp;qid=1695588673&amp;sr=8-6", "https://www.amazon.com/Toysmith-Outdoor-Discovery-Holler-Critter/dp/B0BM23ZDYJ/ref=sr_1_6?keywords=Toysmith+Outdoor+Discovery+Backyard+Critter+Case&amp;qid=1695588673&amp;sr=8-6")</f>
        <v/>
      </c>
      <c r="F539" t="inlineStr">
        <is>
          <t>B0BM23ZDYJ</t>
        </is>
      </c>
      <c r="G539">
        <f>_xlfn.IMAGE("https://images.toysrus.com/28598/085761073975_1.jpg")</f>
        <v/>
      </c>
      <c r="H539">
        <f>_xlfn.IMAGE("https://m.media-amazon.com/images/I/61PMCmwlC7L._AC_UL320_.jpg")</f>
        <v/>
      </c>
      <c r="K539" t="inlineStr">
        <is>
          <t>13.99</t>
        </is>
      </c>
      <c r="L539" t="n">
        <v>36.98</v>
      </c>
      <c r="M539" s="2" t="inlineStr">
        <is>
          <t>164.33%</t>
        </is>
      </c>
      <c r="N539" t="n">
        <v>5</v>
      </c>
      <c r="O539" t="n">
        <v>1</v>
      </c>
      <c r="Q539" t="inlineStr">
        <is>
          <t>InStock</t>
        </is>
      </c>
      <c r="R539" t="inlineStr">
        <is>
          <t>undefined</t>
        </is>
      </c>
      <c r="S539" t="inlineStr">
        <is>
          <t>G085761073975</t>
        </is>
      </c>
    </row>
    <row r="540" ht="75" customHeight="1">
      <c r="A540" s="1">
        <f>HYPERLINK("https://www.toysrus.com/toysmith-toy-shopping-cart-G085761142022.html", "https://www.toysrus.com/toysmith-toy-shopping-cart-G085761142022.html")</f>
        <v/>
      </c>
      <c r="B540" s="1">
        <f>HYPERLINK("https://www.toysrus.com/toysmith-toy-shopping-cart-G085761142022.html", "https://www.toysrus.com/toysmith-toy-shopping-cart-G085761142022.html")</f>
        <v/>
      </c>
      <c r="C540" t="inlineStr">
        <is>
          <t>Toysmith Toy Shopping Cart</t>
        </is>
      </c>
      <c r="D540" t="inlineStr">
        <is>
          <t>Melissa &amp; Doug Toy Shopping Cart With Sturdy Metal Frame - Toddler Shopping Cart, Pretend Grocery Cart, Supermarket Pretend Play Shopping Cart For Kids Ages 3+</t>
        </is>
      </c>
      <c r="E540" s="1">
        <f>HYPERLINK("https://www.amazon.com/Melissa-Doug-Shopping-Sturdy-Metal/dp/B000VO3GPG/ref=sr_1_4?keywords=Toysmith+Toy+Shopping+Cart&amp;qid=1695588509&amp;sr=8-4", "https://www.amazon.com/Melissa-Doug-Shopping-Sturdy-Metal/dp/B000VO3GPG/ref=sr_1_4?keywords=Toysmith+Toy+Shopping+Cart&amp;qid=1695588509&amp;sr=8-4")</f>
        <v/>
      </c>
      <c r="F540" t="inlineStr">
        <is>
          <t>B000VO3GPG</t>
        </is>
      </c>
      <c r="G540">
        <f>_xlfn.IMAGE("https://images.toysrus.com/1128598/085761142022_1.jpg")</f>
        <v/>
      </c>
      <c r="H540">
        <f>_xlfn.IMAGE("https://m.media-amazon.com/images/I/71HhPBwMYPL._AC_UL320_.jpg")</f>
        <v/>
      </c>
      <c r="K540" t="inlineStr">
        <is>
          <t>39.99</t>
        </is>
      </c>
      <c r="L540" t="n">
        <v>72.23999999999999</v>
      </c>
      <c r="M540" s="2" t="inlineStr">
        <is>
          <t>80.65%</t>
        </is>
      </c>
      <c r="N540" t="n">
        <v>4.8</v>
      </c>
      <c r="O540" t="n">
        <v>9200</v>
      </c>
      <c r="Q540" t="inlineStr">
        <is>
          <t>InStock</t>
        </is>
      </c>
      <c r="R540" t="inlineStr">
        <is>
          <t>undefined</t>
        </is>
      </c>
      <c r="S540" t="inlineStr">
        <is>
          <t>G085761142022</t>
        </is>
      </c>
    </row>
    <row r="541" ht="75" customHeight="1">
      <c r="A541" s="1">
        <f>HYPERLINK("https://www.toysrus.com/u.s.-army-desert-figure-playset-w--patrol-vehicle-G680108053544.html", "https://www.toysrus.com/u.s.-army-desert-figure-playset-w--patrol-vehicle-G680108053544.html")</f>
        <v/>
      </c>
      <c r="B541" s="1">
        <f>HYPERLINK("https://www.toysrus.com/u.s.-army-desert-figure-playset-w--patrol-vehicle-G680108053544.html", "https://www.toysrus.com/u.s.-army-desert-figure-playset-w--patrol-vehicle-G680108053544.html")</f>
        <v/>
      </c>
      <c r="C541" t="inlineStr">
        <is>
          <t>U.S. Army Desert Figure Playset w/ Patrol Vehicle</t>
        </is>
      </c>
      <c r="D541" t="inlineStr">
        <is>
          <t>US Army Men Action Figure Toy Playset for Boys Desert Forces and Rescue Team Military Vehicle, Rescue Boat and Helicopter 4 Military Men Action Figures with Weapon Accessories and Top Secret Notepad</t>
        </is>
      </c>
      <c r="E541" s="1">
        <f>HYPERLINK("https://www.amazon.com/Playset-Military-Vehicle-Helicopter-Accessories/dp/B08PPVZ6Z2/ref=sr_1_2?keywords=u.s.+army+desert+figure+playset+with%2F+patrol+vehicle&amp;qid=1695588739&amp;sr=8-2", "https://www.amazon.com/Playset-Military-Vehicle-Helicopter-Accessories/dp/B08PPVZ6Z2/ref=sr_1_2?keywords=u.s.+army+desert+figure+playset+with%2F+patrol+vehicle&amp;qid=1695588739&amp;sr=8-2")</f>
        <v/>
      </c>
      <c r="F541" t="inlineStr">
        <is>
          <t>B08PPVZ6Z2</t>
        </is>
      </c>
      <c r="G541">
        <f>_xlfn.IMAGE("https://images.toysrus.com/1128598/680108053544_1.jpg")</f>
        <v/>
      </c>
      <c r="H541">
        <f>_xlfn.IMAGE("https://m.media-amazon.com/images/I/91qOHXYD9TL._AC_UL320_.jpg")</f>
        <v/>
      </c>
      <c r="K541" t="inlineStr">
        <is>
          <t>14.99</t>
        </is>
      </c>
      <c r="L541" t="n">
        <v>29.95</v>
      </c>
      <c r="M541" s="2" t="inlineStr">
        <is>
          <t>99.80%</t>
        </is>
      </c>
      <c r="N541" t="n">
        <v>4.5</v>
      </c>
      <c r="O541" t="n">
        <v>177</v>
      </c>
      <c r="Q541" t="inlineStr">
        <is>
          <t>OutOfStock</t>
        </is>
      </c>
      <c r="R541" t="inlineStr">
        <is>
          <t>undefined</t>
        </is>
      </c>
      <c r="S541" t="inlineStr">
        <is>
          <t>G680108053544</t>
        </is>
      </c>
    </row>
    <row r="542" ht="75" customHeight="1">
      <c r="A542" s="1">
        <f>HYPERLINK("https://www.toysrus.com/u.s.-army-tank-playset-with-light-and-sound-G680108062843.html", "https://www.toysrus.com/u.s.-army-tank-playset-with-light-and-sound-G680108062843.html")</f>
        <v/>
      </c>
      <c r="B542" s="1">
        <f>HYPERLINK("https://www.toysrus.com/u.s.-army-tank-playset-with-light-and-sound-G680108062843.html", "https://www.toysrus.com/u.s.-army-tank-playset-with-light-and-sound-G680108062843.html")</f>
        <v/>
      </c>
      <c r="C542" t="inlineStr">
        <is>
          <t>U.S. Army Tank Playset with Light and Sound</t>
        </is>
      </c>
      <c r="D542" t="inlineStr">
        <is>
          <t>Tank Toy Sets for Kids, Military Transport Tank with 6PCS Mini Alloy Diecast Army Vehicles, Realistic Sound Light &amp; Rotating Turret Launcher, Military Playset Gift for Boys 3-7 Years Old</t>
        </is>
      </c>
      <c r="E542" s="1">
        <f>HYPERLINK("https://www.amazon.com/YOOYID-Military-Transport-Vehicles-Realistic/dp/B0B7MSSZ7P/ref=sr_1_9?keywords=U.S.+Army+Tank+Playset+with+Light+and+Sound&amp;qid=1695588716&amp;sr=8-9", "https://www.amazon.com/YOOYID-Military-Transport-Vehicles-Realistic/dp/B0B7MSSZ7P/ref=sr_1_9?keywords=U.S.+Army+Tank+Playset+with+Light+and+Sound&amp;qid=1695588716&amp;sr=8-9")</f>
        <v/>
      </c>
      <c r="F542" t="inlineStr">
        <is>
          <t>B0B7MSSZ7P</t>
        </is>
      </c>
      <c r="G542">
        <f>_xlfn.IMAGE("https://images.toysrus.com/1128598/680108062843_1.jpg")</f>
        <v/>
      </c>
      <c r="H542">
        <f>_xlfn.IMAGE("https://m.media-amazon.com/images/I/71ZvYqypw5L._AC_UL320_.jpg")</f>
        <v/>
      </c>
      <c r="K542" t="inlineStr">
        <is>
          <t>14.99</t>
        </is>
      </c>
      <c r="L542" t="n">
        <v>33.99</v>
      </c>
      <c r="M542" s="2" t="inlineStr">
        <is>
          <t>126.75%</t>
        </is>
      </c>
      <c r="N542" t="n">
        <v>4.2</v>
      </c>
      <c r="O542" t="n">
        <v>45</v>
      </c>
      <c r="Q542" t="inlineStr">
        <is>
          <t>InStock</t>
        </is>
      </c>
      <c r="R542" t="inlineStr">
        <is>
          <t>undefined</t>
        </is>
      </c>
      <c r="S542" t="inlineStr">
        <is>
          <t>G680108062843</t>
        </is>
      </c>
    </row>
    <row r="543" ht="75" customHeight="1">
      <c r="A543" s="1">
        <f>HYPERLINK("https://www.toysrus.com/u.s.-army-tank-playset-with-light-and-sound-G680108062843.html", "https://www.toysrus.com/u.s.-army-tank-playset-with-light-and-sound-G680108062843.html")</f>
        <v/>
      </c>
      <c r="B543" s="1">
        <f>HYPERLINK("https://www.toysrus.com/u.s.-army-tank-playset-with-light-and-sound-G680108062843.html", "https://www.toysrus.com/u.s.-army-tank-playset-with-light-and-sound-G680108062843.html")</f>
        <v/>
      </c>
      <c r="C543" t="inlineStr">
        <is>
          <t>U.S. Army Tank Playset with Light and Sound</t>
        </is>
      </c>
      <c r="D543" t="inlineStr">
        <is>
          <t>Army Tank Toys, Military Transport Tank with 6 Alloy Army Vehicles Army Men Toy Soldier Military Tank Toy with Realistic Light Sound and Missiles Launcher Gift for Kids Boys 3 4 5 6 7 Years Old</t>
        </is>
      </c>
      <c r="E543" s="1">
        <f>HYPERLINK("https://www.amazon.com/Military-Transport-Vehicles-Realistic-Missiles/dp/B0C1SPHKH1/ref=sr_1_5?keywords=U.S.+Army+Tank+Playset+with+Light+and+Sound&amp;qid=1695588716&amp;sr=8-5", "https://www.amazon.com/Military-Transport-Vehicles-Realistic-Missiles/dp/B0C1SPHKH1/ref=sr_1_5?keywords=U.S.+Army+Tank+Playset+with+Light+and+Sound&amp;qid=1695588716&amp;sr=8-5")</f>
        <v/>
      </c>
      <c r="F543" t="inlineStr">
        <is>
          <t>B0C1SPHKH1</t>
        </is>
      </c>
      <c r="G543">
        <f>_xlfn.IMAGE("https://images.toysrus.com/1128598/680108062843_1.jpg")</f>
        <v/>
      </c>
      <c r="H543">
        <f>_xlfn.IMAGE("https://m.media-amazon.com/images/I/71Dtfzv-wSL._AC_UL320_.jpg")</f>
        <v/>
      </c>
      <c r="K543" t="inlineStr">
        <is>
          <t>14.99</t>
        </is>
      </c>
      <c r="L543" t="n">
        <v>28.99</v>
      </c>
      <c r="M543" s="2" t="inlineStr">
        <is>
          <t>93.40%</t>
        </is>
      </c>
      <c r="N543" t="n">
        <v>4.3</v>
      </c>
      <c r="O543" t="n">
        <v>17</v>
      </c>
      <c r="Q543" t="inlineStr">
        <is>
          <t>InStock</t>
        </is>
      </c>
      <c r="R543" t="inlineStr">
        <is>
          <t>undefined</t>
        </is>
      </c>
      <c r="S543" t="inlineStr">
        <is>
          <t>G680108062843</t>
        </is>
      </c>
    </row>
    <row r="544" ht="75" customHeight="1">
      <c r="A544" s="1">
        <f>HYPERLINK("https://www.toysrus.com/u.s.-army-tank-playset-with-light-and-sound-G680108062843.html", "https://www.toysrus.com/u.s.-army-tank-playset-with-light-and-sound-G680108062843.html")</f>
        <v/>
      </c>
      <c r="B544" s="1">
        <f>HYPERLINK("https://www.toysrus.com/u.s.-army-tank-playset-with-light-and-sound-G680108062843.html", "https://www.toysrus.com/u.s.-army-tank-playset-with-light-and-sound-G680108062843.html")</f>
        <v/>
      </c>
      <c r="C544" t="inlineStr">
        <is>
          <t>U.S. Army Tank Playset with Light and Sound</t>
        </is>
      </c>
      <c r="D544" t="inlineStr">
        <is>
          <t>U.S. Army Tank Playset with Light and Sound</t>
        </is>
      </c>
      <c r="E544" s="1">
        <f>HYPERLINK("https://www.amazon.com/U-S-Army-Playset-Light-Sound/dp/B07KXBF5HR/ref=sr_1_1?keywords=U.S.+Army+Tank+Playset+with+Light+and+Sound&amp;qid=1695588716&amp;sr=8-1", "https://www.amazon.com/U-S-Army-Playset-Light-Sound/dp/B07KXBF5HR/ref=sr_1_1?keywords=U.S.+Army+Tank+Playset+with+Light+and+Sound&amp;qid=1695588716&amp;sr=8-1")</f>
        <v/>
      </c>
      <c r="F544" t="inlineStr">
        <is>
          <t>B07KXBF5HR</t>
        </is>
      </c>
      <c r="G544">
        <f>_xlfn.IMAGE("https://images.toysrus.com/1128598/680108062843_1.jpg")</f>
        <v/>
      </c>
      <c r="H544">
        <f>_xlfn.IMAGE("https://m.media-amazon.com/images/I/815btp7ScsS._AC_UL320_.jpg")</f>
        <v/>
      </c>
      <c r="K544" t="inlineStr">
        <is>
          <t>14.99</t>
        </is>
      </c>
      <c r="L544" t="n">
        <v>27</v>
      </c>
      <c r="M544" s="2" t="inlineStr">
        <is>
          <t>80.12%</t>
        </is>
      </c>
      <c r="N544" t="n">
        <v>5</v>
      </c>
      <c r="O544" t="n">
        <v>1</v>
      </c>
      <c r="Q544" t="inlineStr">
        <is>
          <t>InStock</t>
        </is>
      </c>
      <c r="R544" t="inlineStr">
        <is>
          <t>undefined</t>
        </is>
      </c>
      <c r="S544" t="inlineStr">
        <is>
          <t>G680108062843</t>
        </is>
      </c>
    </row>
    <row r="545" ht="75" customHeight="1">
      <c r="A545" s="1">
        <f>HYPERLINK("https://www.toysrus.com/u.s.-army-tank-playset-with-light-and-sound-G680108062843.html", "https://www.toysrus.com/u.s.-army-tank-playset-with-light-and-sound-G680108062843.html")</f>
        <v/>
      </c>
      <c r="B545" s="1">
        <f>HYPERLINK("https://www.toysrus.com/u.s.-army-tank-playset-with-light-and-sound-G680108062843.html", "https://www.toysrus.com/u.s.-army-tank-playset-with-light-and-sound-G680108062843.html")</f>
        <v/>
      </c>
      <c r="C545" t="inlineStr">
        <is>
          <t>U.S. Army Tank Playset with Light and Sound</t>
        </is>
      </c>
      <c r="D545" t="inlineStr">
        <is>
          <t>Military Tank Toy Set: Tank Battle Army Toys with 6 Army Vehicles Trucks Helicopter|Military Tank Toy with Realistic Light Sound and Launcher, 10 Army Men Playset Gift for Boys Girls Kids</t>
        </is>
      </c>
      <c r="E545" s="1">
        <f>HYPERLINK("https://www.amazon.com/Homaisson-Military-Tank-Toy-Set/dp/B0B9R6VBQX/ref=sr_1_4?keywords=U.S.+Army+Tank+Playset+with+Light+and+Sound&amp;qid=1695588716&amp;sr=8-4", "https://www.amazon.com/Homaisson-Military-Tank-Toy-Set/dp/B0B9R6VBQX/ref=sr_1_4?keywords=U.S.+Army+Tank+Playset+with+Light+and+Sound&amp;qid=1695588716&amp;sr=8-4")</f>
        <v/>
      </c>
      <c r="F545" t="inlineStr">
        <is>
          <t>B0B9R6VBQX</t>
        </is>
      </c>
      <c r="G545">
        <f>_xlfn.IMAGE("https://images.toysrus.com/1128598/680108062843_1.jpg")</f>
        <v/>
      </c>
      <c r="H545">
        <f>_xlfn.IMAGE("https://m.media-amazon.com/images/I/81K+Y9v6b1L._AC_UL320_.jpg")</f>
        <v/>
      </c>
      <c r="K545" t="inlineStr">
        <is>
          <t>14.99</t>
        </is>
      </c>
      <c r="L545" t="n">
        <v>25.99</v>
      </c>
      <c r="M545" s="2" t="inlineStr">
        <is>
          <t>73.38%</t>
        </is>
      </c>
      <c r="N545" t="n">
        <v>4.2</v>
      </c>
      <c r="O545" t="n">
        <v>60</v>
      </c>
      <c r="Q545" t="inlineStr">
        <is>
          <t>InStock</t>
        </is>
      </c>
      <c r="R545" t="inlineStr">
        <is>
          <t>undefined</t>
        </is>
      </c>
      <c r="S545" t="inlineStr">
        <is>
          <t>G680108062843</t>
        </is>
      </c>
    </row>
    <row r="546" ht="75" customHeight="1">
      <c r="A546" s="1">
        <f>HYPERLINK("https://www.toysrus.com/vaesen-mythic-britain-and-ireland-maps-and-handouts-G9789189143685.html", "https://www.toysrus.com/vaesen-mythic-britain-and-ireland-maps-and-handouts-G9789189143685.html")</f>
        <v/>
      </c>
      <c r="B546" s="1">
        <f>HYPERLINK("https://www.toysrus.com/vaesen-mythic-britain-and-ireland-maps-and-handouts-G9789189143685.html", "https://www.toysrus.com/vaesen-mythic-britain-and-ireland-maps-and-handouts-G9789189143685.html")</f>
        <v/>
      </c>
      <c r="C546" t="inlineStr">
        <is>
          <t>Vaesen: Mythic Britain &amp; Ireland Maps &amp; Handouts</t>
        </is>
      </c>
      <c r="D546" t="inlineStr">
        <is>
          <t>Free League Publishing Vaesen: Mythic Britain &amp; Ireland - Nordic Horror Roleplaying, RPG Book, Free League</t>
        </is>
      </c>
      <c r="E546" s="1">
        <f>HYPERLINK("https://www.amazon.com/Vaesen-Mythic-Britain-Ireland-Roleplaying/dp/9189143612/ref=sr_1_2?keywords=Vaesen%3A+Mythic+Britain&amp;qid=1695588196&amp;sr=8-2", "https://www.amazon.com/Vaesen-Mythic-Britain-Ireland-Roleplaying/dp/9189143612/ref=sr_1_2?keywords=Vaesen%3A+Mythic+Britain&amp;qid=1695588196&amp;sr=8-2")</f>
        <v/>
      </c>
      <c r="F546" t="inlineStr">
        <is>
          <t>9189143612</t>
        </is>
      </c>
      <c r="G546">
        <f>_xlfn.IMAGE("https://images.toysrus.com/28598/9789189143685_1.jpg")</f>
        <v/>
      </c>
      <c r="H546">
        <f>_xlfn.IMAGE("https://m.media-amazon.com/images/I/71WPsfHsYhL._AC_UL320_.jpg")</f>
        <v/>
      </c>
      <c r="K546" t="inlineStr">
        <is>
          <t>14.99</t>
        </is>
      </c>
      <c r="L546" t="n">
        <v>36.56</v>
      </c>
      <c r="M546" s="2" t="inlineStr">
        <is>
          <t>143.90%</t>
        </is>
      </c>
      <c r="N546" t="n">
        <v>4.9</v>
      </c>
      <c r="O546" t="n">
        <v>17</v>
      </c>
      <c r="Q546" t="inlineStr">
        <is>
          <t>InStock</t>
        </is>
      </c>
      <c r="R546" t="inlineStr">
        <is>
          <t>undefined</t>
        </is>
      </c>
      <c r="S546" t="inlineStr">
        <is>
          <t>G9789189143685</t>
        </is>
      </c>
    </row>
    <row r="547" ht="75" customHeight="1">
      <c r="A547" s="1">
        <f>HYPERLINK("https://www.toysrus.com/vampire-the-masquerade-rivals-expandable-card-game-G0810011725119.html", "https://www.toysrus.com/vampire-the-masquerade-rivals-expandable-card-game-G0810011725119.html")</f>
        <v/>
      </c>
      <c r="B547" s="1">
        <f>HYPERLINK("https://www.toysrus.com/vampire-the-masquerade-rivals-expandable-card-game-G0810011725119.html", "https://www.toysrus.com/vampire-the-masquerade-rivals-expandable-card-game-G0810011725119.html")</f>
        <v/>
      </c>
      <c r="C547" t="inlineStr">
        <is>
          <t>Vampire: The Masquerade Rivals Expandable Card Game</t>
        </is>
      </c>
      <c r="D547" t="inlineStr">
        <is>
          <t>Vampire: The Masquerade Rivals Expandable Card Game The Hunters &amp; The Hunted: Core Set - Everything Needed to Play, Card Game Based On The RPG, Ages 14+, 2-4 Players</t>
        </is>
      </c>
      <c r="E547" s="1">
        <f>HYPERLINK("https://www.amazon.com/Vampire-Masquerade-Expandable-Hunters-Everything/dp/B0C9RV4RLM/ref=sr_1_2?keywords=Vampire%3A+The+Masquerade+Rivals+Expandable+Card+Game&amp;qid=1695588424&amp;sr=8-2", "https://www.amazon.com/Vampire-Masquerade-Expandable-Hunters-Everything/dp/B0C9RV4RLM/ref=sr_1_2?keywords=Vampire%3A+The+Masquerade+Rivals+Expandable+Card+Game&amp;qid=1695588424&amp;sr=8-2")</f>
        <v/>
      </c>
      <c r="F547" t="inlineStr">
        <is>
          <t>B0C9RV4RLM</t>
        </is>
      </c>
      <c r="G547">
        <f>_xlfn.IMAGE("https://images.toysrus.com/1285980/810011725119_1.jpg")</f>
        <v/>
      </c>
      <c r="H547">
        <f>_xlfn.IMAGE("https://m.media-amazon.com/images/I/81wWsjDnLdL._AC_UL320_.jpg")</f>
        <v/>
      </c>
      <c r="K547" t="inlineStr">
        <is>
          <t>29.99</t>
        </is>
      </c>
      <c r="L547" t="n">
        <v>52.88</v>
      </c>
      <c r="M547" s="2" t="inlineStr">
        <is>
          <t>76.33%</t>
        </is>
      </c>
      <c r="N547" t="n">
        <v>5</v>
      </c>
      <c r="O547" t="n">
        <v>2</v>
      </c>
      <c r="Q547" t="inlineStr">
        <is>
          <t>InStock</t>
        </is>
      </c>
      <c r="R547" t="inlineStr">
        <is>
          <t>undefined</t>
        </is>
      </c>
      <c r="S547" t="inlineStr">
        <is>
          <t>G0810011725119</t>
        </is>
      </c>
    </row>
    <row r="548" ht="75" customHeight="1">
      <c r="A548" s="1">
        <f>HYPERLINK("https://www.toysrus.com/vampire-the-masquerade-rivals-expandable-card-game-the-dragon-and-the-rogue-expansion-G0810011724587.html", "https://www.toysrus.com/vampire-the-masquerade-rivals-expandable-card-game-the-dragon-and-the-rogue-expansion-G0810011724587.html")</f>
        <v/>
      </c>
      <c r="B548" s="1">
        <f>HYPERLINK("https://www.toysrus.com/vampire-the-masquerade-rivals-expandable-card-game-the-dragon-and-the-rogue-expansion-G0810011724587.html", "https://www.toysrus.com/vampire-the-masquerade-rivals-expandable-card-game-the-dragon-and-the-rogue-expansion-G0810011724587.html")</f>
        <v/>
      </c>
      <c r="C548" t="inlineStr">
        <is>
          <t>Vampire: The Masquerade Rivals Expandable Card Game The Dragon &amp; The Rogue Expansion</t>
        </is>
      </c>
      <c r="D548" t="inlineStr">
        <is>
          <t>Fapeto more than a simple name The Bloodsuckers |Vampire Rivals Adversaries| Card Game ONLY EXPANSIONS (Shadows &amp; Shrouds, The Heart of Europe, The Dragon &amp; The Rogue) Bundle with Drawstring Bag</t>
        </is>
      </c>
      <c r="E548" s="1">
        <f>HYPERLINK("https://www.amazon.com/Fapeto-more-than-simple-name/dp/B0BVN1133P/ref=sr_1_9?keywords=Vampire%3A+The+Masquerade+Rivals+Expandable+Card+Game+The+Dragon&amp;qid=1695588207&amp;sr=8-9", "https://www.amazon.com/Fapeto-more-than-simple-name/dp/B0BVN1133P/ref=sr_1_9?keywords=Vampire%3A+The+Masquerade+Rivals+Expandable+Card+Game+The+Dragon&amp;qid=1695588207&amp;sr=8-9")</f>
        <v/>
      </c>
      <c r="F548" t="inlineStr">
        <is>
          <t>B0BVN1133P</t>
        </is>
      </c>
      <c r="G548">
        <f>_xlfn.IMAGE("https://images.toysrus.com/1285980/810011724587_1.jpg")</f>
        <v/>
      </c>
      <c r="H548">
        <f>_xlfn.IMAGE("https://m.media-amazon.com/images/I/91mdAlIV3DL._AC_UL320_.jpg")</f>
        <v/>
      </c>
      <c r="K548" t="inlineStr">
        <is>
          <t>29.99</t>
        </is>
      </c>
      <c r="L548" t="n">
        <v>99.98999999999999</v>
      </c>
      <c r="M548" s="2" t="inlineStr">
        <is>
          <t>233.41%</t>
        </is>
      </c>
      <c r="N548" t="n">
        <v>5</v>
      </c>
      <c r="O548" t="n">
        <v>1</v>
      </c>
      <c r="Q548" t="inlineStr">
        <is>
          <t>InStock</t>
        </is>
      </c>
      <c r="R548" t="inlineStr">
        <is>
          <t>undefined</t>
        </is>
      </c>
      <c r="S548" t="inlineStr">
        <is>
          <t>G0810011724587</t>
        </is>
      </c>
    </row>
    <row r="549" ht="75" customHeight="1">
      <c r="A549" s="1">
        <f>HYPERLINK("https://www.toysrus.com/vampire-the-masquerade-rivals-expandable-card-game-the-dragon-and-the-rogue-expansion-G0810011724587.html", "https://www.toysrus.com/vampire-the-masquerade-rivals-expandable-card-game-the-dragon-and-the-rogue-expansion-G0810011724587.html")</f>
        <v/>
      </c>
      <c r="B549" s="1">
        <f>HYPERLINK("https://www.toysrus.com/vampire-the-masquerade-rivals-expandable-card-game-the-dragon-and-the-rogue-expansion-G0810011724587.html", "https://www.toysrus.com/vampire-the-masquerade-rivals-expandable-card-game-the-dragon-and-the-rogue-expansion-G0810011724587.html")</f>
        <v/>
      </c>
      <c r="C549" t="inlineStr">
        <is>
          <t>Vampire: The Masquerade Rivals Expandable Card Game The Dragon &amp; The Rogue Expansion</t>
        </is>
      </c>
      <c r="D549" t="inlineStr">
        <is>
          <t>Vampire: The Masquerade Rivals Expandable Card Game The Hunters &amp; The Hunted: Core Set - Everything Needed to Play, Card Game Based On The RPG, Ages 14+, 2-4 Players</t>
        </is>
      </c>
      <c r="E549" s="1">
        <f>HYPERLINK("https://www.amazon.com/Vampire-Masquerade-Expandable-Hunters-Everything/dp/B0C9RV4RLM/ref=sr_1_3?keywords=Vampire%3A+The+Masquerade+Rivals+Expandable+Card+Game+The+Dragon&amp;qid=1695588207&amp;sr=8-3", "https://www.amazon.com/Vampire-Masquerade-Expandable-Hunters-Everything/dp/B0C9RV4RLM/ref=sr_1_3?keywords=Vampire%3A+The+Masquerade+Rivals+Expandable+Card+Game+The+Dragon&amp;qid=1695588207&amp;sr=8-3")</f>
        <v/>
      </c>
      <c r="F549" t="inlineStr">
        <is>
          <t>B0C9RV4RLM</t>
        </is>
      </c>
      <c r="G549">
        <f>_xlfn.IMAGE("https://images.toysrus.com/1285980/810011724587_1.jpg")</f>
        <v/>
      </c>
      <c r="H549">
        <f>_xlfn.IMAGE("https://m.media-amazon.com/images/I/81wWsjDnLdL._AC_UL320_.jpg")</f>
        <v/>
      </c>
      <c r="K549" t="inlineStr">
        <is>
          <t>29.99</t>
        </is>
      </c>
      <c r="L549" t="n">
        <v>57.73</v>
      </c>
      <c r="M549" s="2" t="inlineStr">
        <is>
          <t>92.50%</t>
        </is>
      </c>
      <c r="N549" t="n">
        <v>5</v>
      </c>
      <c r="O549" t="n">
        <v>2</v>
      </c>
      <c r="Q549" t="inlineStr">
        <is>
          <t>InStock</t>
        </is>
      </c>
      <c r="R549" t="inlineStr">
        <is>
          <t>undefined</t>
        </is>
      </c>
      <c r="S549" t="inlineStr">
        <is>
          <t>G0810011724587</t>
        </is>
      </c>
    </row>
    <row r="550" ht="75" customHeight="1">
      <c r="A550" s="1">
        <f>HYPERLINK("https://www.toysrus.com/vampire-the-masquerade-rivals-expandable-card-game-the-heart-of-europe-G0810011723276.html", "https://www.toysrus.com/vampire-the-masquerade-rivals-expandable-card-game-the-heart-of-europe-G0810011723276.html")</f>
        <v/>
      </c>
      <c r="B550" s="1">
        <f>HYPERLINK("https://www.toysrus.com/vampire-the-masquerade-rivals-expandable-card-game-the-heart-of-europe-G0810011723276.html", "https://www.toysrus.com/vampire-the-masquerade-rivals-expandable-card-game-the-heart-of-europe-G0810011723276.html")</f>
        <v/>
      </c>
      <c r="C550" t="inlineStr">
        <is>
          <t>Vampire: The Masquerade Rivals Expandable Card Game The Heart of Europe</t>
        </is>
      </c>
      <c r="D550" t="inlineStr">
        <is>
          <t>Fapeto more than a simple name The Bloodsuckers |Vampire Rivals Adversaries| Card Game ONLY EXPANSIONS (Shadows &amp; Shrouds, The Heart of Europe, The Dragon &amp; The Rogue) Bundle with Drawstring Bag</t>
        </is>
      </c>
      <c r="E550" s="1">
        <f>HYPERLINK("https://www.amazon.com/Fapeto-more-than-simple-name/dp/B0BVN1133P/ref=sr_1_9?keywords=Vampire%3A+The+Masquerade+Rivals+Expandable+Card+Game+The+Heart+of+Europe&amp;qid=1695588457&amp;sr=8-9", "https://www.amazon.com/Fapeto-more-than-simple-name/dp/B0BVN1133P/ref=sr_1_9?keywords=Vampire%3A+The+Masquerade+Rivals+Expandable+Card+Game+The+Heart+of+Europe&amp;qid=1695588457&amp;sr=8-9")</f>
        <v/>
      </c>
      <c r="F550" t="inlineStr">
        <is>
          <t>B0BVN1133P</t>
        </is>
      </c>
      <c r="G550">
        <f>_xlfn.IMAGE("https://images.toysrus.com/1285980/810011723276_1.jpg")</f>
        <v/>
      </c>
      <c r="H550">
        <f>_xlfn.IMAGE("https://m.media-amazon.com/images/I/91mdAlIV3DL._AC_UL320_.jpg")</f>
        <v/>
      </c>
      <c r="K550" t="inlineStr">
        <is>
          <t>29.99</t>
        </is>
      </c>
      <c r="L550" t="n">
        <v>99.98999999999999</v>
      </c>
      <c r="M550" s="2" t="inlineStr">
        <is>
          <t>233.41%</t>
        </is>
      </c>
      <c r="N550" t="n">
        <v>5</v>
      </c>
      <c r="O550" t="n">
        <v>1</v>
      </c>
      <c r="Q550" t="inlineStr">
        <is>
          <t>InStock</t>
        </is>
      </c>
      <c r="R550" t="inlineStr">
        <is>
          <t>undefined</t>
        </is>
      </c>
      <c r="S550" t="inlineStr">
        <is>
          <t>G0810011723276</t>
        </is>
      </c>
    </row>
    <row r="551" ht="75" customHeight="1">
      <c r="A551" s="1">
        <f>HYPERLINK("https://www.toysrus.com/vampire-the-masquerade-rivals-expandable-card-game-the-heart-of-europe-G0810011723276.html", "https://www.toysrus.com/vampire-the-masquerade-rivals-expandable-card-game-the-heart-of-europe-G0810011723276.html")</f>
        <v/>
      </c>
      <c r="B551" s="1">
        <f>HYPERLINK("https://www.toysrus.com/vampire-the-masquerade-rivals-expandable-card-game-the-heart-of-europe-G0810011723276.html", "https://www.toysrus.com/vampire-the-masquerade-rivals-expandable-card-game-the-heart-of-europe-G0810011723276.html")</f>
        <v/>
      </c>
      <c r="C551" t="inlineStr">
        <is>
          <t>Vampire: The Masquerade Rivals Expandable Card Game The Heart of Europe</t>
        </is>
      </c>
      <c r="D551" t="inlineStr">
        <is>
          <t>Vampire: The Masquerade Rivals Expandable Card Game The Hunters &amp; The Hunted: Core Set - Everything Needed to Play, Card Game Based On The RPG, Ages 14+, 2-4 Players</t>
        </is>
      </c>
      <c r="E551" s="1">
        <f>HYPERLINK("https://www.amazon.com/Vampire-Masquerade-Expandable-Hunters-Everything/dp/B0C9RV4RLM/ref=sr_1_6?keywords=Vampire%3A+The+Masquerade+Rivals+Expandable+Card+Game+The+Heart+of+Europe&amp;qid=1695588457&amp;sr=8-6", "https://www.amazon.com/Vampire-Masquerade-Expandable-Hunters-Everything/dp/B0C9RV4RLM/ref=sr_1_6?keywords=Vampire%3A+The+Masquerade+Rivals+Expandable+Card+Game+The+Heart+of+Europe&amp;qid=1695588457&amp;sr=8-6")</f>
        <v/>
      </c>
      <c r="F551" t="inlineStr">
        <is>
          <t>B0C9RV4RLM</t>
        </is>
      </c>
      <c r="G551">
        <f>_xlfn.IMAGE("https://images.toysrus.com/1285980/810011723276_1.jpg")</f>
        <v/>
      </c>
      <c r="H551">
        <f>_xlfn.IMAGE("https://m.media-amazon.com/images/I/81wWsjDnLdL._AC_UL320_.jpg")</f>
        <v/>
      </c>
      <c r="K551" t="inlineStr">
        <is>
          <t>29.99</t>
        </is>
      </c>
      <c r="L551" t="n">
        <v>56.9</v>
      </c>
      <c r="M551" s="2" t="inlineStr">
        <is>
          <t>89.73%</t>
        </is>
      </c>
      <c r="N551" t="n">
        <v>5</v>
      </c>
      <c r="O551" t="n">
        <v>2</v>
      </c>
      <c r="Q551" t="inlineStr">
        <is>
          <t>InStock</t>
        </is>
      </c>
      <c r="R551" t="inlineStr">
        <is>
          <t>undefined</t>
        </is>
      </c>
      <c r="S551" t="inlineStr">
        <is>
          <t>G0810011723276</t>
        </is>
      </c>
    </row>
    <row r="552" ht="75" customHeight="1">
      <c r="A552" s="1">
        <f>HYPERLINK("https://www.toysrus.com/vampire-the-masquerade-rivals-shadows-and-shrouds-expandable-card-game-G0810011722392.html", "https://www.toysrus.com/vampire-the-masquerade-rivals-shadows-and-shrouds-expandable-card-game-G0810011722392.html")</f>
        <v/>
      </c>
      <c r="B552" s="1">
        <f>HYPERLINK("https://www.toysrus.com/vampire-the-masquerade-rivals-shadows-and-shrouds-expandable-card-game-G0810011722392.html", "https://www.toysrus.com/vampire-the-masquerade-rivals-shadows-and-shrouds-expandable-card-game-G0810011722392.html")</f>
        <v/>
      </c>
      <c r="C552" t="inlineStr">
        <is>
          <t>Vampire: The Masquerade Rivals: Shadows and Shrouds Expandable Card Game</t>
        </is>
      </c>
      <c r="D552" t="inlineStr">
        <is>
          <t>Vampire: The Masquerade Rivals Expandable Card Game The Hunters &amp; The Hunted: Core Set - Everything Needed to Play, Card Game Based On The RPG, Ages 14+, 2-4 Players</t>
        </is>
      </c>
      <c r="E552" s="1">
        <f>HYPERLINK("https://www.amazon.com/Vampire-Masquerade-Expandable-Hunters-Everything/dp/B0C9RV4RLM/ref=sr_1_3?keywords=Vampire%3A+The+Masquerade+Rivals%3A+Shadows+and+Shrouds+Expandable+Card+Game&amp;qid=1695588382&amp;sr=8-3", "https://www.amazon.com/Vampire-Masquerade-Expandable-Hunters-Everything/dp/B0C9RV4RLM/ref=sr_1_3?keywords=Vampire%3A+The+Masquerade+Rivals%3A+Shadows+and+Shrouds+Expandable+Card+Game&amp;qid=1695588382&amp;sr=8-3")</f>
        <v/>
      </c>
      <c r="F552" t="inlineStr">
        <is>
          <t>B0C9RV4RLM</t>
        </is>
      </c>
      <c r="G552">
        <f>_xlfn.IMAGE("https://images.toysrus.com/1285/810011722392_1.jpg")</f>
        <v/>
      </c>
      <c r="H552">
        <f>_xlfn.IMAGE("https://m.media-amazon.com/images/I/81wWsjDnLdL._AC_UL320_.jpg")</f>
        <v/>
      </c>
      <c r="K552" t="inlineStr">
        <is>
          <t>29.99</t>
        </is>
      </c>
      <c r="L552" t="n">
        <v>57.73</v>
      </c>
      <c r="M552" s="2" t="inlineStr">
        <is>
          <t>92.50%</t>
        </is>
      </c>
      <c r="N552" t="n">
        <v>5</v>
      </c>
      <c r="O552" t="n">
        <v>2</v>
      </c>
      <c r="Q552" t="inlineStr">
        <is>
          <t>InStock</t>
        </is>
      </c>
      <c r="R552" t="inlineStr">
        <is>
          <t>undefined</t>
        </is>
      </c>
      <c r="S552" t="inlineStr">
        <is>
          <t>G0810011722392</t>
        </is>
      </c>
    </row>
    <row r="553" ht="75" customHeight="1">
      <c r="A553" s="1">
        <f>HYPERLINK("https://www.toysrus.com/white-unicorn-stick-horse-with-sound-G888865000355.html", "https://www.toysrus.com/white-unicorn-stick-horse-with-sound-G888865000355.html")</f>
        <v/>
      </c>
      <c r="B553" s="1">
        <f>HYPERLINK("https://www.toysrus.com/white-unicorn-stick-horse-with-sound-G888865000355.html", "https://www.toysrus.com/white-unicorn-stick-horse-with-sound-G888865000355.html")</f>
        <v/>
      </c>
      <c r="C553" t="inlineStr">
        <is>
          <t>White Unicorn Stick Horse with sound</t>
        </is>
      </c>
      <c r="D553" t="inlineStr">
        <is>
          <t>HollyHOME Outdoor Stick Horse with Wood Wheels Real Pony Neighing and Galloping Sounds Plush Toy White 36 Inches(AA Batteries Required)</t>
        </is>
      </c>
      <c r="E553" s="1">
        <f>HYPERLINK("https://www.amazon.com/HollyHOME-Neighing-Galloping-Batteries-Required/dp/B09S8RGJDB/ref=sr_1_8?keywords=White+Unicorn+Stick+Horse+with+sound&amp;qid=1695588881&amp;sr=8-8", "https://www.amazon.com/HollyHOME-Neighing-Galloping-Batteries-Required/dp/B09S8RGJDB/ref=sr_1_8?keywords=White+Unicorn+Stick+Horse+with+sound&amp;qid=1695588881&amp;sr=8-8")</f>
        <v/>
      </c>
      <c r="F553" t="inlineStr">
        <is>
          <t>B09S8RGJDB</t>
        </is>
      </c>
      <c r="G553">
        <f>_xlfn.IMAGE("https://images.toysrus.com/1128598/888865000355_1.jpg")</f>
        <v/>
      </c>
      <c r="H553">
        <f>_xlfn.IMAGE("https://m.media-amazon.com/images/I/61W2FIFhuNL._AC_UL320_.jpg")</f>
        <v/>
      </c>
      <c r="K553" t="inlineStr">
        <is>
          <t>14.99</t>
        </is>
      </c>
      <c r="L553" t="n">
        <v>36.99</v>
      </c>
      <c r="M553" s="2" t="inlineStr">
        <is>
          <t>146.76%</t>
        </is>
      </c>
      <c r="N553" t="n">
        <v>4.3</v>
      </c>
      <c r="O553" t="n">
        <v>1278</v>
      </c>
      <c r="Q553" t="inlineStr">
        <is>
          <t>InStock</t>
        </is>
      </c>
      <c r="R553" t="inlineStr">
        <is>
          <t>undefined</t>
        </is>
      </c>
      <c r="S553" t="inlineStr">
        <is>
          <t>G888865000355</t>
        </is>
      </c>
    </row>
    <row r="554" ht="75" customHeight="1">
      <c r="A554" s="1">
        <f>HYPERLINK("https://www.toysrus.com/white-unicorn-stick-horse-with-sound-G888865000355.html", "https://www.toysrus.com/white-unicorn-stick-horse-with-sound-G888865000355.html")</f>
        <v/>
      </c>
      <c r="B554" s="1">
        <f>HYPERLINK("https://www.toysrus.com/white-unicorn-stick-horse-with-sound-G888865000355.html", "https://www.toysrus.com/white-unicorn-stick-horse-with-sound-G888865000355.html")</f>
        <v/>
      </c>
      <c r="C554" t="inlineStr">
        <is>
          <t>White Unicorn Stick Horse with sound</t>
        </is>
      </c>
      <c r="D554" t="inlineStr">
        <is>
          <t>HollyHOME Plush Unicorn Stick Horse with Wood Wheels Real Pony Neighing and Galloping Sounds Plush Toy White 37 Inches(AA Batteries Required)</t>
        </is>
      </c>
      <c r="E554" s="1">
        <f>HYPERLINK("https://www.amazon.com/HollyHOME-Neighing-Galloping-Batteries-Required/dp/B07PLTD77J/ref=sr_1_3?keywords=White+Unicorn+Stick+Horse+with+sound&amp;qid=1695588881&amp;sr=8-3", "https://www.amazon.com/HollyHOME-Neighing-Galloping-Batteries-Required/dp/B07PLTD77J/ref=sr_1_3?keywords=White+Unicorn+Stick+Horse+with+sound&amp;qid=1695588881&amp;sr=8-3")</f>
        <v/>
      </c>
      <c r="F554" t="inlineStr">
        <is>
          <t>B07PLTD77J</t>
        </is>
      </c>
      <c r="G554">
        <f>_xlfn.IMAGE("https://images.toysrus.com/1128598/888865000355_1.jpg")</f>
        <v/>
      </c>
      <c r="H554">
        <f>_xlfn.IMAGE("https://m.media-amazon.com/images/I/51zVd-CsNVL._AC_UL320_.jpg")</f>
        <v/>
      </c>
      <c r="K554" t="inlineStr">
        <is>
          <t>14.99</t>
        </is>
      </c>
      <c r="L554" t="n">
        <v>35.99</v>
      </c>
      <c r="M554" s="2" t="inlineStr">
        <is>
          <t>140.09%</t>
        </is>
      </c>
      <c r="N554" t="n">
        <v>4.2</v>
      </c>
      <c r="O554" t="n">
        <v>935</v>
      </c>
      <c r="Q554" t="inlineStr">
        <is>
          <t>InStock</t>
        </is>
      </c>
      <c r="R554" t="inlineStr">
        <is>
          <t>undefined</t>
        </is>
      </c>
      <c r="S554" t="inlineStr">
        <is>
          <t>G888865000355</t>
        </is>
      </c>
    </row>
    <row r="555" ht="75" customHeight="1">
      <c r="A555" s="1">
        <f>HYPERLINK("https://www.toysrus.com/wizarding-world-8in-dolls-harry-12878812.html", "https://www.toysrus.com/wizarding-world-8in-dolls-harry-12878812.html")</f>
        <v/>
      </c>
      <c r="B555" s="1">
        <f>HYPERLINK("https://www.toysrus.com/wizarding-world-8in-dolls-harry-12878812.html", "https://www.toysrus.com/wizarding-world-8in-dolls-harry-12878812.html")</f>
        <v/>
      </c>
      <c r="C555" t="inlineStr">
        <is>
          <t>Wizarding World 8in Dolls Harry</t>
        </is>
      </c>
      <c r="D555" t="inlineStr">
        <is>
          <t>Wizarding World Harry Potter, 8-inch Harry Potter &amp; Hermione Granger Dolls &amp; Accessories Gift Set, Over 20 Pieces, Kids Toys for Ages 6 and up</t>
        </is>
      </c>
      <c r="E555" s="1">
        <f>HYPERLINK("https://www.amazon.com/Wizarding-World-8in-HyHn-Tzrd/dp/B0BRQXSMSM/ref=sr_1_3?keywords=Wizarding+World+8in+Dolls+Harry&amp;qid=1695588597&amp;sr=8-3", "https://www.amazon.com/Wizarding-World-8in-HyHn-Tzrd/dp/B0BRQXSMSM/ref=sr_1_3?keywords=Wizarding+World+8in+Dolls+Harry&amp;qid=1695588597&amp;sr=8-3")</f>
        <v/>
      </c>
      <c r="F555" t="inlineStr">
        <is>
          <t>B0BRQXSMSM</t>
        </is>
      </c>
      <c r="G555">
        <f>_xlfn.IMAGE("http://slimages.macys.com/is/image/MCY/products/0/optimized/20232789_fpx.tif")</f>
        <v/>
      </c>
      <c r="H555">
        <f>_xlfn.IMAGE("https://m.media-amazon.com/images/I/9139EKGIawL._AC_UL320_.jpg")</f>
        <v/>
      </c>
      <c r="K555" t="inlineStr">
        <is>
          <t>11.99</t>
        </is>
      </c>
      <c r="L555" t="n">
        <v>39.99</v>
      </c>
      <c r="M555" s="2" t="inlineStr">
        <is>
          <t>233.53%</t>
        </is>
      </c>
      <c r="N555" t="n">
        <v>4.8</v>
      </c>
      <c r="O555" t="n">
        <v>26</v>
      </c>
      <c r="Q555" t="inlineStr">
        <is>
          <t>InStock</t>
        </is>
      </c>
      <c r="R555" t="inlineStr">
        <is>
          <t>undefined</t>
        </is>
      </c>
      <c r="S555" t="inlineStr">
        <is>
          <t>12878812</t>
        </is>
      </c>
    </row>
    <row r="556" ht="75" customHeight="1">
      <c r="A556" s="1">
        <f>HYPERLINK("https://www.toysrus.com/wizarding-world-8in-dolls-hermione-12878811.html", "https://www.toysrus.com/wizarding-world-8in-dolls-hermione-12878811.html")</f>
        <v/>
      </c>
      <c r="B556" s="1">
        <f>HYPERLINK("https://www.toysrus.com/wizarding-world-8in-dolls-hermione-12878811.html", "https://www.toysrus.com/wizarding-world-8in-dolls-hermione-12878811.html")</f>
        <v/>
      </c>
      <c r="C556" t="inlineStr">
        <is>
          <t>Wizarding World 8in Dolls Hermione</t>
        </is>
      </c>
      <c r="D556" t="inlineStr">
        <is>
          <t>Wizarding World Harry Potter, 8-inch Harry Potter &amp; Hermione Granger Dolls &amp; Accessories Gift Set, Over 20 Pieces, Kids Toys for Ages 6 and up</t>
        </is>
      </c>
      <c r="E556" s="1">
        <f>HYPERLINK("https://www.amazon.com/Wizarding-World-8in-HyHn-Tzrd/dp/B0BRQXSMSM/ref=sr_1_3?keywords=Wizarding+World+8in+Dolls+Hermione&amp;qid=1695588587&amp;sr=8-3", "https://www.amazon.com/Wizarding-World-8in-HyHn-Tzrd/dp/B0BRQXSMSM/ref=sr_1_3?keywords=Wizarding+World+8in+Dolls+Hermione&amp;qid=1695588587&amp;sr=8-3")</f>
        <v/>
      </c>
      <c r="F556" t="inlineStr">
        <is>
          <t>B0BRQXSMSM</t>
        </is>
      </c>
      <c r="G556">
        <f>_xlfn.IMAGE("http://slimages.macys.com/is/image/MCY/products/0/optimized/20232780_fpx.tif")</f>
        <v/>
      </c>
      <c r="H556">
        <f>_xlfn.IMAGE("https://m.media-amazon.com/images/I/9139EKGIawL._AC_UL320_.jpg")</f>
        <v/>
      </c>
      <c r="K556" t="inlineStr">
        <is>
          <t>11.99</t>
        </is>
      </c>
      <c r="L556" t="n">
        <v>39.99</v>
      </c>
      <c r="M556" s="2" t="inlineStr">
        <is>
          <t>233.53%</t>
        </is>
      </c>
      <c r="N556" t="n">
        <v>4.8</v>
      </c>
      <c r="O556" t="n">
        <v>26</v>
      </c>
      <c r="Q556" t="inlineStr">
        <is>
          <t>InStock</t>
        </is>
      </c>
      <c r="R556" t="inlineStr">
        <is>
          <t>undefined</t>
        </is>
      </c>
      <c r="S556" t="inlineStr">
        <is>
          <t>12878811</t>
        </is>
      </c>
    </row>
    <row r="557" ht="75" customHeight="1">
      <c r="A557" s="1">
        <f>HYPERLINK("https://www.toysrus.com/wizarding-world-8in-dolls-hermione-12878811.html", "https://www.toysrus.com/wizarding-world-8in-dolls-hermione-12878811.html")</f>
        <v/>
      </c>
      <c r="B557" s="1">
        <f>HYPERLINK("https://www.toysrus.com/wizarding-world-8in-dolls-hermione-12878811.html", "https://www.toysrus.com/wizarding-world-8in-dolls-hermione-12878811.html")</f>
        <v/>
      </c>
      <c r="C557" t="inlineStr">
        <is>
          <t>Wizarding World 8in Dolls Hermione</t>
        </is>
      </c>
      <c r="D557" t="inlineStr">
        <is>
          <t>Wizarding World Harry Potter, Hermione Granger &amp; Ginny Weasley Deluxe 8-inch Dolls &amp; Accessories Gift Set, Over 20 Pieces, Kids Toys for Ages 6 and Up</t>
        </is>
      </c>
      <c r="E557" s="1">
        <f>HYPERLINK("https://www.amazon.com/Wizarding-World-Hermione-Ginndy-Deluxe/dp/B09NLSB2T9/ref=sr_1_4?keywords=Wizarding+World+8in+Dolls+Hermione&amp;qid=1695588587&amp;sr=8-4", "https://www.amazon.com/Wizarding-World-Hermione-Ginndy-Deluxe/dp/B09NLSB2T9/ref=sr_1_4?keywords=Wizarding+World+8in+Dolls+Hermione&amp;qid=1695588587&amp;sr=8-4")</f>
        <v/>
      </c>
      <c r="F557" t="inlineStr">
        <is>
          <t>B09NLSB2T9</t>
        </is>
      </c>
      <c r="G557">
        <f>_xlfn.IMAGE("http://slimages.macys.com/is/image/MCY/products/0/optimized/20232780_fpx.tif")</f>
        <v/>
      </c>
      <c r="H557">
        <f>_xlfn.IMAGE("https://m.media-amazon.com/images/I/91GGGNmdzRL._AC_UL320_.jpg")</f>
        <v/>
      </c>
      <c r="K557" t="inlineStr">
        <is>
          <t>11.99</t>
        </is>
      </c>
      <c r="L557" t="n">
        <v>39.99</v>
      </c>
      <c r="M557" s="2" t="inlineStr">
        <is>
          <t>233.53%</t>
        </is>
      </c>
      <c r="N557" t="n">
        <v>4.8</v>
      </c>
      <c r="O557" t="n">
        <v>1370</v>
      </c>
      <c r="Q557" t="inlineStr">
        <is>
          <t>InStock</t>
        </is>
      </c>
      <c r="R557" t="inlineStr">
        <is>
          <t>undefined</t>
        </is>
      </c>
      <c r="S557" t="inlineStr">
        <is>
          <t>12878811</t>
        </is>
      </c>
    </row>
    <row r="558" ht="75" customHeight="1">
      <c r="A558" s="1">
        <f>HYPERLINK("https://www.toysrus.com/wizarding-world-harry-potter-13-inch-patronus-spell-wand-with-stag-figure-lights-and-sounds-kids-toys-for-ages-6-and-up-13935938.html", "https://www.toysrus.com/wizarding-world-harry-potter-13-inch-patronus-spell-wand-with-stag-figure-lights-and-sounds-kids-toys-for-ages-6-and-up-13935938.html")</f>
        <v/>
      </c>
      <c r="B558" s="1">
        <f>HYPERLINK("https://www.toysrus.com/wizarding-world-harry-potter-13-inch-patronus-spell-wand-with-stag-figure-lights-and-sounds-kids-toys-for-ages-6-and-up-13935938.html", "https://www.toysrus.com/wizarding-world-harry-potter-13-inch-patronus-spell-wand-with-stag-figure-lights-and-sounds-kids-toys-for-ages-6-and-up-13935938.html")</f>
        <v/>
      </c>
      <c r="C558" t="inlineStr">
        <is>
          <t>Wizarding World Harry Potter, 13-inch Patronus Spell Wand with Stag Figure, Lights and Sounds, Kids Toys for Ages 6 and up</t>
        </is>
      </c>
      <c r="D558" t="inlineStr">
        <is>
          <t>Wizarding World Harry Potter, 12-inch Spellbinding Ron Weasley Magic Wand with Collectible Spell Card, Kids Toys for Ages 6 and up</t>
        </is>
      </c>
      <c r="E558" s="1" t="n"/>
      <c r="F558" t="inlineStr">
        <is>
          <t>B08T22MS57</t>
        </is>
      </c>
      <c r="G558">
        <f>_xlfn.IMAGE("http://slimages.macys.com/is/image/MCY/products/0/optimized/21698834_fpx.tif")</f>
        <v/>
      </c>
      <c r="H558">
        <f>_xlfn.IMAGE("https://m.media-amazon.com/images/I/71PH5Vnr0nL._AC_UL320_.jpg")</f>
        <v/>
      </c>
      <c r="K558" t="inlineStr">
        <is>
          <t>9.53</t>
        </is>
      </c>
      <c r="L558" t="n">
        <v>17.37</v>
      </c>
      <c r="M558" s="2" t="inlineStr">
        <is>
          <t>82.27%</t>
        </is>
      </c>
      <c r="N558" t="n">
        <v>4.7</v>
      </c>
      <c r="O558" t="n">
        <v>9724</v>
      </c>
      <c r="Q558" t="inlineStr">
        <is>
          <t>InStock</t>
        </is>
      </c>
      <c r="R558" t="inlineStr">
        <is>
          <t>undefined</t>
        </is>
      </c>
      <c r="S558" t="inlineStr">
        <is>
          <t>13935938</t>
        </is>
      </c>
    </row>
    <row r="559" ht="75" customHeight="1">
      <c r="A559" s="1">
        <f>HYPERLINK("https://www.toysrus.com/wizarding-world-harry-potter-13-inch-patronus-spell-wand-with-stag-figure-lights-and-sounds-kids-toys-for-ages-6-and-up-13935938.html", "https://www.toysrus.com/wizarding-world-harry-potter-13-inch-patronus-spell-wand-with-stag-figure-lights-and-sounds-kids-toys-for-ages-6-and-up-13935938.html")</f>
        <v/>
      </c>
      <c r="B559" s="1">
        <f>HYPERLINK("https://www.toysrus.com/wizarding-world-harry-potter-13-inch-patronus-spell-wand-with-stag-figure-lights-and-sounds-kids-toys-for-ages-6-and-up-13935938.html", "https://www.toysrus.com/wizarding-world-harry-potter-13-inch-patronus-spell-wand-with-stag-figure-lights-and-sounds-kids-toys-for-ages-6-and-up-13935938.html")</f>
        <v/>
      </c>
      <c r="C559" t="inlineStr">
        <is>
          <t>Wizarding World Harry Potter, 13-inch Patronus Spell Wand with Stag Figure, Lights and Sounds, Kids Toys for Ages 6 and up</t>
        </is>
      </c>
      <c r="D559" t="inlineStr">
        <is>
          <t>Wizarding World Harry Potter, 13-inch Hermione Granger Patronus Spell Wand with Otter Figure, Lights and Sounds, Kids Toys for Ages 6 and up</t>
        </is>
      </c>
      <c r="E559" s="1">
        <f>HYPERLINK("https://www.amazon.com/Wizarding-World-Hermione-Patronus-Multicolor/dp/B09BGJK5B9/ref=sr_1_1?keywords=Wizarding+World+Harry+Potter%2C+13-inch+Patronus+Spell+Wand+with+Stag+Figure%2C+Lights+and+Sounds%2C+Kids+Toys+for+Ages+6+and+up&amp;qid=1695588587&amp;sr=8-1", "https://www.amazon.com/Wizarding-World-Hermione-Patronus-Multicolor/dp/B09BGJK5B9/ref=sr_1_1?keywords=Wizarding+World+Harry+Potter%2C+13-inch+Patronus+Spell+Wand+with+Stag+Figure%2C+Lights+and+Sounds%2C+Kids+Toys+for+Ages+6+and+up&amp;qid=1695588587&amp;sr=8-1")</f>
        <v/>
      </c>
      <c r="F559" t="inlineStr">
        <is>
          <t>B09BGJK5B9</t>
        </is>
      </c>
      <c r="G559">
        <f>_xlfn.IMAGE("http://slimages.macys.com/is/image/MCY/products/0/optimized/21698834_fpx.tif")</f>
        <v/>
      </c>
      <c r="H559">
        <f>_xlfn.IMAGE("https://m.media-amazon.com/images/I/813qhRFwBaL._AC_UL320_.jpg")</f>
        <v/>
      </c>
      <c r="K559" t="inlineStr">
        <is>
          <t>9.53</t>
        </is>
      </c>
      <c r="L559" t="n">
        <v>16.52</v>
      </c>
      <c r="M559" s="2" t="inlineStr">
        <is>
          <t>73.35%</t>
        </is>
      </c>
      <c r="N559" t="n">
        <v>4.3</v>
      </c>
      <c r="O559" t="n">
        <v>936</v>
      </c>
      <c r="Q559" t="inlineStr">
        <is>
          <t>InStock</t>
        </is>
      </c>
      <c r="R559" t="inlineStr">
        <is>
          <t>undefined</t>
        </is>
      </c>
      <c r="S559" t="inlineStr">
        <is>
          <t>13935938</t>
        </is>
      </c>
    </row>
    <row r="560" ht="75" customHeight="1">
      <c r="A560" s="1">
        <f>HYPERLINK("https://www.toysrus.com/wizarding-world-harry-potter-8-inch-hermione-granger-light-up-patronus-doll-with-7-doll-accessories-and-hogwarts-robe-kids-toys-for-ages-5-and-up-13935939.html", "https://www.toysrus.com/wizarding-world-harry-potter-8-inch-hermione-granger-light-up-patronus-doll-with-7-doll-accessories-and-hogwarts-robe-kids-toys-for-ages-5-and-up-13935939.html")</f>
        <v/>
      </c>
      <c r="B560" s="1">
        <f>HYPERLINK("https://www.toysrus.com/wizarding-world-harry-potter-8-inch-hermione-granger-light-up-patronus-doll-with-7-doll-accessories-and-hogwarts-robe-kids-toys-for-ages-5-and-up-13935939.html", "https://www.toysrus.com/wizarding-world-harry-potter-8-inch-hermione-granger-light-up-patronus-doll-with-7-doll-accessories-and-hogwarts-robe-kids-toys-for-ages-5-and-up-13935939.html")</f>
        <v/>
      </c>
      <c r="C560" t="inlineStr">
        <is>
          <t>Wizarding World Harry Potter, 8-inch Hermione Granger Light-up Patronus Doll with 7 Doll Accessories and Hogwarts Robe, Kids Toys for Ages 5 and up</t>
        </is>
      </c>
      <c r="D560" t="inlineStr">
        <is>
          <t>Wizarding World Harry Potter, 8-inch Harry Potter &amp; Hermione Granger Dolls &amp; Accessories Gift Set, Over 20 Pieces, Kids Toys for Ages 6 and up</t>
        </is>
      </c>
      <c r="E560" s="1" t="n"/>
      <c r="F560" t="inlineStr">
        <is>
          <t>B0BRQXSMSM</t>
        </is>
      </c>
      <c r="G560">
        <f>_xlfn.IMAGE("http://slimages.macys.com/is/image/MCY/products/0/optimized/21698842_fpx.tif")</f>
        <v/>
      </c>
      <c r="H560">
        <f>_xlfn.IMAGE("https://m.media-amazon.com/images/I/9139EKGIawL._AC_UL320_.jpg")</f>
        <v/>
      </c>
      <c r="K560" t="inlineStr">
        <is>
          <t>11.96</t>
        </is>
      </c>
      <c r="L560" t="n">
        <v>39.99</v>
      </c>
      <c r="M560" s="2" t="inlineStr">
        <is>
          <t>234.36%</t>
        </is>
      </c>
      <c r="N560" t="n">
        <v>4.8</v>
      </c>
      <c r="O560" t="n">
        <v>26</v>
      </c>
      <c r="Q560" t="inlineStr">
        <is>
          <t>InStock</t>
        </is>
      </c>
      <c r="R560" t="inlineStr">
        <is>
          <t>undefined</t>
        </is>
      </c>
      <c r="S560" t="inlineStr">
        <is>
          <t>13935939</t>
        </is>
      </c>
    </row>
    <row r="561" ht="75" customHeight="1">
      <c r="A561" s="1">
        <f>HYPERLINK("https://www.toysrus.com/wizarding-world-harry-potter-8-inch-hermione-granger-light-up-patronus-doll-with-7-doll-accessories-and-hogwarts-robe-kids-toys-for-ages-5-and-up-13935939.html", "https://www.toysrus.com/wizarding-world-harry-potter-8-inch-hermione-granger-light-up-patronus-doll-with-7-doll-accessories-and-hogwarts-robe-kids-toys-for-ages-5-and-up-13935939.html")</f>
        <v/>
      </c>
      <c r="B561" s="1">
        <f>HYPERLINK("https://www.toysrus.com/wizarding-world-harry-potter-8-inch-hermione-granger-light-up-patronus-doll-with-7-doll-accessories-and-hogwarts-robe-kids-toys-for-ages-5-and-up-13935939.html", "https://www.toysrus.com/wizarding-world-harry-potter-8-inch-hermione-granger-light-up-patronus-doll-with-7-doll-accessories-and-hogwarts-robe-kids-toys-for-ages-5-and-up-13935939.html")</f>
        <v/>
      </c>
      <c r="C561" t="inlineStr">
        <is>
          <t>Wizarding World Harry Potter, 8-inch Hermione Granger Light-up Patronus Doll with 7 Doll Accessories and Hogwarts Robe, Kids Toys for Ages 5 and up</t>
        </is>
      </c>
      <c r="D561" t="inlineStr">
        <is>
          <t>Wizarding World Harry Potter, Hermione Granger &amp; Ginny Weasley Deluxe 8-inch Dolls &amp; Accessories Gift Set, Over 20 Pieces, Kids Toys for Ages 6 and Up</t>
        </is>
      </c>
      <c r="E561" s="1" t="n"/>
      <c r="F561" t="inlineStr">
        <is>
          <t>B09NLSB2T9</t>
        </is>
      </c>
      <c r="G561">
        <f>_xlfn.IMAGE("http://slimages.macys.com/is/image/MCY/products/0/optimized/21698842_fpx.tif")</f>
        <v/>
      </c>
      <c r="H561">
        <f>_xlfn.IMAGE("https://m.media-amazon.com/images/I/91GGGNmdzRL._AC_UL320_.jpg")</f>
        <v/>
      </c>
      <c r="K561" t="inlineStr">
        <is>
          <t>11.96</t>
        </is>
      </c>
      <c r="L561" t="n">
        <v>39.99</v>
      </c>
      <c r="M561" s="2" t="inlineStr">
        <is>
          <t>234.36%</t>
        </is>
      </c>
      <c r="N561" t="n">
        <v>4.8</v>
      </c>
      <c r="O561" t="n">
        <v>1370</v>
      </c>
      <c r="Q561" t="inlineStr">
        <is>
          <t>InStock</t>
        </is>
      </c>
      <c r="R561" t="inlineStr">
        <is>
          <t>undefined</t>
        </is>
      </c>
      <c r="S561" t="inlineStr">
        <is>
          <t>13935939</t>
        </is>
      </c>
    </row>
    <row r="562" ht="75" customHeight="1">
      <c r="A562" s="1">
        <f>HYPERLINK("https://www.toysrus.com/wizarding-world-harry-potter-games--14752654.html", "https://www.toysrus.com/wizarding-world-harry-potter-games--14752654.html")</f>
        <v/>
      </c>
      <c r="B562" s="1">
        <f>HYPERLINK("https://www.toysrus.com/wizarding-world-harry-potter-games--14752654.html", "https://www.toysrus.com/wizarding-world-harry-potter-games--14752654.html")</f>
        <v/>
      </c>
      <c r="C562" t="inlineStr">
        <is>
          <t>Wizarding World Harry Potter Games</t>
        </is>
      </c>
      <c r="D562" t="inlineStr">
        <is>
          <t>Hasbro Gaming Clue: Wizarding World Harry Potter Edition Mystery Board Game for 3-5 Players, Kids Ages 8 and Up (Amazon Exclusive)</t>
        </is>
      </c>
      <c r="E562" s="1">
        <f>HYPERLINK("https://www.amazon.com/Hasbro-Gaming-Clue-Wizarding-Exclusive/dp/B089GZQD9M/ref=sr_1_4?keywords=Wizarding+World+Harry+Potter+Games&amp;qid=1695588562&amp;sr=8-4", "https://www.amazon.com/Hasbro-Gaming-Clue-Wizarding-Exclusive/dp/B089GZQD9M/ref=sr_1_4?keywords=Wizarding+World+Harry+Potter+Games&amp;qid=1695588562&amp;sr=8-4")</f>
        <v/>
      </c>
      <c r="F562" t="inlineStr">
        <is>
          <t>B089GZQD9M</t>
        </is>
      </c>
      <c r="G562">
        <f>_xlfn.IMAGE("http://slimages.macys.com/is/image/MCY/products/0/optimized/22571644_fpx.tif")</f>
        <v/>
      </c>
      <c r="H562">
        <f>_xlfn.IMAGE("https://m.media-amazon.com/images/I/81LuyMDx3-L._AC_UL320_.jpg")</f>
        <v/>
      </c>
      <c r="K562" t="inlineStr">
        <is>
          <t>7.93</t>
        </is>
      </c>
      <c r="L562" t="n">
        <v>33.54</v>
      </c>
      <c r="M562" s="2" t="inlineStr">
        <is>
          <t>322.95%</t>
        </is>
      </c>
      <c r="N562" t="n">
        <v>4.8</v>
      </c>
      <c r="O562" t="n">
        <v>6565</v>
      </c>
      <c r="Q562" t="inlineStr">
        <is>
          <t>InStock</t>
        </is>
      </c>
      <c r="R562" t="inlineStr">
        <is>
          <t>undefined</t>
        </is>
      </c>
      <c r="S562" t="inlineStr">
        <is>
          <t>14752654</t>
        </is>
      </c>
    </row>
    <row r="563" ht="75" customHeight="1">
      <c r="A563" s="1">
        <f>HYPERLINK("https://www.toysrus.com/wizarding-world-harry-potter-games--14752654.html", "https://www.toysrus.com/wizarding-world-harry-potter-games--14752654.html")</f>
        <v/>
      </c>
      <c r="B563" s="1">
        <f>HYPERLINK("https://www.toysrus.com/wizarding-world-harry-potter-games--14752654.html", "https://www.toysrus.com/wizarding-world-harry-potter-games--14752654.html")</f>
        <v/>
      </c>
      <c r="C563" t="inlineStr">
        <is>
          <t>Wizarding World Harry Potter Games</t>
        </is>
      </c>
      <c r="D563" t="inlineStr">
        <is>
          <t>Scrabble World of Harry Potter Board Game | Official Scrabble Game Featuring Wizarding World Twist | Custom Harry Potter Game of Scrabble | Scrabble Tiles &amp; Scrabble Board | Scrabble Word Game</t>
        </is>
      </c>
      <c r="E563" s="1">
        <f>HYPERLINK("https://www.amazon.com/Scrabble-Potter-Official-Featuring-Wizarding/dp/B07Q1WMR4Z/ref=sr_1_7?keywords=Wizarding+World+Harry+Potter+Games&amp;qid=1695588562&amp;sr=8-7", "https://www.amazon.com/Scrabble-Potter-Official-Featuring-Wizarding/dp/B07Q1WMR4Z/ref=sr_1_7?keywords=Wizarding+World+Harry+Potter+Games&amp;qid=1695588562&amp;sr=8-7")</f>
        <v/>
      </c>
      <c r="F563" t="inlineStr">
        <is>
          <t>B07Q1WMR4Z</t>
        </is>
      </c>
      <c r="G563">
        <f>_xlfn.IMAGE("http://slimages.macys.com/is/image/MCY/products/0/optimized/22571644_fpx.tif")</f>
        <v/>
      </c>
      <c r="H563">
        <f>_xlfn.IMAGE("https://m.media-amazon.com/images/I/71M9jsgm9SL._AC_UL320_.jpg")</f>
        <v/>
      </c>
      <c r="K563" t="inlineStr">
        <is>
          <t>7.93</t>
        </is>
      </c>
      <c r="L563" t="n">
        <v>29.85</v>
      </c>
      <c r="M563" s="2" t="inlineStr">
        <is>
          <t>276.42%</t>
        </is>
      </c>
      <c r="N563" t="n">
        <v>4.8</v>
      </c>
      <c r="O563" t="n">
        <v>926</v>
      </c>
      <c r="Q563" t="inlineStr">
        <is>
          <t>InStock</t>
        </is>
      </c>
      <c r="R563" t="inlineStr">
        <is>
          <t>undefined</t>
        </is>
      </c>
      <c r="S563" t="inlineStr">
        <is>
          <t>14752654</t>
        </is>
      </c>
    </row>
    <row r="564" ht="75" customHeight="1">
      <c r="A564" s="1">
        <f>HYPERLINK("https://www.toysrus.com/wizarding-world-harry-potter-games--14752654.html", "https://www.toysrus.com/wizarding-world-harry-potter-games--14752654.html")</f>
        <v/>
      </c>
      <c r="B564" s="1">
        <f>HYPERLINK("https://www.toysrus.com/wizarding-world-harry-potter-games--14752654.html", "https://www.toysrus.com/wizarding-world-harry-potter-games--14752654.html")</f>
        <v/>
      </c>
      <c r="C564" t="inlineStr">
        <is>
          <t>Wizarding World Harry Potter Games</t>
        </is>
      </c>
      <c r="D564" t="inlineStr">
        <is>
          <t>Hasbro Trivial Pursuit: Wizarding World Harry Potter Edition Compact Trivia Game, Great Halloween Party Game, 2+ Players, 600 Trivia Questions, 8+ (Amazon Exclusive)</t>
        </is>
      </c>
      <c r="E564" s="1">
        <f>HYPERLINK("https://www.amazon.com/Hasbro-Gaming-Trivial-Pursuit-Wizarding/dp/B08D2GPBFP/ref=sr_1_1?keywords=Wizarding+World+Harry+Potter+Games&amp;qid=1695588562&amp;sr=8-1", "https://www.amazon.com/Hasbro-Gaming-Trivial-Pursuit-Wizarding/dp/B08D2GPBFP/ref=sr_1_1?keywords=Wizarding+World+Harry+Potter+Games&amp;qid=1695588562&amp;sr=8-1")</f>
        <v/>
      </c>
      <c r="F564" t="inlineStr">
        <is>
          <t>B08D2GPBFP</t>
        </is>
      </c>
      <c r="G564">
        <f>_xlfn.IMAGE("http://slimages.macys.com/is/image/MCY/products/0/optimized/22571644_fpx.tif")</f>
        <v/>
      </c>
      <c r="H564">
        <f>_xlfn.IMAGE("https://m.media-amazon.com/images/I/81fs2GbaZxL._AC_UL320_.jpg")</f>
        <v/>
      </c>
      <c r="K564" t="inlineStr">
        <is>
          <t>7.93</t>
        </is>
      </c>
      <c r="L564" t="n">
        <v>21.99</v>
      </c>
      <c r="M564" s="2" t="inlineStr">
        <is>
          <t>177.30%</t>
        </is>
      </c>
      <c r="N564" t="n">
        <v>4.6</v>
      </c>
      <c r="O564" t="n">
        <v>7156</v>
      </c>
      <c r="Q564" t="inlineStr">
        <is>
          <t>InStock</t>
        </is>
      </c>
      <c r="R564" t="inlineStr">
        <is>
          <t>undefined</t>
        </is>
      </c>
      <c r="S564" t="inlineStr">
        <is>
          <t>14752654</t>
        </is>
      </c>
    </row>
    <row r="565" ht="75" customHeight="1">
      <c r="A565" s="1">
        <f>HYPERLINK("https://www.toysrus.com/wizarding-world-harry-potter-games--14752654.html", "https://www.toysrus.com/wizarding-world-harry-potter-games--14752654.html")</f>
        <v/>
      </c>
      <c r="B565" s="1">
        <f>HYPERLINK("https://www.toysrus.com/wizarding-world-harry-potter-games--14752654.html", "https://www.toysrus.com/wizarding-world-harry-potter-games--14752654.html")</f>
        <v/>
      </c>
      <c r="C565" t="inlineStr">
        <is>
          <t>Wizarding World Harry Potter Games</t>
        </is>
      </c>
      <c r="D565" t="inlineStr">
        <is>
          <t>Wizarding World Harry Potter, Magical Mixtures Activity Set with Magnetic Putty and Harry Potter Wand, Kids Toys for Ages 6 and up</t>
        </is>
      </c>
      <c r="E565" s="1">
        <f>HYPERLINK("https://www.amazon.com/Wizarding-World-Mixtures-Activity-Magnetic/dp/B08T68P7Q4/ref=sr_1_9?keywords=Wizarding+World+Harry+Potter+Games&amp;qid=1695588562&amp;sr=8-9", "https://www.amazon.com/Wizarding-World-Mixtures-Activity-Magnetic/dp/B08T68P7Q4/ref=sr_1_9?keywords=Wizarding+World+Harry+Potter+Games&amp;qid=1695588562&amp;sr=8-9")</f>
        <v/>
      </c>
      <c r="F565" t="inlineStr">
        <is>
          <t>B08T68P7Q4</t>
        </is>
      </c>
      <c r="G565">
        <f>_xlfn.IMAGE("http://slimages.macys.com/is/image/MCY/products/0/optimized/22571644_fpx.tif")</f>
        <v/>
      </c>
      <c r="H565">
        <f>_xlfn.IMAGE("https://m.media-amazon.com/images/I/81hlAdc5GUL._AC_UL320_.jpg")</f>
        <v/>
      </c>
      <c r="K565" t="inlineStr">
        <is>
          <t>7.93</t>
        </is>
      </c>
      <c r="L565" t="n">
        <v>16.12</v>
      </c>
      <c r="M565" s="2" t="inlineStr">
        <is>
          <t>103.28%</t>
        </is>
      </c>
      <c r="N565" t="n">
        <v>4.3</v>
      </c>
      <c r="O565" t="n">
        <v>936</v>
      </c>
      <c r="Q565" t="inlineStr">
        <is>
          <t>InStock</t>
        </is>
      </c>
      <c r="R565" t="inlineStr">
        <is>
          <t>undefined</t>
        </is>
      </c>
      <c r="S565" t="inlineStr">
        <is>
          <t>14752654</t>
        </is>
      </c>
    </row>
    <row r="566" ht="75" customHeight="1">
      <c r="A566" s="1">
        <f>HYPERLINK("https://www.toysrus.com/wizarding-world-harry-potter-room-of-requirement-2-in-1-transforming-playset-with-2-exclusive-figures-and-3-accessories-kids-toys-for-ages-5-and-up-13935940.html", "https://www.toysrus.com/wizarding-world-harry-potter-room-of-requirement-2-in-1-transforming-playset-with-2-exclusive-figures-and-3-accessories-kids-toys-for-ages-5-and-up-13935940.html")</f>
        <v/>
      </c>
      <c r="B566" s="1">
        <f>HYPERLINK("https://www.toysrus.com/wizarding-world-harry-potter-room-of-requirement-2-in-1-transforming-playset-with-2-exclusive-figures-and-3-accessories-kids-toys-for-ages-5-and-up-13935940.html", "https://www.toysrus.com/wizarding-world-harry-potter-room-of-requirement-2-in-1-transforming-playset-with-2-exclusive-figures-and-3-accessories-kids-toys-for-ages-5-and-up-13935940.html")</f>
        <v/>
      </c>
      <c r="C566" t="inlineStr">
        <is>
          <t>Wizarding World Harry Potter, Room of Requirement 2-in-1 Transforming Playset with 2 Exclusive Figures and 3 Accessories, Kids Toys for Ages 5 and up</t>
        </is>
      </c>
      <c r="D566" t="inlineStr">
        <is>
          <t>Wizarding World Harry Potter, Magical Minis Hogwarts Castle with 12 Accessories, Lights, Sounds &amp; Exclusive Hermione Doll, Kids Toys for Ages 5 and up</t>
        </is>
      </c>
      <c r="E566" s="1" t="n"/>
      <c r="F566" t="inlineStr">
        <is>
          <t>B08SWKD5BL</t>
        </is>
      </c>
      <c r="G566">
        <f>_xlfn.IMAGE("http://slimages.macys.com/is/image/MCY/products/0/optimized/21698848_fpx.tif")</f>
        <v/>
      </c>
      <c r="H566">
        <f>_xlfn.IMAGE("https://m.media-amazon.com/images/I/81CiPaByXNL._AC_UL320_.jpg")</f>
        <v/>
      </c>
      <c r="K566" t="inlineStr">
        <is>
          <t>22.99</t>
        </is>
      </c>
      <c r="L566" t="n">
        <v>44.99</v>
      </c>
      <c r="M566" s="2" t="inlineStr">
        <is>
          <t>95.69%</t>
        </is>
      </c>
      <c r="N566" t="n">
        <v>4.6</v>
      </c>
      <c r="O566" t="n">
        <v>1384</v>
      </c>
      <c r="Q566" t="inlineStr">
        <is>
          <t>InStock</t>
        </is>
      </c>
      <c r="R566" t="inlineStr">
        <is>
          <t>undefined</t>
        </is>
      </c>
      <c r="S566" t="inlineStr">
        <is>
          <t>13935940</t>
        </is>
      </c>
    </row>
    <row r="567" ht="75" customHeight="1">
      <c r="A567" s="1">
        <f>HYPERLINK("https://www.toysrus.com/wizarding-world-magical-minis-harry-potter-and-ginny-weasley-patronus-friendship-set-with-2-toy-figures-and-2-creatures-kids-toys-for-ages-5-and-up-13935936.html", "https://www.toysrus.com/wizarding-world-magical-minis-harry-potter-and-ginny-weasley-patronus-friendship-set-with-2-toy-figures-and-2-creatures-kids-toys-for-ages-5-and-up-13935936.html")</f>
        <v/>
      </c>
      <c r="B567" s="1">
        <f>HYPERLINK("https://www.toysrus.com/wizarding-world-magical-minis-harry-potter-and-ginny-weasley-patronus-friendship-set-with-2-toy-figures-and-2-creatures-kids-toys-for-ages-5-and-up-13935936.html", "https://www.toysrus.com/wizarding-world-magical-minis-harry-potter-and-ginny-weasley-patronus-friendship-set-with-2-toy-figures-and-2-creatures-kids-toys-for-ages-5-and-up-13935936.html")</f>
        <v/>
      </c>
      <c r="C567" t="inlineStr">
        <is>
          <t>Wizarding World, Magical Minis Harry Potter and Ginny Weasley Patronus Friendship Set with 2 Toy Figures and 2 Creatures, Kids Toys for Ages 5 and up</t>
        </is>
      </c>
      <c r="D567" t="inlineStr">
        <is>
          <t>Wizarding World Harry Potter, Magical Minis Hagrid’s Hut Playset with 2 Figures and 9 Doll Accessories, Kids Toys for Ages 6 and up</t>
        </is>
      </c>
      <c r="E567" s="1" t="n"/>
      <c r="F567" t="inlineStr">
        <is>
          <t>B0BRQX1FDK</t>
        </is>
      </c>
      <c r="G567">
        <f>_xlfn.IMAGE("http://slimages.macys.com/is/image/MCY/products/0/optimized/21698826_fpx.tif")</f>
        <v/>
      </c>
      <c r="H567">
        <f>_xlfn.IMAGE("https://m.media-amazon.com/images/I/81+4j2GaeSL._AC_UL320_.jpg")</f>
        <v/>
      </c>
      <c r="K567" t="inlineStr">
        <is>
          <t>5.93</t>
        </is>
      </c>
      <c r="L567" t="n">
        <v>29.99</v>
      </c>
      <c r="M567" s="2" t="inlineStr">
        <is>
          <t>405.73%</t>
        </is>
      </c>
      <c r="N567" t="n">
        <v>4.7</v>
      </c>
      <c r="O567" t="n">
        <v>2955</v>
      </c>
      <c r="Q567" t="inlineStr">
        <is>
          <t>InStock</t>
        </is>
      </c>
      <c r="R567" t="inlineStr">
        <is>
          <t>undefined</t>
        </is>
      </c>
      <c r="S567" t="inlineStr">
        <is>
          <t>13935936</t>
        </is>
      </c>
    </row>
    <row r="568" ht="75" customHeight="1">
      <c r="A568" s="1">
        <f>HYPERLINK("https://www.toysrus.com/wizarding-world-magical-minis-harry-potter-and-ginny-weasley-patronus-friendship-set-with-2-toy-figures-and-2-creatures-kids-toys-for-ages-5-and-up-13935936.html", "https://www.toysrus.com/wizarding-world-magical-minis-harry-potter-and-ginny-weasley-patronus-friendship-set-with-2-toy-figures-and-2-creatures-kids-toys-for-ages-5-and-up-13935936.html")</f>
        <v/>
      </c>
      <c r="B568" s="1">
        <f>HYPERLINK("https://www.toysrus.com/wizarding-world-magical-minis-harry-potter-and-ginny-weasley-patronus-friendship-set-with-2-toy-figures-and-2-creatures-kids-toys-for-ages-5-and-up-13935936.html", "https://www.toysrus.com/wizarding-world-magical-minis-harry-potter-and-ginny-weasley-patronus-friendship-set-with-2-toy-figures-and-2-creatures-kids-toys-for-ages-5-and-up-13935936.html")</f>
        <v/>
      </c>
      <c r="C568" t="inlineStr">
        <is>
          <t>Wizarding World, Magical Minis Harry Potter and Ginny Weasley Patronus Friendship Set with 2 Toy Figures and 2 Creatures, Kids Toys for Ages 5 and up</t>
        </is>
      </c>
      <c r="D568" t="inlineStr">
        <is>
          <t>Wizarding World Harry Potter, Magical Minis Diagon Alley 3-in-1 Playset with Lights &amp; Sounds, 2 Figures, 21 Accessories, Kids Toys for Ages 6 and up</t>
        </is>
      </c>
      <c r="E568" s="1" t="n"/>
      <c r="F568" t="inlineStr">
        <is>
          <t>B09NLQTD6F</t>
        </is>
      </c>
      <c r="G568">
        <f>_xlfn.IMAGE("http://slimages.macys.com/is/image/MCY/products/0/optimized/21698826_fpx.tif")</f>
        <v/>
      </c>
      <c r="H568">
        <f>_xlfn.IMAGE("https://m.media-amazon.com/images/I/817aO8Uz3XL._AC_UL320_.jpg")</f>
        <v/>
      </c>
      <c r="K568" t="inlineStr">
        <is>
          <t>5.93</t>
        </is>
      </c>
      <c r="L568" t="n">
        <v>26.49</v>
      </c>
      <c r="M568" s="2" t="inlineStr">
        <is>
          <t>346.71%</t>
        </is>
      </c>
      <c r="N568" t="n">
        <v>4.8</v>
      </c>
      <c r="O568" t="n">
        <v>848</v>
      </c>
      <c r="Q568" t="inlineStr">
        <is>
          <t>InStock</t>
        </is>
      </c>
      <c r="R568" t="inlineStr">
        <is>
          <t>undefined</t>
        </is>
      </c>
      <c r="S568" t="inlineStr">
        <is>
          <t>13935936</t>
        </is>
      </c>
    </row>
    <row r="569" ht="75" customHeight="1">
      <c r="A569" s="1">
        <f>HYPERLINK("https://www.toysrus.com/wrebbit-3d---harry-potter-diagon-alley-450-piece-3d-jigsaw-puzzle-G0665541010101.html", "https://www.toysrus.com/wrebbit-3d---harry-potter-diagon-alley-450-piece-3d-jigsaw-puzzle-G0665541010101.html")</f>
        <v/>
      </c>
      <c r="B569" s="1">
        <f>HYPERLINK("https://www.toysrus.com/wrebbit-3d---harry-potter-diagon-alley-450-piece-3d-jigsaw-puzzle-G0665541010101.html", "https://www.toysrus.com/wrebbit-3d---harry-potter-diagon-alley-450-piece-3d-jigsaw-puzzle-G0665541010101.html")</f>
        <v/>
      </c>
      <c r="C569" t="inlineStr">
        <is>
          <t>Wrebbit 3D - Harry Potter Diagon Alley 450 Piece 3D Jigsaw Puzzle</t>
        </is>
      </c>
      <c r="D569" t="inlineStr">
        <is>
          <t>Wrebbit 3D - Harry Potter Diagon Alley Collection 3D Jigsaw Puzzles - Ollivander’s Wand Shop, Quality Quidditch Supplies, Madam Malkin’s and Weasleys’ Wizard Wheezes -Bundle of 4- Total of 1175 Pieces</t>
        </is>
      </c>
      <c r="E569" s="1">
        <f>HYPERLINK("https://www.amazon.com/Wrebbit-3D-Collection-Ollivanders-Quidditch/dp/B07W4YLZQ4/ref=sr_1_1?keywords=Wrebbit+3D+-+Harry+Potter+Diagon+Alley+450+Piece+3D+Jigsaw+Puzzle&amp;qid=1695588336&amp;sr=8-1", "https://www.amazon.com/Wrebbit-3D-Collection-Ollivanders-Quidditch/dp/B07W4YLZQ4/ref=sr_1_1?keywords=Wrebbit+3D+-+Harry+Potter+Diagon+Alley+450+Piece+3D+Jigsaw+Puzzle&amp;qid=1695588336&amp;sr=8-1")</f>
        <v/>
      </c>
      <c r="F569" t="inlineStr">
        <is>
          <t>B07W4YLZQ4</t>
        </is>
      </c>
      <c r="G569">
        <f>_xlfn.IMAGE("https://images.toysrus.com/1285/665541010101_1.jpg")</f>
        <v/>
      </c>
      <c r="H569">
        <f>_xlfn.IMAGE("https://m.media-amazon.com/images/I/81z8jot2yFL._AC_UL320_.jpg")</f>
        <v/>
      </c>
      <c r="K569" t="inlineStr">
        <is>
          <t>39.99</t>
        </is>
      </c>
      <c r="L569" t="n">
        <v>119.96</v>
      </c>
      <c r="M569" s="2" t="inlineStr">
        <is>
          <t>199.97%</t>
        </is>
      </c>
      <c r="N569" t="n">
        <v>4.9</v>
      </c>
      <c r="O569" t="n">
        <v>242</v>
      </c>
      <c r="Q569" t="inlineStr">
        <is>
          <t>InStock</t>
        </is>
      </c>
      <c r="R569" t="inlineStr">
        <is>
          <t>undefined</t>
        </is>
      </c>
      <c r="S569" t="inlineStr">
        <is>
          <t>G0665541010101</t>
        </is>
      </c>
    </row>
    <row r="570" ht="75" customHeight="1">
      <c r="A570" s="1">
        <f>HYPERLINK("https://www.toysrus.com/wrebbit-3d---harry-potter-diagon-alley-450-piece-3d-jigsaw-puzzle-G0665541010101.html", "https://www.toysrus.com/wrebbit-3d---harry-potter-diagon-alley-450-piece-3d-jigsaw-puzzle-G0665541010101.html")</f>
        <v/>
      </c>
      <c r="B570" s="1">
        <f>HYPERLINK("https://www.toysrus.com/wrebbit-3d---harry-potter-diagon-alley-450-piece-3d-jigsaw-puzzle-G0665541010101.html", "https://www.toysrus.com/wrebbit-3d---harry-potter-diagon-alley-450-piece-3d-jigsaw-puzzle-G0665541010101.html")</f>
        <v/>
      </c>
      <c r="C570" t="inlineStr">
        <is>
          <t>Wrebbit 3D - Harry Potter Diagon Alley 450 Piece 3D Jigsaw Puzzle</t>
        </is>
      </c>
      <c r="D570" t="inlineStr">
        <is>
          <t>Wrebbit3d Hogwarts Castle 3D Puzzle for Teens and Adults | Great Hall Astronomy Tower Bundle | 1725 Jigsaw Puzzle Pieces | Not Just an Ordinary Model Kit for Adults | Great Gift for Harry Potter Fans</t>
        </is>
      </c>
      <c r="E570" s="1">
        <f>HYPERLINK("https://www.amazon.com/WREBBIT-3D-Hogwarts-Witchcraft-Wizardry/dp/B01NCMPFGG/ref=sr_1_7?keywords=Wrebbit+3D+-+Harry+Potter+Diagon+Alley+450+Piece+3D+Jigsaw+Puzzle&amp;qid=1695588336&amp;sr=8-7", "https://www.amazon.com/WREBBIT-3D-Hogwarts-Witchcraft-Wizardry/dp/B01NCMPFGG/ref=sr_1_7?keywords=Wrebbit+3D+-+Harry+Potter+Diagon+Alley+450+Piece+3D+Jigsaw+Puzzle&amp;qid=1695588336&amp;sr=8-7")</f>
        <v/>
      </c>
      <c r="F570" t="inlineStr">
        <is>
          <t>B01NCMPFGG</t>
        </is>
      </c>
      <c r="G570">
        <f>_xlfn.IMAGE("https://images.toysrus.com/1285/665541010101_1.jpg")</f>
        <v/>
      </c>
      <c r="H570">
        <f>_xlfn.IMAGE("https://m.media-amazon.com/images/I/91Hf1tiMU1L._AC_UL320_.jpg")</f>
        <v/>
      </c>
      <c r="K570" t="inlineStr">
        <is>
          <t>39.99</t>
        </is>
      </c>
      <c r="L570" t="n">
        <v>117.98</v>
      </c>
      <c r="M570" s="2" t="inlineStr">
        <is>
          <t>195.02%</t>
        </is>
      </c>
      <c r="N570" t="n">
        <v>4.7</v>
      </c>
      <c r="O570" t="n">
        <v>4276</v>
      </c>
      <c r="Q570" t="inlineStr">
        <is>
          <t>InStock</t>
        </is>
      </c>
      <c r="R570" t="inlineStr">
        <is>
          <t>undefined</t>
        </is>
      </c>
      <c r="S570" t="inlineStr">
        <is>
          <t>G0665541010101</t>
        </is>
      </c>
    </row>
    <row r="571" ht="75" customHeight="1">
      <c r="A571" s="1">
        <f>HYPERLINK("https://www.toysrus.com/wwe-raquel-gonzalez-elite-collection-action-figure-14524261.html", "https://www.toysrus.com/wwe-raquel-gonzalez-elite-collection-action-figure-14524261.html")</f>
        <v/>
      </c>
      <c r="B571" s="1">
        <f>HYPERLINK("https://www.toysrus.com/wwe-raquel-gonzalez-elite-collection-action-figure-14524261.html", "https://www.toysrus.com/wwe-raquel-gonzalez-elite-collection-action-figure-14524261.html")</f>
        <v/>
      </c>
      <c r="C571" t="inlineStr">
        <is>
          <t>WWE Raquel Gonzalez Elite Collection Action Figure</t>
        </is>
      </c>
      <c r="D571" t="inlineStr">
        <is>
          <t>WWE Wrestling Elite Collection Royal Rumble Dakota Kai Action Figure</t>
        </is>
      </c>
      <c r="E571" s="1">
        <f>HYPERLINK("https://www.amazon.com/WWE-Wrestling-Collection-Rumble-Dakota/dp/B09QX85VRS/ref=sr_1_10?keywords=WWE+Raquel+Gonzalez+Elite+Collection+Action+Figure&amp;qid=1695588589&amp;sr=8-10", "https://www.amazon.com/WWE-Wrestling-Collection-Rumble-Dakota/dp/B09QX85VRS/ref=sr_1_10?keywords=WWE+Raquel+Gonzalez+Elite+Collection+Action+Figure&amp;qid=1695588589&amp;sr=8-10")</f>
        <v/>
      </c>
      <c r="F571" t="inlineStr">
        <is>
          <t>B09QX85VRS</t>
        </is>
      </c>
      <c r="G571">
        <f>_xlfn.IMAGE("http://slimages.macys.com/is/image/MCY/products/0/optimized/22879562_fpx.tif")</f>
        <v/>
      </c>
      <c r="H571">
        <f>_xlfn.IMAGE("https://m.media-amazon.com/images/I/51j7YK0+qxL._AC_UL320_.jpg")</f>
        <v/>
      </c>
      <c r="K571" t="inlineStr">
        <is>
          <t>21.99</t>
        </is>
      </c>
      <c r="L571" t="n">
        <v>49.9</v>
      </c>
      <c r="M571" s="2" t="inlineStr">
        <is>
          <t>126.92%</t>
        </is>
      </c>
      <c r="N571" t="n">
        <v>4.3</v>
      </c>
      <c r="O571" t="n">
        <v>27</v>
      </c>
      <c r="Q571" t="inlineStr">
        <is>
          <t>InStock</t>
        </is>
      </c>
      <c r="R571" t="inlineStr">
        <is>
          <t>undefined</t>
        </is>
      </c>
      <c r="S571" t="inlineStr">
        <is>
          <t>Leah0318</t>
        </is>
      </c>
    </row>
  </sheetData>
  <autoFilter ref="A1:W571">
    <sortState ref="A2:W571">
      <sortCondition ref="A1:A571"/>
    </sortState>
  </autoFilter>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2023-09-27T00:45:11Z</dcterms:created>
  <dcterms:modified xsi:type="dcterms:W3CDTF">2023-09-29T19:58:41Z</dcterms:modified>
  <cp:lastModifiedBy>John Connolly</cp:lastModifiedBy>
</cp:coreProperties>
</file>